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updateLinks="never"/>
  <mc:AlternateContent xmlns:mc="http://schemas.openxmlformats.org/markup-compatibility/2006">
    <mc:Choice Requires="x15">
      <x15ac:absPath xmlns:x15ac="http://schemas.microsoft.com/office/spreadsheetml/2010/11/ac" url="G:\Unidades compartidas\0_REPOSITORIO_DIF\4_GADMIN\1_REGIS\0_Invitaciones\2_MedianaC\VA_033_2021_Interventoria_FNSP\Gestion\3_Evaluacion\"/>
    </mc:Choice>
  </mc:AlternateContent>
  <xr:revisionPtr revIDLastSave="0" documentId="13_ncr:1_{C4ED12EB-D395-4330-9DFD-F8533A047782}" xr6:coauthVersionLast="47" xr6:coauthVersionMax="47" xr10:uidLastSave="{00000000-0000-0000-0000-000000000000}"/>
  <bookViews>
    <workbookView xWindow="-120" yWindow="-120" windowWidth="25440" windowHeight="15390" tabRatio="928" firstSheet="4" activeTab="12" xr2:uid="{00000000-000D-0000-FFFF-FFFF00000000}"/>
  </bookViews>
  <sheets>
    <sheet name="1_ENTREGA" sheetId="1" r:id="rId1"/>
    <sheet name="2_APERTURA DE SOBRES" sheetId="2" r:id="rId2"/>
    <sheet name="6.2.1. REQUISITOS JURÍDICOS" sheetId="3" r:id="rId3"/>
    <sheet name="6.2.2.1. EXPERIENCIA GRAL" sheetId="4" r:id="rId4"/>
    <sheet name="6.2.2.2. EXPERIENCIA_ESPECIF " sheetId="13" r:id="rId5"/>
    <sheet name="6.2.3.2 PROFESIONALES " sheetId="16" r:id="rId6"/>
    <sheet name="6.2.4 CAP FINANCIERA" sheetId="5" r:id="rId7"/>
    <sheet name="6.2.5 REQUISITOS COMERCIALES" sheetId="6" r:id="rId8"/>
    <sheet name="PRESUPUESTO" sheetId="9" r:id="rId9"/>
    <sheet name="RESUMEN" sheetId="10" r:id="rId10"/>
    <sheet name="14.3 EXPERIENCIA_OCT" sheetId="14" r:id="rId11"/>
    <sheet name="Cálculo Pt2" sheetId="12" r:id="rId12"/>
    <sheet name="10. EVALUACIÓN" sheetId="8" r:id="rId13"/>
  </sheets>
  <externalReferences>
    <externalReference r:id="rId14"/>
    <externalReference r:id="rId15"/>
    <externalReference r:id="rId16"/>
  </externalReferences>
  <definedNames>
    <definedName name="_xlnm._FilterDatabase" localSheetId="8" hidden="1">PRESUPUESTO!$A$9:$WHL$31</definedName>
    <definedName name="APERTURA">'2_APERTURA DE SOBRES'!$A$8:$I$21</definedName>
    <definedName name="_xlnm.Print_Area" localSheetId="0">'1_ENTREGA'!$A$1:$B$27</definedName>
    <definedName name="AU" localSheetId="5">[1]PRESUPUESTO!$C$76:$D$89</definedName>
    <definedName name="AU">PRESUPUESTO!$C$74:$D$87</definedName>
    <definedName name="BANDERA" localSheetId="4">'6.2.2.2. EXPERIENCIA_ESPECIF '!$AD$12:$AE$28</definedName>
    <definedName name="BANDERA" localSheetId="5">'[1]6.2.2.1. EXPERIENCIA GRAL'!$AD$12:$AE$28</definedName>
    <definedName name="BANDERA">'6.2.2.1. EXPERIENCIA GRAL'!$AD$12:$AE$28</definedName>
    <definedName name="C_FINANCIERA" localSheetId="5">'[1]6.2.4 CAP FINANCIERA'!$Q$6:$S$19</definedName>
    <definedName name="C_FINANCIERA">'6.2.4 CAP FINANCIERA'!$Q$6:$S$19</definedName>
    <definedName name="COSTO_D">[2]PRESUPUESTO!$G$116:$H$145</definedName>
    <definedName name="EST_PRE" localSheetId="4">#REF!</definedName>
    <definedName name="EST_PRE" localSheetId="5">#REF!</definedName>
    <definedName name="EST_PRE">#REF!</definedName>
    <definedName name="EST_UNI" localSheetId="5">[1]PRESUPUESTO!$N$50:$P$66</definedName>
    <definedName name="EST_UNI">PRESUPUESTO!$P$48:$R$64</definedName>
    <definedName name="ESTATUS">RESUMEN!$A$5:$J$18</definedName>
    <definedName name="EVALUACION">'10. EVALUACIÓN'!$B$16:$F$32</definedName>
    <definedName name="EXPERIENCIA" localSheetId="4">'6.2.2.2. EXPERIENCIA_ESPECIF '!$W$12:$Z$28</definedName>
    <definedName name="EXPERIENCIA" localSheetId="5">'[1]6.2.2.1. EXPERIENCIA GRAL'!$W$12:$Z$28</definedName>
    <definedName name="EXPERIENCIA">'6.2.2.1. EXPERIENCIA GRAL'!$W$12:$Z$28</definedName>
    <definedName name="ITEM_2.10" localSheetId="4">PRESUPUESTO!#REF!</definedName>
    <definedName name="ITEM_2.10" localSheetId="5">[1]PRESUPUESTO!#REF!</definedName>
    <definedName name="ITEM_2.10">PRESUPUESTO!#REF!</definedName>
    <definedName name="ITEM_3.10" localSheetId="4">PRESUPUESTO!#REF!</definedName>
    <definedName name="ITEM_3.10" localSheetId="5">[1]PRESUPUESTO!#REF!</definedName>
    <definedName name="ITEM_3.10">PRESUPUESTO!#REF!</definedName>
    <definedName name="ITEM_7.10" localSheetId="4">PRESUPUESTO!#REF!</definedName>
    <definedName name="ITEM_7.10" localSheetId="5">[1]PRESUPUESTO!#REF!</definedName>
    <definedName name="ITEM_7.10">PRESUPUESTO!#REF!</definedName>
    <definedName name="LISTA_OFERENTES">'1_ENTREGA'!$A$8:$B$24</definedName>
    <definedName name="OET_0" localSheetId="4">#REF!</definedName>
    <definedName name="OET_0" localSheetId="5">#REF!</definedName>
    <definedName name="OET_0">#REF!</definedName>
    <definedName name="OFERENTE_1">PRESUPUESTO!$O$11:$AI$31</definedName>
    <definedName name="OFERENTE_10" localSheetId="5">[1]PRESUPUESTO!#REF!</definedName>
    <definedName name="OFERENTE_10">PRESUPUESTO!#REF!</definedName>
    <definedName name="OFERENTE_11" localSheetId="5">[1]PRESUPUESTO!#REF!</definedName>
    <definedName name="OFERENTE_11">PRESUPUESTO!#REF!</definedName>
    <definedName name="OFERENTE_12" localSheetId="5">[1]PRESUPUESTO!#REF!</definedName>
    <definedName name="OFERENTE_12">PRESUPUESTO!#REF!</definedName>
    <definedName name="OFERENTE_13" localSheetId="5">[1]PRESUPUESTO!#REF!</definedName>
    <definedName name="OFERENTE_13">PRESUPUESTO!#REF!</definedName>
    <definedName name="OFERENTE_14" localSheetId="5">[1]PRESUPUESTO!#REF!</definedName>
    <definedName name="OFERENTE_14">PRESUPUESTO!#REF!</definedName>
    <definedName name="OFERENTE_15" localSheetId="4">PRESUPUESTO!#REF!</definedName>
    <definedName name="OFERENTE_15" localSheetId="5">[1]PRESUPUESTO!#REF!</definedName>
    <definedName name="OFERENTE_15">PRESUPUESTO!#REF!</definedName>
    <definedName name="OFERENTE_16" localSheetId="4">PRESUPUESTO!#REF!</definedName>
    <definedName name="OFERENTE_16" localSheetId="5">[1]PRESUPUESTO!#REF!</definedName>
    <definedName name="OFERENTE_16">PRESUPUESTO!#REF!</definedName>
    <definedName name="OFERENTE_17" localSheetId="4">PRESUPUESTO!#REF!</definedName>
    <definedName name="OFERENTE_17" localSheetId="5">[1]PRESUPUESTO!#REF!</definedName>
    <definedName name="OFERENTE_17">PRESUPUESTO!#REF!</definedName>
    <definedName name="OFERENTE_18">[3]V_UNITARIOS!$KM$12:$KR$76</definedName>
    <definedName name="OFERENTE_19">[3]V_UNITARIOS!$LD$12:$LI$76</definedName>
    <definedName name="OFERENTE_2">PRESUPUESTO!$AL$2:$BF$38</definedName>
    <definedName name="OFERENTE_3">PRESUPUESTO!$BI$2:$CC$42</definedName>
    <definedName name="OFERENTE_4">PRESUPUESTO!$CF$2:$CZ$42</definedName>
    <definedName name="OFERENTE_5">PRESUPUESTO!#REF!</definedName>
    <definedName name="OFERENTE_6" localSheetId="5">[1]PRESUPUESTO!#REF!</definedName>
    <definedName name="OFERENTE_6">PRESUPUESTO!#REF!</definedName>
    <definedName name="OFERENTE_7" localSheetId="5">[1]PRESUPUESTO!#REF!</definedName>
    <definedName name="OFERENTE_7">PRESUPUESTO!#REF!</definedName>
    <definedName name="OFERENTE_8" localSheetId="5">[1]PRESUPUESTO!#REF!</definedName>
    <definedName name="OFERENTE_8">PRESUPUESTO!#REF!</definedName>
    <definedName name="OFERENTE_9" localSheetId="5">[1]PRESUPUESTO!#REF!</definedName>
    <definedName name="OFERENTE_9">PRESUPUESTO!#REF!</definedName>
    <definedName name="OFERTA_0" localSheetId="5">[1]PRESUPUESTO!$B$9:$K$39</definedName>
    <definedName name="OFERTA_0">PRESUPUESTO!$B$9:$M$38</definedName>
    <definedName name="ORDEN" localSheetId="12">'10. EVALUACIÓN'!$U$16:$V$32</definedName>
    <definedName name="PT_2" localSheetId="5">'[1]Cálculo Pt2'!$C$7:$AJ$11</definedName>
    <definedName name="PT_2">'Cálculo Pt2'!$C$7:$AJ$11</definedName>
    <definedName name="R_COMERCIALES" localSheetId="5">'[1]6.2.5 REQUISITOS COMERCIALES'!$K$4:$M$17</definedName>
    <definedName name="R_COMERCIALES">'6.2.5 REQUISITOS COMERCIALES'!$K$4:$M$17</definedName>
    <definedName name="R_JURIDICO" localSheetId="4">'6.2.1. REQUISITOS JURÍDICOS'!#REF!</definedName>
    <definedName name="R_JURIDICO" localSheetId="5">'[1]6.2.1. REQUISITOS JURÍDICOS'!#REF!</definedName>
    <definedName name="R_JURIDICO">'6.2.1. REQUISITOS JURÍDICOS'!#REF!</definedName>
    <definedName name="UNIDADES_3.10" localSheetId="4">PRESUPUESTO!#REF!</definedName>
    <definedName name="UNIDADES_3.10" localSheetId="5">[1]PRESUPUESTO!#REF!</definedName>
    <definedName name="UNIDADES_3.10">PRESUPUESTO!#REF!</definedName>
    <definedName name="UNIDADES_7.10" localSheetId="4">PRESUPUESTO!#REF!</definedName>
    <definedName name="UNIDADES_7.10" localSheetId="5">[1]PRESUPUESTO!#REF!</definedName>
    <definedName name="UNIDADES_7.10">PRESUPUESTO!#REF!</definedName>
    <definedName name="V_PRESUPUESTOO" localSheetId="4">#REF!</definedName>
    <definedName name="V_PRESUPUESTOO" localSheetId="5">#REF!</definedName>
    <definedName name="V_PRESUPUESTOO">#REF!</definedName>
    <definedName name="V_UNITARIOS">PRESUPUESTO!$C$43:$D$96</definedName>
    <definedName name="VER_PRE" localSheetId="4">#REF!</definedName>
    <definedName name="VER_PRE" localSheetId="5">#REF!</definedName>
    <definedName name="VER_PRE">#REF!</definedName>
    <definedName name="VER_UNI" localSheetId="5">[1]PRESUPUESTO!$M$40:$AF$43</definedName>
    <definedName name="VER_UNI">PRESUPUESTO!$O$39:$AJ$41</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S91" i="4" l="1"/>
  <c r="L16" i="8"/>
  <c r="D102" i="9"/>
  <c r="D101" i="9"/>
  <c r="D100" i="9"/>
  <c r="D99" i="9"/>
  <c r="M7" i="6" l="1"/>
  <c r="M6" i="6"/>
  <c r="M4" i="6"/>
  <c r="M5" i="6"/>
  <c r="AK9" i="16"/>
  <c r="AL9" i="16"/>
  <c r="AL11" i="16"/>
  <c r="AL10" i="16"/>
  <c r="C13" i="14" l="1"/>
  <c r="C12" i="14"/>
  <c r="C11" i="14"/>
  <c r="C10" i="14"/>
  <c r="P11" i="16"/>
  <c r="CY41" i="9"/>
  <c r="CV41" i="9"/>
  <c r="CU41" i="9"/>
  <c r="CT41" i="9"/>
  <c r="CS41" i="9"/>
  <c r="CB41" i="9"/>
  <c r="BY41" i="9"/>
  <c r="BX41" i="9"/>
  <c r="BW41" i="9"/>
  <c r="BV41" i="9"/>
  <c r="BE41" i="9"/>
  <c r="BB41" i="9"/>
  <c r="BA41" i="9"/>
  <c r="AZ41" i="9"/>
  <c r="AY41" i="9"/>
  <c r="AH41" i="9"/>
  <c r="Z94" i="9"/>
  <c r="Z93" i="9"/>
  <c r="Z95" i="9" s="1"/>
  <c r="Z96" i="9" l="1"/>
  <c r="Z97" i="9" s="1"/>
  <c r="F43" i="8"/>
  <c r="H43" i="8" s="1"/>
  <c r="F42" i="8"/>
  <c r="H42" i="8" s="1"/>
  <c r="F41" i="8"/>
  <c r="H41" i="8" s="1"/>
  <c r="F40" i="8"/>
  <c r="H40" i="8" s="1"/>
  <c r="CQ23" i="9"/>
  <c r="BT23" i="9" l="1"/>
  <c r="AW23" i="9" l="1"/>
  <c r="CY22" i="9" l="1"/>
  <c r="CZ22" i="9" s="1"/>
  <c r="CW22" i="9"/>
  <c r="CV22" i="9"/>
  <c r="CU22" i="9"/>
  <c r="CT22" i="9"/>
  <c r="CS22" i="9"/>
  <c r="CR22" i="9"/>
  <c r="CY21" i="9"/>
  <c r="CZ21" i="9" s="1"/>
  <c r="CW21" i="9"/>
  <c r="CV21" i="9"/>
  <c r="CU21" i="9"/>
  <c r="CT21" i="9"/>
  <c r="CS21" i="9"/>
  <c r="CR21" i="9"/>
  <c r="CY20" i="9"/>
  <c r="CZ20" i="9" s="1"/>
  <c r="CW20" i="9"/>
  <c r="CV20" i="9"/>
  <c r="CU20" i="9"/>
  <c r="CT20" i="9"/>
  <c r="CS20" i="9"/>
  <c r="CR20" i="9"/>
  <c r="CY18" i="9"/>
  <c r="CZ18" i="9" s="1"/>
  <c r="CW18" i="9"/>
  <c r="CV18" i="9"/>
  <c r="CU18" i="9"/>
  <c r="CT18" i="9"/>
  <c r="CS18" i="9"/>
  <c r="CR18" i="9"/>
  <c r="CY17" i="9"/>
  <c r="CZ17" i="9" s="1"/>
  <c r="CW17" i="9"/>
  <c r="CV17" i="9"/>
  <c r="CU17" i="9"/>
  <c r="CT17" i="9"/>
  <c r="CS17" i="9"/>
  <c r="CR17" i="9"/>
  <c r="CY16" i="9"/>
  <c r="CZ16" i="9" s="1"/>
  <c r="CW16" i="9"/>
  <c r="CV16" i="9"/>
  <c r="CU16" i="9"/>
  <c r="CT16" i="9"/>
  <c r="CS16" i="9"/>
  <c r="CR16" i="9"/>
  <c r="CY15" i="9"/>
  <c r="CZ15" i="9" s="1"/>
  <c r="CW15" i="9"/>
  <c r="CV15" i="9"/>
  <c r="CU15" i="9"/>
  <c r="CT15" i="9"/>
  <c r="CS15" i="9"/>
  <c r="CR15" i="9"/>
  <c r="CY14" i="9"/>
  <c r="CZ14" i="9" s="1"/>
  <c r="CW14" i="9"/>
  <c r="CV14" i="9"/>
  <c r="CU14" i="9"/>
  <c r="CT14" i="9"/>
  <c r="CS14" i="9"/>
  <c r="CR14" i="9"/>
  <c r="CY13" i="9"/>
  <c r="CZ13" i="9" s="1"/>
  <c r="CW13" i="9"/>
  <c r="CV13" i="9"/>
  <c r="CU13" i="9"/>
  <c r="CT13" i="9"/>
  <c r="CS13" i="9"/>
  <c r="CR13" i="9"/>
  <c r="CY12" i="9"/>
  <c r="CZ12" i="9" s="1"/>
  <c r="CW12" i="9"/>
  <c r="CV12" i="9"/>
  <c r="CU12" i="9"/>
  <c r="CT12" i="9"/>
  <c r="CS12" i="9"/>
  <c r="CR12" i="9"/>
  <c r="CY11" i="9"/>
  <c r="CZ11" i="9" s="1"/>
  <c r="CW11" i="9"/>
  <c r="CV11" i="9"/>
  <c r="CU11" i="9"/>
  <c r="CT11" i="9"/>
  <c r="CS11" i="9"/>
  <c r="CR11" i="9"/>
  <c r="CB22" i="9"/>
  <c r="CC22" i="9" s="1"/>
  <c r="BZ22" i="9"/>
  <c r="BY22" i="9"/>
  <c r="BX22" i="9"/>
  <c r="BW22" i="9"/>
  <c r="BV22" i="9"/>
  <c r="BU22" i="9"/>
  <c r="CB21" i="9"/>
  <c r="CC21" i="9" s="1"/>
  <c r="BZ21" i="9"/>
  <c r="BY21" i="9"/>
  <c r="BX21" i="9"/>
  <c r="BW21" i="9"/>
  <c r="BV21" i="9"/>
  <c r="BU21" i="9"/>
  <c r="CB20" i="9"/>
  <c r="CC20" i="9" s="1"/>
  <c r="BZ20" i="9"/>
  <c r="BY20" i="9"/>
  <c r="BX20" i="9"/>
  <c r="BW20" i="9"/>
  <c r="BV20" i="9"/>
  <c r="BU20" i="9"/>
  <c r="CB18" i="9"/>
  <c r="CC18" i="9" s="1"/>
  <c r="BZ18" i="9"/>
  <c r="BY18" i="9"/>
  <c r="BX18" i="9"/>
  <c r="BW18" i="9"/>
  <c r="BV18" i="9"/>
  <c r="BU18" i="9"/>
  <c r="CB17" i="9"/>
  <c r="CC17" i="9" s="1"/>
  <c r="BZ17" i="9"/>
  <c r="BY17" i="9"/>
  <c r="BX17" i="9"/>
  <c r="BW17" i="9"/>
  <c r="BV17" i="9"/>
  <c r="BU17" i="9"/>
  <c r="CB16" i="9"/>
  <c r="CC16" i="9" s="1"/>
  <c r="BZ16" i="9"/>
  <c r="BY16" i="9"/>
  <c r="BX16" i="9"/>
  <c r="BW16" i="9"/>
  <c r="BV16" i="9"/>
  <c r="BU16" i="9"/>
  <c r="CB15" i="9"/>
  <c r="CC15" i="9" s="1"/>
  <c r="BZ15" i="9"/>
  <c r="BY15" i="9"/>
  <c r="BX15" i="9"/>
  <c r="BW15" i="9"/>
  <c r="BV15" i="9"/>
  <c r="BU15" i="9"/>
  <c r="CB14" i="9"/>
  <c r="CC14" i="9" s="1"/>
  <c r="BZ14" i="9"/>
  <c r="BY14" i="9"/>
  <c r="BX14" i="9"/>
  <c r="BW14" i="9"/>
  <c r="BV14" i="9"/>
  <c r="BU14" i="9"/>
  <c r="CB13" i="9"/>
  <c r="CC13" i="9" s="1"/>
  <c r="BZ13" i="9"/>
  <c r="BY13" i="9"/>
  <c r="BX13" i="9"/>
  <c r="BW13" i="9"/>
  <c r="BV13" i="9"/>
  <c r="BU13" i="9"/>
  <c r="CB12" i="9"/>
  <c r="CC12" i="9" s="1"/>
  <c r="BZ12" i="9"/>
  <c r="BY12" i="9"/>
  <c r="BX12" i="9"/>
  <c r="BW12" i="9"/>
  <c r="BV12" i="9"/>
  <c r="BU12" i="9"/>
  <c r="CB11" i="9"/>
  <c r="CC11" i="9" s="1"/>
  <c r="BZ11" i="9"/>
  <c r="BY11" i="9"/>
  <c r="BX11" i="9"/>
  <c r="BW11" i="9"/>
  <c r="BV11" i="9"/>
  <c r="BU11" i="9"/>
  <c r="BE22" i="9"/>
  <c r="BF22" i="9" s="1"/>
  <c r="BC22" i="9"/>
  <c r="BB22" i="9"/>
  <c r="BA22" i="9"/>
  <c r="AZ22" i="9"/>
  <c r="AX22" i="9"/>
  <c r="BE21" i="9"/>
  <c r="BF21" i="9" s="1"/>
  <c r="BC21" i="9"/>
  <c r="BB21" i="9"/>
  <c r="BA21" i="9"/>
  <c r="AZ21" i="9"/>
  <c r="AY21" i="9"/>
  <c r="AX21" i="9"/>
  <c r="BE20" i="9"/>
  <c r="BF20" i="9" s="1"/>
  <c r="BC20" i="9"/>
  <c r="BB20" i="9"/>
  <c r="BA20" i="9"/>
  <c r="AZ20" i="9"/>
  <c r="AY20" i="9"/>
  <c r="AX20" i="9"/>
  <c r="BE18" i="9"/>
  <c r="BF18" i="9" s="1"/>
  <c r="BC18" i="9"/>
  <c r="BB18" i="9"/>
  <c r="BA18" i="9"/>
  <c r="AZ18" i="9"/>
  <c r="AY18" i="9"/>
  <c r="AX18" i="9"/>
  <c r="BE17" i="9"/>
  <c r="BF17" i="9" s="1"/>
  <c r="BC17" i="9"/>
  <c r="BB17" i="9"/>
  <c r="BA17" i="9"/>
  <c r="AZ17" i="9"/>
  <c r="AY17" i="9"/>
  <c r="AX17" i="9"/>
  <c r="BE16" i="9"/>
  <c r="BF16" i="9" s="1"/>
  <c r="BC16" i="9"/>
  <c r="BB16" i="9"/>
  <c r="BA16" i="9"/>
  <c r="AZ16" i="9"/>
  <c r="AY16" i="9"/>
  <c r="AX16" i="9"/>
  <c r="BE15" i="9"/>
  <c r="BF15" i="9" s="1"/>
  <c r="BC15" i="9"/>
  <c r="BB15" i="9"/>
  <c r="BA15" i="9"/>
  <c r="AZ15" i="9"/>
  <c r="AY15" i="9"/>
  <c r="AX15" i="9"/>
  <c r="BE14" i="9"/>
  <c r="BF14" i="9" s="1"/>
  <c r="BC14" i="9"/>
  <c r="BB14" i="9"/>
  <c r="BA14" i="9"/>
  <c r="AZ14" i="9"/>
  <c r="AY14" i="9"/>
  <c r="AX14" i="9"/>
  <c r="BE13" i="9"/>
  <c r="BF13" i="9" s="1"/>
  <c r="BC13" i="9"/>
  <c r="BB13" i="9"/>
  <c r="BA13" i="9"/>
  <c r="AZ13" i="9"/>
  <c r="AY13" i="9"/>
  <c r="AX13" i="9"/>
  <c r="BE12" i="9"/>
  <c r="BF12" i="9" s="1"/>
  <c r="BC12" i="9"/>
  <c r="BB12" i="9"/>
  <c r="BA12" i="9"/>
  <c r="AZ12" i="9"/>
  <c r="AY12" i="9"/>
  <c r="AX12" i="9"/>
  <c r="BE11" i="9"/>
  <c r="BF11" i="9" s="1"/>
  <c r="BC11" i="9"/>
  <c r="BB11" i="9"/>
  <c r="BA11" i="9"/>
  <c r="AZ11" i="9"/>
  <c r="AY11" i="9"/>
  <c r="AX11" i="9"/>
  <c r="AD22" i="9"/>
  <c r="AD21" i="9"/>
  <c r="AD20" i="9"/>
  <c r="AD18" i="9"/>
  <c r="AD17" i="9"/>
  <c r="AD16" i="9"/>
  <c r="AD15" i="9"/>
  <c r="AD14" i="9"/>
  <c r="AD13" i="9"/>
  <c r="AD12" i="9"/>
  <c r="AD11" i="9"/>
  <c r="CI64" i="9"/>
  <c r="CH64" i="9"/>
  <c r="CI63" i="9"/>
  <c r="CH63" i="9"/>
  <c r="CI62" i="9"/>
  <c r="CH62" i="9"/>
  <c r="CI61" i="9"/>
  <c r="CH61" i="9"/>
  <c r="CI60" i="9"/>
  <c r="CH60" i="9"/>
  <c r="CI59" i="9"/>
  <c r="CH59" i="9"/>
  <c r="CI58" i="9"/>
  <c r="CH58" i="9"/>
  <c r="CI57" i="9"/>
  <c r="CH57" i="9"/>
  <c r="CI56" i="9"/>
  <c r="CH56" i="9"/>
  <c r="CI55" i="9"/>
  <c r="CH55" i="9"/>
  <c r="CI54" i="9"/>
  <c r="CH54" i="9"/>
  <c r="CI53" i="9"/>
  <c r="CH53" i="9"/>
  <c r="CI52" i="9"/>
  <c r="CH52" i="9"/>
  <c r="CI51" i="9"/>
  <c r="CH51" i="9"/>
  <c r="CI50" i="9"/>
  <c r="CH50" i="9"/>
  <c r="CI49" i="9"/>
  <c r="CH49" i="9"/>
  <c r="CI48" i="9"/>
  <c r="CH48" i="9"/>
  <c r="CY33" i="9"/>
  <c r="CZ33" i="9" s="1"/>
  <c r="CW33" i="9"/>
  <c r="CV33" i="9"/>
  <c r="CU33" i="9"/>
  <c r="CT33" i="9"/>
  <c r="CS33" i="9"/>
  <c r="CR33" i="9"/>
  <c r="CY32" i="9"/>
  <c r="CZ32" i="9" s="1"/>
  <c r="CW32" i="9"/>
  <c r="CV32" i="9"/>
  <c r="CU32" i="9"/>
  <c r="CT32" i="9"/>
  <c r="CS32" i="9"/>
  <c r="CR32" i="9"/>
  <c r="CY31" i="9"/>
  <c r="CZ31" i="9" s="1"/>
  <c r="CW31" i="9"/>
  <c r="CV31" i="9"/>
  <c r="CU31" i="9"/>
  <c r="CT31" i="9"/>
  <c r="CS31" i="9"/>
  <c r="CR31" i="9"/>
  <c r="CI7" i="9"/>
  <c r="CI2" i="9"/>
  <c r="BL64" i="9"/>
  <c r="BK64" i="9"/>
  <c r="BL63" i="9"/>
  <c r="BK63" i="9"/>
  <c r="BL62" i="9"/>
  <c r="BK62" i="9"/>
  <c r="BL61" i="9"/>
  <c r="BK61" i="9"/>
  <c r="BL60" i="9"/>
  <c r="BK60" i="9"/>
  <c r="BL59" i="9"/>
  <c r="BK59" i="9"/>
  <c r="BL58" i="9"/>
  <c r="BK58" i="9"/>
  <c r="BL57" i="9"/>
  <c r="BK57" i="9"/>
  <c r="BL56" i="9"/>
  <c r="BK56" i="9"/>
  <c r="BL55" i="9"/>
  <c r="BK55" i="9"/>
  <c r="BL54" i="9"/>
  <c r="BK54" i="9"/>
  <c r="BL53" i="9"/>
  <c r="BK53" i="9"/>
  <c r="BL52" i="9"/>
  <c r="BK52" i="9"/>
  <c r="BL51" i="9"/>
  <c r="BK51" i="9"/>
  <c r="BL50" i="9"/>
  <c r="BK50" i="9"/>
  <c r="BL49" i="9"/>
  <c r="BK49" i="9"/>
  <c r="BL48" i="9"/>
  <c r="BK48" i="9"/>
  <c r="CB33" i="9"/>
  <c r="CC33" i="9" s="1"/>
  <c r="BZ33" i="9"/>
  <c r="BY33" i="9"/>
  <c r="BX33" i="9"/>
  <c r="BW33" i="9"/>
  <c r="BV33" i="9"/>
  <c r="BU33" i="9"/>
  <c r="CB32" i="9"/>
  <c r="CC32" i="9" s="1"/>
  <c r="BZ32" i="9"/>
  <c r="BY32" i="9"/>
  <c r="BX32" i="9"/>
  <c r="BW32" i="9"/>
  <c r="BV32" i="9"/>
  <c r="BU32" i="9"/>
  <c r="CB31" i="9"/>
  <c r="CC31" i="9" s="1"/>
  <c r="BZ31" i="9"/>
  <c r="BY31" i="9"/>
  <c r="BX31" i="9"/>
  <c r="BW31" i="9"/>
  <c r="BV31" i="9"/>
  <c r="BU31" i="9"/>
  <c r="BL7" i="9"/>
  <c r="BL2" i="9"/>
  <c r="AO64" i="9"/>
  <c r="AN64" i="9"/>
  <c r="AO63" i="9"/>
  <c r="AN63" i="9"/>
  <c r="AO62" i="9"/>
  <c r="AN62" i="9"/>
  <c r="AO61" i="9"/>
  <c r="AN61" i="9"/>
  <c r="AO60" i="9"/>
  <c r="AN60" i="9"/>
  <c r="AO59" i="9"/>
  <c r="AN59" i="9"/>
  <c r="AO58" i="9"/>
  <c r="AN58" i="9"/>
  <c r="AO57" i="9"/>
  <c r="AN57" i="9"/>
  <c r="AO56" i="9"/>
  <c r="AN56" i="9"/>
  <c r="AO55" i="9"/>
  <c r="AN55" i="9"/>
  <c r="AO54" i="9"/>
  <c r="AN54" i="9"/>
  <c r="AO53" i="9"/>
  <c r="AN53" i="9"/>
  <c r="AO52" i="9"/>
  <c r="AN52" i="9"/>
  <c r="AO51" i="9"/>
  <c r="AN51" i="9"/>
  <c r="AO50" i="9"/>
  <c r="AN50" i="9"/>
  <c r="AO49" i="9"/>
  <c r="AN49" i="9"/>
  <c r="AO48" i="9"/>
  <c r="AN48" i="9"/>
  <c r="BE33" i="9"/>
  <c r="BF33" i="9" s="1"/>
  <c r="BC33" i="9"/>
  <c r="BB33" i="9"/>
  <c r="BA33" i="9"/>
  <c r="AZ33" i="9"/>
  <c r="AY33" i="9"/>
  <c r="AX33" i="9"/>
  <c r="BE32" i="9"/>
  <c r="BF32" i="9" s="1"/>
  <c r="BC32" i="9"/>
  <c r="BB32" i="9"/>
  <c r="BA32" i="9"/>
  <c r="AZ32" i="9"/>
  <c r="AY32" i="9"/>
  <c r="AX32" i="9"/>
  <c r="BE31" i="9"/>
  <c r="BF31" i="9" s="1"/>
  <c r="BC31" i="9"/>
  <c r="BB31" i="9"/>
  <c r="BA31" i="9"/>
  <c r="AZ31" i="9"/>
  <c r="AY31" i="9"/>
  <c r="AX31" i="9"/>
  <c r="AO7" i="9"/>
  <c r="AO2" i="9"/>
  <c r="AE41" i="9"/>
  <c r="AD41" i="9"/>
  <c r="AC41" i="9"/>
  <c r="AB41" i="9"/>
  <c r="AE33" i="9"/>
  <c r="AE32" i="9"/>
  <c r="AE31" i="9"/>
  <c r="BD21" i="9" l="1"/>
  <c r="CX12" i="9"/>
  <c r="CX15" i="9"/>
  <c r="CA16" i="9"/>
  <c r="BD12" i="9"/>
  <c r="BD13" i="9"/>
  <c r="BD14" i="9"/>
  <c r="BD15" i="9"/>
  <c r="BD22" i="9"/>
  <c r="BD16" i="9"/>
  <c r="BD11" i="9"/>
  <c r="BD17" i="9"/>
  <c r="BD18" i="9"/>
  <c r="BD20" i="9"/>
  <c r="CX33" i="9"/>
  <c r="CX31" i="9"/>
  <c r="CX32" i="9"/>
  <c r="CX22" i="9"/>
  <c r="CA33" i="9"/>
  <c r="CA15" i="9"/>
  <c r="CA18" i="9"/>
  <c r="CA12" i="9"/>
  <c r="CA21" i="9"/>
  <c r="CA17" i="9"/>
  <c r="CA31" i="9"/>
  <c r="CA32" i="9"/>
  <c r="CA11" i="9"/>
  <c r="CA13" i="9"/>
  <c r="CA14" i="9"/>
  <c r="CA20" i="9"/>
  <c r="CA22" i="9"/>
  <c r="CX13" i="9"/>
  <c r="CX14" i="9"/>
  <c r="CX16" i="9"/>
  <c r="CX11" i="9"/>
  <c r="CX17" i="9"/>
  <c r="CX18" i="9"/>
  <c r="CX20" i="9"/>
  <c r="CX21" i="9"/>
  <c r="BD32" i="9"/>
  <c r="BD33" i="9"/>
  <c r="BD31" i="9"/>
  <c r="CZ35" i="9"/>
  <c r="CZ41" i="9" s="1"/>
  <c r="CC35" i="9"/>
  <c r="CC41" i="9" s="1"/>
  <c r="BF35" i="9"/>
  <c r="BF41" i="9" s="1"/>
  <c r="AH22" i="9"/>
  <c r="AI22" i="9" s="1"/>
  <c r="AF22" i="9"/>
  <c r="AE22" i="9"/>
  <c r="AC22" i="9"/>
  <c r="AB22" i="9"/>
  <c r="AA22" i="9"/>
  <c r="AH21" i="9"/>
  <c r="AI21" i="9" s="1"/>
  <c r="AF21" i="9"/>
  <c r="AE21" i="9"/>
  <c r="AC21" i="9"/>
  <c r="AB21" i="9"/>
  <c r="AA21" i="9"/>
  <c r="AH20" i="9"/>
  <c r="AI20" i="9" s="1"/>
  <c r="AF20" i="9"/>
  <c r="AE20" i="9"/>
  <c r="AC20" i="9"/>
  <c r="AB20" i="9"/>
  <c r="AA20" i="9"/>
  <c r="AH18" i="9"/>
  <c r="AI18" i="9" s="1"/>
  <c r="AF18" i="9"/>
  <c r="AE18" i="9"/>
  <c r="AC18" i="9"/>
  <c r="AB18" i="9"/>
  <c r="AA18" i="9"/>
  <c r="AH17" i="9"/>
  <c r="AI17" i="9" s="1"/>
  <c r="AF17" i="9"/>
  <c r="AE17" i="9"/>
  <c r="AC17" i="9"/>
  <c r="AB17" i="9"/>
  <c r="AA17" i="9"/>
  <c r="AH16" i="9"/>
  <c r="AI16" i="9" s="1"/>
  <c r="AF16" i="9"/>
  <c r="AE16" i="9"/>
  <c r="AC16" i="9"/>
  <c r="AB16" i="9"/>
  <c r="AA16" i="9"/>
  <c r="AH15" i="9"/>
  <c r="AI15" i="9" s="1"/>
  <c r="AF15" i="9"/>
  <c r="AE15" i="9"/>
  <c r="AC15" i="9"/>
  <c r="AB15" i="9"/>
  <c r="AA15" i="9"/>
  <c r="AH14" i="9"/>
  <c r="AI14" i="9" s="1"/>
  <c r="AF14" i="9"/>
  <c r="AE14" i="9"/>
  <c r="AC14" i="9"/>
  <c r="AB14" i="9"/>
  <c r="AA14" i="9"/>
  <c r="AH13" i="9"/>
  <c r="AI13" i="9" s="1"/>
  <c r="AF13" i="9"/>
  <c r="AE13" i="9"/>
  <c r="AC13" i="9"/>
  <c r="AB13" i="9"/>
  <c r="AA13" i="9"/>
  <c r="AH12" i="9"/>
  <c r="AI12" i="9" s="1"/>
  <c r="AF12" i="9"/>
  <c r="AE12" i="9"/>
  <c r="AC12" i="9"/>
  <c r="AB12" i="9"/>
  <c r="AA12" i="9"/>
  <c r="AE11" i="9"/>
  <c r="AF11" i="9"/>
  <c r="Z23" i="9"/>
  <c r="AG14" i="9" l="1"/>
  <c r="CX41" i="9"/>
  <c r="CF41" i="9" s="1"/>
  <c r="CA41" i="9"/>
  <c r="BI41" i="9" s="1"/>
  <c r="BD41" i="9"/>
  <c r="AL41" i="9" s="1"/>
  <c r="AG21" i="9"/>
  <c r="AG22" i="9"/>
  <c r="AG12" i="9"/>
  <c r="AG18" i="9"/>
  <c r="AG13" i="9"/>
  <c r="AG15" i="9"/>
  <c r="AG16" i="9"/>
  <c r="AG17" i="9"/>
  <c r="AG20" i="9"/>
  <c r="AH33" i="9" l="1"/>
  <c r="AI33" i="9" s="1"/>
  <c r="AF33" i="9"/>
  <c r="AD33" i="9"/>
  <c r="AC33" i="9"/>
  <c r="AB33" i="9"/>
  <c r="AA33" i="9"/>
  <c r="AA31" i="9"/>
  <c r="AB31" i="9"/>
  <c r="AC31" i="9"/>
  <c r="AD31" i="9"/>
  <c r="AF31" i="9"/>
  <c r="AH31" i="9"/>
  <c r="AI31" i="9" s="1"/>
  <c r="AA32" i="9"/>
  <c r="AB32" i="9"/>
  <c r="AC32" i="9"/>
  <c r="AD32" i="9"/>
  <c r="AF32" i="9"/>
  <c r="AH32" i="9"/>
  <c r="AI32" i="9" s="1"/>
  <c r="E7" i="9"/>
  <c r="A11" i="9"/>
  <c r="A12" i="9" s="1"/>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G33" i="9" l="1"/>
  <c r="AG31" i="9"/>
  <c r="AG32" i="9"/>
  <c r="AW11" i="16" l="1"/>
  <c r="AW10" i="16"/>
  <c r="AW9" i="16"/>
  <c r="AA10" i="16" l="1"/>
  <c r="AA11" i="16"/>
  <c r="AA9" i="16"/>
  <c r="P10" i="16"/>
  <c r="P9" i="16"/>
  <c r="AS3" i="16"/>
  <c r="AH3" i="16"/>
  <c r="W3" i="16"/>
  <c r="L3" i="16"/>
  <c r="AX11" i="16"/>
  <c r="AX10" i="16"/>
  <c r="AX9" i="16"/>
  <c r="AM11" i="16"/>
  <c r="AM10" i="16"/>
  <c r="AM9" i="16"/>
  <c r="AB11" i="16"/>
  <c r="AB10" i="16"/>
  <c r="AB9" i="16"/>
  <c r="Q10" i="16"/>
  <c r="Q11" i="16"/>
  <c r="Q9" i="16"/>
  <c r="K43" i="13"/>
  <c r="M42" i="13"/>
  <c r="K42" i="13"/>
  <c r="M41" i="13"/>
  <c r="K41" i="13"/>
  <c r="K40" i="13"/>
  <c r="M39" i="13"/>
  <c r="K39" i="13"/>
  <c r="M38" i="13"/>
  <c r="K38" i="13"/>
  <c r="L7" i="5"/>
  <c r="K7" i="5"/>
  <c r="H7" i="5"/>
  <c r="G7" i="5"/>
  <c r="C7" i="5"/>
  <c r="D7" i="5"/>
  <c r="M7" i="5" l="1"/>
  <c r="M6" i="5"/>
  <c r="M8" i="5" l="1"/>
  <c r="E8" i="5"/>
  <c r="M9" i="5" l="1"/>
  <c r="AC11" i="9" l="1"/>
  <c r="AA11" i="9" l="1"/>
  <c r="AB11" i="9" l="1"/>
  <c r="R7" i="9" l="1"/>
  <c r="N14" i="8"/>
  <c r="C32" i="13" l="1"/>
  <c r="C54" i="13" s="1"/>
  <c r="C76" i="13" s="1"/>
  <c r="C32" i="4"/>
  <c r="C54" i="4" s="1"/>
  <c r="C76" i="4" s="1"/>
  <c r="S314" i="13"/>
  <c r="K313" i="13"/>
  <c r="M312" i="13"/>
  <c r="K312" i="13"/>
  <c r="M311" i="13"/>
  <c r="K311" i="13"/>
  <c r="K310" i="13"/>
  <c r="M309" i="13"/>
  <c r="K309" i="13"/>
  <c r="M308" i="13"/>
  <c r="K308" i="13"/>
  <c r="K307" i="13"/>
  <c r="M306" i="13"/>
  <c r="K306" i="13"/>
  <c r="M305" i="13"/>
  <c r="K305" i="13"/>
  <c r="K304" i="13"/>
  <c r="M303" i="13"/>
  <c r="K303" i="13"/>
  <c r="M302" i="13"/>
  <c r="K302" i="13"/>
  <c r="K301" i="13"/>
  <c r="M300" i="13"/>
  <c r="K300" i="13"/>
  <c r="M299" i="13"/>
  <c r="K299" i="13"/>
  <c r="U297" i="13"/>
  <c r="T297" i="13"/>
  <c r="S296" i="13"/>
  <c r="F296" i="13"/>
  <c r="S292" i="13"/>
  <c r="K291" i="13"/>
  <c r="M290" i="13"/>
  <c r="K290" i="13"/>
  <c r="M289" i="13"/>
  <c r="K289" i="13"/>
  <c r="K288" i="13"/>
  <c r="M287" i="13"/>
  <c r="K287" i="13"/>
  <c r="M286" i="13"/>
  <c r="K286" i="13"/>
  <c r="K285" i="13"/>
  <c r="M284" i="13"/>
  <c r="K284" i="13"/>
  <c r="M283" i="13"/>
  <c r="K283" i="13"/>
  <c r="K282" i="13"/>
  <c r="M281" i="13"/>
  <c r="K281" i="13"/>
  <c r="M280" i="13"/>
  <c r="K280" i="13"/>
  <c r="K279" i="13"/>
  <c r="M278" i="13"/>
  <c r="K278" i="13"/>
  <c r="M277" i="13"/>
  <c r="K277" i="13"/>
  <c r="U275" i="13"/>
  <c r="T275" i="13"/>
  <c r="S274" i="13"/>
  <c r="F274" i="13"/>
  <c r="K269" i="13"/>
  <c r="M268" i="13"/>
  <c r="K268" i="13"/>
  <c r="M267" i="13"/>
  <c r="K267" i="13"/>
  <c r="K266" i="13"/>
  <c r="M265" i="13"/>
  <c r="K265" i="13"/>
  <c r="M264" i="13"/>
  <c r="K264" i="13"/>
  <c r="K263" i="13"/>
  <c r="M262" i="13"/>
  <c r="K262" i="13"/>
  <c r="M261" i="13"/>
  <c r="K261" i="13"/>
  <c r="K260" i="13"/>
  <c r="M259" i="13"/>
  <c r="K259" i="13"/>
  <c r="M258" i="13"/>
  <c r="K258" i="13"/>
  <c r="K257" i="13"/>
  <c r="M256" i="13"/>
  <c r="K256" i="13"/>
  <c r="M255" i="13"/>
  <c r="K255" i="13"/>
  <c r="U253" i="13"/>
  <c r="T253" i="13"/>
  <c r="S252" i="13"/>
  <c r="F252" i="13"/>
  <c r="S248" i="13"/>
  <c r="K247" i="13"/>
  <c r="M246" i="13"/>
  <c r="K246" i="13"/>
  <c r="M245" i="13"/>
  <c r="K245" i="13"/>
  <c r="K244" i="13"/>
  <c r="M243" i="13"/>
  <c r="K243" i="13"/>
  <c r="M242" i="13"/>
  <c r="K242" i="13"/>
  <c r="K241" i="13"/>
  <c r="M240" i="13"/>
  <c r="K240" i="13"/>
  <c r="M239" i="13"/>
  <c r="K239" i="13"/>
  <c r="K238" i="13"/>
  <c r="M237" i="13"/>
  <c r="K237" i="13"/>
  <c r="M236" i="13"/>
  <c r="K236" i="13"/>
  <c r="K235" i="13"/>
  <c r="M234" i="13"/>
  <c r="K234" i="13"/>
  <c r="M233" i="13"/>
  <c r="K233" i="13"/>
  <c r="U231" i="13"/>
  <c r="T231" i="13"/>
  <c r="S230" i="13"/>
  <c r="F230" i="13"/>
  <c r="S226" i="13"/>
  <c r="K225" i="13"/>
  <c r="M224" i="13"/>
  <c r="K224" i="13"/>
  <c r="M223" i="13"/>
  <c r="K223" i="13"/>
  <c r="K222" i="13"/>
  <c r="M221" i="13"/>
  <c r="K221" i="13"/>
  <c r="M220" i="13"/>
  <c r="K220" i="13"/>
  <c r="K219" i="13"/>
  <c r="M218" i="13"/>
  <c r="K218" i="13"/>
  <c r="M217" i="13"/>
  <c r="K217" i="13"/>
  <c r="K216" i="13"/>
  <c r="M215" i="13"/>
  <c r="K215" i="13"/>
  <c r="M214" i="13"/>
  <c r="K214" i="13"/>
  <c r="K213" i="13"/>
  <c r="M212" i="13"/>
  <c r="K212" i="13"/>
  <c r="M211" i="13"/>
  <c r="K211" i="13"/>
  <c r="U209" i="13"/>
  <c r="T209" i="13"/>
  <c r="S208" i="13"/>
  <c r="F208" i="13"/>
  <c r="K203" i="13"/>
  <c r="M202" i="13"/>
  <c r="K202" i="13"/>
  <c r="M201" i="13"/>
  <c r="K201" i="13"/>
  <c r="K200" i="13"/>
  <c r="M199" i="13"/>
  <c r="K199" i="13"/>
  <c r="M198" i="13"/>
  <c r="K198" i="13"/>
  <c r="K197" i="13"/>
  <c r="M196" i="13"/>
  <c r="K196" i="13"/>
  <c r="M195" i="13"/>
  <c r="K195" i="13"/>
  <c r="K194" i="13"/>
  <c r="M193" i="13"/>
  <c r="K193" i="13"/>
  <c r="M192" i="13"/>
  <c r="K192" i="13"/>
  <c r="K191" i="13"/>
  <c r="M190" i="13"/>
  <c r="K190" i="13"/>
  <c r="M189" i="13"/>
  <c r="K189" i="13"/>
  <c r="U187" i="13"/>
  <c r="T187" i="13"/>
  <c r="S186" i="13"/>
  <c r="F186" i="13"/>
  <c r="S182" i="13"/>
  <c r="K181" i="13"/>
  <c r="M180" i="13"/>
  <c r="K180" i="13"/>
  <c r="M179" i="13"/>
  <c r="K179" i="13"/>
  <c r="K178" i="13"/>
  <c r="M177" i="13"/>
  <c r="K177" i="13"/>
  <c r="M176" i="13"/>
  <c r="K176" i="13"/>
  <c r="K175" i="13"/>
  <c r="M174" i="13"/>
  <c r="K174" i="13"/>
  <c r="M173" i="13"/>
  <c r="K173" i="13"/>
  <c r="K172" i="13"/>
  <c r="M171" i="13"/>
  <c r="K171" i="13"/>
  <c r="M170" i="13"/>
  <c r="K170" i="13"/>
  <c r="K169" i="13"/>
  <c r="M168" i="13"/>
  <c r="K168" i="13"/>
  <c r="M167" i="13"/>
  <c r="K167" i="13"/>
  <c r="U165" i="13"/>
  <c r="T165" i="13"/>
  <c r="S164" i="13"/>
  <c r="F164" i="13"/>
  <c r="S160" i="13"/>
  <c r="K159" i="13"/>
  <c r="M158" i="13"/>
  <c r="K158" i="13"/>
  <c r="M157" i="13"/>
  <c r="K157" i="13"/>
  <c r="K156" i="13"/>
  <c r="M155" i="13"/>
  <c r="K155" i="13"/>
  <c r="M154" i="13"/>
  <c r="K154" i="13"/>
  <c r="K153" i="13"/>
  <c r="M152" i="13"/>
  <c r="K152" i="13"/>
  <c r="M151" i="13"/>
  <c r="K151" i="13"/>
  <c r="K150" i="13"/>
  <c r="M149" i="13"/>
  <c r="K149" i="13"/>
  <c r="M148" i="13"/>
  <c r="K148" i="13"/>
  <c r="K147" i="13"/>
  <c r="M146" i="13"/>
  <c r="K146" i="13"/>
  <c r="M145" i="13"/>
  <c r="K145" i="13"/>
  <c r="U143" i="13"/>
  <c r="T143" i="13"/>
  <c r="S142" i="13"/>
  <c r="F142" i="13"/>
  <c r="S138" i="13"/>
  <c r="K137" i="13"/>
  <c r="M136" i="13"/>
  <c r="K136" i="13"/>
  <c r="M135" i="13"/>
  <c r="K135" i="13"/>
  <c r="K134" i="13"/>
  <c r="M133" i="13"/>
  <c r="K133" i="13"/>
  <c r="M132" i="13"/>
  <c r="K132" i="13"/>
  <c r="K131" i="13"/>
  <c r="M130" i="13"/>
  <c r="K130" i="13"/>
  <c r="M129" i="13"/>
  <c r="K129" i="13"/>
  <c r="K128" i="13"/>
  <c r="M127" i="13"/>
  <c r="K127" i="13"/>
  <c r="M126" i="13"/>
  <c r="K126" i="13"/>
  <c r="K125" i="13"/>
  <c r="M124" i="13"/>
  <c r="K124" i="13"/>
  <c r="M123" i="13"/>
  <c r="K123" i="13"/>
  <c r="U121" i="13"/>
  <c r="T121" i="13"/>
  <c r="S120" i="13"/>
  <c r="F120" i="13"/>
  <c r="S116" i="13"/>
  <c r="K115" i="13"/>
  <c r="M114" i="13"/>
  <c r="K114" i="13"/>
  <c r="M113" i="13"/>
  <c r="K113" i="13"/>
  <c r="K112" i="13"/>
  <c r="M111" i="13"/>
  <c r="K111" i="13"/>
  <c r="M110" i="13"/>
  <c r="K110" i="13"/>
  <c r="K109" i="13"/>
  <c r="M108" i="13"/>
  <c r="K108" i="13"/>
  <c r="M107" i="13"/>
  <c r="K107" i="13"/>
  <c r="K106" i="13"/>
  <c r="M105" i="13"/>
  <c r="K105" i="13"/>
  <c r="M104" i="13"/>
  <c r="K104" i="13"/>
  <c r="K103" i="13"/>
  <c r="M102" i="13"/>
  <c r="K102" i="13"/>
  <c r="M101" i="13"/>
  <c r="K101" i="13"/>
  <c r="U99" i="13"/>
  <c r="T99" i="13"/>
  <c r="S98" i="13"/>
  <c r="F98" i="13"/>
  <c r="K93" i="13"/>
  <c r="M92" i="13"/>
  <c r="K92" i="13"/>
  <c r="M91" i="13"/>
  <c r="K91" i="13"/>
  <c r="K90" i="13"/>
  <c r="M89" i="13"/>
  <c r="K89" i="13"/>
  <c r="M88" i="13"/>
  <c r="K88" i="13"/>
  <c r="U77" i="13"/>
  <c r="T77" i="13"/>
  <c r="S76" i="13"/>
  <c r="F76" i="13"/>
  <c r="K71" i="13"/>
  <c r="M70" i="13"/>
  <c r="K70" i="13"/>
  <c r="M69" i="13"/>
  <c r="K69" i="13"/>
  <c r="K68" i="13"/>
  <c r="M67" i="13"/>
  <c r="K67" i="13"/>
  <c r="M66" i="13"/>
  <c r="K66" i="13"/>
  <c r="U55" i="13"/>
  <c r="T55" i="13"/>
  <c r="S54" i="13"/>
  <c r="F54" i="13"/>
  <c r="K49" i="13"/>
  <c r="M48" i="13"/>
  <c r="K48" i="13"/>
  <c r="M47" i="13"/>
  <c r="K47" i="13"/>
  <c r="K46" i="13"/>
  <c r="M45" i="13"/>
  <c r="K45" i="13"/>
  <c r="M44" i="13"/>
  <c r="K44" i="13"/>
  <c r="K37" i="13"/>
  <c r="M36" i="13"/>
  <c r="K36" i="13"/>
  <c r="M35" i="13"/>
  <c r="K35" i="13"/>
  <c r="U33" i="13"/>
  <c r="T33" i="13"/>
  <c r="S32" i="13"/>
  <c r="F32" i="13"/>
  <c r="X28" i="13"/>
  <c r="AD28" i="13" s="1"/>
  <c r="S28" i="13"/>
  <c r="X27" i="13"/>
  <c r="AD27" i="13" s="1"/>
  <c r="K27" i="13"/>
  <c r="X26" i="13"/>
  <c r="AD26" i="13" s="1"/>
  <c r="K26" i="13"/>
  <c r="X25" i="13"/>
  <c r="AD25" i="13" s="1"/>
  <c r="U25" i="13"/>
  <c r="K25" i="13"/>
  <c r="X24" i="13"/>
  <c r="AD24" i="13" s="1"/>
  <c r="K24" i="13"/>
  <c r="X23" i="13"/>
  <c r="AD23" i="13" s="1"/>
  <c r="K23" i="13"/>
  <c r="X22" i="13"/>
  <c r="AD22" i="13" s="1"/>
  <c r="U22" i="13"/>
  <c r="K22" i="13"/>
  <c r="X21" i="13"/>
  <c r="AD21" i="13" s="1"/>
  <c r="X20" i="13"/>
  <c r="AD20" i="13" s="1"/>
  <c r="X19" i="13"/>
  <c r="AD19" i="13" s="1"/>
  <c r="U19" i="13"/>
  <c r="S19" i="13"/>
  <c r="X18" i="13"/>
  <c r="AD18" i="13" s="1"/>
  <c r="X17" i="13"/>
  <c r="AD17" i="13" s="1"/>
  <c r="X16" i="13"/>
  <c r="AD16" i="13" s="1"/>
  <c r="U16" i="13"/>
  <c r="S16" i="13"/>
  <c r="X15" i="13"/>
  <c r="AD15" i="13" s="1"/>
  <c r="X14" i="13"/>
  <c r="AD14" i="13" s="1"/>
  <c r="AH13" i="13"/>
  <c r="AH14" i="13" s="1"/>
  <c r="X13" i="13"/>
  <c r="AD13" i="13" s="1"/>
  <c r="U13" i="13"/>
  <c r="S13" i="13"/>
  <c r="X12" i="13"/>
  <c r="AD12" i="13" s="1"/>
  <c r="S10" i="13"/>
  <c r="F10" i="13"/>
  <c r="P6" i="13"/>
  <c r="S315" i="13" s="1"/>
  <c r="S13" i="4"/>
  <c r="K145" i="4"/>
  <c r="M145" i="4"/>
  <c r="K146" i="4"/>
  <c r="M146" i="4"/>
  <c r="K147" i="4"/>
  <c r="K148" i="4"/>
  <c r="M148" i="4"/>
  <c r="K149" i="4"/>
  <c r="M149" i="4"/>
  <c r="K150" i="4"/>
  <c r="K151" i="4"/>
  <c r="M151" i="4"/>
  <c r="K152" i="4"/>
  <c r="M152" i="4"/>
  <c r="K153" i="4"/>
  <c r="K154" i="4"/>
  <c r="M154" i="4"/>
  <c r="K155" i="4"/>
  <c r="M155" i="4"/>
  <c r="K156" i="4"/>
  <c r="K157" i="4"/>
  <c r="M157" i="4"/>
  <c r="K158" i="4"/>
  <c r="M158" i="4"/>
  <c r="K159" i="4"/>
  <c r="S311" i="13" l="1"/>
  <c r="U311" i="13"/>
  <c r="U302" i="13"/>
  <c r="U195" i="13"/>
  <c r="S198" i="13"/>
  <c r="U214" i="13"/>
  <c r="S217" i="13"/>
  <c r="U242" i="13"/>
  <c r="S305" i="13"/>
  <c r="U85" i="13"/>
  <c r="U101" i="13"/>
  <c r="U154" i="13"/>
  <c r="U192" i="13"/>
  <c r="S299" i="13"/>
  <c r="U305" i="13"/>
  <c r="S308" i="13"/>
  <c r="U60" i="13"/>
  <c r="S104" i="13"/>
  <c r="S242" i="13"/>
  <c r="U245" i="13"/>
  <c r="U299" i="13"/>
  <c r="U132" i="13"/>
  <c r="U148" i="13"/>
  <c r="S154" i="13"/>
  <c r="U157" i="13"/>
  <c r="U267" i="13"/>
  <c r="S66" i="13"/>
  <c r="U123" i="13"/>
  <c r="S220" i="13"/>
  <c r="U223" i="13"/>
  <c r="U277" i="13"/>
  <c r="U286" i="13"/>
  <c r="S289" i="13"/>
  <c r="U35" i="13"/>
  <c r="U47" i="13"/>
  <c r="U63" i="13"/>
  <c r="S161" i="13"/>
  <c r="T160" i="13" s="1"/>
  <c r="S170" i="13"/>
  <c r="S192" i="13"/>
  <c r="U198" i="13"/>
  <c r="U167" i="13"/>
  <c r="U179" i="13"/>
  <c r="S189" i="13"/>
  <c r="S117" i="13"/>
  <c r="T116" i="13" s="1"/>
  <c r="S29" i="13"/>
  <c r="T28" i="13" s="1"/>
  <c r="U135" i="13"/>
  <c r="S261" i="13"/>
  <c r="S25" i="13"/>
  <c r="U41" i="13"/>
  <c r="S47" i="13"/>
  <c r="U66" i="13"/>
  <c r="U79" i="13"/>
  <c r="S85" i="13"/>
  <c r="U104" i="13"/>
  <c r="S113" i="13"/>
  <c r="S151" i="13"/>
  <c r="S183" i="13"/>
  <c r="T182" i="13" s="1"/>
  <c r="U201" i="13"/>
  <c r="U211" i="13"/>
  <c r="U217" i="13"/>
  <c r="U233" i="13"/>
  <c r="S249" i="13"/>
  <c r="T248" i="13" s="1"/>
  <c r="S258" i="13"/>
  <c r="U280" i="13"/>
  <c r="S22" i="13"/>
  <c r="S35" i="13"/>
  <c r="U44" i="13"/>
  <c r="U82" i="13"/>
  <c r="U129" i="13"/>
  <c r="S135" i="13"/>
  <c r="U151" i="13"/>
  <c r="U173" i="13"/>
  <c r="S201" i="13"/>
  <c r="U220" i="13"/>
  <c r="S223" i="13"/>
  <c r="U236" i="13"/>
  <c r="U255" i="13"/>
  <c r="U261" i="13"/>
  <c r="U289" i="13"/>
  <c r="U308" i="13"/>
  <c r="S280" i="13"/>
  <c r="U69" i="13"/>
  <c r="U88" i="13"/>
  <c r="U107" i="13"/>
  <c r="S123" i="13"/>
  <c r="S157" i="13"/>
  <c r="U170" i="13"/>
  <c r="S173" i="13"/>
  <c r="U189" i="13"/>
  <c r="S211" i="13"/>
  <c r="U239" i="13"/>
  <c r="S239" i="13"/>
  <c r="S245" i="13"/>
  <c r="U258" i="13"/>
  <c r="U283" i="13"/>
  <c r="S302" i="13"/>
  <c r="S44" i="13"/>
  <c r="S63" i="13"/>
  <c r="S82" i="13"/>
  <c r="U91" i="13"/>
  <c r="S101" i="13"/>
  <c r="U110" i="13"/>
  <c r="U126" i="13"/>
  <c r="S132" i="13"/>
  <c r="U145" i="13"/>
  <c r="U176" i="13"/>
  <c r="S195" i="13"/>
  <c r="S214" i="13"/>
  <c r="U264" i="13"/>
  <c r="S277" i="13"/>
  <c r="S286" i="13"/>
  <c r="U38" i="13"/>
  <c r="U57" i="13"/>
  <c r="U113" i="13"/>
  <c r="T314" i="13"/>
  <c r="B314" i="13"/>
  <c r="B160" i="13"/>
  <c r="B248" i="13"/>
  <c r="S293" i="13"/>
  <c r="S41" i="13"/>
  <c r="S60" i="13"/>
  <c r="S79" i="13"/>
  <c r="S91" i="13"/>
  <c r="S110" i="13"/>
  <c r="S129" i="13"/>
  <c r="S148" i="13"/>
  <c r="S167" i="13"/>
  <c r="S179" i="13"/>
  <c r="S236" i="13"/>
  <c r="S255" i="13"/>
  <c r="S267" i="13"/>
  <c r="AH15" i="13"/>
  <c r="S38" i="13"/>
  <c r="S57" i="13"/>
  <c r="S69" i="13"/>
  <c r="S88" i="13"/>
  <c r="S107" i="13"/>
  <c r="S126" i="13"/>
  <c r="S145" i="13"/>
  <c r="S176" i="13"/>
  <c r="S233" i="13"/>
  <c r="S264" i="13"/>
  <c r="S283" i="13"/>
  <c r="S139" i="13"/>
  <c r="S227" i="13"/>
  <c r="P28" i="8"/>
  <c r="AE14" i="13"/>
  <c r="AE12" i="13"/>
  <c r="S50" i="13" l="1"/>
  <c r="S51" i="13" s="1"/>
  <c r="S94" i="13"/>
  <c r="S95" i="13" s="1"/>
  <c r="B94" i="13" s="1"/>
  <c r="S72" i="13"/>
  <c r="S73" i="13" s="1"/>
  <c r="B72" i="13" s="1"/>
  <c r="B182" i="13"/>
  <c r="S204" i="13"/>
  <c r="S205" i="13" s="1"/>
  <c r="B204" i="13" s="1"/>
  <c r="B28" i="13"/>
  <c r="B116" i="13"/>
  <c r="Y12" i="13"/>
  <c r="Z12" i="13" s="1"/>
  <c r="Y14" i="13"/>
  <c r="Z14" i="13" s="1"/>
  <c r="T292" i="13"/>
  <c r="B292" i="13"/>
  <c r="T226" i="13"/>
  <c r="B226" i="13"/>
  <c r="S270" i="13"/>
  <c r="S271" i="13" s="1"/>
  <c r="T138" i="13"/>
  <c r="B138" i="13"/>
  <c r="T50" i="13"/>
  <c r="B50" i="13"/>
  <c r="AH16" i="13"/>
  <c r="AM93" i="12"/>
  <c r="AM94" i="12"/>
  <c r="AM95" i="12"/>
  <c r="AM96" i="12"/>
  <c r="AM97" i="12"/>
  <c r="AM98" i="12"/>
  <c r="AM99" i="12"/>
  <c r="AM100" i="12"/>
  <c r="AL93" i="12"/>
  <c r="AN93" i="12" s="1"/>
  <c r="AL94" i="12"/>
  <c r="AL95" i="12"/>
  <c r="AL96" i="12"/>
  <c r="AO96" i="12" s="1"/>
  <c r="AL97" i="12"/>
  <c r="AL98" i="12"/>
  <c r="AL99" i="12"/>
  <c r="AO99" i="12" s="1"/>
  <c r="AL100" i="12"/>
  <c r="P17" i="8"/>
  <c r="P18" i="8"/>
  <c r="P19" i="8"/>
  <c r="P20" i="8"/>
  <c r="P21" i="8"/>
  <c r="P22" i="8"/>
  <c r="P23" i="8"/>
  <c r="P24" i="8"/>
  <c r="P25" i="8"/>
  <c r="P26" i="8"/>
  <c r="P27" i="8"/>
  <c r="P29" i="8"/>
  <c r="P16" i="8"/>
  <c r="AE15" i="13"/>
  <c r="AE13" i="13"/>
  <c r="T204" i="13" l="1"/>
  <c r="AN94" i="12"/>
  <c r="AN95" i="12"/>
  <c r="AN96" i="12"/>
  <c r="AO98" i="12"/>
  <c r="AN98" i="12"/>
  <c r="Y13" i="13"/>
  <c r="Z13" i="13" s="1"/>
  <c r="Y15" i="13"/>
  <c r="Z15" i="13" s="1"/>
  <c r="B270" i="13"/>
  <c r="T270" i="13"/>
  <c r="AH17" i="13"/>
  <c r="AN100" i="12"/>
  <c r="AN99" i="12"/>
  <c r="AO95" i="12"/>
  <c r="AO97" i="12"/>
  <c r="AO93" i="12"/>
  <c r="AO94" i="12"/>
  <c r="AO100" i="12"/>
  <c r="AN97" i="12"/>
  <c r="AE16" i="13"/>
  <c r="Y26" i="13" l="1"/>
  <c r="Z26" i="13" s="1"/>
  <c r="Y25" i="13"/>
  <c r="Z25" i="13" s="1"/>
  <c r="Y18" i="13"/>
  <c r="Z18" i="13" s="1"/>
  <c r="Y24" i="13"/>
  <c r="Z24" i="13" s="1"/>
  <c r="Y27" i="13"/>
  <c r="Z27" i="13" s="1"/>
  <c r="Y20" i="13"/>
  <c r="Z20" i="13" s="1"/>
  <c r="Y16" i="13"/>
  <c r="Z16" i="13" s="1"/>
  <c r="Y19" i="13"/>
  <c r="Z19" i="13" s="1"/>
  <c r="Y23" i="13"/>
  <c r="Z23" i="13" s="1"/>
  <c r="Y22" i="13"/>
  <c r="Z22" i="13" s="1"/>
  <c r="Y28" i="13"/>
  <c r="Z28" i="13" s="1"/>
  <c r="Y17" i="13"/>
  <c r="Z17" i="13" s="1"/>
  <c r="Y21" i="13"/>
  <c r="Z21" i="13" s="1"/>
  <c r="AH18" i="13"/>
  <c r="U13" i="4"/>
  <c r="AE17" i="13"/>
  <c r="AH19" i="13" l="1"/>
  <c r="I33" i="8"/>
  <c r="AE18" i="13"/>
  <c r="AH20" i="13" l="1"/>
  <c r="AE19" i="13"/>
  <c r="AH21" i="13" l="1"/>
  <c r="AE20" i="13"/>
  <c r="AH22" i="13" l="1"/>
  <c r="AE21" i="13"/>
  <c r="AH23" i="13" l="1"/>
  <c r="AE22" i="13"/>
  <c r="AH24" i="13" l="1"/>
  <c r="AE23" i="13"/>
  <c r="AH25" i="13" l="1"/>
  <c r="AE24" i="13"/>
  <c r="AH26" i="13" l="1"/>
  <c r="AE25" i="13"/>
  <c r="AH27" i="13" l="1"/>
  <c r="AE26" i="13"/>
  <c r="AH28" i="13" l="1"/>
  <c r="AE27" i="13"/>
  <c r="AE28" i="13"/>
  <c r="E13" i="5" l="1"/>
  <c r="K12" i="6" l="1"/>
  <c r="L12" i="6" s="1"/>
  <c r="M17" i="6"/>
  <c r="M16" i="6"/>
  <c r="M15" i="6"/>
  <c r="M14" i="6"/>
  <c r="M13" i="6"/>
  <c r="M12" i="6"/>
  <c r="M11" i="6"/>
  <c r="L11" i="6"/>
  <c r="K13" i="6" l="1"/>
  <c r="L13" i="6" l="1"/>
  <c r="K14" i="6"/>
  <c r="K15" i="6" l="1"/>
  <c r="L14" i="6"/>
  <c r="K27" i="4"/>
  <c r="K26" i="4"/>
  <c r="K25" i="4"/>
  <c r="K24" i="4"/>
  <c r="K23" i="4"/>
  <c r="K22" i="4"/>
  <c r="K21" i="4"/>
  <c r="K20" i="4"/>
  <c r="K19" i="4"/>
  <c r="U19" i="4" s="1"/>
  <c r="K18" i="4"/>
  <c r="K17" i="4"/>
  <c r="K16" i="4"/>
  <c r="U297" i="4"/>
  <c r="T297" i="4"/>
  <c r="U275" i="4"/>
  <c r="T275" i="4"/>
  <c r="U253" i="4"/>
  <c r="T253" i="4"/>
  <c r="U231" i="4"/>
  <c r="T231" i="4"/>
  <c r="U209" i="4"/>
  <c r="T209" i="4"/>
  <c r="U187" i="4"/>
  <c r="T187" i="4"/>
  <c r="U165" i="4"/>
  <c r="T165" i="4"/>
  <c r="U143" i="4"/>
  <c r="T143" i="4"/>
  <c r="U121" i="4"/>
  <c r="T121" i="4"/>
  <c r="U99" i="4"/>
  <c r="T99" i="4"/>
  <c r="U16" i="4" l="1"/>
  <c r="U25" i="4"/>
  <c r="S22" i="4"/>
  <c r="U22" i="4"/>
  <c r="S25" i="4"/>
  <c r="S19" i="4"/>
  <c r="S16" i="4"/>
  <c r="K16" i="6"/>
  <c r="H17" i="10" s="1"/>
  <c r="L15" i="6"/>
  <c r="B18" i="10"/>
  <c r="B17" i="10"/>
  <c r="H16" i="10"/>
  <c r="B16" i="10"/>
  <c r="H15" i="10"/>
  <c r="B15" i="10"/>
  <c r="A17" i="6"/>
  <c r="B17" i="6" s="1"/>
  <c r="A16" i="6"/>
  <c r="B16" i="6" s="1"/>
  <c r="A15" i="6"/>
  <c r="B15" i="6" s="1"/>
  <c r="A14" i="6"/>
  <c r="B14" i="6" s="1"/>
  <c r="R19" i="5"/>
  <c r="R18" i="5"/>
  <c r="R17" i="5"/>
  <c r="R16" i="5"/>
  <c r="I19" i="5"/>
  <c r="E19" i="5"/>
  <c r="A19" i="5"/>
  <c r="B19" i="5" s="1"/>
  <c r="I18" i="5"/>
  <c r="E18" i="5"/>
  <c r="A18" i="5"/>
  <c r="B18" i="5" s="1"/>
  <c r="I17" i="5"/>
  <c r="E17" i="5"/>
  <c r="A17" i="5"/>
  <c r="B17" i="5" s="1"/>
  <c r="I16" i="5"/>
  <c r="E16" i="5"/>
  <c r="A16" i="5"/>
  <c r="B16" i="5" s="1"/>
  <c r="K313" i="4"/>
  <c r="M312" i="4"/>
  <c r="K312" i="4"/>
  <c r="M311" i="4"/>
  <c r="K311" i="4"/>
  <c r="K310" i="4"/>
  <c r="M309" i="4"/>
  <c r="K309" i="4"/>
  <c r="M308" i="4"/>
  <c r="K308" i="4"/>
  <c r="K307" i="4"/>
  <c r="M306" i="4"/>
  <c r="K306" i="4"/>
  <c r="M305" i="4"/>
  <c r="K305" i="4"/>
  <c r="K304" i="4"/>
  <c r="M303" i="4"/>
  <c r="K303" i="4"/>
  <c r="M302" i="4"/>
  <c r="K302" i="4"/>
  <c r="K301" i="4"/>
  <c r="M300" i="4"/>
  <c r="K300" i="4"/>
  <c r="M299" i="4"/>
  <c r="U299" i="4" s="1"/>
  <c r="K299" i="4"/>
  <c r="S296" i="4"/>
  <c r="F296" i="4"/>
  <c r="K291" i="4"/>
  <c r="M290" i="4"/>
  <c r="K290" i="4"/>
  <c r="M289" i="4"/>
  <c r="K289" i="4"/>
  <c r="K288" i="4"/>
  <c r="M287" i="4"/>
  <c r="K287" i="4"/>
  <c r="M286" i="4"/>
  <c r="K286" i="4"/>
  <c r="K285" i="4"/>
  <c r="M284" i="4"/>
  <c r="K284" i="4"/>
  <c r="M283" i="4"/>
  <c r="K283" i="4"/>
  <c r="K282" i="4"/>
  <c r="M281" i="4"/>
  <c r="K281" i="4"/>
  <c r="M280" i="4"/>
  <c r="K280" i="4"/>
  <c r="K279" i="4"/>
  <c r="M278" i="4"/>
  <c r="K278" i="4"/>
  <c r="M277" i="4"/>
  <c r="K277" i="4"/>
  <c r="S274" i="4"/>
  <c r="F274" i="4"/>
  <c r="K269" i="4"/>
  <c r="M268" i="4"/>
  <c r="K268" i="4"/>
  <c r="M267" i="4"/>
  <c r="K267" i="4"/>
  <c r="K266" i="4"/>
  <c r="M265" i="4"/>
  <c r="K265" i="4"/>
  <c r="M264" i="4"/>
  <c r="K264" i="4"/>
  <c r="K263" i="4"/>
  <c r="M262" i="4"/>
  <c r="K262" i="4"/>
  <c r="M261" i="4"/>
  <c r="K261" i="4"/>
  <c r="K260" i="4"/>
  <c r="M259" i="4"/>
  <c r="K259" i="4"/>
  <c r="M258" i="4"/>
  <c r="K258" i="4"/>
  <c r="K257" i="4"/>
  <c r="M256" i="4"/>
  <c r="K256" i="4"/>
  <c r="M255" i="4"/>
  <c r="K255" i="4"/>
  <c r="S252" i="4"/>
  <c r="F252" i="4"/>
  <c r="K247" i="4"/>
  <c r="M246" i="4"/>
  <c r="K246" i="4"/>
  <c r="M245" i="4"/>
  <c r="K245" i="4"/>
  <c r="K244" i="4"/>
  <c r="M243" i="4"/>
  <c r="K243" i="4"/>
  <c r="M242" i="4"/>
  <c r="K242" i="4"/>
  <c r="K241" i="4"/>
  <c r="M240" i="4"/>
  <c r="K240" i="4"/>
  <c r="M239" i="4"/>
  <c r="K239" i="4"/>
  <c r="K238" i="4"/>
  <c r="M237" i="4"/>
  <c r="K237" i="4"/>
  <c r="M236" i="4"/>
  <c r="K236" i="4"/>
  <c r="K235" i="4"/>
  <c r="M234" i="4"/>
  <c r="K234" i="4"/>
  <c r="M233" i="4"/>
  <c r="K233" i="4"/>
  <c r="S230" i="4"/>
  <c r="F230" i="4"/>
  <c r="A17" i="2"/>
  <c r="C17" i="2" s="1"/>
  <c r="A18" i="2"/>
  <c r="C18" i="2" s="1"/>
  <c r="A19" i="2"/>
  <c r="C19" i="2" s="1"/>
  <c r="A20" i="2"/>
  <c r="C20" i="2" s="1"/>
  <c r="A21" i="2"/>
  <c r="C21" i="2" s="1"/>
  <c r="Q4" i="3"/>
  <c r="P4" i="3"/>
  <c r="O4" i="3"/>
  <c r="N4" i="3"/>
  <c r="S302" i="4" l="1"/>
  <c r="U311" i="4"/>
  <c r="U280" i="4"/>
  <c r="U258" i="4"/>
  <c r="U236" i="4"/>
  <c r="U255" i="4"/>
  <c r="U267" i="4"/>
  <c r="U277" i="4"/>
  <c r="U286" i="4"/>
  <c r="S289" i="4"/>
  <c r="U233" i="4"/>
  <c r="S233" i="4"/>
  <c r="U239" i="4"/>
  <c r="U261" i="4"/>
  <c r="U283" i="4"/>
  <c r="S242" i="4"/>
  <c r="U264" i="4"/>
  <c r="U308" i="4"/>
  <c r="U242" i="4"/>
  <c r="S236" i="4"/>
  <c r="U245" i="4"/>
  <c r="U289" i="4"/>
  <c r="S283" i="4"/>
  <c r="U302" i="4"/>
  <c r="S305" i="4"/>
  <c r="S264" i="4"/>
  <c r="U305" i="4"/>
  <c r="S308" i="4"/>
  <c r="L16" i="6"/>
  <c r="K17" i="6"/>
  <c r="S245" i="4"/>
  <c r="S258" i="4"/>
  <c r="S286" i="4"/>
  <c r="S299" i="4"/>
  <c r="S277" i="4"/>
  <c r="S311" i="4"/>
  <c r="S239" i="4"/>
  <c r="S267" i="4"/>
  <c r="S255" i="4"/>
  <c r="S261" i="4"/>
  <c r="S280" i="4"/>
  <c r="F18" i="5"/>
  <c r="F17" i="5"/>
  <c r="F16" i="5"/>
  <c r="F19" i="5"/>
  <c r="R15" i="5"/>
  <c r="R14" i="5"/>
  <c r="R13" i="5"/>
  <c r="A11" i="6"/>
  <c r="B11" i="6" s="1"/>
  <c r="A12" i="6"/>
  <c r="B12" i="6" s="1"/>
  <c r="A13" i="6"/>
  <c r="B13" i="6" s="1"/>
  <c r="S314" i="4" l="1"/>
  <c r="S270" i="4"/>
  <c r="S248" i="4"/>
  <c r="S292" i="4"/>
  <c r="L17" i="6"/>
  <c r="H18" i="10"/>
  <c r="M48" i="4" l="1"/>
  <c r="M47" i="4"/>
  <c r="M45" i="4"/>
  <c r="M44" i="4"/>
  <c r="M42" i="4"/>
  <c r="M41" i="4"/>
  <c r="M39" i="4"/>
  <c r="M38" i="4"/>
  <c r="M36" i="4"/>
  <c r="M35" i="4"/>
  <c r="K225" i="4"/>
  <c r="M224" i="4"/>
  <c r="K224" i="4"/>
  <c r="M223" i="4"/>
  <c r="U223" i="4" s="1"/>
  <c r="K223" i="4"/>
  <c r="K222" i="4"/>
  <c r="M221" i="4"/>
  <c r="K221" i="4"/>
  <c r="M220" i="4"/>
  <c r="K220" i="4"/>
  <c r="K219" i="4"/>
  <c r="M218" i="4"/>
  <c r="K218" i="4"/>
  <c r="M217" i="4"/>
  <c r="K217" i="4"/>
  <c r="K216" i="4"/>
  <c r="M215" i="4"/>
  <c r="K215" i="4"/>
  <c r="M214" i="4"/>
  <c r="K214" i="4"/>
  <c r="K213" i="4"/>
  <c r="M212" i="4"/>
  <c r="K212" i="4"/>
  <c r="M211" i="4"/>
  <c r="K211" i="4"/>
  <c r="U211" i="4" s="1"/>
  <c r="S208" i="4"/>
  <c r="F208" i="4"/>
  <c r="K191" i="4"/>
  <c r="K190" i="4"/>
  <c r="K189" i="4"/>
  <c r="K169" i="4"/>
  <c r="K168" i="4"/>
  <c r="K167" i="4"/>
  <c r="U220" i="4" l="1"/>
  <c r="U167" i="4"/>
  <c r="S223" i="4"/>
  <c r="S189" i="4"/>
  <c r="U189" i="4"/>
  <c r="S217" i="4"/>
  <c r="U214" i="4"/>
  <c r="U217" i="4"/>
  <c r="S211" i="4"/>
  <c r="S220" i="4"/>
  <c r="S214" i="4"/>
  <c r="M4" i="3"/>
  <c r="L4" i="3"/>
  <c r="K4" i="3"/>
  <c r="S226" i="4" l="1"/>
  <c r="H14" i="10"/>
  <c r="B14" i="10"/>
  <c r="H13" i="10"/>
  <c r="B13" i="10"/>
  <c r="H12" i="10"/>
  <c r="B12" i="10"/>
  <c r="I15" i="5"/>
  <c r="E15" i="5"/>
  <c r="A15" i="5"/>
  <c r="B15" i="5" s="1"/>
  <c r="I14" i="5"/>
  <c r="E14" i="5"/>
  <c r="A14" i="5"/>
  <c r="B14" i="5" s="1"/>
  <c r="I13" i="5"/>
  <c r="A13" i="5"/>
  <c r="B13" i="5" s="1"/>
  <c r="K125" i="4"/>
  <c r="K124" i="4"/>
  <c r="K123" i="4"/>
  <c r="K103" i="4"/>
  <c r="K102" i="4"/>
  <c r="K101" i="4"/>
  <c r="K81" i="4"/>
  <c r="K80" i="4"/>
  <c r="K79" i="4"/>
  <c r="K59" i="4"/>
  <c r="K58" i="4"/>
  <c r="K57" i="4"/>
  <c r="K37" i="4"/>
  <c r="K36" i="4"/>
  <c r="K35" i="4"/>
  <c r="A16" i="2"/>
  <c r="C16" i="2" s="1"/>
  <c r="A15" i="2"/>
  <c r="C15" i="2" s="1"/>
  <c r="A14" i="2"/>
  <c r="C14" i="2" s="1"/>
  <c r="S79" i="4" l="1"/>
  <c r="U57" i="4"/>
  <c r="S57" i="4"/>
  <c r="U35" i="4"/>
  <c r="S35" i="4"/>
  <c r="U101" i="4"/>
  <c r="U79" i="4"/>
  <c r="U145" i="4"/>
  <c r="U123" i="4"/>
  <c r="F15" i="5"/>
  <c r="F14" i="5"/>
  <c r="F13" i="5"/>
  <c r="F74" i="9" l="1"/>
  <c r="E74" i="9" s="1"/>
  <c r="F75" i="9" l="1"/>
  <c r="E75" i="9" s="1"/>
  <c r="D74" i="9"/>
  <c r="F76" i="9" l="1"/>
  <c r="E76" i="9" s="1"/>
  <c r="D75" i="9"/>
  <c r="F77" i="9" l="1"/>
  <c r="E77" i="9" s="1"/>
  <c r="D76" i="9"/>
  <c r="F78" i="9" l="1"/>
  <c r="E78" i="9" s="1"/>
  <c r="J4" i="5"/>
  <c r="M202" i="4"/>
  <c r="M201" i="4"/>
  <c r="M199" i="4"/>
  <c r="M198" i="4"/>
  <c r="M196" i="4"/>
  <c r="M195" i="4"/>
  <c r="M193" i="4"/>
  <c r="M192" i="4"/>
  <c r="M190" i="4"/>
  <c r="M189" i="4"/>
  <c r="M180" i="4"/>
  <c r="M179" i="4"/>
  <c r="M177" i="4"/>
  <c r="M176" i="4"/>
  <c r="M174" i="4"/>
  <c r="M173" i="4"/>
  <c r="M171" i="4"/>
  <c r="M170" i="4"/>
  <c r="M168" i="4"/>
  <c r="M167" i="4"/>
  <c r="M136" i="4"/>
  <c r="M135" i="4"/>
  <c r="M133" i="4"/>
  <c r="M132" i="4"/>
  <c r="M130" i="4"/>
  <c r="M129" i="4"/>
  <c r="M127" i="4"/>
  <c r="M126" i="4"/>
  <c r="M124" i="4"/>
  <c r="M123" i="4"/>
  <c r="M114" i="4"/>
  <c r="M113" i="4"/>
  <c r="M111" i="4"/>
  <c r="M110" i="4"/>
  <c r="M108" i="4"/>
  <c r="M107" i="4"/>
  <c r="M105" i="4"/>
  <c r="M104" i="4"/>
  <c r="M102" i="4"/>
  <c r="M101" i="4"/>
  <c r="M92" i="4"/>
  <c r="M91" i="4"/>
  <c r="M89" i="4"/>
  <c r="M88" i="4"/>
  <c r="M86" i="4"/>
  <c r="M85" i="4"/>
  <c r="M83" i="4"/>
  <c r="M82" i="4"/>
  <c r="M80" i="4"/>
  <c r="M79" i="4"/>
  <c r="M70" i="4"/>
  <c r="M69" i="4"/>
  <c r="M67" i="4"/>
  <c r="M66" i="4"/>
  <c r="M64" i="4"/>
  <c r="M63" i="4"/>
  <c r="M61" i="4"/>
  <c r="M60" i="4"/>
  <c r="M58" i="4"/>
  <c r="M57" i="4"/>
  <c r="U77" i="4"/>
  <c r="U55" i="4"/>
  <c r="U33" i="4"/>
  <c r="K203" i="4"/>
  <c r="K202" i="4"/>
  <c r="K201" i="4"/>
  <c r="K200" i="4"/>
  <c r="K199" i="4"/>
  <c r="K198" i="4"/>
  <c r="K197" i="4"/>
  <c r="K196" i="4"/>
  <c r="K195" i="4"/>
  <c r="K194" i="4"/>
  <c r="K193" i="4"/>
  <c r="K192" i="4"/>
  <c r="K181" i="4"/>
  <c r="K180" i="4"/>
  <c r="K179" i="4"/>
  <c r="K178" i="4"/>
  <c r="K177" i="4"/>
  <c r="K176" i="4"/>
  <c r="K175" i="4"/>
  <c r="K174" i="4"/>
  <c r="K173" i="4"/>
  <c r="K172" i="4"/>
  <c r="K171" i="4"/>
  <c r="K170" i="4"/>
  <c r="K137" i="4"/>
  <c r="K136" i="4"/>
  <c r="K135" i="4"/>
  <c r="K134" i="4"/>
  <c r="K133" i="4"/>
  <c r="K132" i="4"/>
  <c r="K131" i="4"/>
  <c r="K130" i="4"/>
  <c r="K129" i="4"/>
  <c r="K128" i="4"/>
  <c r="K127" i="4"/>
  <c r="K126" i="4"/>
  <c r="K115" i="4"/>
  <c r="K114" i="4"/>
  <c r="K113" i="4"/>
  <c r="K112" i="4"/>
  <c r="K111" i="4"/>
  <c r="K110" i="4"/>
  <c r="K109" i="4"/>
  <c r="K108" i="4"/>
  <c r="K107" i="4"/>
  <c r="K106" i="4"/>
  <c r="K105" i="4"/>
  <c r="K104" i="4"/>
  <c r="K93" i="4"/>
  <c r="K92" i="4"/>
  <c r="K91" i="4"/>
  <c r="K90" i="4"/>
  <c r="K89" i="4"/>
  <c r="K88" i="4"/>
  <c r="K87" i="4"/>
  <c r="K86" i="4"/>
  <c r="K85" i="4"/>
  <c r="K84" i="4"/>
  <c r="K83" i="4"/>
  <c r="K82" i="4"/>
  <c r="K71" i="4"/>
  <c r="K70" i="4"/>
  <c r="K69" i="4"/>
  <c r="K68" i="4"/>
  <c r="K67" i="4"/>
  <c r="K66" i="4"/>
  <c r="K65" i="4"/>
  <c r="K64" i="4"/>
  <c r="K63" i="4"/>
  <c r="K62" i="4"/>
  <c r="K61" i="4"/>
  <c r="K60" i="4"/>
  <c r="K49" i="4"/>
  <c r="K48" i="4"/>
  <c r="K47" i="4"/>
  <c r="K46" i="4"/>
  <c r="K45" i="4"/>
  <c r="K44" i="4"/>
  <c r="K43" i="4"/>
  <c r="K42" i="4"/>
  <c r="K41" i="4"/>
  <c r="K40" i="4"/>
  <c r="K39" i="4"/>
  <c r="K38" i="4"/>
  <c r="T77" i="4"/>
  <c r="T55" i="4"/>
  <c r="T33" i="4"/>
  <c r="B2" i="2"/>
  <c r="B3" i="2"/>
  <c r="D77" i="9"/>
  <c r="S47" i="4" l="1"/>
  <c r="S69" i="4"/>
  <c r="S38" i="4"/>
  <c r="S44" i="4"/>
  <c r="S66" i="4"/>
  <c r="S88" i="4"/>
  <c r="S41" i="4"/>
  <c r="S63" i="4"/>
  <c r="S85" i="4"/>
  <c r="S60" i="4"/>
  <c r="S82" i="4"/>
  <c r="U44" i="4"/>
  <c r="U66" i="4"/>
  <c r="U47" i="4"/>
  <c r="U69" i="4"/>
  <c r="U113" i="4"/>
  <c r="U88" i="4"/>
  <c r="U110" i="4"/>
  <c r="U38" i="4"/>
  <c r="U60" i="4"/>
  <c r="U82" i="4"/>
  <c r="U104" i="4"/>
  <c r="U91" i="4"/>
  <c r="U135" i="4"/>
  <c r="U179" i="4"/>
  <c r="U154" i="4"/>
  <c r="U41" i="4"/>
  <c r="U63" i="4"/>
  <c r="U85" i="4"/>
  <c r="U107" i="4"/>
  <c r="U132" i="4"/>
  <c r="U176" i="4"/>
  <c r="U173" i="4"/>
  <c r="U126" i="4"/>
  <c r="U148" i="4"/>
  <c r="U170" i="4"/>
  <c r="U129" i="4"/>
  <c r="U192" i="4"/>
  <c r="U198" i="4"/>
  <c r="U151" i="4"/>
  <c r="U157" i="4"/>
  <c r="U195" i="4"/>
  <c r="U201" i="4"/>
  <c r="J17" i="5"/>
  <c r="S17" i="5" s="1"/>
  <c r="G16" i="10" s="1"/>
  <c r="J19" i="5"/>
  <c r="S19" i="5" s="1"/>
  <c r="G18" i="10" s="1"/>
  <c r="J18" i="5"/>
  <c r="S18" i="5" s="1"/>
  <c r="G17" i="10" s="1"/>
  <c r="J16" i="5"/>
  <c r="S16" i="5" s="1"/>
  <c r="G15" i="10" s="1"/>
  <c r="F79" i="9"/>
  <c r="E79" i="9" s="1"/>
  <c r="J15" i="5"/>
  <c r="S15" i="5" s="1"/>
  <c r="G14" i="10" s="1"/>
  <c r="J13" i="5"/>
  <c r="S13" i="5" s="1"/>
  <c r="G12" i="10" s="1"/>
  <c r="J14" i="5"/>
  <c r="S14" i="5" s="1"/>
  <c r="G13" i="10" s="1"/>
  <c r="I7" i="5"/>
  <c r="I8" i="5"/>
  <c r="I9" i="5"/>
  <c r="I10" i="5"/>
  <c r="I11" i="5"/>
  <c r="I12" i="5"/>
  <c r="E7" i="5"/>
  <c r="E9" i="5"/>
  <c r="E10" i="5"/>
  <c r="E11" i="5"/>
  <c r="E12" i="5"/>
  <c r="D78" i="9"/>
  <c r="F80" i="9" l="1"/>
  <c r="E80" i="9" s="1"/>
  <c r="B2" i="8"/>
  <c r="B3" i="8"/>
  <c r="B4" i="8"/>
  <c r="B6" i="10"/>
  <c r="B7" i="10"/>
  <c r="B8" i="10"/>
  <c r="B9" i="10"/>
  <c r="B10" i="10"/>
  <c r="B11" i="10"/>
  <c r="B5" i="10"/>
  <c r="Q49" i="9"/>
  <c r="Q50" i="9"/>
  <c r="Q51" i="9"/>
  <c r="Q52" i="9"/>
  <c r="Q53" i="9"/>
  <c r="Q54" i="9"/>
  <c r="Q55" i="9"/>
  <c r="Q56" i="9"/>
  <c r="Q57" i="9"/>
  <c r="Q58" i="9"/>
  <c r="Q59" i="9"/>
  <c r="Q60" i="9"/>
  <c r="Q61" i="9"/>
  <c r="Q62" i="9"/>
  <c r="Q63" i="9"/>
  <c r="Q64" i="9"/>
  <c r="Q48" i="9"/>
  <c r="D79" i="9"/>
  <c r="F81" i="9" l="1"/>
  <c r="E81" i="9" s="1"/>
  <c r="G48" i="9"/>
  <c r="F48" i="9" s="1"/>
  <c r="D48" i="9"/>
  <c r="D49" i="9"/>
  <c r="D50" i="9"/>
  <c r="D51" i="9"/>
  <c r="D52" i="9"/>
  <c r="D53" i="9"/>
  <c r="D54" i="9"/>
  <c r="D55" i="9"/>
  <c r="D56" i="9"/>
  <c r="D57" i="9"/>
  <c r="D58" i="9"/>
  <c r="D59" i="9"/>
  <c r="D60" i="9"/>
  <c r="D61" i="9"/>
  <c r="D62" i="9"/>
  <c r="D63" i="9"/>
  <c r="D64" i="9"/>
  <c r="D80" i="9"/>
  <c r="F82" i="9" l="1"/>
  <c r="E82" i="9" s="1"/>
  <c r="G49" i="9"/>
  <c r="F49" i="9" s="1"/>
  <c r="D81" i="9"/>
  <c r="G50" i="9" l="1"/>
  <c r="F50" i="9" s="1"/>
  <c r="F83" i="9"/>
  <c r="D82" i="9"/>
  <c r="E50" i="9"/>
  <c r="E83" i="9" l="1"/>
  <c r="F84" i="9"/>
  <c r="G51" i="9"/>
  <c r="F51" i="9" s="1"/>
  <c r="R2" i="9"/>
  <c r="D83" i="9"/>
  <c r="E49" i="9"/>
  <c r="E51" i="9"/>
  <c r="G52" i="9" l="1"/>
  <c r="F52" i="9" s="1"/>
  <c r="F85" i="9"/>
  <c r="E84" i="9"/>
  <c r="R50" i="9"/>
  <c r="R54" i="9"/>
  <c r="I11" i="10" s="1"/>
  <c r="R58" i="9"/>
  <c r="I15" i="10" s="1"/>
  <c r="R62" i="9"/>
  <c r="R53" i="9"/>
  <c r="I10" i="10" s="1"/>
  <c r="R61" i="9"/>
  <c r="I18" i="10" s="1"/>
  <c r="R51" i="9"/>
  <c r="R55" i="9"/>
  <c r="I12" i="10" s="1"/>
  <c r="R59" i="9"/>
  <c r="I16" i="10" s="1"/>
  <c r="R63" i="9"/>
  <c r="R52" i="9"/>
  <c r="I9" i="10" s="1"/>
  <c r="R56" i="9"/>
  <c r="I13" i="10" s="1"/>
  <c r="R60" i="9"/>
  <c r="I17" i="10" s="1"/>
  <c r="R64" i="9"/>
  <c r="R57" i="9"/>
  <c r="I14" i="10" s="1"/>
  <c r="R49" i="9"/>
  <c r="D84" i="9"/>
  <c r="E52" i="9"/>
  <c r="G53" i="9" l="1"/>
  <c r="F53" i="9" s="1"/>
  <c r="F86" i="9"/>
  <c r="E85" i="9"/>
  <c r="AH11" i="9"/>
  <c r="AI11" i="9" s="1"/>
  <c r="AI35" i="9" s="1"/>
  <c r="AG11" i="9"/>
  <c r="E48" i="9"/>
  <c r="E53" i="9"/>
  <c r="D85" i="9"/>
  <c r="AG41" i="9" l="1"/>
  <c r="AI41" i="9"/>
  <c r="G54" i="9"/>
  <c r="F54" i="9" s="1"/>
  <c r="E86" i="9"/>
  <c r="F87" i="9"/>
  <c r="E87" i="9" s="1"/>
  <c r="D87" i="9"/>
  <c r="E54" i="9"/>
  <c r="D86" i="9"/>
  <c r="O41" i="9" l="1"/>
  <c r="G55" i="9"/>
  <c r="F55" i="9" s="1"/>
  <c r="R48" i="9"/>
  <c r="Q7" i="8"/>
  <c r="B32" i="8"/>
  <c r="F32" i="8" s="1"/>
  <c r="G32" i="8" s="1"/>
  <c r="B31" i="8"/>
  <c r="F31" i="8" s="1"/>
  <c r="G31" i="8" s="1"/>
  <c r="B30" i="8"/>
  <c r="F30" i="8" s="1"/>
  <c r="G30" i="8" s="1"/>
  <c r="B29" i="8"/>
  <c r="B28" i="8"/>
  <c r="B27" i="8"/>
  <c r="B26" i="8"/>
  <c r="B25" i="8"/>
  <c r="B24" i="8"/>
  <c r="B23" i="8"/>
  <c r="B22" i="8"/>
  <c r="C22" i="8" s="1"/>
  <c r="B21" i="8"/>
  <c r="C21" i="8" s="1"/>
  <c r="B20" i="8"/>
  <c r="C20" i="8" s="1"/>
  <c r="B19" i="8"/>
  <c r="F19" i="8" s="1"/>
  <c r="B18" i="8"/>
  <c r="B17" i="8"/>
  <c r="F17" i="8" s="1"/>
  <c r="B16" i="8"/>
  <c r="F16" i="8" s="1"/>
  <c r="H8" i="8"/>
  <c r="E55" i="9"/>
  <c r="C18" i="8" l="1"/>
  <c r="F18" i="8"/>
  <c r="G16" i="8"/>
  <c r="I16" i="8" s="1"/>
  <c r="N16" i="8"/>
  <c r="K16" i="8"/>
  <c r="J16" i="8"/>
  <c r="G56" i="9"/>
  <c r="F56" i="9" s="1"/>
  <c r="J30" i="8"/>
  <c r="J32" i="8"/>
  <c r="H30" i="8"/>
  <c r="L30" i="8" s="1"/>
  <c r="H32" i="8"/>
  <c r="L32" i="8" s="1"/>
  <c r="C26" i="8"/>
  <c r="C24" i="8"/>
  <c r="C28" i="8"/>
  <c r="C32" i="8"/>
  <c r="C30" i="8"/>
  <c r="C25" i="8"/>
  <c r="C29" i="8"/>
  <c r="G57" i="9"/>
  <c r="F57" i="9" s="1"/>
  <c r="I8" i="8"/>
  <c r="K4" i="12" s="1"/>
  <c r="C17" i="8"/>
  <c r="C16" i="8"/>
  <c r="C19" i="8"/>
  <c r="C23" i="8"/>
  <c r="C27" i="8"/>
  <c r="C31" i="8"/>
  <c r="E56" i="9"/>
  <c r="J31" i="8" l="1"/>
  <c r="H31" i="8"/>
  <c r="L31" i="8" s="1"/>
  <c r="G58" i="9"/>
  <c r="F58" i="9" s="1"/>
  <c r="M10" i="6"/>
  <c r="H11" i="10" s="1"/>
  <c r="L10" i="6"/>
  <c r="A10" i="6"/>
  <c r="B10" i="6" s="1"/>
  <c r="M9" i="6"/>
  <c r="H10" i="10" s="1"/>
  <c r="L9" i="6"/>
  <c r="A9" i="6"/>
  <c r="B9" i="6" s="1"/>
  <c r="M8" i="6"/>
  <c r="H9" i="10" s="1"/>
  <c r="L8" i="6"/>
  <c r="A8" i="6"/>
  <c r="B8" i="6" s="1"/>
  <c r="L7" i="6"/>
  <c r="A7" i="6"/>
  <c r="B7" i="6" s="1"/>
  <c r="L6" i="6"/>
  <c r="A6" i="6"/>
  <c r="B6" i="6" s="1"/>
  <c r="L5" i="6"/>
  <c r="A5" i="6"/>
  <c r="B5" i="6" s="1"/>
  <c r="L4" i="6"/>
  <c r="A4" i="6"/>
  <c r="B4" i="6" s="1"/>
  <c r="R12" i="5"/>
  <c r="A12" i="5"/>
  <c r="B12" i="5" s="1"/>
  <c r="J12" i="5" s="1"/>
  <c r="R11" i="5"/>
  <c r="A11" i="5"/>
  <c r="B11" i="5" s="1"/>
  <c r="J11" i="5" s="1"/>
  <c r="R10" i="5"/>
  <c r="A10" i="5"/>
  <c r="B10" i="5" s="1"/>
  <c r="J10" i="5" s="1"/>
  <c r="R9" i="5"/>
  <c r="A9" i="5"/>
  <c r="B9" i="5" s="1"/>
  <c r="J9" i="5" s="1"/>
  <c r="R8" i="5"/>
  <c r="A8" i="5"/>
  <c r="B8" i="5" s="1"/>
  <c r="J8" i="5" s="1"/>
  <c r="R7" i="5"/>
  <c r="A7" i="5"/>
  <c r="B7" i="5" s="1"/>
  <c r="J7" i="5" s="1"/>
  <c r="R6" i="5"/>
  <c r="I6" i="5"/>
  <c r="E6" i="5"/>
  <c r="A6" i="5"/>
  <c r="B6" i="5" s="1"/>
  <c r="S201" i="4"/>
  <c r="S198" i="4"/>
  <c r="S195" i="4"/>
  <c r="S192" i="4"/>
  <c r="S186" i="4"/>
  <c r="F186" i="4"/>
  <c r="S179" i="4"/>
  <c r="S176" i="4"/>
  <c r="S173" i="4"/>
  <c r="S170" i="4"/>
  <c r="S167" i="4"/>
  <c r="S164" i="4"/>
  <c r="F164" i="4"/>
  <c r="S157" i="4"/>
  <c r="S154" i="4"/>
  <c r="S151" i="4"/>
  <c r="S148" i="4"/>
  <c r="S145" i="4"/>
  <c r="S142" i="4"/>
  <c r="F142" i="4"/>
  <c r="S135" i="4"/>
  <c r="S132" i="4"/>
  <c r="S129" i="4"/>
  <c r="S126" i="4"/>
  <c r="S123" i="4"/>
  <c r="S120" i="4"/>
  <c r="F120" i="4"/>
  <c r="S113" i="4"/>
  <c r="S110" i="4"/>
  <c r="S107" i="4"/>
  <c r="S104" i="4"/>
  <c r="S101" i="4"/>
  <c r="S98" i="4"/>
  <c r="F98" i="4"/>
  <c r="S76" i="4"/>
  <c r="F76" i="4"/>
  <c r="S54" i="4"/>
  <c r="F54" i="4"/>
  <c r="S32" i="4"/>
  <c r="F32" i="4"/>
  <c r="X28" i="4"/>
  <c r="X27" i="4"/>
  <c r="AD27" i="4" s="1"/>
  <c r="X26" i="4"/>
  <c r="AD26" i="4" s="1"/>
  <c r="X25" i="4"/>
  <c r="AD25" i="4" s="1"/>
  <c r="X24" i="4"/>
  <c r="AD24" i="4" s="1"/>
  <c r="X23" i="4"/>
  <c r="AD23" i="4" s="1"/>
  <c r="X22" i="4"/>
  <c r="AD22" i="4" s="1"/>
  <c r="X21" i="4"/>
  <c r="AD21" i="4" s="1"/>
  <c r="X20" i="4"/>
  <c r="AD20" i="4" s="1"/>
  <c r="X19" i="4"/>
  <c r="AD19" i="4" s="1"/>
  <c r="X18" i="4"/>
  <c r="AD18" i="4" s="1"/>
  <c r="X17" i="4"/>
  <c r="AD17" i="4" s="1"/>
  <c r="X16" i="4"/>
  <c r="AD16" i="4" s="1"/>
  <c r="X15" i="4"/>
  <c r="AD15" i="4" s="1"/>
  <c r="X14" i="4"/>
  <c r="AD14" i="4" s="1"/>
  <c r="AH13" i="4"/>
  <c r="AH14" i="4" s="1"/>
  <c r="X13" i="4"/>
  <c r="AD13" i="4" s="1"/>
  <c r="X12" i="4"/>
  <c r="AD12" i="4" s="1"/>
  <c r="S10" i="4"/>
  <c r="F10" i="4"/>
  <c r="P6" i="4"/>
  <c r="J4" i="3"/>
  <c r="I4" i="3"/>
  <c r="H4" i="3"/>
  <c r="G4" i="3"/>
  <c r="F4" i="3"/>
  <c r="E4" i="3"/>
  <c r="D4" i="3"/>
  <c r="A13" i="2"/>
  <c r="C13" i="2" s="1"/>
  <c r="A12" i="2"/>
  <c r="C12" i="2" s="1"/>
  <c r="A11" i="2"/>
  <c r="C11" i="2" s="1"/>
  <c r="A10" i="2"/>
  <c r="C10" i="2" s="1"/>
  <c r="A9" i="2"/>
  <c r="C9" i="2" s="1"/>
  <c r="A8" i="2"/>
  <c r="E57" i="9"/>
  <c r="S227" i="4" l="1"/>
  <c r="T226" i="4" s="1"/>
  <c r="S315" i="4"/>
  <c r="S293" i="4"/>
  <c r="S271" i="4"/>
  <c r="S249" i="4"/>
  <c r="J6" i="5"/>
  <c r="P5" i="3"/>
  <c r="N5" i="3"/>
  <c r="Q5" i="3"/>
  <c r="O5" i="3"/>
  <c r="M5" i="3"/>
  <c r="K5" i="3"/>
  <c r="L5" i="3"/>
  <c r="G5" i="3"/>
  <c r="C8" i="2"/>
  <c r="J5" i="3"/>
  <c r="F5" i="3"/>
  <c r="I5" i="3"/>
  <c r="D5" i="3"/>
  <c r="E5" i="3"/>
  <c r="H5" i="3"/>
  <c r="G59" i="9"/>
  <c r="F59" i="9" s="1"/>
  <c r="S204" i="4"/>
  <c r="S205" i="4" s="1"/>
  <c r="S182" i="4"/>
  <c r="S183" i="4" s="1"/>
  <c r="S160" i="4"/>
  <c r="S161" i="4" s="1"/>
  <c r="B160" i="4" s="1"/>
  <c r="S138" i="4"/>
  <c r="S139" i="4" s="1"/>
  <c r="T138" i="4" s="1"/>
  <c r="S116" i="4"/>
  <c r="S117" i="4" s="1"/>
  <c r="T116" i="4" s="1"/>
  <c r="S72" i="4"/>
  <c r="S73" i="4" s="1"/>
  <c r="B72" i="4" s="1"/>
  <c r="S28" i="4"/>
  <c r="S29" i="4" s="1"/>
  <c r="B28" i="4" s="1"/>
  <c r="S50" i="4"/>
  <c r="S51" i="4" s="1"/>
  <c r="B50" i="4" s="1"/>
  <c r="F7" i="5"/>
  <c r="N7" i="5" s="1"/>
  <c r="F9" i="5"/>
  <c r="N9" i="5" s="1"/>
  <c r="F11" i="5"/>
  <c r="F6" i="5"/>
  <c r="N6" i="5" s="1"/>
  <c r="F8" i="5"/>
  <c r="N8" i="5" s="1"/>
  <c r="F10" i="5"/>
  <c r="F12" i="5"/>
  <c r="S94" i="4"/>
  <c r="S95" i="4" s="1"/>
  <c r="B94" i="4" s="1"/>
  <c r="AD28" i="4"/>
  <c r="AH15" i="4"/>
  <c r="E58" i="9"/>
  <c r="S6" i="5" l="1"/>
  <c r="B226" i="4"/>
  <c r="T270" i="4"/>
  <c r="B270" i="4"/>
  <c r="T292" i="4"/>
  <c r="B292" i="4"/>
  <c r="T314" i="4"/>
  <c r="B314" i="4"/>
  <c r="T248" i="4"/>
  <c r="B248" i="4"/>
  <c r="B204" i="4"/>
  <c r="T204" i="4"/>
  <c r="B182" i="4"/>
  <c r="T182" i="4"/>
  <c r="T160" i="4"/>
  <c r="G60" i="9"/>
  <c r="F60" i="9" s="1"/>
  <c r="B138" i="4"/>
  <c r="B116" i="4"/>
  <c r="T72" i="4"/>
  <c r="T50" i="4"/>
  <c r="T28" i="4"/>
  <c r="S12" i="5"/>
  <c r="G11" i="10" s="1"/>
  <c r="S9" i="5"/>
  <c r="S8" i="5"/>
  <c r="S10" i="5"/>
  <c r="G9" i="10" s="1"/>
  <c r="S11" i="5"/>
  <c r="G10" i="10" s="1"/>
  <c r="S7" i="5"/>
  <c r="T94" i="4"/>
  <c r="AH16" i="4"/>
  <c r="AE14" i="4"/>
  <c r="AE15" i="4"/>
  <c r="E59" i="9"/>
  <c r="AE12" i="4"/>
  <c r="AE13" i="4"/>
  <c r="G61" i="9" l="1"/>
  <c r="F61" i="9" s="1"/>
  <c r="Y14" i="4"/>
  <c r="Z14" i="4" s="1"/>
  <c r="Y13" i="4"/>
  <c r="Z13" i="4" s="1"/>
  <c r="Y12" i="4"/>
  <c r="Y15" i="4"/>
  <c r="Z15" i="4" s="1"/>
  <c r="AH17" i="4"/>
  <c r="E60" i="9"/>
  <c r="AE16" i="4"/>
  <c r="Z12" i="4" l="1"/>
  <c r="G62" i="9"/>
  <c r="F62" i="9" s="1"/>
  <c r="Y16" i="4"/>
  <c r="Z16" i="4" s="1"/>
  <c r="D9" i="10" s="1"/>
  <c r="AH18" i="4"/>
  <c r="AE17" i="4"/>
  <c r="E61" i="9"/>
  <c r="J9" i="10" l="1"/>
  <c r="F20" i="8" s="1"/>
  <c r="G20" i="8" s="1"/>
  <c r="G8" i="12"/>
  <c r="G63" i="9"/>
  <c r="F63" i="9" s="1"/>
  <c r="I8" i="12"/>
  <c r="E8" i="12"/>
  <c r="Y17" i="4"/>
  <c r="Z17" i="4" s="1"/>
  <c r="D10" i="10" s="1"/>
  <c r="AH19" i="4"/>
  <c r="AE18" i="4"/>
  <c r="E62" i="9"/>
  <c r="E105" i="12" l="1"/>
  <c r="E109" i="12"/>
  <c r="E113" i="12"/>
  <c r="E117" i="12"/>
  <c r="E121" i="12"/>
  <c r="E125" i="12"/>
  <c r="E129" i="12"/>
  <c r="E133" i="12"/>
  <c r="E137" i="12"/>
  <c r="E104" i="12"/>
  <c r="E110" i="12"/>
  <c r="E115" i="12"/>
  <c r="E120" i="12"/>
  <c r="E126" i="12"/>
  <c r="E131" i="12"/>
  <c r="E136" i="12"/>
  <c r="E18" i="12"/>
  <c r="E22" i="12"/>
  <c r="E26" i="12"/>
  <c r="E30" i="12"/>
  <c r="E34" i="12"/>
  <c r="E38" i="12"/>
  <c r="E42" i="12"/>
  <c r="E46" i="12"/>
  <c r="E50" i="12"/>
  <c r="E54" i="12"/>
  <c r="E107" i="12"/>
  <c r="E114" i="12"/>
  <c r="E122" i="12"/>
  <c r="E128" i="12"/>
  <c r="E135" i="12"/>
  <c r="E17" i="12"/>
  <c r="E23" i="12"/>
  <c r="E28" i="12"/>
  <c r="E33" i="12"/>
  <c r="E39" i="12"/>
  <c r="E44" i="12"/>
  <c r="E49" i="12"/>
  <c r="E55" i="12"/>
  <c r="E59" i="12"/>
  <c r="E63" i="12"/>
  <c r="E67" i="12"/>
  <c r="E71" i="12"/>
  <c r="E75" i="12"/>
  <c r="E79" i="12"/>
  <c r="E83" i="12"/>
  <c r="E87" i="12"/>
  <c r="E91" i="12"/>
  <c r="E108" i="12"/>
  <c r="E116" i="12"/>
  <c r="E123" i="12"/>
  <c r="E130" i="12"/>
  <c r="E138" i="12"/>
  <c r="E19" i="12"/>
  <c r="E24" i="12"/>
  <c r="E29" i="12"/>
  <c r="E35" i="12"/>
  <c r="E40" i="12"/>
  <c r="E45" i="12"/>
  <c r="E51" i="12"/>
  <c r="E56" i="12"/>
  <c r="E60" i="12"/>
  <c r="E64" i="12"/>
  <c r="E68" i="12"/>
  <c r="E72" i="12"/>
  <c r="E76" i="12"/>
  <c r="E80" i="12"/>
  <c r="E84" i="12"/>
  <c r="E88" i="12"/>
  <c r="E92" i="12"/>
  <c r="E111" i="12"/>
  <c r="E118" i="12"/>
  <c r="E124" i="12"/>
  <c r="E132" i="12"/>
  <c r="E139" i="12"/>
  <c r="E127" i="12"/>
  <c r="E15" i="12"/>
  <c r="E25" i="12"/>
  <c r="E36" i="12"/>
  <c r="E47" i="12"/>
  <c r="E57" i="12"/>
  <c r="E65" i="12"/>
  <c r="E73" i="12"/>
  <c r="E81" i="12"/>
  <c r="E89" i="12"/>
  <c r="E106" i="12"/>
  <c r="E134" i="12"/>
  <c r="E27" i="12"/>
  <c r="E48" i="12"/>
  <c r="E66" i="12"/>
  <c r="E82" i="12"/>
  <c r="E112" i="12"/>
  <c r="E140" i="12"/>
  <c r="E20" i="12"/>
  <c r="E31" i="12"/>
  <c r="E41" i="12"/>
  <c r="E52" i="12"/>
  <c r="E61" i="12"/>
  <c r="E69" i="12"/>
  <c r="E77" i="12"/>
  <c r="E85" i="12"/>
  <c r="E14" i="12"/>
  <c r="E119" i="12"/>
  <c r="E21" i="12"/>
  <c r="E32" i="12"/>
  <c r="E43" i="12"/>
  <c r="E53" i="12"/>
  <c r="E62" i="12"/>
  <c r="E70" i="12"/>
  <c r="E78" i="12"/>
  <c r="E86" i="12"/>
  <c r="E16" i="12"/>
  <c r="E37" i="12"/>
  <c r="E58" i="12"/>
  <c r="E74" i="12"/>
  <c r="E90" i="12"/>
  <c r="I107" i="12"/>
  <c r="I111" i="12"/>
  <c r="I115" i="12"/>
  <c r="I119" i="12"/>
  <c r="I123" i="12"/>
  <c r="I127" i="12"/>
  <c r="I131" i="12"/>
  <c r="I135" i="12"/>
  <c r="I139" i="12"/>
  <c r="I18" i="12"/>
  <c r="I22" i="12"/>
  <c r="I26" i="12"/>
  <c r="I30" i="12"/>
  <c r="I34" i="12"/>
  <c r="I38" i="12"/>
  <c r="I42" i="12"/>
  <c r="I46" i="12"/>
  <c r="I50" i="12"/>
  <c r="I54" i="12"/>
  <c r="I58" i="12"/>
  <c r="I62" i="12"/>
  <c r="I66" i="12"/>
  <c r="I70" i="12"/>
  <c r="I74" i="12"/>
  <c r="I78" i="12"/>
  <c r="I82" i="12"/>
  <c r="I86" i="12"/>
  <c r="I90" i="12"/>
  <c r="I109" i="12"/>
  <c r="I114" i="12"/>
  <c r="I120" i="12"/>
  <c r="I125" i="12"/>
  <c r="I130" i="12"/>
  <c r="I136" i="12"/>
  <c r="I104" i="12"/>
  <c r="I16" i="12"/>
  <c r="I21" i="12"/>
  <c r="I27" i="12"/>
  <c r="I32" i="12"/>
  <c r="I37" i="12"/>
  <c r="I43" i="12"/>
  <c r="I48" i="12"/>
  <c r="I53" i="12"/>
  <c r="I59" i="12"/>
  <c r="I64" i="12"/>
  <c r="I69" i="12"/>
  <c r="I75" i="12"/>
  <c r="I80" i="12"/>
  <c r="I85" i="12"/>
  <c r="I91" i="12"/>
  <c r="I110" i="12"/>
  <c r="I117" i="12"/>
  <c r="I124" i="12"/>
  <c r="I132" i="12"/>
  <c r="I138" i="12"/>
  <c r="I20" i="12"/>
  <c r="I28" i="12"/>
  <c r="I35" i="12"/>
  <c r="I41" i="12"/>
  <c r="I49" i="12"/>
  <c r="I56" i="12"/>
  <c r="I63" i="12"/>
  <c r="I71" i="12"/>
  <c r="I77" i="12"/>
  <c r="I84" i="12"/>
  <c r="I92" i="12"/>
  <c r="I105" i="12"/>
  <c r="I112" i="12"/>
  <c r="I118" i="12"/>
  <c r="I126" i="12"/>
  <c r="I133" i="12"/>
  <c r="I140" i="12"/>
  <c r="I15" i="12"/>
  <c r="I23" i="12"/>
  <c r="I29" i="12"/>
  <c r="I36" i="12"/>
  <c r="I44" i="12"/>
  <c r="I51" i="12"/>
  <c r="I57" i="12"/>
  <c r="I65" i="12"/>
  <c r="I72" i="12"/>
  <c r="I79" i="12"/>
  <c r="I87" i="12"/>
  <c r="I14" i="12"/>
  <c r="I106" i="12"/>
  <c r="I113" i="12"/>
  <c r="I121" i="12"/>
  <c r="I128" i="12"/>
  <c r="I134" i="12"/>
  <c r="I116" i="12"/>
  <c r="I17" i="12"/>
  <c r="I31" i="12"/>
  <c r="I45" i="12"/>
  <c r="I60" i="12"/>
  <c r="I73" i="12"/>
  <c r="I88" i="12"/>
  <c r="I122" i="12"/>
  <c r="I19" i="12"/>
  <c r="I33" i="12"/>
  <c r="I47" i="12"/>
  <c r="I61" i="12"/>
  <c r="I76" i="12"/>
  <c r="I89" i="12"/>
  <c r="I129" i="12"/>
  <c r="I24" i="12"/>
  <c r="I39" i="12"/>
  <c r="I52" i="12"/>
  <c r="I67" i="12"/>
  <c r="I81" i="12"/>
  <c r="I108" i="12"/>
  <c r="I137" i="12"/>
  <c r="I25" i="12"/>
  <c r="I40" i="12"/>
  <c r="I55" i="12"/>
  <c r="I68" i="12"/>
  <c r="I83" i="12"/>
  <c r="G106" i="12"/>
  <c r="G110" i="12"/>
  <c r="G114" i="12"/>
  <c r="G118" i="12"/>
  <c r="G122" i="12"/>
  <c r="G126" i="12"/>
  <c r="G130" i="12"/>
  <c r="G134" i="12"/>
  <c r="G138" i="12"/>
  <c r="G15" i="12"/>
  <c r="G19" i="12"/>
  <c r="G23" i="12"/>
  <c r="G27" i="12"/>
  <c r="G31" i="12"/>
  <c r="G35" i="12"/>
  <c r="G39" i="12"/>
  <c r="G43" i="12"/>
  <c r="G47" i="12"/>
  <c r="G109" i="12"/>
  <c r="G115" i="12"/>
  <c r="G120" i="12"/>
  <c r="G125" i="12"/>
  <c r="G131" i="12"/>
  <c r="G136" i="12"/>
  <c r="G104" i="12"/>
  <c r="G17" i="12"/>
  <c r="G22" i="12"/>
  <c r="G28" i="12"/>
  <c r="G33" i="12"/>
  <c r="G38" i="12"/>
  <c r="G44" i="12"/>
  <c r="G49" i="12"/>
  <c r="G53" i="12"/>
  <c r="G57" i="12"/>
  <c r="G61" i="12"/>
  <c r="G65" i="12"/>
  <c r="G69" i="12"/>
  <c r="G73" i="12"/>
  <c r="G77" i="12"/>
  <c r="G81" i="12"/>
  <c r="G85" i="12"/>
  <c r="G89" i="12"/>
  <c r="G14" i="12"/>
  <c r="G108" i="12"/>
  <c r="G116" i="12"/>
  <c r="G123" i="12"/>
  <c r="G129" i="12"/>
  <c r="G137" i="12"/>
  <c r="G20" i="12"/>
  <c r="G26" i="12"/>
  <c r="G34" i="12"/>
  <c r="G41" i="12"/>
  <c r="G48" i="12"/>
  <c r="G54" i="12"/>
  <c r="G59" i="12"/>
  <c r="G64" i="12"/>
  <c r="G70" i="12"/>
  <c r="G75" i="12"/>
  <c r="G80" i="12"/>
  <c r="G86" i="12"/>
  <c r="G91" i="12"/>
  <c r="G111" i="12"/>
  <c r="G117" i="12"/>
  <c r="G124" i="12"/>
  <c r="G132" i="12"/>
  <c r="G139" i="12"/>
  <c r="G21" i="12"/>
  <c r="G29" i="12"/>
  <c r="G36" i="12"/>
  <c r="G42" i="12"/>
  <c r="G50" i="12"/>
  <c r="G55" i="12"/>
  <c r="G60" i="12"/>
  <c r="G66" i="12"/>
  <c r="G71" i="12"/>
  <c r="G76" i="12"/>
  <c r="G82" i="12"/>
  <c r="G87" i="12"/>
  <c r="G92" i="12"/>
  <c r="G105" i="12"/>
  <c r="G112" i="12"/>
  <c r="G119" i="12"/>
  <c r="G127" i="12"/>
  <c r="G133" i="12"/>
  <c r="G140" i="12"/>
  <c r="G107" i="12"/>
  <c r="G135" i="12"/>
  <c r="G24" i="12"/>
  <c r="G37" i="12"/>
  <c r="G51" i="12"/>
  <c r="G62" i="12"/>
  <c r="G72" i="12"/>
  <c r="G83" i="12"/>
  <c r="G113" i="12"/>
  <c r="G25" i="12"/>
  <c r="G40" i="12"/>
  <c r="G52" i="12"/>
  <c r="G63" i="12"/>
  <c r="G74" i="12"/>
  <c r="G84" i="12"/>
  <c r="G121" i="12"/>
  <c r="G16" i="12"/>
  <c r="G30" i="12"/>
  <c r="G45" i="12"/>
  <c r="G56" i="12"/>
  <c r="G67" i="12"/>
  <c r="G78" i="12"/>
  <c r="G88" i="12"/>
  <c r="G128" i="12"/>
  <c r="G18" i="12"/>
  <c r="G32" i="12"/>
  <c r="G46" i="12"/>
  <c r="G58" i="12"/>
  <c r="G68" i="12"/>
  <c r="G79" i="12"/>
  <c r="G90" i="12"/>
  <c r="C8" i="12"/>
  <c r="H20" i="8"/>
  <c r="J10" i="10"/>
  <c r="F21" i="8" s="1"/>
  <c r="G21" i="8" s="1"/>
  <c r="H91" i="12"/>
  <c r="H87" i="12"/>
  <c r="H89" i="12"/>
  <c r="H85" i="12"/>
  <c r="H92" i="12"/>
  <c r="H88" i="12"/>
  <c r="H84" i="12"/>
  <c r="H86" i="12"/>
  <c r="H83" i="12"/>
  <c r="H90" i="12"/>
  <c r="F89" i="12"/>
  <c r="F85" i="12"/>
  <c r="F91" i="12"/>
  <c r="F87" i="12"/>
  <c r="F83" i="12"/>
  <c r="F90" i="12"/>
  <c r="F86" i="12"/>
  <c r="F88" i="12"/>
  <c r="F92" i="12"/>
  <c r="F84" i="12"/>
  <c r="J89" i="12"/>
  <c r="J85" i="12"/>
  <c r="J91" i="12"/>
  <c r="J87" i="12"/>
  <c r="J83" i="12"/>
  <c r="J90" i="12"/>
  <c r="J86" i="12"/>
  <c r="J88" i="12"/>
  <c r="J84" i="12"/>
  <c r="J92" i="12"/>
  <c r="F69" i="12"/>
  <c r="F75" i="12"/>
  <c r="F74" i="12"/>
  <c r="F70" i="12"/>
  <c r="F73" i="12"/>
  <c r="F76" i="12"/>
  <c r="H75" i="12"/>
  <c r="H74" i="12"/>
  <c r="H73" i="12"/>
  <c r="H69" i="12"/>
  <c r="H76" i="12"/>
  <c r="H72" i="12"/>
  <c r="H71" i="12"/>
  <c r="H70" i="12"/>
  <c r="J75" i="12"/>
  <c r="J71" i="12"/>
  <c r="J74" i="12"/>
  <c r="J70" i="12"/>
  <c r="J73" i="12"/>
  <c r="J69" i="12"/>
  <c r="J76" i="12"/>
  <c r="J72" i="12"/>
  <c r="E101" i="12"/>
  <c r="G101" i="12"/>
  <c r="I101" i="12"/>
  <c r="G64" i="9"/>
  <c r="F64" i="9" s="1"/>
  <c r="K8" i="12"/>
  <c r="Y18" i="4"/>
  <c r="Z18" i="4" s="1"/>
  <c r="D11" i="10" s="1"/>
  <c r="AH20" i="4"/>
  <c r="AE19" i="4"/>
  <c r="E63" i="9"/>
  <c r="E64" i="9"/>
  <c r="C108" i="12" l="1"/>
  <c r="C112" i="12"/>
  <c r="C116" i="12"/>
  <c r="C120" i="12"/>
  <c r="C124" i="12"/>
  <c r="C128" i="12"/>
  <c r="C132" i="12"/>
  <c r="C136" i="12"/>
  <c r="C140" i="12"/>
  <c r="C17" i="12"/>
  <c r="C21" i="12"/>
  <c r="C25" i="12"/>
  <c r="C29" i="12"/>
  <c r="C33" i="12"/>
  <c r="C37" i="12"/>
  <c r="C41" i="12"/>
  <c r="C45" i="12"/>
  <c r="C49" i="12"/>
  <c r="C53" i="12"/>
  <c r="C57" i="12"/>
  <c r="C61" i="12"/>
  <c r="C65" i="12"/>
  <c r="C69" i="12"/>
  <c r="C73" i="12"/>
  <c r="C77" i="12"/>
  <c r="C81" i="12"/>
  <c r="C85" i="12"/>
  <c r="C89" i="12"/>
  <c r="C14" i="12"/>
  <c r="C105" i="12"/>
  <c r="C110" i="12"/>
  <c r="C115" i="12"/>
  <c r="C121" i="12"/>
  <c r="C126" i="12"/>
  <c r="C131" i="12"/>
  <c r="C137" i="12"/>
  <c r="C15" i="12"/>
  <c r="C20" i="12"/>
  <c r="C26" i="12"/>
  <c r="C31" i="12"/>
  <c r="C36" i="12"/>
  <c r="C42" i="12"/>
  <c r="C47" i="12"/>
  <c r="C52" i="12"/>
  <c r="C58" i="12"/>
  <c r="C63" i="12"/>
  <c r="C68" i="12"/>
  <c r="C74" i="12"/>
  <c r="C79" i="12"/>
  <c r="C84" i="12"/>
  <c r="C90" i="12"/>
  <c r="C106" i="12"/>
  <c r="C113" i="12"/>
  <c r="C119" i="12"/>
  <c r="C127" i="12"/>
  <c r="C134" i="12"/>
  <c r="C104" i="12"/>
  <c r="C22" i="12"/>
  <c r="C28" i="12"/>
  <c r="C35" i="12"/>
  <c r="C43" i="12"/>
  <c r="C50" i="12"/>
  <c r="C56" i="12"/>
  <c r="C64" i="12"/>
  <c r="C71" i="12"/>
  <c r="C78" i="12"/>
  <c r="C86" i="12"/>
  <c r="C92" i="12"/>
  <c r="C107" i="12"/>
  <c r="C114" i="12"/>
  <c r="C122" i="12"/>
  <c r="C129" i="12"/>
  <c r="C135" i="12"/>
  <c r="C16" i="12"/>
  <c r="C23" i="12"/>
  <c r="C30" i="12"/>
  <c r="C38" i="12"/>
  <c r="C44" i="12"/>
  <c r="C51" i="12"/>
  <c r="C59" i="12"/>
  <c r="C66" i="12"/>
  <c r="C72" i="12"/>
  <c r="C80" i="12"/>
  <c r="C87" i="12"/>
  <c r="C109" i="12"/>
  <c r="C117" i="12"/>
  <c r="C123" i="12"/>
  <c r="C130" i="12"/>
  <c r="C138" i="12"/>
  <c r="C18" i="12"/>
  <c r="C24" i="12"/>
  <c r="C118" i="12"/>
  <c r="C19" i="12"/>
  <c r="C39" i="12"/>
  <c r="C54" i="12"/>
  <c r="C67" i="12"/>
  <c r="C82" i="12"/>
  <c r="C125" i="12"/>
  <c r="C27" i="12"/>
  <c r="C40" i="12"/>
  <c r="C55" i="12"/>
  <c r="C70" i="12"/>
  <c r="C83" i="12"/>
  <c r="C133" i="12"/>
  <c r="C32" i="12"/>
  <c r="C46" i="12"/>
  <c r="C60" i="12"/>
  <c r="C75" i="12"/>
  <c r="C88" i="12"/>
  <c r="C111" i="12"/>
  <c r="C139" i="12"/>
  <c r="C34" i="12"/>
  <c r="C48" i="12"/>
  <c r="C62" i="12"/>
  <c r="C76" i="12"/>
  <c r="C91" i="12"/>
  <c r="D91" i="12"/>
  <c r="D90" i="12"/>
  <c r="D70" i="12"/>
  <c r="D76" i="12"/>
  <c r="D74" i="12"/>
  <c r="D85" i="12"/>
  <c r="D89" i="12"/>
  <c r="D88" i="12"/>
  <c r="D86" i="12"/>
  <c r="D75" i="12"/>
  <c r="D69" i="12"/>
  <c r="D73" i="12"/>
  <c r="D87" i="12"/>
  <c r="D92" i="12"/>
  <c r="D83" i="12"/>
  <c r="D84" i="12"/>
  <c r="H21" i="8"/>
  <c r="K91" i="12"/>
  <c r="L91" i="12" s="1"/>
  <c r="K87" i="12"/>
  <c r="K89" i="12"/>
  <c r="K85" i="12"/>
  <c r="L85" i="12" s="1"/>
  <c r="K92" i="12"/>
  <c r="K88" i="12"/>
  <c r="L88" i="12" s="1"/>
  <c r="K84" i="12"/>
  <c r="L84" i="12" s="1"/>
  <c r="K90" i="12"/>
  <c r="K83" i="12"/>
  <c r="K86" i="12"/>
  <c r="L86" i="12" s="1"/>
  <c r="K138" i="12"/>
  <c r="K137" i="12"/>
  <c r="K140" i="12"/>
  <c r="K136" i="12"/>
  <c r="K139" i="12"/>
  <c r="K75" i="12"/>
  <c r="L75" i="12" s="1"/>
  <c r="K70" i="12"/>
  <c r="L70" i="12" s="1"/>
  <c r="K73" i="12"/>
  <c r="L73" i="12" s="1"/>
  <c r="K69" i="12"/>
  <c r="K76" i="12"/>
  <c r="L76" i="12" s="1"/>
  <c r="K72" i="12"/>
  <c r="L72" i="12" s="1"/>
  <c r="K71" i="12"/>
  <c r="L71" i="12" s="1"/>
  <c r="K74" i="12"/>
  <c r="L74" i="12" s="1"/>
  <c r="J11" i="10"/>
  <c r="F22" i="8" s="1"/>
  <c r="G22" i="8" s="1"/>
  <c r="K105" i="12"/>
  <c r="K109" i="12"/>
  <c r="K113" i="12"/>
  <c r="K117" i="12"/>
  <c r="K121" i="12"/>
  <c r="K125" i="12"/>
  <c r="K129" i="12"/>
  <c r="K133" i="12"/>
  <c r="K106" i="12"/>
  <c r="K110" i="12"/>
  <c r="K114" i="12"/>
  <c r="K118" i="12"/>
  <c r="K122" i="12"/>
  <c r="K126" i="12"/>
  <c r="K130" i="12"/>
  <c r="K134" i="12"/>
  <c r="K107" i="12"/>
  <c r="K111" i="12"/>
  <c r="K115" i="12"/>
  <c r="K119" i="12"/>
  <c r="K123" i="12"/>
  <c r="K127" i="12"/>
  <c r="K131" i="12"/>
  <c r="K135" i="12"/>
  <c r="K112" i="12"/>
  <c r="K128" i="12"/>
  <c r="K120" i="12"/>
  <c r="K116" i="12"/>
  <c r="K132" i="12"/>
  <c r="K108" i="12"/>
  <c r="K124" i="12"/>
  <c r="K104" i="12"/>
  <c r="K15" i="12"/>
  <c r="K19" i="12"/>
  <c r="K23" i="12"/>
  <c r="K27" i="12"/>
  <c r="K31" i="12"/>
  <c r="K35" i="12"/>
  <c r="K39" i="12"/>
  <c r="K43" i="12"/>
  <c r="K47" i="12"/>
  <c r="K51" i="12"/>
  <c r="K55" i="12"/>
  <c r="K59" i="12"/>
  <c r="K63" i="12"/>
  <c r="K67" i="12"/>
  <c r="K79" i="12"/>
  <c r="K17" i="12"/>
  <c r="K22" i="12"/>
  <c r="K28" i="12"/>
  <c r="K33" i="12"/>
  <c r="K38" i="12"/>
  <c r="K44" i="12"/>
  <c r="K49" i="12"/>
  <c r="K54" i="12"/>
  <c r="K60" i="12"/>
  <c r="K65" i="12"/>
  <c r="K78" i="12"/>
  <c r="K101" i="12"/>
  <c r="K18" i="12"/>
  <c r="K24" i="12"/>
  <c r="K29" i="12"/>
  <c r="K34" i="12"/>
  <c r="K40" i="12"/>
  <c r="K45" i="12"/>
  <c r="K50" i="12"/>
  <c r="K56" i="12"/>
  <c r="K61" i="12"/>
  <c r="K66" i="12"/>
  <c r="K80" i="12"/>
  <c r="K14" i="12"/>
  <c r="K20" i="12"/>
  <c r="K25" i="12"/>
  <c r="K30" i="12"/>
  <c r="K36" i="12"/>
  <c r="K41" i="12"/>
  <c r="K46" i="12"/>
  <c r="K52" i="12"/>
  <c r="K57" i="12"/>
  <c r="K62" i="12"/>
  <c r="K68" i="12"/>
  <c r="K81" i="12"/>
  <c r="K16" i="12"/>
  <c r="K21" i="12"/>
  <c r="K26" i="12"/>
  <c r="K32" i="12"/>
  <c r="K37" i="12"/>
  <c r="K42" i="12"/>
  <c r="K48" i="12"/>
  <c r="K53" i="12"/>
  <c r="K58" i="12"/>
  <c r="K64" i="12"/>
  <c r="K77" i="12"/>
  <c r="K82" i="12"/>
  <c r="M8" i="12"/>
  <c r="Y19" i="4"/>
  <c r="Z19" i="4" s="1"/>
  <c r="D12" i="10" s="1"/>
  <c r="AH21" i="4"/>
  <c r="AE20" i="4"/>
  <c r="M17" i="12" l="1"/>
  <c r="M21" i="12"/>
  <c r="M25" i="12"/>
  <c r="M29" i="12"/>
  <c r="M33" i="12"/>
  <c r="M37" i="12"/>
  <c r="M41" i="12"/>
  <c r="M45" i="12"/>
  <c r="M49" i="12"/>
  <c r="M53" i="12"/>
  <c r="M57" i="12"/>
  <c r="M61" i="12"/>
  <c r="M65" i="12"/>
  <c r="M69" i="12"/>
  <c r="M73" i="12"/>
  <c r="M77" i="12"/>
  <c r="M81" i="12"/>
  <c r="M85" i="12"/>
  <c r="M89" i="12"/>
  <c r="M18" i="12"/>
  <c r="M22" i="12"/>
  <c r="M26" i="12"/>
  <c r="M30" i="12"/>
  <c r="M34" i="12"/>
  <c r="M38" i="12"/>
  <c r="M42" i="12"/>
  <c r="M46" i="12"/>
  <c r="M50" i="12"/>
  <c r="M54" i="12"/>
  <c r="M58" i="12"/>
  <c r="M62" i="12"/>
  <c r="M66" i="12"/>
  <c r="M70" i="12"/>
  <c r="M74" i="12"/>
  <c r="M78" i="12"/>
  <c r="M82" i="12"/>
  <c r="M86" i="12"/>
  <c r="M90" i="12"/>
  <c r="M15" i="12"/>
  <c r="M23" i="12"/>
  <c r="M31" i="12"/>
  <c r="M39" i="12"/>
  <c r="M47" i="12"/>
  <c r="M55" i="12"/>
  <c r="M63" i="12"/>
  <c r="M71" i="12"/>
  <c r="M79" i="12"/>
  <c r="M87" i="12"/>
  <c r="M27" i="12"/>
  <c r="M43" i="12"/>
  <c r="M59" i="12"/>
  <c r="M75" i="12"/>
  <c r="M91" i="12"/>
  <c r="M60" i="12"/>
  <c r="M16" i="12"/>
  <c r="M24" i="12"/>
  <c r="M32" i="12"/>
  <c r="M40" i="12"/>
  <c r="M48" i="12"/>
  <c r="M56" i="12"/>
  <c r="M64" i="12"/>
  <c r="M72" i="12"/>
  <c r="M80" i="12"/>
  <c r="M88" i="12"/>
  <c r="M19" i="12"/>
  <c r="M35" i="12"/>
  <c r="M51" i="12"/>
  <c r="M67" i="12"/>
  <c r="M83" i="12"/>
  <c r="M20" i="12"/>
  <c r="M28" i="12"/>
  <c r="M36" i="12"/>
  <c r="M44" i="12"/>
  <c r="M52" i="12"/>
  <c r="M68" i="12"/>
  <c r="M76" i="12"/>
  <c r="M84" i="12"/>
  <c r="M92" i="12"/>
  <c r="H22" i="8"/>
  <c r="L89" i="12"/>
  <c r="L90" i="12"/>
  <c r="L87" i="12"/>
  <c r="N89" i="12"/>
  <c r="N85" i="12"/>
  <c r="N87" i="12"/>
  <c r="N83" i="12"/>
  <c r="N90" i="12"/>
  <c r="N86" i="12"/>
  <c r="N92" i="12"/>
  <c r="N88" i="12"/>
  <c r="L83" i="12"/>
  <c r="L92" i="12"/>
  <c r="L69" i="12"/>
  <c r="M140" i="12"/>
  <c r="M136" i="12"/>
  <c r="M139" i="12"/>
  <c r="M138" i="12"/>
  <c r="M137" i="12"/>
  <c r="N72" i="12"/>
  <c r="N71" i="12"/>
  <c r="N74" i="12"/>
  <c r="N70" i="12"/>
  <c r="N73" i="12"/>
  <c r="N69" i="12"/>
  <c r="N76" i="12"/>
  <c r="J12" i="10"/>
  <c r="F23" i="8" s="1"/>
  <c r="G23" i="8" s="1"/>
  <c r="M105" i="12"/>
  <c r="M109" i="12"/>
  <c r="M113" i="12"/>
  <c r="M117" i="12"/>
  <c r="M121" i="12"/>
  <c r="M125" i="12"/>
  <c r="M129" i="12"/>
  <c r="M133" i="12"/>
  <c r="M106" i="12"/>
  <c r="M110" i="12"/>
  <c r="M114" i="12"/>
  <c r="M118" i="12"/>
  <c r="M122" i="12"/>
  <c r="M126" i="12"/>
  <c r="M130" i="12"/>
  <c r="M134" i="12"/>
  <c r="M107" i="12"/>
  <c r="M111" i="12"/>
  <c r="M115" i="12"/>
  <c r="M119" i="12"/>
  <c r="M123" i="12"/>
  <c r="M127" i="12"/>
  <c r="M131" i="12"/>
  <c r="M135" i="12"/>
  <c r="M112" i="12"/>
  <c r="M128" i="12"/>
  <c r="M120" i="12"/>
  <c r="M116" i="12"/>
  <c r="M132" i="12"/>
  <c r="M104" i="12"/>
  <c r="M108" i="12"/>
  <c r="M124" i="12"/>
  <c r="C101" i="12"/>
  <c r="M101" i="12"/>
  <c r="M14" i="12"/>
  <c r="O8" i="12"/>
  <c r="Y20" i="4"/>
  <c r="Z20" i="4" s="1"/>
  <c r="D13" i="10" s="1"/>
  <c r="AH22" i="4"/>
  <c r="AE21" i="4"/>
  <c r="H23" i="8" l="1"/>
  <c r="Q8" i="12"/>
  <c r="O91" i="12"/>
  <c r="O87" i="12"/>
  <c r="P87" i="12" s="1"/>
  <c r="O89" i="12"/>
  <c r="O85" i="12"/>
  <c r="O92" i="12"/>
  <c r="P92" i="12" s="1"/>
  <c r="O88" i="12"/>
  <c r="O84" i="12"/>
  <c r="O90" i="12"/>
  <c r="P90" i="12" s="1"/>
  <c r="O86" i="12"/>
  <c r="O83" i="12"/>
  <c r="N91" i="12"/>
  <c r="N84" i="12"/>
  <c r="N75" i="12"/>
  <c r="O138" i="12"/>
  <c r="O137" i="12"/>
  <c r="O140" i="12"/>
  <c r="O136" i="12"/>
  <c r="O139" i="12"/>
  <c r="O75" i="12"/>
  <c r="O73" i="12"/>
  <c r="P73" i="12" s="1"/>
  <c r="O69" i="12"/>
  <c r="P69" i="12" s="1"/>
  <c r="O76" i="12"/>
  <c r="P76" i="12" s="1"/>
  <c r="O72" i="12"/>
  <c r="O71" i="12"/>
  <c r="P71" i="12" s="1"/>
  <c r="O74" i="12"/>
  <c r="P74" i="12" s="1"/>
  <c r="O70" i="12"/>
  <c r="P70" i="12" s="1"/>
  <c r="R101" i="12"/>
  <c r="J13" i="10"/>
  <c r="F24" i="8" s="1"/>
  <c r="G24" i="8" s="1"/>
  <c r="O105" i="12"/>
  <c r="O109" i="12"/>
  <c r="O113" i="12"/>
  <c r="O117" i="12"/>
  <c r="O121" i="12"/>
  <c r="O125" i="12"/>
  <c r="O129" i="12"/>
  <c r="O133" i="12"/>
  <c r="O106" i="12"/>
  <c r="O110" i="12"/>
  <c r="O114" i="12"/>
  <c r="O118" i="12"/>
  <c r="O122" i="12"/>
  <c r="O126" i="12"/>
  <c r="O130" i="12"/>
  <c r="O134" i="12"/>
  <c r="O107" i="12"/>
  <c r="O111" i="12"/>
  <c r="O115" i="12"/>
  <c r="O119" i="12"/>
  <c r="O123" i="12"/>
  <c r="O127" i="12"/>
  <c r="O131" i="12"/>
  <c r="O135" i="12"/>
  <c r="O108" i="12"/>
  <c r="O112" i="12"/>
  <c r="O128" i="12"/>
  <c r="O116" i="12"/>
  <c r="O132" i="12"/>
  <c r="O120" i="12"/>
  <c r="O124" i="12"/>
  <c r="O104" i="12"/>
  <c r="O17" i="12"/>
  <c r="O21" i="12"/>
  <c r="O25" i="12"/>
  <c r="O29" i="12"/>
  <c r="O33" i="12"/>
  <c r="O37" i="12"/>
  <c r="O41" i="12"/>
  <c r="O45" i="12"/>
  <c r="O49" i="12"/>
  <c r="O53" i="12"/>
  <c r="O57" i="12"/>
  <c r="O61" i="12"/>
  <c r="O65" i="12"/>
  <c r="O77" i="12"/>
  <c r="O81" i="12"/>
  <c r="O14" i="12"/>
  <c r="O15" i="12"/>
  <c r="O20" i="12"/>
  <c r="O26" i="12"/>
  <c r="O31" i="12"/>
  <c r="O36" i="12"/>
  <c r="O42" i="12"/>
  <c r="O47" i="12"/>
  <c r="O52" i="12"/>
  <c r="O58" i="12"/>
  <c r="O63" i="12"/>
  <c r="O68" i="12"/>
  <c r="O82" i="12"/>
  <c r="O16" i="12"/>
  <c r="O22" i="12"/>
  <c r="O27" i="12"/>
  <c r="O32" i="12"/>
  <c r="O38" i="12"/>
  <c r="O43" i="12"/>
  <c r="O48" i="12"/>
  <c r="O54" i="12"/>
  <c r="O59" i="12"/>
  <c r="O64" i="12"/>
  <c r="O78" i="12"/>
  <c r="O18" i="12"/>
  <c r="O23" i="12"/>
  <c r="O28" i="12"/>
  <c r="O34" i="12"/>
  <c r="O39" i="12"/>
  <c r="O44" i="12"/>
  <c r="O50" i="12"/>
  <c r="O55" i="12"/>
  <c r="O60" i="12"/>
  <c r="O66" i="12"/>
  <c r="O79" i="12"/>
  <c r="O101" i="12"/>
  <c r="O19" i="12"/>
  <c r="O24" i="12"/>
  <c r="O30" i="12"/>
  <c r="O35" i="12"/>
  <c r="O40" i="12"/>
  <c r="O46" i="12"/>
  <c r="O51" i="12"/>
  <c r="O56" i="12"/>
  <c r="O62" i="12"/>
  <c r="O67" i="12"/>
  <c r="O80" i="12"/>
  <c r="Y21" i="4"/>
  <c r="Z21" i="4" s="1"/>
  <c r="D14" i="10" s="1"/>
  <c r="AH23" i="4"/>
  <c r="AE22" i="4"/>
  <c r="P75" i="12" l="1"/>
  <c r="P88" i="12"/>
  <c r="P91" i="12"/>
  <c r="P85" i="12"/>
  <c r="P84" i="12"/>
  <c r="P89" i="12"/>
  <c r="H24" i="8"/>
  <c r="R92" i="12"/>
  <c r="Q107" i="12"/>
  <c r="Q111" i="12"/>
  <c r="Q115" i="12"/>
  <c r="Q119" i="12"/>
  <c r="Q123" i="12"/>
  <c r="Q127" i="12"/>
  <c r="Q131" i="12"/>
  <c r="Q135" i="12"/>
  <c r="Q139" i="12"/>
  <c r="Q108" i="12"/>
  <c r="Q113" i="12"/>
  <c r="Q118" i="12"/>
  <c r="Q124" i="12"/>
  <c r="Q129" i="12"/>
  <c r="Q134" i="12"/>
  <c r="Q140" i="12"/>
  <c r="Q109" i="12"/>
  <c r="Q114" i="12"/>
  <c r="Q120" i="12"/>
  <c r="Q125" i="12"/>
  <c r="Q130" i="12"/>
  <c r="Q136" i="12"/>
  <c r="Q104" i="12"/>
  <c r="Q105" i="12"/>
  <c r="Q116" i="12"/>
  <c r="Q126" i="12"/>
  <c r="Q137" i="12"/>
  <c r="Q16" i="12"/>
  <c r="Q20" i="12"/>
  <c r="Q24" i="12"/>
  <c r="Q28" i="12"/>
  <c r="Q32" i="12"/>
  <c r="Q36" i="12"/>
  <c r="Q40" i="12"/>
  <c r="Q44" i="12"/>
  <c r="Q48" i="12"/>
  <c r="Q52" i="12"/>
  <c r="Q56" i="12"/>
  <c r="Q60" i="12"/>
  <c r="Q64" i="12"/>
  <c r="Q68" i="12"/>
  <c r="Q72" i="12"/>
  <c r="Q76" i="12"/>
  <c r="Q80" i="12"/>
  <c r="Q84" i="12"/>
  <c r="Q88" i="12"/>
  <c r="Q92" i="12"/>
  <c r="Q106" i="12"/>
  <c r="Q117" i="12"/>
  <c r="Q128" i="12"/>
  <c r="Q138" i="12"/>
  <c r="Q17" i="12"/>
  <c r="Q21" i="12"/>
  <c r="Q25" i="12"/>
  <c r="Q29" i="12"/>
  <c r="Q33" i="12"/>
  <c r="Q37" i="12"/>
  <c r="Q41" i="12"/>
  <c r="Q45" i="12"/>
  <c r="Q49" i="12"/>
  <c r="Q53" i="12"/>
  <c r="Q57" i="12"/>
  <c r="Q61" i="12"/>
  <c r="Q65" i="12"/>
  <c r="Q69" i="12"/>
  <c r="Q73" i="12"/>
  <c r="Q77" i="12"/>
  <c r="Q81" i="12"/>
  <c r="Q85" i="12"/>
  <c r="Q89" i="12"/>
  <c r="Q14" i="12"/>
  <c r="Q110" i="12"/>
  <c r="Q121" i="12"/>
  <c r="Q132" i="12"/>
  <c r="Q122" i="12"/>
  <c r="Q22" i="12"/>
  <c r="Q30" i="12"/>
  <c r="Q38" i="12"/>
  <c r="Q46" i="12"/>
  <c r="Q54" i="12"/>
  <c r="Q62" i="12"/>
  <c r="Q70" i="12"/>
  <c r="Q78" i="12"/>
  <c r="Q86" i="12"/>
  <c r="Q18" i="12"/>
  <c r="Q34" i="12"/>
  <c r="Q50" i="12"/>
  <c r="Q66" i="12"/>
  <c r="Q90" i="12"/>
  <c r="Q133" i="12"/>
  <c r="Q15" i="12"/>
  <c r="Q23" i="12"/>
  <c r="Q31" i="12"/>
  <c r="Q39" i="12"/>
  <c r="Q47" i="12"/>
  <c r="Q55" i="12"/>
  <c r="Q63" i="12"/>
  <c r="Q71" i="12"/>
  <c r="Q79" i="12"/>
  <c r="Q87" i="12"/>
  <c r="Q26" i="12"/>
  <c r="Q42" i="12"/>
  <c r="Q58" i="12"/>
  <c r="Q74" i="12"/>
  <c r="Q82" i="12"/>
  <c r="Q112" i="12"/>
  <c r="Q19" i="12"/>
  <c r="Q27" i="12"/>
  <c r="Q35" i="12"/>
  <c r="Q43" i="12"/>
  <c r="Q51" i="12"/>
  <c r="Q59" i="12"/>
  <c r="Q67" i="12"/>
  <c r="Q75" i="12"/>
  <c r="Q83" i="12"/>
  <c r="Q91" i="12"/>
  <c r="R67" i="12"/>
  <c r="R59" i="12"/>
  <c r="R42" i="12"/>
  <c r="R61" i="12"/>
  <c r="R71" i="12"/>
  <c r="R73" i="12"/>
  <c r="R76" i="12"/>
  <c r="R44" i="12"/>
  <c r="R79" i="12"/>
  <c r="R63" i="12"/>
  <c r="R80" i="12"/>
  <c r="R65" i="12"/>
  <c r="R75" i="12"/>
  <c r="R48" i="12"/>
  <c r="R54" i="12"/>
  <c r="R51" i="12"/>
  <c r="R49" i="12"/>
  <c r="R74" i="12"/>
  <c r="R91" i="12"/>
  <c r="R83" i="12"/>
  <c r="Q101" i="12"/>
  <c r="R43" i="12"/>
  <c r="R58" i="12"/>
  <c r="R46" i="12"/>
  <c r="R45" i="12"/>
  <c r="R85" i="12"/>
  <c r="R84" i="12"/>
  <c r="R89" i="12"/>
  <c r="R66" i="12"/>
  <c r="R60" i="12"/>
  <c r="R82" i="12"/>
  <c r="R52" i="12"/>
  <c r="R62" i="12"/>
  <c r="R81" i="12"/>
  <c r="R57" i="12"/>
  <c r="R41" i="12"/>
  <c r="R70" i="12"/>
  <c r="R87" i="12"/>
  <c r="R88" i="12"/>
  <c r="R90" i="12"/>
  <c r="S8" i="12"/>
  <c r="R78" i="12"/>
  <c r="R55" i="12"/>
  <c r="R64" i="12"/>
  <c r="R50" i="12"/>
  <c r="R68" i="12"/>
  <c r="R47" i="12"/>
  <c r="R56" i="12"/>
  <c r="R77" i="12"/>
  <c r="R53" i="12"/>
  <c r="R69" i="12"/>
  <c r="R72" i="12"/>
  <c r="R86" i="12"/>
  <c r="P83" i="12"/>
  <c r="P86" i="12"/>
  <c r="P72" i="12"/>
  <c r="J14" i="10"/>
  <c r="F25" i="8" s="1"/>
  <c r="G25" i="8" s="1"/>
  <c r="N42" i="12"/>
  <c r="J42" i="12"/>
  <c r="N62" i="12"/>
  <c r="J62" i="12"/>
  <c r="N58" i="12"/>
  <c r="J58" i="12"/>
  <c r="N46" i="12"/>
  <c r="J46" i="12"/>
  <c r="N51" i="12"/>
  <c r="J51" i="12"/>
  <c r="D51" i="12"/>
  <c r="H51" i="12"/>
  <c r="F51" i="12"/>
  <c r="L51" i="12"/>
  <c r="D46" i="12"/>
  <c r="F46" i="12"/>
  <c r="H46" i="12"/>
  <c r="L46" i="12"/>
  <c r="D42" i="12"/>
  <c r="F42" i="12"/>
  <c r="H42" i="12"/>
  <c r="L42" i="12"/>
  <c r="H62" i="12"/>
  <c r="L62" i="12"/>
  <c r="D58" i="12"/>
  <c r="H58" i="12"/>
  <c r="F58" i="12"/>
  <c r="L58" i="12"/>
  <c r="P46" i="12"/>
  <c r="P42" i="12"/>
  <c r="P58" i="12"/>
  <c r="P62" i="12"/>
  <c r="P51" i="12"/>
  <c r="Y22" i="4"/>
  <c r="Z22" i="4" s="1"/>
  <c r="D15" i="10" s="1"/>
  <c r="AH24" i="4"/>
  <c r="AE23" i="4"/>
  <c r="H25" i="8" l="1"/>
  <c r="T90" i="12"/>
  <c r="S108" i="12"/>
  <c r="S112" i="12"/>
  <c r="S116" i="12"/>
  <c r="S120" i="12"/>
  <c r="S124" i="12"/>
  <c r="S128" i="12"/>
  <c r="S132" i="12"/>
  <c r="S136" i="12"/>
  <c r="S140" i="12"/>
  <c r="S107" i="12"/>
  <c r="S113" i="12"/>
  <c r="S118" i="12"/>
  <c r="S123" i="12"/>
  <c r="S129" i="12"/>
  <c r="S134" i="12"/>
  <c r="S139" i="12"/>
  <c r="S109" i="12"/>
  <c r="S114" i="12"/>
  <c r="S119" i="12"/>
  <c r="S125" i="12"/>
  <c r="S130" i="12"/>
  <c r="S135" i="12"/>
  <c r="S104" i="12"/>
  <c r="S110" i="12"/>
  <c r="S121" i="12"/>
  <c r="S131" i="12"/>
  <c r="S15" i="12"/>
  <c r="S19" i="12"/>
  <c r="S23" i="12"/>
  <c r="S27" i="12"/>
  <c r="S31" i="12"/>
  <c r="S35" i="12"/>
  <c r="S39" i="12"/>
  <c r="S43" i="12"/>
  <c r="S47" i="12"/>
  <c r="S51" i="12"/>
  <c r="S55" i="12"/>
  <c r="S59" i="12"/>
  <c r="S63" i="12"/>
  <c r="S67" i="12"/>
  <c r="S71" i="12"/>
  <c r="S75" i="12"/>
  <c r="S79" i="12"/>
  <c r="S83" i="12"/>
  <c r="S87" i="12"/>
  <c r="S91" i="12"/>
  <c r="S111" i="12"/>
  <c r="S122" i="12"/>
  <c r="S133" i="12"/>
  <c r="S16" i="12"/>
  <c r="S20" i="12"/>
  <c r="S24" i="12"/>
  <c r="S28" i="12"/>
  <c r="S32" i="12"/>
  <c r="S36" i="12"/>
  <c r="S40" i="12"/>
  <c r="S44" i="12"/>
  <c r="S48" i="12"/>
  <c r="S52" i="12"/>
  <c r="S56" i="12"/>
  <c r="S60" i="12"/>
  <c r="S64" i="12"/>
  <c r="S68" i="12"/>
  <c r="S72" i="12"/>
  <c r="S76" i="12"/>
  <c r="S80" i="12"/>
  <c r="S84" i="12"/>
  <c r="S88" i="12"/>
  <c r="S92" i="12"/>
  <c r="S105" i="12"/>
  <c r="S115" i="12"/>
  <c r="S126" i="12"/>
  <c r="S137" i="12"/>
  <c r="S117" i="12"/>
  <c r="S21" i="12"/>
  <c r="S29" i="12"/>
  <c r="S37" i="12"/>
  <c r="S45" i="12"/>
  <c r="S53" i="12"/>
  <c r="S61" i="12"/>
  <c r="S69" i="12"/>
  <c r="S77" i="12"/>
  <c r="S85" i="12"/>
  <c r="S14" i="12"/>
  <c r="S138" i="12"/>
  <c r="S17" i="12"/>
  <c r="S25" i="12"/>
  <c r="S41" i="12"/>
  <c r="S49" i="12"/>
  <c r="S65" i="12"/>
  <c r="S81" i="12"/>
  <c r="S127" i="12"/>
  <c r="S22" i="12"/>
  <c r="S30" i="12"/>
  <c r="S38" i="12"/>
  <c r="S46" i="12"/>
  <c r="S54" i="12"/>
  <c r="S62" i="12"/>
  <c r="S70" i="12"/>
  <c r="S78" i="12"/>
  <c r="S86" i="12"/>
  <c r="S33" i="12"/>
  <c r="S57" i="12"/>
  <c r="S73" i="12"/>
  <c r="S89" i="12"/>
  <c r="S106" i="12"/>
  <c r="S18" i="12"/>
  <c r="S26" i="12"/>
  <c r="S34" i="12"/>
  <c r="S42" i="12"/>
  <c r="S50" i="12"/>
  <c r="S58" i="12"/>
  <c r="S66" i="12"/>
  <c r="S74" i="12"/>
  <c r="S82" i="12"/>
  <c r="S90" i="12"/>
  <c r="T91" i="12"/>
  <c r="T79" i="12"/>
  <c r="T58" i="12"/>
  <c r="T86" i="12"/>
  <c r="T48" i="12"/>
  <c r="T41" i="12"/>
  <c r="T42" i="12"/>
  <c r="T49" i="12"/>
  <c r="T73" i="12"/>
  <c r="T54" i="12"/>
  <c r="T50" i="12"/>
  <c r="T72" i="12"/>
  <c r="U8" i="12"/>
  <c r="T77" i="12"/>
  <c r="T82" i="12"/>
  <c r="T57" i="12"/>
  <c r="T64" i="12"/>
  <c r="T89" i="12"/>
  <c r="T47" i="12"/>
  <c r="T45" i="12"/>
  <c r="T44" i="12"/>
  <c r="T84" i="12"/>
  <c r="S101" i="12"/>
  <c r="T71" i="12"/>
  <c r="T92" i="12"/>
  <c r="T43" i="12"/>
  <c r="T63" i="12"/>
  <c r="T59" i="12"/>
  <c r="T66" i="12"/>
  <c r="T60" i="12"/>
  <c r="T70" i="12"/>
  <c r="T87" i="12"/>
  <c r="T65" i="12"/>
  <c r="T53" i="12"/>
  <c r="T78" i="12"/>
  <c r="T81" i="12"/>
  <c r="T51" i="12"/>
  <c r="T61" i="12"/>
  <c r="T80" i="12"/>
  <c r="T56" i="12"/>
  <c r="T75" i="12"/>
  <c r="T74" i="12"/>
  <c r="T88" i="12"/>
  <c r="T85" i="12"/>
  <c r="T67" i="12"/>
  <c r="T46" i="12"/>
  <c r="T55" i="12"/>
  <c r="T68" i="12"/>
  <c r="T52" i="12"/>
  <c r="T69" i="12"/>
  <c r="T76" i="12"/>
  <c r="T83" i="12"/>
  <c r="J15" i="10"/>
  <c r="F26" i="8" s="1"/>
  <c r="G26" i="8" s="1"/>
  <c r="N56" i="12"/>
  <c r="J56" i="12"/>
  <c r="N60" i="12"/>
  <c r="J60" i="12"/>
  <c r="N61" i="12"/>
  <c r="J61" i="12"/>
  <c r="N47" i="12"/>
  <c r="J47" i="12"/>
  <c r="N64" i="12"/>
  <c r="J64" i="12"/>
  <c r="N45" i="12"/>
  <c r="J45" i="12"/>
  <c r="N54" i="12"/>
  <c r="J54" i="12"/>
  <c r="N65" i="12"/>
  <c r="J65" i="12"/>
  <c r="N68" i="12"/>
  <c r="J68" i="12"/>
  <c r="N43" i="12"/>
  <c r="J43" i="12"/>
  <c r="P44" i="12"/>
  <c r="N44" i="12"/>
  <c r="P55" i="12"/>
  <c r="N55" i="12"/>
  <c r="P50" i="12"/>
  <c r="N50" i="12"/>
  <c r="P49" i="12"/>
  <c r="N49" i="12"/>
  <c r="P57" i="12"/>
  <c r="N57" i="12"/>
  <c r="P52" i="12"/>
  <c r="N52" i="12"/>
  <c r="P53" i="12"/>
  <c r="N53" i="12"/>
  <c r="P59" i="12"/>
  <c r="N59" i="12"/>
  <c r="P67" i="12"/>
  <c r="N67" i="12"/>
  <c r="P48" i="12"/>
  <c r="N48" i="12"/>
  <c r="P63" i="12"/>
  <c r="N63" i="12"/>
  <c r="P41" i="12"/>
  <c r="N41" i="12"/>
  <c r="P66" i="12"/>
  <c r="N66" i="12"/>
  <c r="D65" i="12"/>
  <c r="F65" i="12"/>
  <c r="H65" i="12"/>
  <c r="L65" i="12"/>
  <c r="D68" i="12"/>
  <c r="H68" i="12"/>
  <c r="F68" i="12"/>
  <c r="L68" i="12"/>
  <c r="H63" i="12"/>
  <c r="L63" i="12"/>
  <c r="D43" i="12"/>
  <c r="F43" i="12"/>
  <c r="H43" i="12"/>
  <c r="L43" i="12"/>
  <c r="D44" i="12"/>
  <c r="H44" i="12"/>
  <c r="F44" i="12"/>
  <c r="L44" i="12"/>
  <c r="P65" i="12"/>
  <c r="P43" i="12"/>
  <c r="D47" i="12"/>
  <c r="H47" i="12"/>
  <c r="F47" i="12"/>
  <c r="L47" i="12"/>
  <c r="D66" i="12"/>
  <c r="H66" i="12"/>
  <c r="F66" i="12"/>
  <c r="L66" i="12"/>
  <c r="D48" i="12"/>
  <c r="F48" i="12"/>
  <c r="H48" i="12"/>
  <c r="L48" i="12"/>
  <c r="H64" i="12"/>
  <c r="L64" i="12"/>
  <c r="D60" i="12"/>
  <c r="H60" i="12"/>
  <c r="F60" i="12"/>
  <c r="L60" i="12"/>
  <c r="H45" i="12"/>
  <c r="L45" i="12"/>
  <c r="H55" i="12"/>
  <c r="L55" i="12"/>
  <c r="P64" i="12"/>
  <c r="P47" i="12"/>
  <c r="P45" i="12"/>
  <c r="H41" i="12"/>
  <c r="L41" i="12"/>
  <c r="D50" i="12"/>
  <c r="H50" i="12"/>
  <c r="F50" i="12"/>
  <c r="L50" i="12"/>
  <c r="D49" i="12"/>
  <c r="H49" i="12"/>
  <c r="F49" i="12"/>
  <c r="L49" i="12"/>
  <c r="D54" i="12"/>
  <c r="H54" i="12"/>
  <c r="F54" i="12"/>
  <c r="L54" i="12"/>
  <c r="H61" i="12"/>
  <c r="L61" i="12"/>
  <c r="D56" i="12"/>
  <c r="F56" i="12"/>
  <c r="H56" i="12"/>
  <c r="L56" i="12"/>
  <c r="D57" i="12"/>
  <c r="F57" i="12"/>
  <c r="H57" i="12"/>
  <c r="L57" i="12"/>
  <c r="D52" i="12"/>
  <c r="F52" i="12"/>
  <c r="H52" i="12"/>
  <c r="L52" i="12"/>
  <c r="D53" i="12"/>
  <c r="H53" i="12"/>
  <c r="F53" i="12"/>
  <c r="L53" i="12"/>
  <c r="D59" i="12"/>
  <c r="H59" i="12"/>
  <c r="F59" i="12"/>
  <c r="L59" i="12"/>
  <c r="D67" i="12"/>
  <c r="H67" i="12"/>
  <c r="F67" i="12"/>
  <c r="L67" i="12"/>
  <c r="P60" i="12"/>
  <c r="P68" i="12"/>
  <c r="P61" i="12"/>
  <c r="P54" i="12"/>
  <c r="P56" i="12"/>
  <c r="Y23" i="4"/>
  <c r="Z23" i="4" s="1"/>
  <c r="D16" i="10" s="1"/>
  <c r="AH25" i="4"/>
  <c r="AE24" i="4"/>
  <c r="T101" i="12" l="1"/>
  <c r="U105" i="12"/>
  <c r="U109" i="12"/>
  <c r="U113" i="12"/>
  <c r="U117" i="12"/>
  <c r="U121" i="12"/>
  <c r="U125" i="12"/>
  <c r="U129" i="12"/>
  <c r="U133" i="12"/>
  <c r="U137" i="12"/>
  <c r="U104" i="12"/>
  <c r="U107" i="12"/>
  <c r="U112" i="12"/>
  <c r="U118" i="12"/>
  <c r="U123" i="12"/>
  <c r="U128" i="12"/>
  <c r="U134" i="12"/>
  <c r="U139" i="12"/>
  <c r="U108" i="12"/>
  <c r="U114" i="12"/>
  <c r="U119" i="12"/>
  <c r="U124" i="12"/>
  <c r="U130" i="12"/>
  <c r="U135" i="12"/>
  <c r="U140" i="12"/>
  <c r="U115" i="12"/>
  <c r="U126" i="12"/>
  <c r="U136" i="12"/>
  <c r="U18" i="12"/>
  <c r="U22" i="12"/>
  <c r="U26" i="12"/>
  <c r="U30" i="12"/>
  <c r="U34" i="12"/>
  <c r="U38" i="12"/>
  <c r="U42" i="12"/>
  <c r="U46" i="12"/>
  <c r="U50" i="12"/>
  <c r="U54" i="12"/>
  <c r="U58" i="12"/>
  <c r="U62" i="12"/>
  <c r="U66" i="12"/>
  <c r="U70" i="12"/>
  <c r="U74" i="12"/>
  <c r="U78" i="12"/>
  <c r="U82" i="12"/>
  <c r="U86" i="12"/>
  <c r="AL86" i="12" s="1"/>
  <c r="U90" i="12"/>
  <c r="AL90" i="12" s="1"/>
  <c r="U106" i="12"/>
  <c r="U116" i="12"/>
  <c r="U127" i="12"/>
  <c r="U138" i="12"/>
  <c r="U15" i="12"/>
  <c r="U19" i="12"/>
  <c r="U23" i="12"/>
  <c r="U27" i="12"/>
  <c r="U31" i="12"/>
  <c r="U35" i="12"/>
  <c r="U39" i="12"/>
  <c r="U43" i="12"/>
  <c r="U47" i="12"/>
  <c r="U51" i="12"/>
  <c r="U55" i="12"/>
  <c r="U59" i="12"/>
  <c r="U63" i="12"/>
  <c r="U67" i="12"/>
  <c r="U71" i="12"/>
  <c r="U75" i="12"/>
  <c r="U79" i="12"/>
  <c r="U83" i="12"/>
  <c r="U87" i="12"/>
  <c r="AM87" i="12" s="1"/>
  <c r="U91" i="12"/>
  <c r="AL91" i="12" s="1"/>
  <c r="U110" i="12"/>
  <c r="U120" i="12"/>
  <c r="U131" i="12"/>
  <c r="U111" i="12"/>
  <c r="U20" i="12"/>
  <c r="U28" i="12"/>
  <c r="U36" i="12"/>
  <c r="U44" i="12"/>
  <c r="U52" i="12"/>
  <c r="U60" i="12"/>
  <c r="U68" i="12"/>
  <c r="U76" i="12"/>
  <c r="U84" i="12"/>
  <c r="AL84" i="12" s="1"/>
  <c r="U92" i="12"/>
  <c r="AM92" i="12" s="1"/>
  <c r="U132" i="12"/>
  <c r="U16" i="12"/>
  <c r="U24" i="12"/>
  <c r="U32" i="12"/>
  <c r="U40" i="12"/>
  <c r="U56" i="12"/>
  <c r="U64" i="12"/>
  <c r="U72" i="12"/>
  <c r="U80" i="12"/>
  <c r="U122" i="12"/>
  <c r="U21" i="12"/>
  <c r="U29" i="12"/>
  <c r="U37" i="12"/>
  <c r="U45" i="12"/>
  <c r="U53" i="12"/>
  <c r="U61" i="12"/>
  <c r="U69" i="12"/>
  <c r="U77" i="12"/>
  <c r="U85" i="12"/>
  <c r="U14" i="12"/>
  <c r="U48" i="12"/>
  <c r="U88" i="12"/>
  <c r="AL88" i="12" s="1"/>
  <c r="U17" i="12"/>
  <c r="U25" i="12"/>
  <c r="U33" i="12"/>
  <c r="U41" i="12"/>
  <c r="U49" i="12"/>
  <c r="U57" i="12"/>
  <c r="U65" i="12"/>
  <c r="U73" i="12"/>
  <c r="U81" i="12"/>
  <c r="U89" i="12"/>
  <c r="H26" i="8"/>
  <c r="T62" i="12"/>
  <c r="V74" i="12"/>
  <c r="V66" i="12"/>
  <c r="V57" i="12"/>
  <c r="V78" i="12"/>
  <c r="B90" i="12"/>
  <c r="V50" i="12"/>
  <c r="V54" i="12"/>
  <c r="V43" i="12"/>
  <c r="V69" i="12"/>
  <c r="V89" i="12"/>
  <c r="V58" i="12"/>
  <c r="V42" i="12"/>
  <c r="V49" i="12"/>
  <c r="V79" i="12"/>
  <c r="V73" i="12"/>
  <c r="V91" i="12"/>
  <c r="V53" i="12"/>
  <c r="V62" i="12"/>
  <c r="V80" i="12"/>
  <c r="U101" i="12"/>
  <c r="V59" i="12"/>
  <c r="V72" i="12"/>
  <c r="V85" i="12"/>
  <c r="B92" i="12"/>
  <c r="V77" i="12"/>
  <c r="V81" i="12"/>
  <c r="V52" i="12"/>
  <c r="V61" i="12"/>
  <c r="V65" i="12"/>
  <c r="V44" i="12"/>
  <c r="V67" i="12"/>
  <c r="V51" i="12"/>
  <c r="V75" i="12"/>
  <c r="V76" i="12"/>
  <c r="B84" i="12"/>
  <c r="V83" i="12"/>
  <c r="V82" i="12"/>
  <c r="V48" i="12"/>
  <c r="V68" i="12"/>
  <c r="V46" i="12"/>
  <c r="V56" i="12"/>
  <c r="V60" i="12"/>
  <c r="V47" i="12"/>
  <c r="V70" i="12"/>
  <c r="V71" i="12"/>
  <c r="B86" i="12"/>
  <c r="V88" i="12"/>
  <c r="W8" i="12"/>
  <c r="J16" i="10"/>
  <c r="F27" i="8" s="1"/>
  <c r="G27" i="8" s="1"/>
  <c r="V87" i="12"/>
  <c r="B87" i="12"/>
  <c r="Y24" i="4"/>
  <c r="Z24" i="4" s="1"/>
  <c r="D17" i="10" s="1"/>
  <c r="AH26" i="4"/>
  <c r="AE25" i="4"/>
  <c r="AL87" i="12" l="1"/>
  <c r="AO87" i="12" s="1"/>
  <c r="AM86" i="12"/>
  <c r="AO86" i="12" s="1"/>
  <c r="V101" i="12"/>
  <c r="AM84" i="12"/>
  <c r="AN84" i="12" s="1"/>
  <c r="AL92" i="12"/>
  <c r="AL89" i="12"/>
  <c r="AM89" i="12"/>
  <c r="AM91" i="12"/>
  <c r="AO91" i="12" s="1"/>
  <c r="AM88" i="12"/>
  <c r="AN88" i="12" s="1"/>
  <c r="AM90" i="12"/>
  <c r="AO90" i="12" s="1"/>
  <c r="AL85" i="12"/>
  <c r="AM85" i="12"/>
  <c r="H27" i="8"/>
  <c r="W106" i="12"/>
  <c r="W110" i="12"/>
  <c r="W114" i="12"/>
  <c r="W118" i="12"/>
  <c r="W122" i="12"/>
  <c r="W126" i="12"/>
  <c r="W130" i="12"/>
  <c r="W134" i="12"/>
  <c r="W138" i="12"/>
  <c r="W107" i="12"/>
  <c r="W112" i="12"/>
  <c r="W117" i="12"/>
  <c r="W123" i="12"/>
  <c r="W128" i="12"/>
  <c r="W133" i="12"/>
  <c r="W139" i="12"/>
  <c r="W108" i="12"/>
  <c r="W113" i="12"/>
  <c r="W119" i="12"/>
  <c r="W124" i="12"/>
  <c r="W129" i="12"/>
  <c r="W135" i="12"/>
  <c r="W140" i="12"/>
  <c r="W109" i="12"/>
  <c r="W120" i="12"/>
  <c r="W131" i="12"/>
  <c r="W104" i="12"/>
  <c r="W16" i="12"/>
  <c r="W20" i="12"/>
  <c r="W24" i="12"/>
  <c r="W28" i="12"/>
  <c r="W32" i="12"/>
  <c r="W36" i="12"/>
  <c r="W40" i="12"/>
  <c r="W44" i="12"/>
  <c r="W48" i="12"/>
  <c r="W52" i="12"/>
  <c r="W56" i="12"/>
  <c r="W60" i="12"/>
  <c r="W64" i="12"/>
  <c r="W68" i="12"/>
  <c r="W72" i="12"/>
  <c r="W76" i="12"/>
  <c r="W80" i="12"/>
  <c r="W14" i="12"/>
  <c r="W111" i="12"/>
  <c r="W121" i="12"/>
  <c r="W132" i="12"/>
  <c r="W17" i="12"/>
  <c r="W21" i="12"/>
  <c r="W25" i="12"/>
  <c r="W29" i="12"/>
  <c r="W33" i="12"/>
  <c r="W37" i="12"/>
  <c r="W41" i="12"/>
  <c r="W45" i="12"/>
  <c r="W49" i="12"/>
  <c r="W53" i="12"/>
  <c r="W57" i="12"/>
  <c r="W61" i="12"/>
  <c r="W65" i="12"/>
  <c r="W69" i="12"/>
  <c r="W73" i="12"/>
  <c r="W77" i="12"/>
  <c r="W81" i="12"/>
  <c r="W115" i="12"/>
  <c r="W125" i="12"/>
  <c r="W136" i="12"/>
  <c r="W105" i="12"/>
  <c r="W18" i="12"/>
  <c r="W26" i="12"/>
  <c r="W34" i="12"/>
  <c r="W42" i="12"/>
  <c r="W50" i="12"/>
  <c r="W58" i="12"/>
  <c r="W66" i="12"/>
  <c r="W74" i="12"/>
  <c r="W82" i="12"/>
  <c r="W127" i="12"/>
  <c r="W22" i="12"/>
  <c r="W30" i="12"/>
  <c r="W38" i="12"/>
  <c r="W46" i="12"/>
  <c r="W62" i="12"/>
  <c r="W70" i="12"/>
  <c r="W78" i="12"/>
  <c r="W116" i="12"/>
  <c r="W19" i="12"/>
  <c r="W27" i="12"/>
  <c r="W35" i="12"/>
  <c r="W43" i="12"/>
  <c r="W51" i="12"/>
  <c r="W59" i="12"/>
  <c r="W67" i="12"/>
  <c r="W75" i="12"/>
  <c r="W83" i="12"/>
  <c r="W54" i="12"/>
  <c r="W137" i="12"/>
  <c r="W15" i="12"/>
  <c r="W23" i="12"/>
  <c r="W31" i="12"/>
  <c r="W39" i="12"/>
  <c r="W47" i="12"/>
  <c r="W55" i="12"/>
  <c r="W63" i="12"/>
  <c r="W71" i="12"/>
  <c r="W79" i="12"/>
  <c r="B91" i="12"/>
  <c r="V92" i="12"/>
  <c r="V55" i="12"/>
  <c r="V63" i="12"/>
  <c r="V41" i="12"/>
  <c r="V45" i="12"/>
  <c r="V64" i="12"/>
  <c r="V84" i="12"/>
  <c r="V86" i="12"/>
  <c r="V90" i="12"/>
  <c r="B89" i="12"/>
  <c r="B85" i="12"/>
  <c r="B88" i="12"/>
  <c r="J63" i="12"/>
  <c r="X79" i="12"/>
  <c r="J55" i="12"/>
  <c r="X77" i="12"/>
  <c r="X78" i="12"/>
  <c r="X81" i="12"/>
  <c r="X82" i="12"/>
  <c r="Y8" i="12"/>
  <c r="X83" i="12"/>
  <c r="W101" i="12"/>
  <c r="X101" i="12" s="1"/>
  <c r="X80" i="12"/>
  <c r="J17" i="10"/>
  <c r="F28" i="8" s="1"/>
  <c r="G28" i="8" s="1"/>
  <c r="Y25" i="4"/>
  <c r="Z25" i="4" s="1"/>
  <c r="D18" i="10" s="1"/>
  <c r="AH27" i="4"/>
  <c r="AE26" i="4"/>
  <c r="AN87" i="12" l="1"/>
  <c r="AO84" i="12"/>
  <c r="AN86" i="12"/>
  <c r="AO89" i="12"/>
  <c r="AN89" i="12"/>
  <c r="AO85" i="12"/>
  <c r="AN85" i="12"/>
  <c r="AO88" i="12"/>
  <c r="AN90" i="12"/>
  <c r="AN91" i="12"/>
  <c r="AN92" i="12"/>
  <c r="AO92" i="12"/>
  <c r="J28" i="8"/>
  <c r="H28" i="8"/>
  <c r="Y107" i="12"/>
  <c r="Y111" i="12"/>
  <c r="Y115" i="12"/>
  <c r="Y119" i="12"/>
  <c r="Y123" i="12"/>
  <c r="Y127" i="12"/>
  <c r="Y131" i="12"/>
  <c r="Y135" i="12"/>
  <c r="Y139" i="12"/>
  <c r="Y108" i="12"/>
  <c r="Y112" i="12"/>
  <c r="Y110" i="12"/>
  <c r="Y117" i="12"/>
  <c r="Y122" i="12"/>
  <c r="Y128" i="12"/>
  <c r="Y133" i="12"/>
  <c r="Y138" i="12"/>
  <c r="Y105" i="12"/>
  <c r="Y113" i="12"/>
  <c r="Y118" i="12"/>
  <c r="Y124" i="12"/>
  <c r="Y129" i="12"/>
  <c r="Y134" i="12"/>
  <c r="Y140" i="12"/>
  <c r="Y114" i="12"/>
  <c r="Y125" i="12"/>
  <c r="Y136" i="12"/>
  <c r="Y18" i="12"/>
  <c r="Y22" i="12"/>
  <c r="Y26" i="12"/>
  <c r="Y30" i="12"/>
  <c r="Y34" i="12"/>
  <c r="Y38" i="12"/>
  <c r="Y42" i="12"/>
  <c r="Y46" i="12"/>
  <c r="Y50" i="12"/>
  <c r="Y54" i="12"/>
  <c r="Y58" i="12"/>
  <c r="Y62" i="12"/>
  <c r="Y66" i="12"/>
  <c r="Y70" i="12"/>
  <c r="Y74" i="12"/>
  <c r="Y78" i="12"/>
  <c r="Y82" i="12"/>
  <c r="Y116" i="12"/>
  <c r="Y126" i="12"/>
  <c r="Y137" i="12"/>
  <c r="Y15" i="12"/>
  <c r="Y19" i="12"/>
  <c r="Y23" i="12"/>
  <c r="Y27" i="12"/>
  <c r="Y31" i="12"/>
  <c r="Y35" i="12"/>
  <c r="Y39" i="12"/>
  <c r="Y43" i="12"/>
  <c r="Y47" i="12"/>
  <c r="Y51" i="12"/>
  <c r="Y55" i="12"/>
  <c r="Y59" i="12"/>
  <c r="Y63" i="12"/>
  <c r="Y67" i="12"/>
  <c r="Y71" i="12"/>
  <c r="Y75" i="12"/>
  <c r="Y79" i="12"/>
  <c r="Y83" i="12"/>
  <c r="Y106" i="12"/>
  <c r="Y120" i="12"/>
  <c r="Y130" i="12"/>
  <c r="Y104" i="12"/>
  <c r="Y16" i="12"/>
  <c r="Y20" i="12"/>
  <c r="Y24" i="12"/>
  <c r="Y28" i="12"/>
  <c r="Y32" i="12"/>
  <c r="Y36" i="12"/>
  <c r="Y40" i="12"/>
  <c r="Y44" i="12"/>
  <c r="Y48" i="12"/>
  <c r="Y52" i="12"/>
  <c r="Y56" i="12"/>
  <c r="Y60" i="12"/>
  <c r="Y64" i="12"/>
  <c r="Y68" i="12"/>
  <c r="Y25" i="12"/>
  <c r="Y41" i="12"/>
  <c r="Y57" i="12"/>
  <c r="Y72" i="12"/>
  <c r="Y80" i="12"/>
  <c r="Y121" i="12"/>
  <c r="Y17" i="12"/>
  <c r="Y33" i="12"/>
  <c r="Y49" i="12"/>
  <c r="Y65" i="12"/>
  <c r="Y76" i="12"/>
  <c r="Y14" i="12"/>
  <c r="Y109" i="12"/>
  <c r="Y29" i="12"/>
  <c r="Y45" i="12"/>
  <c r="Y61" i="12"/>
  <c r="Y73" i="12"/>
  <c r="Y81" i="12"/>
  <c r="Y132" i="12"/>
  <c r="Y21" i="12"/>
  <c r="Y37" i="12"/>
  <c r="Y53" i="12"/>
  <c r="Y69" i="12"/>
  <c r="Y77" i="12"/>
  <c r="Z41" i="12"/>
  <c r="Z43" i="12"/>
  <c r="Z45" i="12"/>
  <c r="Z47" i="12"/>
  <c r="Z49" i="12"/>
  <c r="Z51" i="12"/>
  <c r="Z53" i="12"/>
  <c r="Z57" i="12"/>
  <c r="Z59" i="12"/>
  <c r="Z61" i="12"/>
  <c r="Z65" i="12"/>
  <c r="Z67" i="12"/>
  <c r="Z69" i="12"/>
  <c r="Z73" i="12"/>
  <c r="Z75" i="12"/>
  <c r="Z42" i="12"/>
  <c r="Z44" i="12"/>
  <c r="Z46" i="12"/>
  <c r="Z48" i="12"/>
  <c r="Z50" i="12"/>
  <c r="Z52" i="12"/>
  <c r="Z54" i="12"/>
  <c r="Z56" i="12"/>
  <c r="Z58" i="12"/>
  <c r="Z60" i="12"/>
  <c r="Z62" i="12"/>
  <c r="Z64" i="12"/>
  <c r="Z66" i="12"/>
  <c r="Z68" i="12"/>
  <c r="Z70" i="12"/>
  <c r="Z72" i="12"/>
  <c r="Z74" i="12"/>
  <c r="Z76" i="12"/>
  <c r="X53" i="12"/>
  <c r="X76" i="12"/>
  <c r="X60" i="12"/>
  <c r="X44" i="12"/>
  <c r="X75" i="12"/>
  <c r="X73" i="12"/>
  <c r="X59" i="12"/>
  <c r="X51" i="12"/>
  <c r="X43" i="12"/>
  <c r="X74" i="12"/>
  <c r="X66" i="12"/>
  <c r="X58" i="12"/>
  <c r="X50" i="12"/>
  <c r="X42" i="12"/>
  <c r="X63" i="12"/>
  <c r="X52" i="12"/>
  <c r="X71" i="12"/>
  <c r="X69" i="12"/>
  <c r="X57" i="12"/>
  <c r="X49" i="12"/>
  <c r="X41" i="12"/>
  <c r="X72" i="12"/>
  <c r="X64" i="12"/>
  <c r="X56" i="12"/>
  <c r="X48" i="12"/>
  <c r="X61" i="12"/>
  <c r="X45" i="12"/>
  <c r="X68" i="12"/>
  <c r="X67" i="12"/>
  <c r="X65" i="12"/>
  <c r="X55" i="12"/>
  <c r="X47" i="12"/>
  <c r="X70" i="12"/>
  <c r="X62" i="12"/>
  <c r="X54" i="12"/>
  <c r="X46" i="12"/>
  <c r="Y101" i="12"/>
  <c r="AA8" i="12"/>
  <c r="J18" i="10"/>
  <c r="F29" i="8" s="1"/>
  <c r="G29" i="8" s="1"/>
  <c r="Y26" i="4"/>
  <c r="Z26" i="4" s="1"/>
  <c r="AH28" i="4"/>
  <c r="AE27" i="4"/>
  <c r="AA108" i="12" l="1"/>
  <c r="AA112" i="12"/>
  <c r="AA116" i="12"/>
  <c r="AA120" i="12"/>
  <c r="AA124" i="12"/>
  <c r="AA128" i="12"/>
  <c r="AA132" i="12"/>
  <c r="AA136" i="12"/>
  <c r="AB136" i="12" s="1"/>
  <c r="AA140" i="12"/>
  <c r="AA105" i="12"/>
  <c r="AA109" i="12"/>
  <c r="AA113" i="12"/>
  <c r="AA117" i="12"/>
  <c r="AA121" i="12"/>
  <c r="AA125" i="12"/>
  <c r="AA129" i="12"/>
  <c r="AA133" i="12"/>
  <c r="AA137" i="12"/>
  <c r="AB137" i="12" s="1"/>
  <c r="AA104" i="12"/>
  <c r="AA10" i="12" s="1"/>
  <c r="AA107" i="12"/>
  <c r="AA115" i="12"/>
  <c r="AA123" i="12"/>
  <c r="AA131" i="12"/>
  <c r="AA139" i="12"/>
  <c r="AA110" i="12"/>
  <c r="AA118" i="12"/>
  <c r="AA126" i="12"/>
  <c r="AA134" i="12"/>
  <c r="AA15" i="12"/>
  <c r="AA19" i="12"/>
  <c r="AA23" i="12"/>
  <c r="AA27" i="12"/>
  <c r="AA31" i="12"/>
  <c r="AA35" i="12"/>
  <c r="AA39" i="12"/>
  <c r="AA43" i="12"/>
  <c r="AA119" i="12"/>
  <c r="AA135" i="12"/>
  <c r="AA17" i="12"/>
  <c r="AA22" i="12"/>
  <c r="AA28" i="12"/>
  <c r="AA33" i="12"/>
  <c r="AA38" i="12"/>
  <c r="AA44" i="12"/>
  <c r="AA48" i="12"/>
  <c r="AA52" i="12"/>
  <c r="AA56" i="12"/>
  <c r="AA60" i="12"/>
  <c r="AA64" i="12"/>
  <c r="AA68" i="12"/>
  <c r="AA72" i="12"/>
  <c r="AA76" i="12"/>
  <c r="AA80" i="12"/>
  <c r="AA14" i="12"/>
  <c r="AA9" i="12" s="1"/>
  <c r="AA106" i="12"/>
  <c r="AA122" i="12"/>
  <c r="AA138" i="12"/>
  <c r="AA18" i="12"/>
  <c r="AA24" i="12"/>
  <c r="AA29" i="12"/>
  <c r="AA34" i="12"/>
  <c r="AA40" i="12"/>
  <c r="AA45" i="12"/>
  <c r="AA49" i="12"/>
  <c r="AA53" i="12"/>
  <c r="AA57" i="12"/>
  <c r="AA61" i="12"/>
  <c r="AA65" i="12"/>
  <c r="AA69" i="12"/>
  <c r="AA73" i="12"/>
  <c r="AA77" i="12"/>
  <c r="AA81" i="12"/>
  <c r="AA111" i="12"/>
  <c r="AA127" i="12"/>
  <c r="AA20" i="12"/>
  <c r="AA25" i="12"/>
  <c r="AA30" i="12"/>
  <c r="AA36" i="12"/>
  <c r="AA41" i="12"/>
  <c r="AA46" i="12"/>
  <c r="AA50" i="12"/>
  <c r="AA54" i="12"/>
  <c r="AA58" i="12"/>
  <c r="AA62" i="12"/>
  <c r="AA66" i="12"/>
  <c r="AA70" i="12"/>
  <c r="AA74" i="12"/>
  <c r="AA78" i="12"/>
  <c r="AA82" i="12"/>
  <c r="AA130" i="12"/>
  <c r="AA26" i="12"/>
  <c r="AA47" i="12"/>
  <c r="AA63" i="12"/>
  <c r="AA79" i="12"/>
  <c r="AA16" i="12"/>
  <c r="AA37" i="12"/>
  <c r="AA55" i="12"/>
  <c r="AA71" i="12"/>
  <c r="AA32" i="12"/>
  <c r="AA51" i="12"/>
  <c r="AA67" i="12"/>
  <c r="AA83" i="12"/>
  <c r="AA114" i="12"/>
  <c r="AA21" i="12"/>
  <c r="AA42" i="12"/>
  <c r="AA59" i="12"/>
  <c r="AA75" i="12"/>
  <c r="H29" i="8"/>
  <c r="Z71" i="12"/>
  <c r="Z63" i="12"/>
  <c r="Z55" i="12"/>
  <c r="AA101" i="12"/>
  <c r="AB46" i="12"/>
  <c r="AB54" i="12"/>
  <c r="AB62" i="12"/>
  <c r="AB70" i="12"/>
  <c r="AB43" i="12"/>
  <c r="AB51" i="12"/>
  <c r="AB59" i="12"/>
  <c r="AB67" i="12"/>
  <c r="AB75" i="12"/>
  <c r="AC8" i="12"/>
  <c r="AE8" i="12"/>
  <c r="Y27" i="4"/>
  <c r="Z27" i="4" s="1"/>
  <c r="AE28" i="4"/>
  <c r="H36" i="8" l="1"/>
  <c r="H37" i="8"/>
  <c r="AB14" i="12"/>
  <c r="AB138" i="12"/>
  <c r="AB140" i="12"/>
  <c r="AC105" i="12"/>
  <c r="AC109" i="12"/>
  <c r="AC113" i="12"/>
  <c r="AC117" i="12"/>
  <c r="AC121" i="12"/>
  <c r="AC125" i="12"/>
  <c r="AC129" i="12"/>
  <c r="AC133" i="12"/>
  <c r="AC137" i="12"/>
  <c r="AC104" i="12"/>
  <c r="AC106" i="12"/>
  <c r="AC110" i="12"/>
  <c r="AC114" i="12"/>
  <c r="AC118" i="12"/>
  <c r="AC122" i="12"/>
  <c r="AC126" i="12"/>
  <c r="AC130" i="12"/>
  <c r="AC134" i="12"/>
  <c r="AC138" i="12"/>
  <c r="AC112" i="12"/>
  <c r="AC120" i="12"/>
  <c r="AC128" i="12"/>
  <c r="AC136" i="12"/>
  <c r="AC16" i="12"/>
  <c r="AC20" i="12"/>
  <c r="AC24" i="12"/>
  <c r="AC28" i="12"/>
  <c r="AC32" i="12"/>
  <c r="AC36" i="12"/>
  <c r="AC40" i="12"/>
  <c r="AC44" i="12"/>
  <c r="AC48" i="12"/>
  <c r="AC52" i="12"/>
  <c r="AC56" i="12"/>
  <c r="AC60" i="12"/>
  <c r="AC64" i="12"/>
  <c r="AC68" i="12"/>
  <c r="AC72" i="12"/>
  <c r="AC76" i="12"/>
  <c r="AC80" i="12"/>
  <c r="AC107" i="12"/>
  <c r="AC115" i="12"/>
  <c r="AC123" i="12"/>
  <c r="AC131" i="12"/>
  <c r="AC139" i="12"/>
  <c r="AC17" i="12"/>
  <c r="AC21" i="12"/>
  <c r="AC25" i="12"/>
  <c r="AC29" i="12"/>
  <c r="AC33" i="12"/>
  <c r="AC37" i="12"/>
  <c r="AC41" i="12"/>
  <c r="AC45" i="12"/>
  <c r="AC49" i="12"/>
  <c r="AC53" i="12"/>
  <c r="AC57" i="12"/>
  <c r="AC61" i="12"/>
  <c r="AC65" i="12"/>
  <c r="AC69" i="12"/>
  <c r="AC73" i="12"/>
  <c r="AC77" i="12"/>
  <c r="AC81" i="12"/>
  <c r="AC108" i="12"/>
  <c r="AC124" i="12"/>
  <c r="AC140" i="12"/>
  <c r="AC18" i="12"/>
  <c r="AC26" i="12"/>
  <c r="AC34" i="12"/>
  <c r="AC42" i="12"/>
  <c r="AC50" i="12"/>
  <c r="AC58" i="12"/>
  <c r="AC66" i="12"/>
  <c r="AC74" i="12"/>
  <c r="AC82" i="12"/>
  <c r="AC111" i="12"/>
  <c r="AC127" i="12"/>
  <c r="AC19" i="12"/>
  <c r="AC27" i="12"/>
  <c r="AC35" i="12"/>
  <c r="AC43" i="12"/>
  <c r="AC51" i="12"/>
  <c r="AC59" i="12"/>
  <c r="AC67" i="12"/>
  <c r="AC75" i="12"/>
  <c r="AC83" i="12"/>
  <c r="AC116" i="12"/>
  <c r="AC132" i="12"/>
  <c r="AC22" i="12"/>
  <c r="AC30" i="12"/>
  <c r="AC38" i="12"/>
  <c r="AC46" i="12"/>
  <c r="AC54" i="12"/>
  <c r="AC62" i="12"/>
  <c r="AC70" i="12"/>
  <c r="AC78" i="12"/>
  <c r="AC14" i="12"/>
  <c r="AC39" i="12"/>
  <c r="AC71" i="12"/>
  <c r="AC23" i="12"/>
  <c r="AC55" i="12"/>
  <c r="AC119" i="12"/>
  <c r="AC15" i="12"/>
  <c r="AC47" i="12"/>
  <c r="AC79" i="12"/>
  <c r="AC135" i="12"/>
  <c r="AC31" i="12"/>
  <c r="AC63" i="12"/>
  <c r="AB139" i="12"/>
  <c r="B137" i="12"/>
  <c r="T137" i="12" s="1"/>
  <c r="AB35" i="12"/>
  <c r="AB27" i="12"/>
  <c r="AB19" i="12"/>
  <c r="AB38" i="12"/>
  <c r="AB30" i="12"/>
  <c r="AB22" i="12"/>
  <c r="AD42" i="12"/>
  <c r="AD44" i="12"/>
  <c r="AD48" i="12"/>
  <c r="AD50" i="12"/>
  <c r="AD52" i="12"/>
  <c r="AD54" i="12"/>
  <c r="AD56" i="12"/>
  <c r="AD58" i="12"/>
  <c r="AD60" i="12"/>
  <c r="AD64" i="12"/>
  <c r="AD66" i="12"/>
  <c r="AD68" i="12"/>
  <c r="AD70" i="12"/>
  <c r="AD74" i="12"/>
  <c r="AD76" i="12"/>
  <c r="AD43" i="12"/>
  <c r="AD45" i="12"/>
  <c r="AD47" i="12"/>
  <c r="AD49" i="12"/>
  <c r="AD51" i="12"/>
  <c r="AD53" i="12"/>
  <c r="AD55" i="12"/>
  <c r="AD57" i="12"/>
  <c r="AD59" i="12"/>
  <c r="AD61" i="12"/>
  <c r="AD65" i="12"/>
  <c r="AD69" i="12"/>
  <c r="AD73" i="12"/>
  <c r="AD63" i="12"/>
  <c r="AD67" i="12"/>
  <c r="AD71" i="12"/>
  <c r="AD75" i="12"/>
  <c r="AB58" i="12"/>
  <c r="AB42" i="12"/>
  <c r="AB18" i="12"/>
  <c r="AB71" i="12"/>
  <c r="AB69" i="12"/>
  <c r="AB57" i="12"/>
  <c r="AB49" i="12"/>
  <c r="AB41" i="12"/>
  <c r="AB33" i="12"/>
  <c r="AB25" i="12"/>
  <c r="AB17" i="12"/>
  <c r="AB72" i="12"/>
  <c r="AB64" i="12"/>
  <c r="AB56" i="12"/>
  <c r="AB48" i="12"/>
  <c r="AB40" i="12"/>
  <c r="AB32" i="12"/>
  <c r="AB24" i="12"/>
  <c r="AB16" i="12"/>
  <c r="AB73" i="12"/>
  <c r="AB66" i="12"/>
  <c r="AB50" i="12"/>
  <c r="AB34" i="12"/>
  <c r="AB26" i="12"/>
  <c r="AB65" i="12"/>
  <c r="AB55" i="12"/>
  <c r="AB47" i="12"/>
  <c r="AB39" i="12"/>
  <c r="AB31" i="12"/>
  <c r="AB23" i="12"/>
  <c r="AB15" i="12"/>
  <c r="AB74" i="12"/>
  <c r="AB63" i="12"/>
  <c r="AB61" i="12"/>
  <c r="AB53" i="12"/>
  <c r="AB45" i="12"/>
  <c r="AB37" i="12"/>
  <c r="AB29" i="12"/>
  <c r="AB21" i="12"/>
  <c r="AB76" i="12"/>
  <c r="AB68" i="12"/>
  <c r="AB60" i="12"/>
  <c r="AB52" i="12"/>
  <c r="AB44" i="12"/>
  <c r="AB36" i="12"/>
  <c r="AB28" i="12"/>
  <c r="AB20" i="12"/>
  <c r="AC101" i="12"/>
  <c r="AG8" i="12"/>
  <c r="O31" i="8"/>
  <c r="AE120" i="12"/>
  <c r="AE105" i="12"/>
  <c r="AE121" i="12"/>
  <c r="AE106" i="12"/>
  <c r="AE122" i="12"/>
  <c r="AE104" i="12"/>
  <c r="AE83" i="12"/>
  <c r="AE108" i="12"/>
  <c r="AE124" i="12"/>
  <c r="AE109" i="12"/>
  <c r="AE125" i="12"/>
  <c r="AE110" i="12"/>
  <c r="AE126" i="12"/>
  <c r="AE107" i="12"/>
  <c r="AE81" i="12"/>
  <c r="AE77" i="12"/>
  <c r="AE78" i="12"/>
  <c r="AE112" i="12"/>
  <c r="AE128" i="12"/>
  <c r="AE113" i="12"/>
  <c r="AE129" i="12"/>
  <c r="AE114" i="12"/>
  <c r="AE130" i="12"/>
  <c r="AE111" i="12"/>
  <c r="AE115" i="12"/>
  <c r="AE119" i="12"/>
  <c r="AE123" i="12"/>
  <c r="AE80" i="12"/>
  <c r="AE116" i="12"/>
  <c r="AE132" i="12"/>
  <c r="AE117" i="12"/>
  <c r="AE133" i="12"/>
  <c r="AE118" i="12"/>
  <c r="AE134" i="12"/>
  <c r="AE127" i="12"/>
  <c r="AE131" i="12"/>
  <c r="AE135" i="12"/>
  <c r="AE79" i="12"/>
  <c r="AE101" i="12"/>
  <c r="AE82" i="12"/>
  <c r="Y28" i="4"/>
  <c r="Z28" i="4" s="1"/>
  <c r="AL124" i="12" l="1"/>
  <c r="AM124" i="12"/>
  <c r="AM126" i="12"/>
  <c r="AL126" i="12"/>
  <c r="AM110" i="12"/>
  <c r="AL110" i="12"/>
  <c r="AM117" i="12"/>
  <c r="AL117" i="12"/>
  <c r="AM132" i="12"/>
  <c r="AL132" i="12"/>
  <c r="AL111" i="12"/>
  <c r="AM111" i="12"/>
  <c r="AL108" i="12"/>
  <c r="AM108" i="12"/>
  <c r="AL123" i="12"/>
  <c r="AM123" i="12"/>
  <c r="AL136" i="12"/>
  <c r="AM136" i="12"/>
  <c r="B138" i="12"/>
  <c r="L138" i="12" s="1"/>
  <c r="AL138" i="12"/>
  <c r="AM138" i="12"/>
  <c r="AM122" i="12"/>
  <c r="AL122" i="12"/>
  <c r="AM106" i="12"/>
  <c r="AL106" i="12"/>
  <c r="AL129" i="12"/>
  <c r="AM129" i="12"/>
  <c r="AM113" i="12"/>
  <c r="AL113" i="12"/>
  <c r="AL127" i="12"/>
  <c r="AM127" i="12"/>
  <c r="AL131" i="12"/>
  <c r="AM131" i="12"/>
  <c r="AM112" i="12"/>
  <c r="AL112" i="12"/>
  <c r="AL133" i="12"/>
  <c r="AM133" i="12"/>
  <c r="AL116" i="12"/>
  <c r="AM116" i="12"/>
  <c r="AM115" i="12"/>
  <c r="AL115" i="12"/>
  <c r="AM128" i="12"/>
  <c r="AL128" i="12"/>
  <c r="AM134" i="12"/>
  <c r="AL134" i="12"/>
  <c r="AL118" i="12"/>
  <c r="AM118" i="12"/>
  <c r="AL125" i="12"/>
  <c r="AM125" i="12"/>
  <c r="AM109" i="12"/>
  <c r="AL109" i="12"/>
  <c r="AL135" i="12"/>
  <c r="AM135" i="12"/>
  <c r="AL119" i="12"/>
  <c r="AM119" i="12"/>
  <c r="AM140" i="12"/>
  <c r="AL140" i="12"/>
  <c r="AL139" i="12"/>
  <c r="AM139" i="12"/>
  <c r="AL107" i="12"/>
  <c r="AM107" i="12"/>
  <c r="AM120" i="12"/>
  <c r="AL120" i="12"/>
  <c r="AM130" i="12"/>
  <c r="AL130" i="12"/>
  <c r="AM114" i="12"/>
  <c r="AL114" i="12"/>
  <c r="AM137" i="12"/>
  <c r="AL137" i="12"/>
  <c r="AM121" i="12"/>
  <c r="AL121" i="12"/>
  <c r="AL105" i="12"/>
  <c r="AM105" i="12"/>
  <c r="AL104" i="12"/>
  <c r="AM104" i="12"/>
  <c r="AL101" i="12"/>
  <c r="AM101" i="12"/>
  <c r="AL75" i="12"/>
  <c r="AM75" i="12"/>
  <c r="AL43" i="12"/>
  <c r="AM43" i="12"/>
  <c r="AL80" i="12"/>
  <c r="AM80" i="12"/>
  <c r="AL48" i="12"/>
  <c r="AM48" i="12"/>
  <c r="AL16" i="12"/>
  <c r="AM16" i="12"/>
  <c r="AL63" i="12"/>
  <c r="AM63" i="12"/>
  <c r="AL47" i="12"/>
  <c r="AM47" i="12"/>
  <c r="AL78" i="12"/>
  <c r="AM78" i="12"/>
  <c r="AL46" i="12"/>
  <c r="AM46" i="12"/>
  <c r="AL67" i="12"/>
  <c r="AM67" i="12"/>
  <c r="AL35" i="12"/>
  <c r="AM35" i="12"/>
  <c r="AL58" i="12"/>
  <c r="AM58" i="12"/>
  <c r="AL26" i="12"/>
  <c r="AM26" i="12"/>
  <c r="AL69" i="12"/>
  <c r="AM69" i="12"/>
  <c r="AL53" i="12"/>
  <c r="AM53" i="12"/>
  <c r="AL37" i="12"/>
  <c r="AM37" i="12"/>
  <c r="AL21" i="12"/>
  <c r="AM21" i="12"/>
  <c r="AL76" i="12"/>
  <c r="AM76" i="12"/>
  <c r="AL60" i="12"/>
  <c r="AM60" i="12"/>
  <c r="AL44" i="12"/>
  <c r="AM44" i="12"/>
  <c r="AL28" i="12"/>
  <c r="AM28" i="12"/>
  <c r="AL55" i="12"/>
  <c r="AM55" i="12"/>
  <c r="AL54" i="12"/>
  <c r="AM54" i="12"/>
  <c r="AL66" i="12"/>
  <c r="AM66" i="12"/>
  <c r="AL25" i="12"/>
  <c r="AM25" i="12"/>
  <c r="AL32" i="12"/>
  <c r="AM32" i="12"/>
  <c r="AL23" i="12"/>
  <c r="AM23" i="12"/>
  <c r="AL31" i="12"/>
  <c r="AM31" i="12"/>
  <c r="AL15" i="12"/>
  <c r="AM15" i="12"/>
  <c r="AL71" i="12"/>
  <c r="AM71" i="12"/>
  <c r="AL70" i="12"/>
  <c r="AM70" i="12"/>
  <c r="AL38" i="12"/>
  <c r="AM38" i="12"/>
  <c r="AL59" i="12"/>
  <c r="AM59" i="12"/>
  <c r="AL27" i="12"/>
  <c r="AM27" i="12"/>
  <c r="AL82" i="12"/>
  <c r="AM82" i="12"/>
  <c r="AL50" i="12"/>
  <c r="AM50" i="12"/>
  <c r="AL18" i="12"/>
  <c r="AM18" i="12"/>
  <c r="AL81" i="12"/>
  <c r="AM81" i="12"/>
  <c r="AL65" i="12"/>
  <c r="AM65" i="12"/>
  <c r="AL49" i="12"/>
  <c r="AM49" i="12"/>
  <c r="AL33" i="12"/>
  <c r="AM33" i="12"/>
  <c r="AL17" i="12"/>
  <c r="AM17" i="12"/>
  <c r="AL72" i="12"/>
  <c r="AM72" i="12"/>
  <c r="AL56" i="12"/>
  <c r="AM56" i="12"/>
  <c r="AL40" i="12"/>
  <c r="AM40" i="12"/>
  <c r="AL24" i="12"/>
  <c r="AM24" i="12"/>
  <c r="AL79" i="12"/>
  <c r="AM79" i="12"/>
  <c r="AL22" i="12"/>
  <c r="AM22" i="12"/>
  <c r="AL34" i="12"/>
  <c r="AM34" i="12"/>
  <c r="AL73" i="12"/>
  <c r="AM73" i="12"/>
  <c r="AL57" i="12"/>
  <c r="AM57" i="12"/>
  <c r="AL41" i="12"/>
  <c r="AM41" i="12"/>
  <c r="AL64" i="12"/>
  <c r="AM64" i="12"/>
  <c r="AL39" i="12"/>
  <c r="AM39" i="12"/>
  <c r="AL62" i="12"/>
  <c r="AM62" i="12"/>
  <c r="AL30" i="12"/>
  <c r="AM30" i="12"/>
  <c r="AL83" i="12"/>
  <c r="AM83" i="12"/>
  <c r="AL51" i="12"/>
  <c r="AM51" i="12"/>
  <c r="AL19" i="12"/>
  <c r="AM19" i="12"/>
  <c r="AL74" i="12"/>
  <c r="AM74" i="12"/>
  <c r="AL42" i="12"/>
  <c r="AM42" i="12"/>
  <c r="AL77" i="12"/>
  <c r="AM77" i="12"/>
  <c r="AL61" i="12"/>
  <c r="AM61" i="12"/>
  <c r="AL45" i="12"/>
  <c r="AM45" i="12"/>
  <c r="AL29" i="12"/>
  <c r="AM29" i="12"/>
  <c r="AL68" i="12"/>
  <c r="AM68" i="12"/>
  <c r="AL52" i="12"/>
  <c r="AM52" i="12"/>
  <c r="AL36" i="12"/>
  <c r="AM36" i="12"/>
  <c r="AL20" i="12"/>
  <c r="AM20" i="12"/>
  <c r="H38" i="8"/>
  <c r="H39" i="8"/>
  <c r="R137" i="12"/>
  <c r="P137" i="12"/>
  <c r="B139" i="12"/>
  <c r="P139" i="12" s="1"/>
  <c r="AD137" i="12"/>
  <c r="L137" i="12"/>
  <c r="J137" i="12"/>
  <c r="X137" i="12"/>
  <c r="D137" i="12"/>
  <c r="V137" i="12"/>
  <c r="N137" i="12"/>
  <c r="AM14" i="12"/>
  <c r="AL14" i="12"/>
  <c r="H137" i="12"/>
  <c r="Z137" i="12"/>
  <c r="B136" i="12"/>
  <c r="D136" i="12" s="1"/>
  <c r="AD138" i="12"/>
  <c r="D138" i="12"/>
  <c r="B140" i="12"/>
  <c r="Z140" i="12" s="1"/>
  <c r="F137" i="12"/>
  <c r="AD72" i="12"/>
  <c r="AD41" i="12"/>
  <c r="B54" i="12"/>
  <c r="B42" i="12"/>
  <c r="B40" i="12"/>
  <c r="F40" i="12" s="1"/>
  <c r="B41" i="12"/>
  <c r="J41" i="12" s="1"/>
  <c r="B72" i="12"/>
  <c r="D72" i="12" s="1"/>
  <c r="B56" i="12"/>
  <c r="B57" i="12"/>
  <c r="J57" i="12" s="1"/>
  <c r="B24" i="12"/>
  <c r="D24" i="12" s="1"/>
  <c r="B25" i="12"/>
  <c r="V25" i="12" s="1"/>
  <c r="B14" i="12"/>
  <c r="F14" i="12" s="1"/>
  <c r="B31" i="12"/>
  <c r="D31" i="12" s="1"/>
  <c r="B22" i="12"/>
  <c r="AD22" i="12" s="1"/>
  <c r="B65" i="12"/>
  <c r="B67" i="12"/>
  <c r="J67" i="12" s="1"/>
  <c r="B15" i="12"/>
  <c r="D15" i="12" s="1"/>
  <c r="B47" i="12"/>
  <c r="B71" i="12"/>
  <c r="D71" i="12" s="1"/>
  <c r="B70" i="12"/>
  <c r="B16" i="12"/>
  <c r="H16" i="12" s="1"/>
  <c r="B32" i="12"/>
  <c r="D32" i="12" s="1"/>
  <c r="B48" i="12"/>
  <c r="J48" i="12" s="1"/>
  <c r="B64" i="12"/>
  <c r="B17" i="12"/>
  <c r="N17" i="12" s="1"/>
  <c r="B33" i="12"/>
  <c r="F33" i="12" s="1"/>
  <c r="B49" i="12"/>
  <c r="J49" i="12" s="1"/>
  <c r="B69" i="12"/>
  <c r="B38" i="12"/>
  <c r="D38" i="12" s="1"/>
  <c r="B23" i="12"/>
  <c r="D23" i="12" s="1"/>
  <c r="B39" i="12"/>
  <c r="P39" i="12" s="1"/>
  <c r="B55" i="12"/>
  <c r="D55" i="12" s="1"/>
  <c r="B34" i="12"/>
  <c r="P34" i="12" s="1"/>
  <c r="B74" i="12"/>
  <c r="B59" i="12"/>
  <c r="J59" i="12" s="1"/>
  <c r="B27" i="12"/>
  <c r="Z27" i="12" s="1"/>
  <c r="B66" i="12"/>
  <c r="J66" i="12" s="1"/>
  <c r="B75" i="12"/>
  <c r="B43" i="12"/>
  <c r="B26" i="12"/>
  <c r="AD26" i="12" s="1"/>
  <c r="B50" i="12"/>
  <c r="J50" i="12" s="1"/>
  <c r="B73" i="12"/>
  <c r="B18" i="12"/>
  <c r="H18" i="12" s="1"/>
  <c r="B58" i="12"/>
  <c r="B35" i="12"/>
  <c r="H35" i="12" s="1"/>
  <c r="B51" i="12"/>
  <c r="B20" i="12"/>
  <c r="J20" i="12" s="1"/>
  <c r="B36" i="12"/>
  <c r="D36" i="12" s="1"/>
  <c r="B52" i="12"/>
  <c r="J52" i="12" s="1"/>
  <c r="B68" i="12"/>
  <c r="B21" i="12"/>
  <c r="V21" i="12" s="1"/>
  <c r="B37" i="12"/>
  <c r="D37" i="12" s="1"/>
  <c r="B53" i="12"/>
  <c r="J53" i="12" s="1"/>
  <c r="B63" i="12"/>
  <c r="D63" i="12" s="1"/>
  <c r="B19" i="12"/>
  <c r="X19" i="12" s="1"/>
  <c r="B28" i="12"/>
  <c r="D28" i="12" s="1"/>
  <c r="B44" i="12"/>
  <c r="J44" i="12" s="1"/>
  <c r="B60" i="12"/>
  <c r="B76" i="12"/>
  <c r="B29" i="12"/>
  <c r="D29" i="12" s="1"/>
  <c r="B45" i="12"/>
  <c r="D45" i="12" s="1"/>
  <c r="B61" i="12"/>
  <c r="AD62" i="12"/>
  <c r="B62" i="12"/>
  <c r="D62" i="12" s="1"/>
  <c r="AD46" i="12"/>
  <c r="B46" i="12"/>
  <c r="B30" i="12"/>
  <c r="D30" i="12" s="1"/>
  <c r="AI8" i="12"/>
  <c r="Q8" i="8"/>
  <c r="K9" i="8" s="1"/>
  <c r="AG106" i="12"/>
  <c r="AH106" i="12" s="1"/>
  <c r="AG122" i="12"/>
  <c r="AH122" i="12" s="1"/>
  <c r="AG104" i="12"/>
  <c r="AG111" i="12"/>
  <c r="AH111" i="12" s="1"/>
  <c r="AG127" i="12"/>
  <c r="AH127" i="12" s="1"/>
  <c r="AG120" i="12"/>
  <c r="AH120" i="12" s="1"/>
  <c r="AG129" i="12"/>
  <c r="AH129" i="12" s="1"/>
  <c r="AG117" i="12"/>
  <c r="AH117" i="12" s="1"/>
  <c r="AG79" i="12"/>
  <c r="AH79" i="12" s="1"/>
  <c r="AG110" i="12"/>
  <c r="AH110" i="12" s="1"/>
  <c r="AG126" i="12"/>
  <c r="AH126" i="12" s="1"/>
  <c r="AG115" i="12"/>
  <c r="AH115" i="12" s="1"/>
  <c r="AG131" i="12"/>
  <c r="AH131" i="12" s="1"/>
  <c r="AG108" i="12"/>
  <c r="AH108" i="12" s="1"/>
  <c r="AG124" i="12"/>
  <c r="AH124" i="12" s="1"/>
  <c r="AG133" i="12"/>
  <c r="AH133" i="12" s="1"/>
  <c r="AG83" i="12"/>
  <c r="AG81" i="12"/>
  <c r="AH81" i="12" s="1"/>
  <c r="AG80" i="12"/>
  <c r="AH80" i="12" s="1"/>
  <c r="AG114" i="12"/>
  <c r="AH114" i="12" s="1"/>
  <c r="AG130" i="12"/>
  <c r="AH130" i="12" s="1"/>
  <c r="AG119" i="12"/>
  <c r="AG135" i="12"/>
  <c r="AH135" i="12" s="1"/>
  <c r="AG112" i="12"/>
  <c r="AH112" i="12" s="1"/>
  <c r="AG128" i="12"/>
  <c r="AH128" i="12" s="1"/>
  <c r="AG109" i="12"/>
  <c r="AH109" i="12" s="1"/>
  <c r="AG77" i="12"/>
  <c r="AG118" i="12"/>
  <c r="AH118" i="12" s="1"/>
  <c r="AG134" i="12"/>
  <c r="AH134" i="12" s="1"/>
  <c r="AG107" i="12"/>
  <c r="AH107" i="12" s="1"/>
  <c r="AG123" i="12"/>
  <c r="AH123" i="12" s="1"/>
  <c r="AG116" i="12"/>
  <c r="AH116" i="12" s="1"/>
  <c r="AG132" i="12"/>
  <c r="AH132" i="12" s="1"/>
  <c r="AG125" i="12"/>
  <c r="AH125" i="12" s="1"/>
  <c r="AG113" i="12"/>
  <c r="AH113" i="12" s="1"/>
  <c r="AG105" i="12"/>
  <c r="AH105" i="12" s="1"/>
  <c r="AG101" i="12"/>
  <c r="AH101" i="12" s="1"/>
  <c r="AG82" i="12"/>
  <c r="AH82" i="12" s="1"/>
  <c r="AG121" i="12"/>
  <c r="AH121" i="12" s="1"/>
  <c r="AG78" i="12"/>
  <c r="AH78" i="12" s="1"/>
  <c r="AG11" i="12"/>
  <c r="L19" i="8" l="1"/>
  <c r="L17" i="8"/>
  <c r="L18" i="8"/>
  <c r="L20" i="8"/>
  <c r="L21" i="8"/>
  <c r="L22" i="8"/>
  <c r="L23" i="8"/>
  <c r="L24" i="8"/>
  <c r="L25" i="8"/>
  <c r="L26" i="8"/>
  <c r="L27" i="8"/>
  <c r="L28" i="8"/>
  <c r="L29" i="8"/>
  <c r="K8" i="8"/>
  <c r="V138" i="12"/>
  <c r="J138" i="12"/>
  <c r="X138" i="12"/>
  <c r="H138" i="12"/>
  <c r="R138" i="12"/>
  <c r="N138" i="12"/>
  <c r="F138" i="12"/>
  <c r="T138" i="12"/>
  <c r="P138" i="12"/>
  <c r="Z138" i="12"/>
  <c r="AN105" i="12"/>
  <c r="AO105" i="12"/>
  <c r="AN107" i="12"/>
  <c r="AO107" i="12"/>
  <c r="AN135" i="12"/>
  <c r="AO135" i="12"/>
  <c r="AN133" i="12"/>
  <c r="AO133" i="12"/>
  <c r="AN131" i="12"/>
  <c r="AO131" i="12"/>
  <c r="AN138" i="12"/>
  <c r="AO138" i="12"/>
  <c r="AN117" i="12"/>
  <c r="AO117" i="12"/>
  <c r="AN126" i="12"/>
  <c r="AO126" i="12"/>
  <c r="AN121" i="12"/>
  <c r="AO121" i="12"/>
  <c r="AN114" i="12"/>
  <c r="AO114" i="12"/>
  <c r="AN120" i="12"/>
  <c r="AO120" i="12"/>
  <c r="AN109" i="12"/>
  <c r="AO109" i="12"/>
  <c r="AN128" i="12"/>
  <c r="AO128" i="12"/>
  <c r="AN112" i="12"/>
  <c r="AO112" i="12"/>
  <c r="AN122" i="12"/>
  <c r="AO122" i="12"/>
  <c r="AN123" i="12"/>
  <c r="AO123" i="12"/>
  <c r="AN111" i="12"/>
  <c r="AO111" i="12"/>
  <c r="AN139" i="12"/>
  <c r="AO139" i="12"/>
  <c r="AN119" i="12"/>
  <c r="AO119" i="12"/>
  <c r="AN118" i="12"/>
  <c r="AO118" i="12"/>
  <c r="AN116" i="12"/>
  <c r="AO116" i="12"/>
  <c r="AN127" i="12"/>
  <c r="AO127" i="12"/>
  <c r="AN129" i="12"/>
  <c r="AO129" i="12"/>
  <c r="AN132" i="12"/>
  <c r="AO132" i="12"/>
  <c r="AN110" i="12"/>
  <c r="AO110" i="12"/>
  <c r="AN125" i="12"/>
  <c r="AO125" i="12"/>
  <c r="AN137" i="12"/>
  <c r="AO137" i="12"/>
  <c r="AN130" i="12"/>
  <c r="AO130" i="12"/>
  <c r="AN140" i="12"/>
  <c r="AO140" i="12"/>
  <c r="AN134" i="12"/>
  <c r="AO134" i="12"/>
  <c r="AN115" i="12"/>
  <c r="AO115" i="12"/>
  <c r="AN113" i="12"/>
  <c r="AO113" i="12"/>
  <c r="AN106" i="12"/>
  <c r="AO106" i="12"/>
  <c r="AN136" i="12"/>
  <c r="AO136" i="12"/>
  <c r="AN108" i="12"/>
  <c r="AO108" i="12"/>
  <c r="AN124" i="12"/>
  <c r="AO124" i="12"/>
  <c r="AO104" i="12"/>
  <c r="AN104" i="12"/>
  <c r="AN20" i="12"/>
  <c r="AO20" i="12"/>
  <c r="AN52" i="12"/>
  <c r="AO52" i="12"/>
  <c r="AO29" i="12"/>
  <c r="AN29" i="12"/>
  <c r="AO61" i="12"/>
  <c r="AN61" i="12"/>
  <c r="AO42" i="12"/>
  <c r="AN42" i="12"/>
  <c r="AN19" i="12"/>
  <c r="AO19" i="12"/>
  <c r="AO83" i="12"/>
  <c r="AN83" i="12"/>
  <c r="AN62" i="12"/>
  <c r="AO62" i="12"/>
  <c r="AN64" i="12"/>
  <c r="AO64" i="12"/>
  <c r="AO57" i="12"/>
  <c r="AN57" i="12"/>
  <c r="AO34" i="12"/>
  <c r="AN34" i="12"/>
  <c r="AN79" i="12"/>
  <c r="AO79" i="12"/>
  <c r="AN40" i="12"/>
  <c r="AO40" i="12"/>
  <c r="AN72" i="12"/>
  <c r="AO72" i="12"/>
  <c r="AO33" i="12"/>
  <c r="AN33" i="12"/>
  <c r="AO65" i="12"/>
  <c r="AN65" i="12"/>
  <c r="AO18" i="12"/>
  <c r="AN18" i="12"/>
  <c r="AO82" i="12"/>
  <c r="AN82" i="12"/>
  <c r="AN59" i="12"/>
  <c r="AO59" i="12"/>
  <c r="AO70" i="12"/>
  <c r="AN70" i="12"/>
  <c r="AN15" i="12"/>
  <c r="AO15" i="12"/>
  <c r="AN23" i="12"/>
  <c r="AO23" i="12"/>
  <c r="AO25" i="12"/>
  <c r="AN25" i="12"/>
  <c r="AO54" i="12"/>
  <c r="AN54" i="12"/>
  <c r="AN28" i="12"/>
  <c r="AO28" i="12"/>
  <c r="AN60" i="12"/>
  <c r="AO60" i="12"/>
  <c r="AO21" i="12"/>
  <c r="AN21" i="12"/>
  <c r="AO53" i="12"/>
  <c r="AN53" i="12"/>
  <c r="AO26" i="12"/>
  <c r="AN26" i="12"/>
  <c r="AN35" i="12"/>
  <c r="AO35" i="12"/>
  <c r="AN46" i="12"/>
  <c r="AO46" i="12"/>
  <c r="AO47" i="12"/>
  <c r="AN47" i="12"/>
  <c r="AN16" i="12"/>
  <c r="AO16" i="12"/>
  <c r="AN80" i="12"/>
  <c r="AO80" i="12"/>
  <c r="AN75" i="12"/>
  <c r="AO75" i="12"/>
  <c r="AN36" i="12"/>
  <c r="AO36" i="12"/>
  <c r="AN68" i="12"/>
  <c r="AO68" i="12"/>
  <c r="AO45" i="12"/>
  <c r="AN45" i="12"/>
  <c r="AO77" i="12"/>
  <c r="AN77" i="12"/>
  <c r="AO74" i="12"/>
  <c r="AN74" i="12"/>
  <c r="AO51" i="12"/>
  <c r="AN51" i="12"/>
  <c r="AN30" i="12"/>
  <c r="AO30" i="12"/>
  <c r="AN39" i="12"/>
  <c r="AO39" i="12"/>
  <c r="AO41" i="12"/>
  <c r="AN41" i="12"/>
  <c r="AO73" i="12"/>
  <c r="AN73" i="12"/>
  <c r="AN22" i="12"/>
  <c r="AO22" i="12"/>
  <c r="AN24" i="12"/>
  <c r="AO24" i="12"/>
  <c r="AN56" i="12"/>
  <c r="AO56" i="12"/>
  <c r="AO17" i="12"/>
  <c r="AN17" i="12"/>
  <c r="AO49" i="12"/>
  <c r="AN49" i="12"/>
  <c r="AO81" i="12"/>
  <c r="AN81" i="12"/>
  <c r="AO50" i="12"/>
  <c r="AN50" i="12"/>
  <c r="AN27" i="12"/>
  <c r="AO27" i="12"/>
  <c r="AN38" i="12"/>
  <c r="AO38" i="12"/>
  <c r="AN71" i="12"/>
  <c r="AO71" i="12"/>
  <c r="AN31" i="12"/>
  <c r="AO31" i="12"/>
  <c r="AN32" i="12"/>
  <c r="AO32" i="12"/>
  <c r="AN66" i="12"/>
  <c r="AO66" i="12"/>
  <c r="AN55" i="12"/>
  <c r="AO55" i="12"/>
  <c r="AN44" i="12"/>
  <c r="AO44" i="12"/>
  <c r="AN76" i="12"/>
  <c r="AO76" i="12"/>
  <c r="AO37" i="12"/>
  <c r="AN37" i="12"/>
  <c r="AO69" i="12"/>
  <c r="AN69" i="12"/>
  <c r="AO58" i="12"/>
  <c r="AN58" i="12"/>
  <c r="AO67" i="12"/>
  <c r="AN67" i="12"/>
  <c r="AN78" i="12"/>
  <c r="AO78" i="12"/>
  <c r="AN63" i="12"/>
  <c r="AO63" i="12"/>
  <c r="AN48" i="12"/>
  <c r="AO48" i="12"/>
  <c r="AN43" i="12"/>
  <c r="AO43" i="12"/>
  <c r="AO101" i="12"/>
  <c r="AN101" i="12"/>
  <c r="D139" i="12"/>
  <c r="L136" i="12"/>
  <c r="P136" i="12"/>
  <c r="V136" i="12"/>
  <c r="X136" i="12"/>
  <c r="H136" i="12"/>
  <c r="N136" i="12"/>
  <c r="AD136" i="12"/>
  <c r="F139" i="12"/>
  <c r="AD139" i="12"/>
  <c r="T140" i="12"/>
  <c r="X140" i="12"/>
  <c r="R140" i="12"/>
  <c r="Z136" i="12"/>
  <c r="F136" i="12"/>
  <c r="T139" i="12"/>
  <c r="F140" i="12"/>
  <c r="P140" i="12"/>
  <c r="J140" i="12"/>
  <c r="AD140" i="12"/>
  <c r="J139" i="12"/>
  <c r="L139" i="12"/>
  <c r="H139" i="12"/>
  <c r="V139" i="12"/>
  <c r="R139" i="12"/>
  <c r="N139" i="12"/>
  <c r="D140" i="12"/>
  <c r="H140" i="12"/>
  <c r="V140" i="12"/>
  <c r="J136" i="12"/>
  <c r="T136" i="12"/>
  <c r="R136" i="12"/>
  <c r="AO14" i="12"/>
  <c r="AN14" i="12"/>
  <c r="Z139" i="12"/>
  <c r="X139" i="12"/>
  <c r="N140" i="12"/>
  <c r="L140" i="12"/>
  <c r="AD19" i="12"/>
  <c r="V22" i="12"/>
  <c r="X28" i="12"/>
  <c r="L21" i="12"/>
  <c r="J25" i="12"/>
  <c r="X14" i="12"/>
  <c r="L39" i="12"/>
  <c r="P32" i="12"/>
  <c r="Z21" i="12"/>
  <c r="V17" i="12"/>
  <c r="P14" i="12"/>
  <c r="L38" i="12"/>
  <c r="J18" i="12"/>
  <c r="J31" i="12"/>
  <c r="H39" i="12"/>
  <c r="P28" i="12"/>
  <c r="AD16" i="12"/>
  <c r="AD17" i="12"/>
  <c r="P18" i="12"/>
  <c r="H14" i="12"/>
  <c r="T38" i="12"/>
  <c r="Z16" i="12"/>
  <c r="R37" i="12"/>
  <c r="L30" i="12"/>
  <c r="J24" i="12"/>
  <c r="X24" i="12"/>
  <c r="P30" i="12"/>
  <c r="N15" i="12"/>
  <c r="V15" i="12"/>
  <c r="N31" i="12"/>
  <c r="R40" i="12"/>
  <c r="J17" i="12"/>
  <c r="V34" i="12"/>
  <c r="AD34" i="12"/>
  <c r="R31" i="12"/>
  <c r="X21" i="12"/>
  <c r="N36" i="12"/>
  <c r="L31" i="12"/>
  <c r="P31" i="12"/>
  <c r="P20" i="12"/>
  <c r="Z22" i="12"/>
  <c r="X17" i="12"/>
  <c r="H22" i="12"/>
  <c r="H36" i="12"/>
  <c r="T33" i="12"/>
  <c r="X38" i="12"/>
  <c r="R20" i="12"/>
  <c r="N35" i="12"/>
  <c r="P38" i="12"/>
  <c r="AD20" i="12"/>
  <c r="AD29" i="12"/>
  <c r="R30" i="12"/>
  <c r="H34" i="12"/>
  <c r="R14" i="12"/>
  <c r="L17" i="12"/>
  <c r="Z38" i="12"/>
  <c r="P40" i="12"/>
  <c r="J23" i="12"/>
  <c r="Z15" i="12"/>
  <c r="Z26" i="12"/>
  <c r="L18" i="12"/>
  <c r="H21" i="12"/>
  <c r="H24" i="12"/>
  <c r="J35" i="12"/>
  <c r="R33" i="12"/>
  <c r="Z37" i="12"/>
  <c r="AD38" i="12"/>
  <c r="N24" i="12"/>
  <c r="L33" i="12"/>
  <c r="L19" i="12"/>
  <c r="X36" i="12"/>
  <c r="X30" i="12"/>
  <c r="AD15" i="12"/>
  <c r="T35" i="12"/>
  <c r="P36" i="12"/>
  <c r="N20" i="12"/>
  <c r="T14" i="12"/>
  <c r="X34" i="12"/>
  <c r="V36" i="12"/>
  <c r="P15" i="12"/>
  <c r="X33" i="12"/>
  <c r="P21" i="12"/>
  <c r="L22" i="12"/>
  <c r="N39" i="12"/>
  <c r="N19" i="12"/>
  <c r="L35" i="12"/>
  <c r="P19" i="12"/>
  <c r="H26" i="12"/>
  <c r="AD24" i="12"/>
  <c r="AD25" i="12"/>
  <c r="X29" i="12"/>
  <c r="P22" i="12"/>
  <c r="P23" i="12"/>
  <c r="X23" i="12"/>
  <c r="V31" i="12"/>
  <c r="P35" i="12"/>
  <c r="J14" i="12"/>
  <c r="Z24" i="12"/>
  <c r="R29" i="12"/>
  <c r="V26" i="12"/>
  <c r="H17" i="12"/>
  <c r="T16" i="12"/>
  <c r="Z25" i="12"/>
  <c r="P33" i="12"/>
  <c r="P26" i="12"/>
  <c r="AD27" i="12"/>
  <c r="H23" i="12"/>
  <c r="Z31" i="12"/>
  <c r="R39" i="12"/>
  <c r="R21" i="12"/>
  <c r="T30" i="12"/>
  <c r="R19" i="12"/>
  <c r="P27" i="12"/>
  <c r="X16" i="12"/>
  <c r="Z23" i="12"/>
  <c r="V35" i="12"/>
  <c r="T17" i="12"/>
  <c r="X22" i="12"/>
  <c r="P24" i="12"/>
  <c r="T19" i="12"/>
  <c r="T34" i="12"/>
  <c r="AD28" i="12"/>
  <c r="AD37" i="12"/>
  <c r="L34" i="12"/>
  <c r="Z39" i="12"/>
  <c r="L36" i="12"/>
  <c r="L24" i="12"/>
  <c r="T28" i="12"/>
  <c r="V16" i="12"/>
  <c r="V18" i="12"/>
  <c r="J33" i="12"/>
  <c r="T31" i="12"/>
  <c r="H37" i="12"/>
  <c r="Z40" i="12"/>
  <c r="J19" i="12"/>
  <c r="R23" i="12"/>
  <c r="V28" i="12"/>
  <c r="N27" i="12"/>
  <c r="AD23" i="12"/>
  <c r="H32" i="12"/>
  <c r="X18" i="12"/>
  <c r="H27" i="12"/>
  <c r="T21" i="12"/>
  <c r="H15" i="12"/>
  <c r="AD31" i="12"/>
  <c r="P17" i="12"/>
  <c r="T26" i="12"/>
  <c r="T25" i="12"/>
  <c r="Z20" i="12"/>
  <c r="L40" i="12"/>
  <c r="Z14" i="12"/>
  <c r="L23" i="12"/>
  <c r="T32" i="12"/>
  <c r="X32" i="12"/>
  <c r="R26" i="12"/>
  <c r="Z36" i="12"/>
  <c r="R28" i="12"/>
  <c r="N23" i="12"/>
  <c r="V29" i="12"/>
  <c r="T15" i="12"/>
  <c r="R15" i="12"/>
  <c r="AD32" i="12"/>
  <c r="N33" i="12"/>
  <c r="X20" i="12"/>
  <c r="J30" i="12"/>
  <c r="R18" i="12"/>
  <c r="X27" i="12"/>
  <c r="J36" i="12"/>
  <c r="R34" i="12"/>
  <c r="H31" i="12"/>
  <c r="T23" i="12"/>
  <c r="J32" i="12"/>
  <c r="V40" i="12"/>
  <c r="H33" i="12"/>
  <c r="Z34" i="12"/>
  <c r="N16" i="12"/>
  <c r="J37" i="12"/>
  <c r="AD18" i="12"/>
  <c r="AD35" i="12"/>
  <c r="V19" i="12"/>
  <c r="N28" i="12"/>
  <c r="T29" i="12"/>
  <c r="R38" i="12"/>
  <c r="H29" i="12"/>
  <c r="Z28" i="12"/>
  <c r="R35" i="12"/>
  <c r="H20" i="12"/>
  <c r="T36" i="12"/>
  <c r="V30" i="12"/>
  <c r="Z29" i="12"/>
  <c r="R22" i="12"/>
  <c r="R24" i="12"/>
  <c r="T37" i="12"/>
  <c r="R32" i="12"/>
  <c r="AD36" i="12"/>
  <c r="V24" i="12"/>
  <c r="X15" i="12"/>
  <c r="N40" i="12"/>
  <c r="P16" i="12"/>
  <c r="X35" i="12"/>
  <c r="N29" i="12"/>
  <c r="T22" i="12"/>
  <c r="J22" i="12"/>
  <c r="N26" i="12"/>
  <c r="V27" i="12"/>
  <c r="J38" i="12"/>
  <c r="V39" i="12"/>
  <c r="T40" i="12"/>
  <c r="L14" i="12"/>
  <c r="J39" i="12"/>
  <c r="AD14" i="12"/>
  <c r="AD39" i="12"/>
  <c r="H40" i="12"/>
  <c r="J26" i="12"/>
  <c r="Z35" i="12"/>
  <c r="J29" i="12"/>
  <c r="X31" i="12"/>
  <c r="AD30" i="12"/>
  <c r="AD33" i="12"/>
  <c r="R16" i="12"/>
  <c r="X37" i="12"/>
  <c r="L20" i="12"/>
  <c r="L28" i="12"/>
  <c r="L16" i="12"/>
  <c r="N21" i="12"/>
  <c r="N18" i="12"/>
  <c r="T39" i="12"/>
  <c r="Z33" i="12"/>
  <c r="R25" i="12"/>
  <c r="V37" i="12"/>
  <c r="V14" i="12"/>
  <c r="V33" i="12"/>
  <c r="N30" i="12"/>
  <c r="V32" i="12"/>
  <c r="N38" i="12"/>
  <c r="AD40" i="12"/>
  <c r="L27" i="12"/>
  <c r="L29" i="12"/>
  <c r="H25" i="12"/>
  <c r="X26" i="12"/>
  <c r="J15" i="12"/>
  <c r="T24" i="12"/>
  <c r="X25" i="12"/>
  <c r="N37" i="12"/>
  <c r="V20" i="12"/>
  <c r="N34" i="12"/>
  <c r="P25" i="12"/>
  <c r="V23" i="12"/>
  <c r="L26" i="12"/>
  <c r="T27" i="12"/>
  <c r="Z32" i="12"/>
  <c r="X39" i="12"/>
  <c r="P29" i="12"/>
  <c r="L15" i="12"/>
  <c r="R17" i="12"/>
  <c r="Z18" i="12"/>
  <c r="R27" i="12"/>
  <c r="R36" i="12"/>
  <c r="N22" i="12"/>
  <c r="P37" i="12"/>
  <c r="Z19" i="12"/>
  <c r="H19" i="12"/>
  <c r="T20" i="12"/>
  <c r="N32" i="12"/>
  <c r="AD21" i="12"/>
  <c r="H38" i="12"/>
  <c r="L32" i="12"/>
  <c r="T18" i="12"/>
  <c r="L25" i="12"/>
  <c r="J28" i="12"/>
  <c r="X40" i="12"/>
  <c r="Z17" i="12"/>
  <c r="V38" i="12"/>
  <c r="Z30" i="12"/>
  <c r="N25" i="12"/>
  <c r="H30" i="12"/>
  <c r="H28" i="12"/>
  <c r="L37" i="12"/>
  <c r="J34" i="12"/>
  <c r="F34" i="12"/>
  <c r="D34" i="12"/>
  <c r="F17" i="12"/>
  <c r="D17" i="12"/>
  <c r="J16" i="12"/>
  <c r="D16" i="12"/>
  <c r="F16" i="12"/>
  <c r="F26" i="12"/>
  <c r="D26" i="12"/>
  <c r="J27" i="12"/>
  <c r="D27" i="12"/>
  <c r="F27" i="12"/>
  <c r="J21" i="12"/>
  <c r="F21" i="12"/>
  <c r="D21" i="12"/>
  <c r="F20" i="12"/>
  <c r="D20" i="12"/>
  <c r="D18" i="12"/>
  <c r="F18" i="12"/>
  <c r="D25" i="12"/>
  <c r="F25" i="12"/>
  <c r="F35" i="12"/>
  <c r="D35" i="12"/>
  <c r="F19" i="12"/>
  <c r="D19" i="12"/>
  <c r="F22" i="12"/>
  <c r="D22" i="12"/>
  <c r="F38" i="12"/>
  <c r="F24" i="12"/>
  <c r="D64" i="12"/>
  <c r="F64" i="12"/>
  <c r="F55" i="12"/>
  <c r="F36" i="12"/>
  <c r="F30" i="12"/>
  <c r="D61" i="12"/>
  <c r="F61" i="12"/>
  <c r="D39" i="12"/>
  <c r="F39" i="12"/>
  <c r="D33" i="12"/>
  <c r="F37" i="12"/>
  <c r="F23" i="12"/>
  <c r="F31" i="12"/>
  <c r="F72" i="12"/>
  <c r="F62" i="12"/>
  <c r="F32" i="12"/>
  <c r="F29" i="12"/>
  <c r="F63" i="12"/>
  <c r="F45" i="12"/>
  <c r="F71" i="12"/>
  <c r="F28" i="12"/>
  <c r="F41" i="12"/>
  <c r="F15" i="12"/>
  <c r="N14" i="12"/>
  <c r="D14" i="12"/>
  <c r="D41" i="12"/>
  <c r="J40" i="12"/>
  <c r="D40" i="12"/>
  <c r="AH83" i="12"/>
  <c r="AH104" i="12"/>
  <c r="AG10" i="12"/>
  <c r="K31" i="8" s="1"/>
  <c r="AI114" i="12"/>
  <c r="AI130" i="12"/>
  <c r="AI119" i="12"/>
  <c r="AI135" i="12"/>
  <c r="AI112" i="12"/>
  <c r="AI128" i="12"/>
  <c r="AI80" i="12"/>
  <c r="AI77" i="12"/>
  <c r="B77" i="12" s="1"/>
  <c r="J77" i="12" s="1"/>
  <c r="AI118" i="12"/>
  <c r="AI134" i="12"/>
  <c r="AI107" i="12"/>
  <c r="AI123" i="12"/>
  <c r="AI116" i="12"/>
  <c r="AI132" i="12"/>
  <c r="AI117" i="12"/>
  <c r="AI105" i="12"/>
  <c r="AI129" i="12"/>
  <c r="AI113" i="12"/>
  <c r="AI101" i="12"/>
  <c r="AI82" i="12"/>
  <c r="AI106" i="12"/>
  <c r="AI122" i="12"/>
  <c r="AI104" i="12"/>
  <c r="AI111" i="12"/>
  <c r="AI127" i="12"/>
  <c r="AI120" i="12"/>
  <c r="AI133" i="12"/>
  <c r="AI121" i="12"/>
  <c r="AI109" i="12"/>
  <c r="AI79" i="12"/>
  <c r="AI78" i="12"/>
  <c r="AI110" i="12"/>
  <c r="AI126" i="12"/>
  <c r="AI115" i="12"/>
  <c r="AI131" i="12"/>
  <c r="AI108" i="12"/>
  <c r="AI124" i="12"/>
  <c r="AI125" i="12"/>
  <c r="AI83" i="12"/>
  <c r="B83" i="12" s="1"/>
  <c r="AI81" i="12"/>
  <c r="AH77" i="12"/>
  <c r="AG9" i="12"/>
  <c r="AH119" i="12"/>
  <c r="I27" i="8" l="1"/>
  <c r="I17" i="8"/>
  <c r="I32" i="8"/>
  <c r="I30" i="8"/>
  <c r="I31" i="8"/>
  <c r="N31" i="8" s="1"/>
  <c r="I19" i="8"/>
  <c r="I29" i="8"/>
  <c r="I25" i="8"/>
  <c r="I26" i="8"/>
  <c r="I18" i="8"/>
  <c r="I21" i="8"/>
  <c r="I22" i="8"/>
  <c r="I24" i="8"/>
  <c r="I28" i="8"/>
  <c r="I20" i="8"/>
  <c r="I23" i="8"/>
  <c r="S9" i="12"/>
  <c r="J24" i="8" s="1"/>
  <c r="U9" i="12"/>
  <c r="J25" i="8" s="1"/>
  <c r="Q9" i="12"/>
  <c r="J23" i="8" s="1"/>
  <c r="W9" i="12"/>
  <c r="J26" i="8" s="1"/>
  <c r="F77" i="12"/>
  <c r="P77" i="12"/>
  <c r="B122" i="12"/>
  <c r="X122" i="12" s="1"/>
  <c r="B129" i="12"/>
  <c r="X129" i="12" s="1"/>
  <c r="B109" i="12"/>
  <c r="X109" i="12" s="1"/>
  <c r="B125" i="12"/>
  <c r="X125" i="12" s="1"/>
  <c r="B119" i="12"/>
  <c r="X119" i="12" s="1"/>
  <c r="B105" i="12"/>
  <c r="X105" i="12" s="1"/>
  <c r="B134" i="12"/>
  <c r="X134" i="12" s="1"/>
  <c r="B130" i="12"/>
  <c r="X130" i="12" s="1"/>
  <c r="B135" i="12"/>
  <c r="X135" i="12" s="1"/>
  <c r="B123" i="12"/>
  <c r="X123" i="12" s="1"/>
  <c r="B128" i="12"/>
  <c r="X128" i="12" s="1"/>
  <c r="B133" i="12"/>
  <c r="X133" i="12" s="1"/>
  <c r="B110" i="12"/>
  <c r="X110" i="12" s="1"/>
  <c r="B132" i="12"/>
  <c r="X132" i="12" s="1"/>
  <c r="B127" i="12"/>
  <c r="X127" i="12" s="1"/>
  <c r="B121" i="12"/>
  <c r="X121" i="12" s="1"/>
  <c r="B120" i="12"/>
  <c r="X120" i="12" s="1"/>
  <c r="B131" i="12"/>
  <c r="X131" i="12" s="1"/>
  <c r="B81" i="12"/>
  <c r="J81" i="12" s="1"/>
  <c r="B78" i="12"/>
  <c r="J78" i="12" s="1"/>
  <c r="B115" i="12"/>
  <c r="X115" i="12" s="1"/>
  <c r="B106" i="12"/>
  <c r="X106" i="12" s="1"/>
  <c r="B113" i="12"/>
  <c r="X113" i="12" s="1"/>
  <c r="B118" i="12"/>
  <c r="X118" i="12" s="1"/>
  <c r="B112" i="12"/>
  <c r="X112" i="12" s="1"/>
  <c r="B101" i="12"/>
  <c r="J101" i="12" s="1"/>
  <c r="B82" i="12"/>
  <c r="J82" i="12" s="1"/>
  <c r="B117" i="12"/>
  <c r="X117" i="12" s="1"/>
  <c r="B104" i="12"/>
  <c r="X104" i="12" s="1"/>
  <c r="B114" i="12"/>
  <c r="X114" i="12" s="1"/>
  <c r="B124" i="12"/>
  <c r="X124" i="12" s="1"/>
  <c r="B107" i="12"/>
  <c r="X107" i="12" s="1"/>
  <c r="B80" i="12"/>
  <c r="J80" i="12" s="1"/>
  <c r="B108" i="12"/>
  <c r="X108" i="12" s="1"/>
  <c r="B126" i="12"/>
  <c r="X126" i="12" s="1"/>
  <c r="B111" i="12"/>
  <c r="X111" i="12" s="1"/>
  <c r="B116" i="12"/>
  <c r="X116" i="12" s="1"/>
  <c r="AF77" i="12"/>
  <c r="B79" i="12"/>
  <c r="J79" i="12" s="1"/>
  <c r="I9" i="12" l="1"/>
  <c r="W10" i="12"/>
  <c r="J108" i="12"/>
  <c r="T108" i="12"/>
  <c r="R108" i="12"/>
  <c r="V108" i="12"/>
  <c r="T104" i="12"/>
  <c r="R104" i="12"/>
  <c r="V104" i="12"/>
  <c r="V112" i="12"/>
  <c r="T112" i="12"/>
  <c r="R112" i="12"/>
  <c r="V115" i="12"/>
  <c r="T115" i="12"/>
  <c r="R115" i="12"/>
  <c r="J120" i="12"/>
  <c r="V120" i="12"/>
  <c r="T120" i="12"/>
  <c r="R120" i="12"/>
  <c r="V110" i="12"/>
  <c r="T110" i="12"/>
  <c r="R110" i="12"/>
  <c r="V135" i="12"/>
  <c r="R135" i="12"/>
  <c r="T135" i="12"/>
  <c r="T119" i="12"/>
  <c r="R119" i="12"/>
  <c r="V119" i="12"/>
  <c r="J122" i="12"/>
  <c r="T122" i="12"/>
  <c r="R122" i="12"/>
  <c r="V122" i="12"/>
  <c r="T111" i="12"/>
  <c r="V111" i="12"/>
  <c r="R111" i="12"/>
  <c r="T107" i="12"/>
  <c r="R107" i="12"/>
  <c r="V107" i="12"/>
  <c r="J117" i="12"/>
  <c r="R117" i="12"/>
  <c r="V117" i="12"/>
  <c r="T117" i="12"/>
  <c r="J118" i="12"/>
  <c r="R118" i="12"/>
  <c r="V118" i="12"/>
  <c r="T118" i="12"/>
  <c r="T121" i="12"/>
  <c r="V121" i="12"/>
  <c r="R121" i="12"/>
  <c r="J133" i="12"/>
  <c r="T133" i="12"/>
  <c r="V133" i="12"/>
  <c r="R133" i="12"/>
  <c r="R130" i="12"/>
  <c r="V130" i="12"/>
  <c r="T130" i="12"/>
  <c r="R125" i="12"/>
  <c r="T125" i="12"/>
  <c r="V125" i="12"/>
  <c r="V116" i="12"/>
  <c r="R116" i="12"/>
  <c r="T116" i="12"/>
  <c r="R126" i="12"/>
  <c r="V126" i="12"/>
  <c r="T126" i="12"/>
  <c r="T124" i="12"/>
  <c r="R124" i="12"/>
  <c r="V124" i="12"/>
  <c r="J113" i="12"/>
  <c r="R113" i="12"/>
  <c r="V113" i="12"/>
  <c r="T113" i="12"/>
  <c r="R127" i="12"/>
  <c r="V127" i="12"/>
  <c r="T127" i="12"/>
  <c r="J128" i="12"/>
  <c r="R128" i="12"/>
  <c r="T128" i="12"/>
  <c r="V128" i="12"/>
  <c r="J134" i="12"/>
  <c r="R134" i="12"/>
  <c r="T134" i="12"/>
  <c r="V134" i="12"/>
  <c r="V109" i="12"/>
  <c r="T109" i="12"/>
  <c r="R109" i="12"/>
  <c r="V114" i="12"/>
  <c r="T114" i="12"/>
  <c r="R114" i="12"/>
  <c r="V106" i="12"/>
  <c r="T106" i="12"/>
  <c r="R106" i="12"/>
  <c r="R131" i="12"/>
  <c r="T131" i="12"/>
  <c r="V131" i="12"/>
  <c r="J132" i="12"/>
  <c r="V132" i="12"/>
  <c r="R132" i="12"/>
  <c r="T132" i="12"/>
  <c r="R123" i="12"/>
  <c r="T123" i="12"/>
  <c r="V123" i="12"/>
  <c r="R105" i="12"/>
  <c r="V105" i="12"/>
  <c r="T105" i="12"/>
  <c r="J129" i="12"/>
  <c r="T129" i="12"/>
  <c r="V129" i="12"/>
  <c r="R129" i="12"/>
  <c r="J19" i="8"/>
  <c r="P106" i="12"/>
  <c r="J106" i="12"/>
  <c r="P131" i="12"/>
  <c r="J131" i="12"/>
  <c r="P111" i="12"/>
  <c r="J111" i="12"/>
  <c r="P104" i="12"/>
  <c r="J104" i="12"/>
  <c r="P112" i="12"/>
  <c r="J112" i="12"/>
  <c r="P115" i="12"/>
  <c r="J115" i="12"/>
  <c r="P110" i="12"/>
  <c r="J110" i="12"/>
  <c r="P135" i="12"/>
  <c r="J135" i="12"/>
  <c r="P119" i="12"/>
  <c r="J119" i="12"/>
  <c r="P123" i="12"/>
  <c r="J123" i="12"/>
  <c r="P126" i="12"/>
  <c r="J126" i="12"/>
  <c r="P107" i="12"/>
  <c r="J107" i="12"/>
  <c r="P121" i="12"/>
  <c r="J121" i="12"/>
  <c r="P130" i="12"/>
  <c r="J130" i="12"/>
  <c r="P125" i="12"/>
  <c r="J125" i="12"/>
  <c r="P116" i="12"/>
  <c r="J116" i="12"/>
  <c r="P114" i="12"/>
  <c r="J114" i="12"/>
  <c r="P105" i="12"/>
  <c r="J105" i="12"/>
  <c r="P124" i="12"/>
  <c r="J124" i="12"/>
  <c r="P127" i="12"/>
  <c r="J127" i="12"/>
  <c r="P109" i="12"/>
  <c r="J109" i="12"/>
  <c r="AF83" i="12"/>
  <c r="AF101" i="12"/>
  <c r="P101" i="12"/>
  <c r="AF132" i="12"/>
  <c r="P132" i="12"/>
  <c r="AF129" i="12"/>
  <c r="P129" i="12"/>
  <c r="AF120" i="12"/>
  <c r="P120" i="12"/>
  <c r="AF122" i="12"/>
  <c r="P122" i="12"/>
  <c r="AF117" i="12"/>
  <c r="P117" i="12"/>
  <c r="AF118" i="12"/>
  <c r="P118" i="12"/>
  <c r="AF78" i="12"/>
  <c r="P78" i="12"/>
  <c r="AF133" i="12"/>
  <c r="P133" i="12"/>
  <c r="AF80" i="12"/>
  <c r="P80" i="12"/>
  <c r="AF79" i="12"/>
  <c r="P79" i="12"/>
  <c r="AF108" i="12"/>
  <c r="P108" i="12"/>
  <c r="AF82" i="12"/>
  <c r="P82" i="12"/>
  <c r="AF113" i="12"/>
  <c r="P113" i="12"/>
  <c r="AF81" i="12"/>
  <c r="P81" i="12"/>
  <c r="AF128" i="12"/>
  <c r="P128" i="12"/>
  <c r="AF134" i="12"/>
  <c r="P134" i="12"/>
  <c r="AF124" i="12"/>
  <c r="D124" i="12"/>
  <c r="AF127" i="12"/>
  <c r="D127" i="12"/>
  <c r="AF131" i="12"/>
  <c r="D131" i="12"/>
  <c r="AF123" i="12"/>
  <c r="D123" i="12"/>
  <c r="AF111" i="12"/>
  <c r="D111" i="12"/>
  <c r="AF104" i="12"/>
  <c r="D104" i="12"/>
  <c r="AF112" i="12"/>
  <c r="D112" i="12"/>
  <c r="AF115" i="12"/>
  <c r="D115" i="12"/>
  <c r="AF110" i="12"/>
  <c r="D110" i="12"/>
  <c r="AF135" i="12"/>
  <c r="D135" i="12"/>
  <c r="AF119" i="12"/>
  <c r="D119" i="12"/>
  <c r="AF109" i="12"/>
  <c r="D109" i="12"/>
  <c r="AF116" i="12"/>
  <c r="D116" i="12"/>
  <c r="AF114" i="12"/>
  <c r="D114" i="12"/>
  <c r="AF106" i="12"/>
  <c r="D106" i="12"/>
  <c r="AF105" i="12"/>
  <c r="D105" i="12"/>
  <c r="AF126" i="12"/>
  <c r="D126" i="12"/>
  <c r="AF107" i="12"/>
  <c r="D107" i="12"/>
  <c r="AF121" i="12"/>
  <c r="D121" i="12"/>
  <c r="AF130" i="12"/>
  <c r="D130" i="12"/>
  <c r="AF125" i="12"/>
  <c r="D125" i="12"/>
  <c r="AJ116" i="12"/>
  <c r="AJ108" i="12"/>
  <c r="AE9" i="12"/>
  <c r="AJ111" i="12"/>
  <c r="AJ126" i="12"/>
  <c r="AJ112" i="12"/>
  <c r="AJ121" i="12"/>
  <c r="AJ109" i="12"/>
  <c r="AJ119" i="12"/>
  <c r="AJ101" i="12"/>
  <c r="AJ115" i="12"/>
  <c r="AJ124" i="12"/>
  <c r="AJ82" i="12"/>
  <c r="AJ78" i="12"/>
  <c r="AJ114" i="12"/>
  <c r="AJ117" i="12"/>
  <c r="AJ134" i="12"/>
  <c r="AJ122" i="12"/>
  <c r="AJ118" i="12"/>
  <c r="AJ127" i="12"/>
  <c r="AJ131" i="12"/>
  <c r="AJ129" i="12"/>
  <c r="AJ80" i="12"/>
  <c r="AJ113" i="12"/>
  <c r="AJ135" i="12"/>
  <c r="AJ123" i="12"/>
  <c r="AJ133" i="12"/>
  <c r="AJ83" i="12"/>
  <c r="AJ77" i="12"/>
  <c r="AJ104" i="12"/>
  <c r="AJ132" i="12"/>
  <c r="AJ120" i="12"/>
  <c r="AJ125" i="12"/>
  <c r="AJ130" i="12"/>
  <c r="AJ107" i="12"/>
  <c r="AJ106" i="12"/>
  <c r="AJ110" i="12"/>
  <c r="AJ128" i="12"/>
  <c r="AJ105" i="12"/>
  <c r="AJ79" i="12"/>
  <c r="AJ81" i="12"/>
  <c r="AE10" i="12"/>
  <c r="K30" i="8" s="1"/>
  <c r="N30" i="8" s="1"/>
  <c r="AB80" i="12"/>
  <c r="AD80" i="12"/>
  <c r="AB111" i="12"/>
  <c r="AD111" i="12"/>
  <c r="AB126" i="12"/>
  <c r="AD126" i="12"/>
  <c r="AB107" i="12"/>
  <c r="AD107" i="12"/>
  <c r="AB112" i="12"/>
  <c r="AD112" i="12"/>
  <c r="AB131" i="12"/>
  <c r="AD131" i="12"/>
  <c r="AB127" i="12"/>
  <c r="AD127" i="12"/>
  <c r="AB128" i="12"/>
  <c r="AD128" i="12"/>
  <c r="AB130" i="12"/>
  <c r="AD130" i="12"/>
  <c r="AB129" i="12"/>
  <c r="AD129" i="12"/>
  <c r="AB124" i="12"/>
  <c r="AD124" i="12"/>
  <c r="AB114" i="12"/>
  <c r="AD114" i="12"/>
  <c r="AB115" i="12"/>
  <c r="AD115" i="12"/>
  <c r="AB132" i="12"/>
  <c r="AD132" i="12"/>
  <c r="AB134" i="12"/>
  <c r="AD134" i="12"/>
  <c r="AB122" i="12"/>
  <c r="AD122" i="12"/>
  <c r="AB79" i="12"/>
  <c r="AD79" i="12"/>
  <c r="AB116" i="12"/>
  <c r="AD116" i="12"/>
  <c r="AB108" i="12"/>
  <c r="AD108" i="12"/>
  <c r="AB83" i="12"/>
  <c r="AD83" i="12"/>
  <c r="AB104" i="12"/>
  <c r="AD104" i="12"/>
  <c r="AB118" i="12"/>
  <c r="AD118" i="12"/>
  <c r="AB113" i="12"/>
  <c r="AD113" i="12"/>
  <c r="AB78" i="12"/>
  <c r="AD78" i="12"/>
  <c r="AB121" i="12"/>
  <c r="AD121" i="12"/>
  <c r="AB110" i="12"/>
  <c r="AD110" i="12"/>
  <c r="AB123" i="12"/>
  <c r="AD123" i="12"/>
  <c r="AB105" i="12"/>
  <c r="AD105" i="12"/>
  <c r="AB125" i="12"/>
  <c r="AD125" i="12"/>
  <c r="AB77" i="12"/>
  <c r="AD77" i="12"/>
  <c r="AB117" i="12"/>
  <c r="AD117" i="12"/>
  <c r="AB82" i="12"/>
  <c r="AD82" i="12"/>
  <c r="AB101" i="12"/>
  <c r="AD101" i="12"/>
  <c r="AB106" i="12"/>
  <c r="AD106" i="12"/>
  <c r="AB81" i="12"/>
  <c r="AD81" i="12"/>
  <c r="AB120" i="12"/>
  <c r="AD120" i="12"/>
  <c r="AB133" i="12"/>
  <c r="AD133" i="12"/>
  <c r="AB135" i="12"/>
  <c r="AD135" i="12"/>
  <c r="AB119" i="12"/>
  <c r="AD119" i="12"/>
  <c r="AB109" i="12"/>
  <c r="AD109" i="12"/>
  <c r="Z126" i="12"/>
  <c r="Z107" i="12"/>
  <c r="Z112" i="12"/>
  <c r="Z128" i="12"/>
  <c r="Z129" i="12"/>
  <c r="Z124" i="12"/>
  <c r="Z114" i="12"/>
  <c r="Z115" i="12"/>
  <c r="Z132" i="12"/>
  <c r="Z134" i="12"/>
  <c r="Z122" i="12"/>
  <c r="Z77" i="12"/>
  <c r="Z111" i="12"/>
  <c r="Z131" i="12"/>
  <c r="Z127" i="12"/>
  <c r="Z130" i="12"/>
  <c r="Z79" i="12"/>
  <c r="Z116" i="12"/>
  <c r="Z108" i="12"/>
  <c r="Z83" i="12"/>
  <c r="Z104" i="12"/>
  <c r="Z118" i="12"/>
  <c r="Z113" i="12"/>
  <c r="Z78" i="12"/>
  <c r="Z121" i="12"/>
  <c r="Z110" i="12"/>
  <c r="Z123" i="12"/>
  <c r="Z105" i="12"/>
  <c r="Z125" i="12"/>
  <c r="Z80" i="12"/>
  <c r="Z117" i="12"/>
  <c r="Z82" i="12"/>
  <c r="Z101" i="12"/>
  <c r="Z106" i="12"/>
  <c r="Z81" i="12"/>
  <c r="Z120" i="12"/>
  <c r="Z133" i="12"/>
  <c r="Z135" i="12"/>
  <c r="Z119" i="12"/>
  <c r="Z109" i="12"/>
  <c r="L107" i="12"/>
  <c r="N107" i="12"/>
  <c r="L130" i="12"/>
  <c r="N130" i="12"/>
  <c r="L111" i="12"/>
  <c r="N111" i="12"/>
  <c r="L112" i="12"/>
  <c r="N112" i="12"/>
  <c r="L127" i="12"/>
  <c r="N127" i="12"/>
  <c r="L132" i="12"/>
  <c r="N132" i="12"/>
  <c r="L131" i="12"/>
  <c r="N131" i="12"/>
  <c r="L128" i="12"/>
  <c r="N128" i="12"/>
  <c r="L129" i="12"/>
  <c r="N129" i="12"/>
  <c r="L114" i="12"/>
  <c r="N114" i="12"/>
  <c r="L115" i="12"/>
  <c r="N115" i="12"/>
  <c r="L122" i="12"/>
  <c r="N122" i="12"/>
  <c r="L79" i="12"/>
  <c r="N79" i="12"/>
  <c r="L116" i="12"/>
  <c r="N116" i="12"/>
  <c r="L108" i="12"/>
  <c r="N108" i="12"/>
  <c r="L104" i="12"/>
  <c r="N104" i="12"/>
  <c r="L118" i="12"/>
  <c r="N118" i="12"/>
  <c r="L113" i="12"/>
  <c r="N113" i="12"/>
  <c r="L78" i="12"/>
  <c r="N78" i="12"/>
  <c r="L121" i="12"/>
  <c r="N121" i="12"/>
  <c r="L110" i="12"/>
  <c r="N110" i="12"/>
  <c r="L123" i="12"/>
  <c r="N123" i="12"/>
  <c r="L105" i="12"/>
  <c r="N105" i="12"/>
  <c r="L125" i="12"/>
  <c r="N125" i="12"/>
  <c r="L126" i="12"/>
  <c r="N126" i="12"/>
  <c r="L124" i="12"/>
  <c r="N124" i="12"/>
  <c r="L134" i="12"/>
  <c r="N134" i="12"/>
  <c r="L77" i="12"/>
  <c r="N77" i="12"/>
  <c r="L80" i="12"/>
  <c r="N80" i="12"/>
  <c r="L117" i="12"/>
  <c r="N117" i="12"/>
  <c r="L82" i="12"/>
  <c r="N82" i="12"/>
  <c r="L101" i="12"/>
  <c r="N101" i="12"/>
  <c r="L106" i="12"/>
  <c r="N106" i="12"/>
  <c r="L81" i="12"/>
  <c r="N81" i="12"/>
  <c r="L120" i="12"/>
  <c r="N120" i="12"/>
  <c r="L133" i="12"/>
  <c r="N133" i="12"/>
  <c r="L135" i="12"/>
  <c r="N135" i="12"/>
  <c r="L119" i="12"/>
  <c r="N119" i="12"/>
  <c r="L109" i="12"/>
  <c r="N109" i="12"/>
  <c r="D80" i="12"/>
  <c r="F80" i="12"/>
  <c r="H80" i="12"/>
  <c r="H111" i="12"/>
  <c r="F111" i="12"/>
  <c r="F126" i="12"/>
  <c r="H126" i="12"/>
  <c r="H107" i="12"/>
  <c r="F107" i="12"/>
  <c r="H112" i="12"/>
  <c r="F112" i="12"/>
  <c r="H131" i="12"/>
  <c r="F131" i="12"/>
  <c r="H127" i="12"/>
  <c r="F127" i="12"/>
  <c r="D128" i="12"/>
  <c r="H128" i="12"/>
  <c r="F128" i="12"/>
  <c r="H130" i="12"/>
  <c r="F130" i="12"/>
  <c r="D129" i="12"/>
  <c r="F129" i="12"/>
  <c r="H129" i="12"/>
  <c r="F124" i="12"/>
  <c r="H124" i="12"/>
  <c r="H114" i="12"/>
  <c r="F114" i="12"/>
  <c r="F115" i="12"/>
  <c r="H115" i="12"/>
  <c r="D132" i="12"/>
  <c r="F132" i="12"/>
  <c r="H132" i="12"/>
  <c r="D134" i="12"/>
  <c r="F134" i="12"/>
  <c r="H134" i="12"/>
  <c r="D122" i="12"/>
  <c r="H122" i="12"/>
  <c r="F122" i="12"/>
  <c r="D79" i="12"/>
  <c r="F79" i="12"/>
  <c r="H79" i="12"/>
  <c r="H116" i="12"/>
  <c r="F116" i="12"/>
  <c r="D108" i="12"/>
  <c r="H108" i="12"/>
  <c r="F108" i="12"/>
  <c r="F104" i="12"/>
  <c r="H104" i="12"/>
  <c r="D118" i="12"/>
  <c r="F118" i="12"/>
  <c r="H118" i="12"/>
  <c r="D113" i="12"/>
  <c r="H113" i="12"/>
  <c r="F113" i="12"/>
  <c r="D78" i="12"/>
  <c r="F78" i="12"/>
  <c r="H78" i="12"/>
  <c r="H121" i="12"/>
  <c r="F121" i="12"/>
  <c r="H110" i="12"/>
  <c r="F110" i="12"/>
  <c r="F123" i="12"/>
  <c r="H123" i="12"/>
  <c r="F105" i="12"/>
  <c r="H105" i="12"/>
  <c r="H125" i="12"/>
  <c r="F125" i="12"/>
  <c r="D77" i="12"/>
  <c r="H77" i="12"/>
  <c r="D117" i="12"/>
  <c r="F117" i="12"/>
  <c r="H117" i="12"/>
  <c r="D82" i="12"/>
  <c r="F82" i="12"/>
  <c r="H82" i="12"/>
  <c r="D101" i="12"/>
  <c r="F101" i="12"/>
  <c r="H101" i="12"/>
  <c r="H106" i="12"/>
  <c r="F106" i="12"/>
  <c r="D81" i="12"/>
  <c r="H81" i="12"/>
  <c r="F81" i="12"/>
  <c r="D120" i="12"/>
  <c r="H120" i="12"/>
  <c r="F120" i="12"/>
  <c r="D133" i="12"/>
  <c r="H133" i="12"/>
  <c r="F133" i="12"/>
  <c r="H135" i="12"/>
  <c r="F135" i="12"/>
  <c r="F119" i="12"/>
  <c r="H119" i="12"/>
  <c r="F109" i="12"/>
  <c r="H109" i="12"/>
  <c r="E9" i="12" l="1"/>
  <c r="G9" i="12"/>
  <c r="I10" i="12"/>
  <c r="G10" i="12"/>
  <c r="K18" i="8" s="1"/>
  <c r="C9" i="12"/>
  <c r="AC10" i="12"/>
  <c r="K29" i="8" s="1"/>
  <c r="O10" i="12"/>
  <c r="K22" i="8" s="1"/>
  <c r="U10" i="12"/>
  <c r="K25" i="8" s="1"/>
  <c r="N25" i="8" s="1"/>
  <c r="K10" i="12"/>
  <c r="K20" i="8" s="1"/>
  <c r="Y10" i="12"/>
  <c r="K27" i="8" s="1"/>
  <c r="Q10" i="12"/>
  <c r="K23" i="8" s="1"/>
  <c r="N23" i="8" s="1"/>
  <c r="M10" i="12"/>
  <c r="K21" i="8" s="1"/>
  <c r="S10" i="12"/>
  <c r="K24" i="8" s="1"/>
  <c r="N24" i="8" s="1"/>
  <c r="E10" i="12"/>
  <c r="K17" i="8" s="1"/>
  <c r="C10" i="12"/>
  <c r="Y9" i="12"/>
  <c r="J27" i="8" s="1"/>
  <c r="AC9" i="12"/>
  <c r="J29" i="8" s="1"/>
  <c r="K26" i="8"/>
  <c r="N26" i="8" s="1"/>
  <c r="W11" i="12"/>
  <c r="J17" i="8"/>
  <c r="M9" i="12"/>
  <c r="J21" i="8" s="1"/>
  <c r="O9" i="12"/>
  <c r="J22" i="8" s="1"/>
  <c r="J18" i="8"/>
  <c r="K9" i="12"/>
  <c r="J20" i="8" s="1"/>
  <c r="AI10" i="12"/>
  <c r="K32" i="8" s="1"/>
  <c r="N32" i="8" s="1"/>
  <c r="AI9" i="12"/>
  <c r="K28" i="8"/>
  <c r="N28" i="8" s="1"/>
  <c r="AE11" i="12"/>
  <c r="N17" i="8" l="1"/>
  <c r="N18" i="8"/>
  <c r="N20" i="8"/>
  <c r="N29" i="8"/>
  <c r="N22" i="8"/>
  <c r="N27" i="8"/>
  <c r="N21" i="8"/>
  <c r="K19" i="8"/>
  <c r="N19" i="8" s="1"/>
  <c r="I11" i="12"/>
  <c r="O11" i="12"/>
  <c r="C11" i="12"/>
  <c r="AI11" i="12"/>
  <c r="U11" i="12"/>
  <c r="AA11" i="12"/>
  <c r="AC11" i="12"/>
  <c r="Y11" i="12"/>
  <c r="K11" i="12"/>
  <c r="Q11" i="12"/>
  <c r="M11" i="12"/>
  <c r="S11" i="12"/>
  <c r="G11" i="12"/>
  <c r="E11" i="12"/>
  <c r="U18" i="8" l="1"/>
  <c r="U22" i="8"/>
  <c r="U26" i="8"/>
  <c r="U30" i="8"/>
  <c r="U19" i="8"/>
  <c r="U23" i="8"/>
  <c r="U27" i="8"/>
  <c r="U31" i="8"/>
  <c r="U20" i="8"/>
  <c r="U24" i="8"/>
  <c r="U28" i="8"/>
  <c r="U32" i="8"/>
  <c r="U21" i="8"/>
  <c r="U25" i="8"/>
  <c r="U29" i="8"/>
  <c r="U17" i="8"/>
  <c r="U16" i="8"/>
  <c r="O26" i="8" l="1"/>
  <c r="O19" i="8"/>
  <c r="O16" i="8"/>
  <c r="O22" i="8"/>
  <c r="O32" i="8"/>
  <c r="O29" i="8"/>
  <c r="O30" i="8"/>
  <c r="O27" i="8"/>
  <c r="O28" i="8"/>
  <c r="O18" i="8"/>
  <c r="O23" i="8"/>
  <c r="O25" i="8"/>
  <c r="O20" i="8"/>
  <c r="O24" i="8"/>
  <c r="O21" i="8"/>
  <c r="O1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Gustavo</author>
  </authors>
  <commentList>
    <comment ref="T11" authorId="0" shapeId="0" xr:uid="{00000000-0006-0000-0300-000001000000}">
      <text>
        <r>
          <rPr>
            <b/>
            <sz val="9"/>
            <color indexed="81"/>
            <rFont val="Tahoma"/>
            <family val="2"/>
          </rPr>
          <t>Gustavo:</t>
        </r>
        <r>
          <rPr>
            <sz val="9"/>
            <color indexed="81"/>
            <rFont val="Tahoma"/>
            <family val="2"/>
          </rPr>
          <t xml:space="preserve">
Experiencia específica
</t>
        </r>
      </text>
    </comment>
    <comment ref="T33" authorId="0" shapeId="0" xr:uid="{00000000-0006-0000-0300-000002000000}">
      <text>
        <r>
          <rPr>
            <b/>
            <sz val="9"/>
            <color indexed="81"/>
            <rFont val="Tahoma"/>
            <family val="2"/>
          </rPr>
          <t>Gustavo:</t>
        </r>
        <r>
          <rPr>
            <sz val="9"/>
            <color indexed="81"/>
            <rFont val="Tahoma"/>
            <family val="2"/>
          </rPr>
          <t xml:space="preserve">
Experiencia específica
</t>
        </r>
      </text>
    </comment>
    <comment ref="T55" authorId="0" shapeId="0" xr:uid="{00000000-0006-0000-0300-000003000000}">
      <text>
        <r>
          <rPr>
            <b/>
            <sz val="9"/>
            <color rgb="FF000000"/>
            <rFont val="Tahoma"/>
            <family val="2"/>
          </rPr>
          <t>Gustavo:</t>
        </r>
        <r>
          <rPr>
            <sz val="9"/>
            <color rgb="FF000000"/>
            <rFont val="Tahoma"/>
            <family val="2"/>
          </rPr>
          <t xml:space="preserve">
</t>
        </r>
        <r>
          <rPr>
            <sz val="9"/>
            <color rgb="FF000000"/>
            <rFont val="Tahoma"/>
            <family val="2"/>
          </rPr>
          <t xml:space="preserve">Experiencia específica
</t>
        </r>
      </text>
    </comment>
    <comment ref="T77" authorId="0" shapeId="0" xr:uid="{00000000-0006-0000-0300-000004000000}">
      <text>
        <r>
          <rPr>
            <b/>
            <sz val="9"/>
            <color indexed="81"/>
            <rFont val="Tahoma"/>
            <family val="2"/>
          </rPr>
          <t>Gustavo:</t>
        </r>
        <r>
          <rPr>
            <sz val="9"/>
            <color indexed="81"/>
            <rFont val="Tahoma"/>
            <family val="2"/>
          </rPr>
          <t xml:space="preserve">
Experiencia específica
</t>
        </r>
      </text>
    </comment>
    <comment ref="T99" authorId="0" shapeId="0" xr:uid="{00000000-0006-0000-0300-000005000000}">
      <text>
        <r>
          <rPr>
            <b/>
            <sz val="9"/>
            <color indexed="81"/>
            <rFont val="Tahoma"/>
            <family val="2"/>
          </rPr>
          <t>Gustavo:</t>
        </r>
        <r>
          <rPr>
            <sz val="9"/>
            <color indexed="81"/>
            <rFont val="Tahoma"/>
            <family val="2"/>
          </rPr>
          <t xml:space="preserve">
Experiencia específica
</t>
        </r>
      </text>
    </comment>
    <comment ref="T121" authorId="0" shapeId="0" xr:uid="{00000000-0006-0000-0300-000006000000}">
      <text>
        <r>
          <rPr>
            <b/>
            <sz val="9"/>
            <color indexed="81"/>
            <rFont val="Tahoma"/>
            <family val="2"/>
          </rPr>
          <t>Gustavo:</t>
        </r>
        <r>
          <rPr>
            <sz val="9"/>
            <color indexed="81"/>
            <rFont val="Tahoma"/>
            <family val="2"/>
          </rPr>
          <t xml:space="preserve">
Experiencia específica
</t>
        </r>
      </text>
    </comment>
    <comment ref="T143" authorId="0" shapeId="0" xr:uid="{00000000-0006-0000-0300-000007000000}">
      <text>
        <r>
          <rPr>
            <b/>
            <sz val="9"/>
            <color indexed="81"/>
            <rFont val="Tahoma"/>
            <family val="2"/>
          </rPr>
          <t>Gustavo:</t>
        </r>
        <r>
          <rPr>
            <sz val="9"/>
            <color indexed="81"/>
            <rFont val="Tahoma"/>
            <family val="2"/>
          </rPr>
          <t xml:space="preserve">
Experiencia específica
</t>
        </r>
      </text>
    </comment>
    <comment ref="T165" authorId="0" shapeId="0" xr:uid="{00000000-0006-0000-0300-000008000000}">
      <text>
        <r>
          <rPr>
            <b/>
            <sz val="9"/>
            <color indexed="81"/>
            <rFont val="Tahoma"/>
            <family val="2"/>
          </rPr>
          <t>Gustavo:</t>
        </r>
        <r>
          <rPr>
            <sz val="9"/>
            <color indexed="81"/>
            <rFont val="Tahoma"/>
            <family val="2"/>
          </rPr>
          <t xml:space="preserve">
Experiencia específica
</t>
        </r>
      </text>
    </comment>
    <comment ref="T187" authorId="0" shapeId="0" xr:uid="{00000000-0006-0000-0300-000009000000}">
      <text>
        <r>
          <rPr>
            <b/>
            <sz val="9"/>
            <color indexed="81"/>
            <rFont val="Tahoma"/>
            <family val="2"/>
          </rPr>
          <t>Gustavo:</t>
        </r>
        <r>
          <rPr>
            <sz val="9"/>
            <color indexed="81"/>
            <rFont val="Tahoma"/>
            <family val="2"/>
          </rPr>
          <t xml:space="preserve">
Experiencia específica
</t>
        </r>
      </text>
    </comment>
    <comment ref="T209" authorId="0" shapeId="0" xr:uid="{00000000-0006-0000-0300-00000A000000}">
      <text>
        <r>
          <rPr>
            <b/>
            <sz val="9"/>
            <color indexed="81"/>
            <rFont val="Tahoma"/>
            <family val="2"/>
          </rPr>
          <t>Gustavo:</t>
        </r>
        <r>
          <rPr>
            <sz val="9"/>
            <color indexed="81"/>
            <rFont val="Tahoma"/>
            <family val="2"/>
          </rPr>
          <t xml:space="preserve">
Experiencia específica
</t>
        </r>
      </text>
    </comment>
    <comment ref="T231" authorId="0" shapeId="0" xr:uid="{00000000-0006-0000-0300-00000B000000}">
      <text>
        <r>
          <rPr>
            <b/>
            <sz val="9"/>
            <color indexed="81"/>
            <rFont val="Tahoma"/>
            <family val="2"/>
          </rPr>
          <t>Gustavo:</t>
        </r>
        <r>
          <rPr>
            <sz val="9"/>
            <color indexed="81"/>
            <rFont val="Tahoma"/>
            <family val="2"/>
          </rPr>
          <t xml:space="preserve">
Experiencia específica
</t>
        </r>
      </text>
    </comment>
    <comment ref="T253" authorId="0" shapeId="0" xr:uid="{00000000-0006-0000-0300-00000C000000}">
      <text>
        <r>
          <rPr>
            <b/>
            <sz val="9"/>
            <color indexed="81"/>
            <rFont val="Tahoma"/>
            <family val="2"/>
          </rPr>
          <t>Gustavo:</t>
        </r>
        <r>
          <rPr>
            <sz val="9"/>
            <color indexed="81"/>
            <rFont val="Tahoma"/>
            <family val="2"/>
          </rPr>
          <t xml:space="preserve">
Experiencia específica
</t>
        </r>
      </text>
    </comment>
    <comment ref="T275" authorId="0" shapeId="0" xr:uid="{00000000-0006-0000-0300-00000D000000}">
      <text>
        <r>
          <rPr>
            <b/>
            <sz val="9"/>
            <color indexed="81"/>
            <rFont val="Tahoma"/>
            <family val="2"/>
          </rPr>
          <t>Gustavo:</t>
        </r>
        <r>
          <rPr>
            <sz val="9"/>
            <color indexed="81"/>
            <rFont val="Tahoma"/>
            <family val="2"/>
          </rPr>
          <t xml:space="preserve">
Experiencia específica
</t>
        </r>
      </text>
    </comment>
    <comment ref="T297" authorId="0" shapeId="0" xr:uid="{00000000-0006-0000-0300-00000E000000}">
      <text>
        <r>
          <rPr>
            <b/>
            <sz val="9"/>
            <color indexed="81"/>
            <rFont val="Tahoma"/>
            <family val="2"/>
          </rPr>
          <t>Gustavo:</t>
        </r>
        <r>
          <rPr>
            <sz val="9"/>
            <color indexed="81"/>
            <rFont val="Tahoma"/>
            <family val="2"/>
          </rPr>
          <t xml:space="preserve">
Experiencia específica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Gustavo</author>
  </authors>
  <commentList>
    <comment ref="T11" authorId="0" shapeId="0" xr:uid="{00000000-0006-0000-0400-000001000000}">
      <text>
        <r>
          <rPr>
            <b/>
            <sz val="9"/>
            <color indexed="81"/>
            <rFont val="Tahoma"/>
            <family val="2"/>
          </rPr>
          <t>Gustavo:</t>
        </r>
        <r>
          <rPr>
            <sz val="9"/>
            <color indexed="81"/>
            <rFont val="Tahoma"/>
            <family val="2"/>
          </rPr>
          <t xml:space="preserve">
Experiencia específica
</t>
        </r>
      </text>
    </comment>
    <comment ref="T33" authorId="0" shapeId="0" xr:uid="{00000000-0006-0000-0400-000002000000}">
      <text>
        <r>
          <rPr>
            <b/>
            <sz val="9"/>
            <color indexed="81"/>
            <rFont val="Tahoma"/>
            <family val="2"/>
          </rPr>
          <t>Gustavo:</t>
        </r>
        <r>
          <rPr>
            <sz val="9"/>
            <color indexed="81"/>
            <rFont val="Tahoma"/>
            <family val="2"/>
          </rPr>
          <t xml:space="preserve">
Experiencia específica
</t>
        </r>
      </text>
    </comment>
    <comment ref="T55" authorId="0" shapeId="0" xr:uid="{00000000-0006-0000-0400-000003000000}">
      <text>
        <r>
          <rPr>
            <b/>
            <sz val="9"/>
            <color indexed="81"/>
            <rFont val="Tahoma"/>
            <family val="2"/>
          </rPr>
          <t>Gustavo:</t>
        </r>
        <r>
          <rPr>
            <sz val="9"/>
            <color indexed="81"/>
            <rFont val="Tahoma"/>
            <family val="2"/>
          </rPr>
          <t xml:space="preserve">
Experiencia específica
</t>
        </r>
      </text>
    </comment>
    <comment ref="T77" authorId="0" shapeId="0" xr:uid="{00000000-0006-0000-0400-000004000000}">
      <text>
        <r>
          <rPr>
            <b/>
            <sz val="9"/>
            <color indexed="81"/>
            <rFont val="Tahoma"/>
            <family val="2"/>
          </rPr>
          <t>Gustavo:</t>
        </r>
        <r>
          <rPr>
            <sz val="9"/>
            <color indexed="81"/>
            <rFont val="Tahoma"/>
            <family val="2"/>
          </rPr>
          <t xml:space="preserve">
Experiencia específica
</t>
        </r>
      </text>
    </comment>
    <comment ref="T99" authorId="0" shapeId="0" xr:uid="{00000000-0006-0000-0400-000005000000}">
      <text>
        <r>
          <rPr>
            <b/>
            <sz val="9"/>
            <color indexed="81"/>
            <rFont val="Tahoma"/>
            <family val="2"/>
          </rPr>
          <t>Gustavo:</t>
        </r>
        <r>
          <rPr>
            <sz val="9"/>
            <color indexed="81"/>
            <rFont val="Tahoma"/>
            <family val="2"/>
          </rPr>
          <t xml:space="preserve">
Experiencia específica
</t>
        </r>
      </text>
    </comment>
    <comment ref="T121" authorId="0" shapeId="0" xr:uid="{00000000-0006-0000-0400-000006000000}">
      <text>
        <r>
          <rPr>
            <b/>
            <sz val="9"/>
            <color indexed="81"/>
            <rFont val="Tahoma"/>
            <family val="2"/>
          </rPr>
          <t>Gustavo:</t>
        </r>
        <r>
          <rPr>
            <sz val="9"/>
            <color indexed="81"/>
            <rFont val="Tahoma"/>
            <family val="2"/>
          </rPr>
          <t xml:space="preserve">
Experiencia específica
</t>
        </r>
      </text>
    </comment>
    <comment ref="T143" authorId="0" shapeId="0" xr:uid="{00000000-0006-0000-0400-000007000000}">
      <text>
        <r>
          <rPr>
            <b/>
            <sz val="9"/>
            <color indexed="81"/>
            <rFont val="Tahoma"/>
            <family val="2"/>
          </rPr>
          <t>Gustavo:</t>
        </r>
        <r>
          <rPr>
            <sz val="9"/>
            <color indexed="81"/>
            <rFont val="Tahoma"/>
            <family val="2"/>
          </rPr>
          <t xml:space="preserve">
Experiencia específica
</t>
        </r>
      </text>
    </comment>
    <comment ref="T165" authorId="0" shapeId="0" xr:uid="{00000000-0006-0000-0400-000008000000}">
      <text>
        <r>
          <rPr>
            <b/>
            <sz val="9"/>
            <color indexed="81"/>
            <rFont val="Tahoma"/>
            <family val="2"/>
          </rPr>
          <t>Gustavo:</t>
        </r>
        <r>
          <rPr>
            <sz val="9"/>
            <color indexed="81"/>
            <rFont val="Tahoma"/>
            <family val="2"/>
          </rPr>
          <t xml:space="preserve">
Experiencia específica
</t>
        </r>
      </text>
    </comment>
    <comment ref="T187" authorId="0" shapeId="0" xr:uid="{00000000-0006-0000-0400-000009000000}">
      <text>
        <r>
          <rPr>
            <b/>
            <sz val="9"/>
            <color indexed="81"/>
            <rFont val="Tahoma"/>
            <family val="2"/>
          </rPr>
          <t>Gustavo:</t>
        </r>
        <r>
          <rPr>
            <sz val="9"/>
            <color indexed="81"/>
            <rFont val="Tahoma"/>
            <family val="2"/>
          </rPr>
          <t xml:space="preserve">
Experiencia específica
</t>
        </r>
      </text>
    </comment>
    <comment ref="T209" authorId="0" shapeId="0" xr:uid="{00000000-0006-0000-0400-00000A000000}">
      <text>
        <r>
          <rPr>
            <b/>
            <sz val="9"/>
            <color indexed="81"/>
            <rFont val="Tahoma"/>
            <family val="2"/>
          </rPr>
          <t>Gustavo:</t>
        </r>
        <r>
          <rPr>
            <sz val="9"/>
            <color indexed="81"/>
            <rFont val="Tahoma"/>
            <family val="2"/>
          </rPr>
          <t xml:space="preserve">
Experiencia específica
</t>
        </r>
      </text>
    </comment>
    <comment ref="T231" authorId="0" shapeId="0" xr:uid="{00000000-0006-0000-0400-00000B000000}">
      <text>
        <r>
          <rPr>
            <b/>
            <sz val="9"/>
            <color indexed="81"/>
            <rFont val="Tahoma"/>
            <family val="2"/>
          </rPr>
          <t>Gustavo:</t>
        </r>
        <r>
          <rPr>
            <sz val="9"/>
            <color indexed="81"/>
            <rFont val="Tahoma"/>
            <family val="2"/>
          </rPr>
          <t xml:space="preserve">
Experiencia específica
</t>
        </r>
      </text>
    </comment>
    <comment ref="T253" authorId="0" shapeId="0" xr:uid="{00000000-0006-0000-0400-00000C000000}">
      <text>
        <r>
          <rPr>
            <b/>
            <sz val="9"/>
            <color indexed="81"/>
            <rFont val="Tahoma"/>
            <family val="2"/>
          </rPr>
          <t>Gustavo:</t>
        </r>
        <r>
          <rPr>
            <sz val="9"/>
            <color indexed="81"/>
            <rFont val="Tahoma"/>
            <family val="2"/>
          </rPr>
          <t xml:space="preserve">
Experiencia específica
</t>
        </r>
      </text>
    </comment>
    <comment ref="T275" authorId="0" shapeId="0" xr:uid="{00000000-0006-0000-0400-00000D000000}">
      <text>
        <r>
          <rPr>
            <b/>
            <sz val="9"/>
            <color indexed="81"/>
            <rFont val="Tahoma"/>
            <family val="2"/>
          </rPr>
          <t>Gustavo:</t>
        </r>
        <r>
          <rPr>
            <sz val="9"/>
            <color indexed="81"/>
            <rFont val="Tahoma"/>
            <family val="2"/>
          </rPr>
          <t xml:space="preserve">
Experiencia específica
</t>
        </r>
      </text>
    </comment>
    <comment ref="T297" authorId="0" shapeId="0" xr:uid="{00000000-0006-0000-0400-00000E000000}">
      <text>
        <r>
          <rPr>
            <b/>
            <sz val="9"/>
            <color indexed="81"/>
            <rFont val="Tahoma"/>
            <family val="2"/>
          </rPr>
          <t>Gustavo:</t>
        </r>
        <r>
          <rPr>
            <sz val="9"/>
            <color indexed="81"/>
            <rFont val="Tahoma"/>
            <family val="2"/>
          </rPr>
          <t xml:space="preserve">
Experiencia específica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Gustavo</author>
  </authors>
  <commentList>
    <comment ref="D8" authorId="0" shapeId="0" xr:uid="{00000000-0006-0000-0C00-000001000000}">
      <text>
        <r>
          <rPr>
            <b/>
            <sz val="9"/>
            <color indexed="81"/>
            <rFont val="Tahoma"/>
            <family val="2"/>
          </rPr>
          <t>Fecha de la TRM</t>
        </r>
      </text>
    </comment>
  </commentList>
</comments>
</file>

<file path=xl/sharedStrings.xml><?xml version="1.0" encoding="utf-8"?>
<sst xmlns="http://schemas.openxmlformats.org/spreadsheetml/2006/main" count="1877" uniqueCount="445">
  <si>
    <t>UNIVERSIDAD DE ANTIOQUIA</t>
  </si>
  <si>
    <t>OBJETO:</t>
  </si>
  <si>
    <t>NRO</t>
  </si>
  <si>
    <t>OFERENTE</t>
  </si>
  <si>
    <r>
      <rPr>
        <b/>
        <sz val="10"/>
        <rFont val="Arial"/>
        <family val="2"/>
      </rPr>
      <t>OBSERVACIÓN:</t>
    </r>
    <r>
      <rPr>
        <sz val="10"/>
        <rFont val="Arial"/>
        <family val="2"/>
      </rPr>
      <t xml:space="preserve">
</t>
    </r>
  </si>
  <si>
    <t>APERTURA DE SOBRES</t>
  </si>
  <si>
    <t>N°</t>
  </si>
  <si>
    <t>HORA DE RECIBIDO</t>
  </si>
  <si>
    <t>PROPONENTES</t>
  </si>
  <si>
    <t>NIT/CC</t>
  </si>
  <si>
    <t>OBSERVACIONES</t>
  </si>
  <si>
    <t>EVALUACIÓN DE REQUISITOS JURÍDICOS</t>
  </si>
  <si>
    <t>NIT O CÉDULA</t>
  </si>
  <si>
    <t>Numeral</t>
  </si>
  <si>
    <t>Aseguradora:</t>
  </si>
  <si>
    <t>Póliza número:</t>
  </si>
  <si>
    <t>valor asegurado:</t>
  </si>
  <si>
    <t>Vigencia [dias]:</t>
  </si>
  <si>
    <t>CUMPLE/NO CUMPLE:</t>
  </si>
  <si>
    <t>EVALUACIÓN DE EXPERIENCIA GENERAL</t>
  </si>
  <si>
    <t>COCIENTE EVALUACIÓN</t>
  </si>
  <si>
    <t>PRESUPUESTO OFICIAL</t>
  </si>
  <si>
    <t>EN PESOS</t>
  </si>
  <si>
    <t>EN SMMLV</t>
  </si>
  <si>
    <t>EXPERIENCIA GENERAL Y ESPECÍFICA</t>
  </si>
  <si>
    <t>CERTIFICADOS PRESENTADOS</t>
  </si>
  <si>
    <t>ITEM</t>
  </si>
  <si>
    <t>N° DEL CONSECUTIVO DEL REPORTE DEL CONTRATO EJECUTADO EN EL RUP (1)</t>
  </si>
  <si>
    <t>N° de Folio en el RUP (2)</t>
  </si>
  <si>
    <t>CONTRATO (3)</t>
  </si>
  <si>
    <t>CONTRATANTE (4)</t>
  </si>
  <si>
    <t>EN SMMLV (5)</t>
  </si>
  <si>
    <t>FORMA DE
EJECUCIÓN (6)</t>
  </si>
  <si>
    <t>% de Participación (7)</t>
  </si>
  <si>
    <t>CLASIFICACIÓN DEL OBJETO DEL CONTRATO (8)</t>
  </si>
  <si>
    <t>PRESENTACIÓN DE CERTIFICADOS (9)</t>
  </si>
  <si>
    <t>ALCANCE DEL OBJETO CONTRACTUAL (10)</t>
  </si>
  <si>
    <t>VALORACIÓN DE OBSERVACIONES (11)</t>
  </si>
  <si>
    <t>VALORACIÓN DE REQUERIMIENTOS ENTREGADOS(12)</t>
  </si>
  <si>
    <t>SMMLV DE PARTICIPACIÓN PONDERADOS (13)</t>
  </si>
  <si>
    <t>TABLA RESUMEN EXPERIENCIA</t>
  </si>
  <si>
    <t>ESTATUS</t>
  </si>
  <si>
    <t>VALIDACIÓN DE CODIGOS SEGÚN TABLA  3 (CODIGOS UNSPSC) DE LOS TÉRMINOS DE REFERENCIA</t>
  </si>
  <si>
    <t>VALORACIÓN</t>
  </si>
  <si>
    <t>T</t>
  </si>
  <si>
    <t>TOTAL EXPERIENCIA ESPECÍFICA EN SMMLV</t>
  </si>
  <si>
    <t>INDICE SUMATORIA CONTRATOS/PRESUPUESTO OFICIAL</t>
  </si>
  <si>
    <t>EVALUACIÓN EXPERIENCIA - INDICADORES FINANCIEROS</t>
  </si>
  <si>
    <t>PROPONENTE</t>
  </si>
  <si>
    <t>INDICADOR 1</t>
  </si>
  <si>
    <t>INDICADOR 2</t>
  </si>
  <si>
    <t>ÍNDICE DE ENDEUDAMIENTO</t>
  </si>
  <si>
    <t>IE = PT/AT &lt;=
Siendo PT = pasivo total 
AT = activo total</t>
  </si>
  <si>
    <t>CAPITAL DE TRABAJO</t>
  </si>
  <si>
    <t>CT = AC-PC ≥ PO*0,5
Siendo PO = Presupuesto Oficial</t>
  </si>
  <si>
    <t>PASIVO TOTAL</t>
  </si>
  <si>
    <t>ACTIVO TOTAL</t>
  </si>
  <si>
    <t>TOTAL</t>
  </si>
  <si>
    <t>ESTADO</t>
  </si>
  <si>
    <t>ACTIVO CORRIENTE</t>
  </si>
  <si>
    <t>PASIVO CORRIENTE</t>
  </si>
  <si>
    <t>TABLA RESUMEN</t>
  </si>
  <si>
    <t>PEGUE AQUÍ EL LOGO DEL OFERENTE</t>
  </si>
  <si>
    <t>PONDERACIÓN DE HABILITACIÓN</t>
  </si>
  <si>
    <t>VERIFICACIÓN DE REDONDEO</t>
  </si>
  <si>
    <t>DIFERENCIA</t>
  </si>
  <si>
    <t>REDONDEO</t>
  </si>
  <si>
    <t>EVALUACIÓN ECONÓMICA - DEFINICIÓN DE MÉTODO DE EVALUACIÓN Y CÁLCULO DE PUNTAJES</t>
  </si>
  <si>
    <t>Asignar de acuerdo al proceso</t>
  </si>
  <si>
    <t>MÉTODO DE EVALUACIÓN DE ACUERDO A TRM</t>
  </si>
  <si>
    <t>Presupuesto Total</t>
  </si>
  <si>
    <t>Fecha</t>
  </si>
  <si>
    <t>Media aritmética</t>
  </si>
  <si>
    <t># propuestas (n)</t>
  </si>
  <si>
    <t>Desviación estándar</t>
  </si>
  <si>
    <t>MÁXIMO PUNTAJE A ASIGNAR PARA Pti</t>
  </si>
  <si>
    <t>*H=Habilitado  NH=No habilitado</t>
  </si>
  <si>
    <t>Nro</t>
  </si>
  <si>
    <t>NOMBRE OFERENTE</t>
  </si>
  <si>
    <t>ESTADO*</t>
  </si>
  <si>
    <t>SUMATORIA DE VALORES UNITARIOS</t>
  </si>
  <si>
    <r>
      <t>PUNTAJE (Pt</t>
    </r>
    <r>
      <rPr>
        <b/>
        <vertAlign val="subscript"/>
        <sz val="12"/>
        <rFont val="Calibri"/>
        <family val="2"/>
        <scheme val="minor"/>
      </rPr>
      <t>1</t>
    </r>
    <r>
      <rPr>
        <b/>
        <sz val="12"/>
        <rFont val="Calibri"/>
        <family val="2"/>
        <scheme val="minor"/>
      </rPr>
      <t>)</t>
    </r>
  </si>
  <si>
    <r>
      <t>PUNTAJE (Pt</t>
    </r>
    <r>
      <rPr>
        <b/>
        <vertAlign val="subscript"/>
        <sz val="12"/>
        <rFont val="Calibri"/>
        <family val="2"/>
        <scheme val="minor"/>
      </rPr>
      <t>2A</t>
    </r>
    <r>
      <rPr>
        <b/>
        <sz val="12"/>
        <rFont val="Calibri"/>
        <family val="2"/>
        <scheme val="minor"/>
      </rPr>
      <t>)</t>
    </r>
  </si>
  <si>
    <r>
      <t>PUNTAJE (Pt</t>
    </r>
    <r>
      <rPr>
        <b/>
        <vertAlign val="subscript"/>
        <sz val="12"/>
        <rFont val="Calibri"/>
        <family val="2"/>
        <scheme val="minor"/>
      </rPr>
      <t>2B</t>
    </r>
    <r>
      <rPr>
        <b/>
        <sz val="12"/>
        <rFont val="Calibri"/>
        <family val="2"/>
        <scheme val="minor"/>
      </rPr>
      <t>)</t>
    </r>
  </si>
  <si>
    <t>PUNTAJE (Pt3)</t>
  </si>
  <si>
    <t>PUNTAJE TOTAL</t>
  </si>
  <si>
    <t>ORDEN ELEGIBILIDAD</t>
  </si>
  <si>
    <t>OBSERVACIONES CON RESPECTO A PROPUESTA ECONÓMICA</t>
  </si>
  <si>
    <t>ORDEN</t>
  </si>
  <si>
    <t xml:space="preserve"> </t>
  </si>
  <si>
    <t>Item</t>
  </si>
  <si>
    <t>VERIFICACIÓN DE ITEMS</t>
  </si>
  <si>
    <t>VERIFICACIÓN DE DESCRIPCIÓN</t>
  </si>
  <si>
    <t>VERIFICACIÓN DE UNIDADES</t>
  </si>
  <si>
    <t>VERIFICACIÓN DE PRECIOS UNITARIOS</t>
  </si>
  <si>
    <t>VERIFICACIÓN DE VALORES TOTALES</t>
  </si>
  <si>
    <t xml:space="preserve">ITEMS </t>
  </si>
  <si>
    <t>DIRECCION INICIAL</t>
  </si>
  <si>
    <t>DIFERENCIA DIRECCIÓN</t>
  </si>
  <si>
    <t>VERIFICACIÓN DE PRESUPUESTO</t>
  </si>
  <si>
    <t>DIRECCIÒN AU</t>
  </si>
  <si>
    <t>DIFERENCIA DIRECCIÒN</t>
  </si>
  <si>
    <t>AU TOTALES</t>
  </si>
  <si>
    <t>DIRECCIÓN COSTO UNITARIO</t>
  </si>
  <si>
    <t>VERIFICACIÓN DE VALORES UNITARIOS TOTALES</t>
  </si>
  <si>
    <t>RESUMEN CUADRO DE HABILITACIÓN</t>
  </si>
  <si>
    <t>ESTATUS CAPACIDAD FINANCIERA</t>
  </si>
  <si>
    <t>ESTATUS REQUISITOS COMERCIALES</t>
  </si>
  <si>
    <t>ESTATUS REQUISITOS JURÍDICOS</t>
  </si>
  <si>
    <t>ESTATUS GENERAL</t>
  </si>
  <si>
    <t>CONCLUSIONES</t>
  </si>
  <si>
    <t>CALCULO DE Pt2</t>
  </si>
  <si>
    <t>Número total de ítems</t>
  </si>
  <si>
    <t>ASIGNACIÓN DE PUNTAJE PARA Pt3:</t>
  </si>
  <si>
    <t>Método de evaluación</t>
  </si>
  <si>
    <t>IR</t>
  </si>
  <si>
    <t>(IR) Ítems representativos</t>
  </si>
  <si>
    <t>(IRES) Ítems restantes</t>
  </si>
  <si>
    <t>IRES</t>
  </si>
  <si>
    <t>Proponente</t>
  </si>
  <si>
    <t>Estado</t>
  </si>
  <si>
    <t>Pt2A</t>
  </si>
  <si>
    <t>Pt2B</t>
  </si>
  <si>
    <t>Pt2 TOTAL</t>
  </si>
  <si>
    <t>(IR) ITEMS REPRESENTATIVOS</t>
  </si>
  <si>
    <t>(IRES) ITEMS RESTANTES</t>
  </si>
  <si>
    <t>N° PÓLIZA SERIEDAD</t>
  </si>
  <si>
    <t>Póliza de seriedad de la oferta a favor de entidades Estatales y a nombre de la Universidad de Antioquia.</t>
  </si>
  <si>
    <t>SALARIO MÍNIMO 2021</t>
  </si>
  <si>
    <t xml:space="preserve">VERIFICACIÓN CONDICIÓN DE EXPERIENCIA  </t>
  </si>
  <si>
    <t>ESTATUS PRESUPUESTO</t>
  </si>
  <si>
    <t>COSTOS DIRECTOS</t>
  </si>
  <si>
    <t>No estar en mora en el Sistema Registro Nacional de Medidas Correctivas RNMC de la Policía Nacional de Colombia (artículo 183 de la Ley 1801 de 2016)</t>
  </si>
  <si>
    <t>Estar inscrita en el Registro Único de Tributario.</t>
  </si>
  <si>
    <t>Haber cumplido con los aportes al Sistema de Seguridad Social Integral y Parafiscales , en los seis (6) meses anteriores a la presentación de la propuesta Comercial y encontrarse a paz y salvo con el sistema. Si tiene acuerdos de pago deberá certificarlo.</t>
  </si>
  <si>
    <t>No estar reportada al Boletín de Responsables Fiscales de la Contraloría General de la República (Art. 60 Ley 610 de 2000; Circular 005 del 25 de febrero de 2008).</t>
  </si>
  <si>
    <t>R</t>
  </si>
  <si>
    <t>NR</t>
  </si>
  <si>
    <t>Observación</t>
  </si>
  <si>
    <t>CUMPLE</t>
  </si>
  <si>
    <t>LS</t>
  </si>
  <si>
    <t>LI</t>
  </si>
  <si>
    <t>C</t>
  </si>
  <si>
    <t>PRESENTÓ CERTIFICADO</t>
  </si>
  <si>
    <t>ACORDE A ITEM 5.2.2 (T.R.)</t>
  </si>
  <si>
    <t>SIN OBSERVACIÓN</t>
  </si>
  <si>
    <t>NINGUNO</t>
  </si>
  <si>
    <t>SI</t>
  </si>
  <si>
    <t>No. 08-6-16170-2015</t>
  </si>
  <si>
    <t>POLICIA NACIONAL DIRECCION DE BIENESTAR SOCIAL</t>
  </si>
  <si>
    <t>PROMEDIO</t>
  </si>
  <si>
    <t>Desv</t>
  </si>
  <si>
    <t>INTERVE S.A.S</t>
  </si>
  <si>
    <t>HORA:15:00</t>
  </si>
  <si>
    <t>Resúmen: se recibieron cuatro (4) propuestas.
EQUIPO TÉCNICO DE EVALUACIÓN
DIVISIÓN DE INFRAESTRUCTURA FÍSICA</t>
  </si>
  <si>
    <t>COSTO DIRECTO PERSONAL</t>
  </si>
  <si>
    <t>FACTOR MULTIPLICADOR</t>
  </si>
  <si>
    <t>TOTAL PROPUESTA ECONÓMICA</t>
  </si>
  <si>
    <t>REQUISITOS JURÍDICOS DE PARTICIPACIÓN  (personas naturales y jurídicas) numeral 6,2.1</t>
  </si>
  <si>
    <t>6.2.1 Requisitos personas jurídicas</t>
  </si>
  <si>
    <t>Póliza de seriedad de la oferta a favor de entidades Estatales y a nombre de la UdeA.</t>
  </si>
  <si>
    <t>INDICADOR 3</t>
  </si>
  <si>
    <t>ROE</t>
  </si>
  <si>
    <t>Beneficio neto/Fondos propios
medios</t>
  </si>
  <si>
    <t>EVALUACIÓN DE EXPERIENCIA ESPECIFICA</t>
  </si>
  <si>
    <t xml:space="preserve">EXPERIENCIA GENERAL </t>
  </si>
  <si>
    <t>EXPERIENCIA ESPECÍFICA</t>
  </si>
  <si>
    <t>Cumple con el requerimiento del numeral 6.2.2.2.1</t>
  </si>
  <si>
    <t>VALIDACIÓN EXPERIENCIA OCT</t>
  </si>
  <si>
    <t>Presentar un certificado de experiencia en proyectos terminados o en ejecución, de cualquier grupo
de uso conforme al numeral A.2.5.1 Grupos de Uso, de la NSR-10 en alguna de sus categorías: I, II
III o IV, donde al proyecto de obra le hayan expedido póliza o pre póliza decenal.</t>
  </si>
  <si>
    <t>SI/NO</t>
  </si>
  <si>
    <t>SE EXPIDIÓ PÓLIZA O PREPOLIZA</t>
  </si>
  <si>
    <t>VALIDÓ LA ASEGURADORA</t>
  </si>
  <si>
    <t>CUMPLE / NO CUMPLE</t>
  </si>
  <si>
    <t>1. Presentarse en PESOS COLOMBIANOS.</t>
  </si>
  <si>
    <t>2. Incluir todos los costos, gastos impuestos, tasas y contribuciones en los que deba incurrir el Proponente para cumplir el objeto de la INVITACIÓN.</t>
  </si>
  <si>
    <t>3. Tener una vigencia mínima de SESENTA (60) días calendario, contados a partir del cierre de la INVITACIÓN, prorrogable en un plazo igual, en caso de que no se pueda adjudicar en dicho término.</t>
  </si>
  <si>
    <t>4. No modificar los formatos del Proceso de Contratación, salvo autorización expresa.</t>
  </si>
  <si>
    <t>5. Ser irrevocable, una vez presentada (artículo 8465 del Código de Comercio).</t>
  </si>
  <si>
    <t>EVALUACIÓN DE REQUISITOS DE CUMPLIMIENTO DE REQUISITOS COMERCIALES</t>
  </si>
  <si>
    <t>FACTOR MULTIPLICADOR [%]</t>
  </si>
  <si>
    <t>EXP OCT</t>
  </si>
  <si>
    <t>Factor Multiplicador Max</t>
  </si>
  <si>
    <t>ANEXO 1</t>
  </si>
  <si>
    <t>1.1</t>
  </si>
  <si>
    <t>1.5</t>
  </si>
  <si>
    <t>1.10</t>
  </si>
  <si>
    <t>CARGO/OFICIO</t>
  </si>
  <si>
    <t>CANTIDAD</t>
  </si>
  <si>
    <t>SUELDO Y/O TARIFA 2021</t>
  </si>
  <si>
    <t>SUELDO Y/O TARIFA 2022
 (Ipc 3,5%)</t>
  </si>
  <si>
    <t>DEDICACIÓN MENSUAL</t>
  </si>
  <si>
    <t>VALOR PARCIAL ($)</t>
  </si>
  <si>
    <r>
      <rPr>
        <b/>
        <sz val="12"/>
        <color theme="1"/>
        <rFont val="Arial"/>
        <family val="2"/>
      </rPr>
      <t>Residente Interventoria  Ingeniero Mecánico</t>
    </r>
    <r>
      <rPr>
        <sz val="12"/>
        <color theme="1"/>
        <rFont val="Arial"/>
        <family val="2"/>
      </rPr>
      <t xml:space="preserve"> (Profesional Nivel 2, profesiones Ingeniero Mecánico)
Experiencia requerida Residente de Obra Nivel 2: mayor a 4 años de experiencia contados a partir de la expedición de la matrícula profesional</t>
    </r>
  </si>
  <si>
    <t>Subtotal Costos Directos de Personal</t>
  </si>
  <si>
    <t>Factor Multiplicador</t>
  </si>
  <si>
    <t>Total Costos Directos de Personal incluido Factor Multiplicador (A)</t>
  </si>
  <si>
    <t>DESCRIPCION</t>
  </si>
  <si>
    <t>UNIDAD</t>
  </si>
  <si>
    <t>VALOR</t>
  </si>
  <si>
    <t>DURACIÓN
 (Meses)</t>
  </si>
  <si>
    <t>VALOR PARCIAL
 ($)</t>
  </si>
  <si>
    <t>B</t>
  </si>
  <si>
    <t>2.1</t>
  </si>
  <si>
    <t>global</t>
  </si>
  <si>
    <t>Edición de informes de interventoria</t>
  </si>
  <si>
    <t>Unidad</t>
  </si>
  <si>
    <t>hr</t>
  </si>
  <si>
    <t>Subtotal Otros Costos Directos (B)</t>
  </si>
  <si>
    <t>TOTAL COSTOS DIRECTOS DE PERSONAL + OTROS COSTOS DIRECTOS (A+B)</t>
  </si>
  <si>
    <t>IVA (19%)</t>
  </si>
  <si>
    <t>VALOR TOTAL</t>
  </si>
  <si>
    <t>1.0</t>
  </si>
  <si>
    <t>R/NR</t>
  </si>
  <si>
    <t>COSTOS DIRECTOS DE PERSONAL ROBLEDO</t>
  </si>
  <si>
    <t xml:space="preserve">R </t>
  </si>
  <si>
    <t>SUPERVISION TECNICA INDEPENDIENTE (decreto 945 de junio 5 de 2017)</t>
  </si>
  <si>
    <r>
      <rPr>
        <b/>
        <sz val="12"/>
        <color theme="1"/>
        <rFont val="Arial"/>
        <family val="2"/>
      </rPr>
      <t xml:space="preserve">Residente de Obra, Nivel 2 </t>
    </r>
    <r>
      <rPr>
        <sz val="12"/>
        <color theme="1"/>
        <rFont val="Arial"/>
        <family val="2"/>
      </rPr>
      <t>(Profesional Nivel 2, profesiones afines, Ingeniero Civil, Arquitecto, Arquitecto Constructor, Ingeniero Constructor)
Experiencia requerida Residente de Obra Nivel 2: mayor a 4 años de experiencia contados a partir de la expedición de la matrícula profesional</t>
    </r>
  </si>
  <si>
    <r>
      <rPr>
        <b/>
        <sz val="12"/>
        <color theme="1"/>
        <rFont val="Arial"/>
        <family val="2"/>
      </rPr>
      <t xml:space="preserve">Residente de Interventoria Electrico, Nivel 2 </t>
    </r>
    <r>
      <rPr>
        <sz val="12"/>
        <color theme="1"/>
        <rFont val="Arial"/>
        <family val="2"/>
      </rPr>
      <t>(Profesional Nivel 2, profesiones Ingeniero electricista)
Experiencia requerida Residente de Obra Nivel 2: mayor a 4 años de experiencia contados a partir de la expedición de la matrícula profesional</t>
    </r>
  </si>
  <si>
    <r>
      <rPr>
        <b/>
        <sz val="12"/>
        <color theme="1"/>
        <rFont val="Arial"/>
        <family val="2"/>
      </rPr>
      <t xml:space="preserve">Residente desarrollador BIM </t>
    </r>
    <r>
      <rPr>
        <sz val="12"/>
        <color theme="1"/>
        <rFont val="Arial"/>
        <family val="2"/>
      </rPr>
      <t>Profesional Nivel 2, profesiones afines,  Ingeniero Civil, Arquitecto, Arquitecto Constructor, Ingeniero Constructor)
Experiencia requerida Residente de Obra Nivel 2: mayor a 4 años de experiencia contados a partir de la expedición de la matrícula profesional</t>
    </r>
  </si>
  <si>
    <r>
      <rPr>
        <b/>
        <sz val="12"/>
        <color theme="1"/>
        <rFont val="Arial"/>
        <family val="2"/>
      </rPr>
      <t xml:space="preserve">Residente AMBIENTAL </t>
    </r>
    <r>
      <rPr>
        <sz val="12"/>
        <color theme="1"/>
        <rFont val="Arial"/>
        <family val="2"/>
      </rPr>
      <t>(Ingeniero ambiental)
Experiencia requerida Residente de Obra Nivel 2: mayor a 4 años de experiencia contados a partir de la expedición de la matrícula profesional</t>
    </r>
  </si>
  <si>
    <t>I</t>
  </si>
  <si>
    <t>176800001-2-3-4</t>
  </si>
  <si>
    <t>OS-PH-MAIL ET II - 300021-20</t>
  </si>
  <si>
    <t>ACTIVOS CAPITAL S.A.S.</t>
  </si>
  <si>
    <t>PRODESA Y CIA. S.A.</t>
  </si>
  <si>
    <t>CONSTRUCCIONES OBYCON S.A.S.</t>
  </si>
  <si>
    <t>2016-028</t>
  </si>
  <si>
    <t>NO CUMPLE</t>
  </si>
  <si>
    <t>Universidad Pontificia Bolivariana</t>
  </si>
  <si>
    <t>ACORDE A ITEM 6.2.2.1 (T.R.)</t>
  </si>
  <si>
    <t>NO</t>
  </si>
  <si>
    <t>BENEFICIO NETO</t>
  </si>
  <si>
    <t>FONDOS PROPIOS MEDIOS</t>
  </si>
  <si>
    <t xml:space="preserve">CUMPLE </t>
  </si>
  <si>
    <t>El Contratista se obliga con el Contratante a la ejecución de la Interventoría administrativa, financiera, contable, ambiental, social, jurídica y la supervisión técnica independiente conforme al Decreto No. 945 de 5 de junio de 2017, para el contrato de obra del Proyecto nueva sede FNSP etapa1, ubicada en el Municipio de Medellín.</t>
  </si>
  <si>
    <t>FECHA CIERRE: 7/12/2021</t>
  </si>
  <si>
    <t>CONSORCIO VALCO - ACI</t>
  </si>
  <si>
    <t>ARQ SAS</t>
  </si>
  <si>
    <t>PREVEO S.A.S</t>
  </si>
  <si>
    <t>Medio de prueba</t>
  </si>
  <si>
    <t xml:space="preserve">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cinco (5) años antes de la fecha de cierre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(por el cual se regula el conflicto de intereses del servidor público en la Universidad de Antioquia).
(vii) No tener ninguna de estas situaciones: Cesación de pagos o, cualquier otra circunstancia que justificadamente permita a la U.de.A presumir incapacidad o imposibilidad jurídica, económica o técnica para cumplir el objeto del contrato.
</t>
  </si>
  <si>
    <t xml:space="preserve">(i) Certificado de existencia y representación legal del Proponente, expedido por la Cámara de Comercio del domicilio principal, con fecha de expedición no superior a un (1) mes anterior a la fecha de cierre de la Invitación, debidamente renovado en el año 2021.
(ii) Carta de presentación y declaraciones del Proponente debidamente diligenciado y firmado.  Anexo 2.
(iii) Constancia de la autorización del máximo órgano social, cuando el representante legal tenga limitaciones para presentar la propuesta y firmar el contrato. 
(iv) Fotocopia de la cédula del Representante Legal.
</t>
  </si>
  <si>
    <t xml:space="preserve">(i) Ser el representante legal: ingeniero civil, ingeniero constructor, arquitecto o arquitecto constructor.
(ii) Tener matrícula profesional vigente, que haya sido expedida mínimo CINCO (5) años antes del cierre de la presente INVITACIÓN.
Cuando el representante legal NO CUMPLA el requisito anterior, la propuesta debe ser FIRMADA o ABONADA por un profesional que SÍ cumpla el requisito.
</t>
  </si>
  <si>
    <t xml:space="preserve">(i)Fotocopia de la matrícula del profesional vigente.
(ii)Certificado de vigencia de la matrícula expedida por la autoridad competente y vigente.
(iii) Fotocopia de la cédula de ciudadanía del profesional
</t>
  </si>
  <si>
    <t>Certificación del pago de los aportes de los empleados al Sistemas de Seguridad Social Integral y Parafiscales, expedido por el Revisor Fiscal, en su defecto, por el Representante Legal. Anexo 3.</t>
  </si>
  <si>
    <t>El Proponente debe consultarlo y aportarlo. https://www.contraloria.gov.co/control-fiscal/responsabilidad-fiscal/control-fiscal/responsabilidad-fiscal/certificado-de-antecedentes-fiscales/persona-natural</t>
  </si>
  <si>
    <t xml:space="preserve">El Proponente debe consultarlo y aportarlo. 
https://srvcnpc.policia.gov.co/PSC/frm_cnp_consulta.aspx
</t>
  </si>
  <si>
    <t>Fotocopia del RUT vigente.</t>
  </si>
  <si>
    <t>Estar inscrita, calificada y clasificada en el Registro Único de PROPONENTES –RUP- de la Cámara de Comercio de su domicilio antes de la fecha de cierre o entrega de propuestas de esta invitación, en algunas de las clasificaciones de la UNSPSC, establecidas en la Tabla 3 en los códigos: 801016, 811015 y 841116, obligatorio en el 811015.</t>
  </si>
  <si>
    <t xml:space="preserve"> Requisitos jurídicos para Consorcios o Uniones Temporales</t>
  </si>
  <si>
    <t>Certificado de Registro Único de PROPONENTES –RUP- de la Cámara de Comercio, con fecha de expedición no superior a un (1) mes anterior a la fecha de cierre de la INVITACIÓN, debidamente renovado en el año 2021.</t>
  </si>
  <si>
    <t>Póliza de seguros por una cuantía equivalente al DIEZ POR CIENTO (10%) del presupuesto oficial; con una vigencia de sesenta (60) días, contada a partir de la fecha y hora de cierre de la presente INVITACIÓN, prorrogable en caso de ser necesario. Con la Propuesta Comercial se debe anexar la póliza.</t>
  </si>
  <si>
    <t xml:space="preserve">Cada uno de los integrantes del Consorcio o Unión Temporal deberá tener capacidad jurídica para contratar. Por tanto, el Proponente debe:
 (i) Ser persona jurídica con capacidad jurídica para celebrar contratos;
(ii) Tener como objeto social principal, o conexo, las actividades establecidas en el objeto de la presente INVITACIÓN;
(iii) Haber sido registrada por lo menos cinco (5) años antes de la fecha de cierre de la INVITACIÓN;
(iv) Tener una vigencia mínima igual al término de duración de las garantías exigidas y un año más;
(v) Estar inscrita en la Cámara de Comercio de su domicilio.
(vi) No tener, el representante legal ni los miembros de su órgano de dirección y manejo (sea Junta Directiva, Junta de Socios, entre otras), inhabilidades, incompatibilidades ni conflictos de interés para contratar con la U.de.A., según la Constitución y la Ley; y el Acuerdo Superior 395 de 2011 (por el cual se regula el conflicto de intereses del servidor público en la Universidad de Antioquia).
(vii) No tener ninguna de estas situaciones: Cesación de pagos o, cualquier otra circunstancia que justificadamente permita a la U.de.A presumir incapacidad o imposibilidad jurídica, económica o técnica para cumplir el objeto del contrato.
</t>
  </si>
  <si>
    <t xml:space="preserve">(i) Certificado de existencia y representación legal del Proponente, expedido por la Cámara de Comercio del domicilio principal, con fecha de expedición no superior a un (1) mes anterior a la fecha de cierre de la Invitación, debidamente renovado en el año 2021.
(ii) Carta de presentación y declaraciones del Proponente debidamente diligenciado y firmado
Anexo 4B
(iii) Constancia de la autorización del máximo órgano social, cuando el representante legal tenga limitaciones para presentar la propuesta y firmar el contrato. 
(iv) Fotocopia de la cédula del Representante Legal.
</t>
  </si>
  <si>
    <t xml:space="preserve">(i) Ser el representante legal del Consorcio o Unión Temporal: ingeniero civil, arquitecto o arquitecto constructor.
(ii) Tener matrícula profesional vigente, que haya sido expedida mínimo CINCO (5) años antes del cierre de la presente INVITACIÓN.
Cuando el representante legal NO CUMPLA el requisito anterior, la propuesta debe ser FIRMADA o ABONADA por un profesional que SÍ cumpla el requisito.
</t>
  </si>
  <si>
    <t xml:space="preserve">(i)Fotocopia de la matrícula del profesional vigente.
(ii)Certificado de vigencia de la matrícula expedida por la autoridad competente y vigente.
</t>
  </si>
  <si>
    <t>Cada uno de los integrantes del Consorcio o Unión Temporal deberá haber cumplido con los aportes al Sistema de Seguridad Social Integral y Parafiscales , en los seis (6) meses anteriores a la presentación de la propuesta Comercial y encontrarse a paz y salvo con el sistema. Si tiene acuerdos de pago deberá certificarlo.</t>
  </si>
  <si>
    <t xml:space="preserve">Certificación del pago de los aportes de los empleados al Sistemas de Seguridad Social Integral y Parafiscales, expedido por el Revisor Fiscal, en su defecto, por el Representante Legal. </t>
  </si>
  <si>
    <t>Cada uno de los integrantes del Consorcio o Unión Temporal no deberá estar reportada al Boletín de Responsables Fiscales de la Contraloría General de la República (Art. 60 Ley 610 de 2000; Circular 005 del 25 de febrero de 2008).</t>
  </si>
  <si>
    <t xml:space="preserve">Cada integrante debe, consultarlo y aportarlo .
(http://www.contraloriagen.gov.co/web/guest/certificado-antecedentes-fiscales).
</t>
  </si>
  <si>
    <t>Cada uno de los integrantes del Consorcio o Unión Temporal no deberá estar en mora en el Sistema Registro Nacional de Medidas Correctivas RNMC de la Policía Nacional de Colombia (artículo 183 de la Ley 1801 de 2016)</t>
  </si>
  <si>
    <t xml:space="preserve">La UdeA lo consultará en la página web de la Policía. Por precaución, el Proponente puede, consultarlo y aportarlo.  </t>
  </si>
  <si>
    <t>El Consorcio o Unión Temporal deberá estar inscrito en el Registro Único de Tributario.</t>
  </si>
  <si>
    <t>Los integrantes del Consorcio o Unión Temporal deberán estar inscritos, calificados en el Registro Único de PROPONENTES –RUP- de la Cámara de Comercio de su domicilio antes de la fecha de cierre o entrega de propuestas de esta invitación, y mínimo uno de los integrantes deberá estar clasificado en el Registro Único de PROPONENTES –RUP- de la Cámara de Comercio de su domicilio antes de la fecha de cierre o entrega de propuestas de esta invitación en algunas de las clasificaciones de la UNSPSC, establecidas en la Tabla 3 en los códigos: 801016, 811015 y 841116, obligatorio en el 811015.</t>
  </si>
  <si>
    <t>CBC-100032662</t>
  </si>
  <si>
    <t>21-44-101369891</t>
  </si>
  <si>
    <t>18-44-101079431</t>
  </si>
  <si>
    <t>2.34</t>
  </si>
  <si>
    <t>2.32</t>
  </si>
  <si>
    <t>Haber ejecutado contratos en COLOMBIA o en el EXTERIOR que dentro de su objeto o alcance incluyan: Interventoría a obras de Construcción de edificaciones de los grupos de uso I, II, III o IV, conforme al título A de la NSR-10.
Nota: Para el caso de los contratos ejecutados en el EXTERIOR, los documentos deben estar debidamente apostillados, con traducción oficial al español y deben estar registrados en el RUP.
Se aceptarán sólo aquellas propuestas que certifiquen experiencia GENERAL acreditada en hasta cinco (5) certificados o actas de liquidación de contratos ejecutados y liquidados, que dentro de su objeto o alcance incluyan Interventoría a obras de Construcción de edificaciones de grupos de uso I, II, III o IV, conforme al título A de la NSR-10.  Y que cada certificado aportado deberá estar alguna de las clasificaciones de la UNSPSC, establecidas en la Tabla 3 en los códigos: 801016, 811015 y 841116, y obligatorio estar en 811015
Garantizar que la sumatoria de los hasta cinco (5) contratos ejecutados y liquidados, sea mayor a uno punto cinco (1.5) veces el presupuesto oficial expresado en SMMLV de 2021.</t>
  </si>
  <si>
    <t>5/25/13</t>
  </si>
  <si>
    <t>Hospital Pablo Tobón Uribe</t>
  </si>
  <si>
    <t>Grupo Roble de Colombia S.A.S</t>
  </si>
  <si>
    <t>Camara de Comercio de Med para Ant</t>
  </si>
  <si>
    <t>Bienes &amp;Bienes S.A</t>
  </si>
  <si>
    <t>135-00941400</t>
  </si>
  <si>
    <t>BANCO DE LA REPUBLICA</t>
  </si>
  <si>
    <t>CTO-TCP-BTS-5 Y 6</t>
  </si>
  <si>
    <t>CTO-TC/S-1-2010</t>
  </si>
  <si>
    <t>005-2016</t>
  </si>
  <si>
    <t>TERRANUM CORPORATIVO S A S</t>
  </si>
  <si>
    <t>ADMINISTRADORA DE INVERSIONES FAMOSO &amp; CIA</t>
  </si>
  <si>
    <t>UNIVERSIDAD DE LA SALLE</t>
  </si>
  <si>
    <t>NALIBESA S.A.S</t>
  </si>
  <si>
    <t>PENDIENTES POR SUBSANAR</t>
  </si>
  <si>
    <t>Haber ejecutado contratos en COLOMBIA o en el EXTERIOR que dentro de su objeto o alcance incluyan:
Interventoría a obras de Construcción de edificaciones de los grupos de uso I, II, III o IV, conforme al
título A de la NSR-10.
Obligatorio estar en 811015</t>
  </si>
  <si>
    <r>
      <t xml:space="preserve">Bajos los lineamientos del decreto 945 del 5 de junio de 2017. De acuerdo con el Título V de la Ley 400 de 1997 y la Ley 1796 de 2016, la construcción de estructuras de edificaciones, o unidades constructivas, que tengan o superen los dos mil metros cuadrados (2000 m²) de área construida, independientemente de su uso, ejecutados bajo la supervisión técnica independiente realizada de acuerdo con lo establecido en el Título I del Reglamento NSR-10 en alguna de sus cuatro (4) categorías: I, II III o IV.
Debe presentar tres (3) contratos como Supervisor Técnico Independiente en experiencia en edificaciones conforme al numeral A.2.5.1 Grupos de Uso, de la NSR-10 en alguna de sus cuatro (4)
categorías: I, II III o IV.
</t>
    </r>
    <r>
      <rPr>
        <b/>
        <sz val="16"/>
        <rFont val="Arial"/>
        <family val="2"/>
      </rPr>
      <t>Medio de prueba: Deben presentar copia de:</t>
    </r>
    <r>
      <rPr>
        <sz val="16"/>
        <rFont val="Arial"/>
        <family val="2"/>
      </rPr>
      <t xml:space="preserve">
La Certificación Técnica de ocupación: según lo establecido en el numeral I.4.3.8 del Decreto No. 945 de 5 de junio de 2017 o la Declaración juramentada por parte del Supervisor Técnico Independiente,
conforme al literal a) del numeral I.4.3.8.1 Contenido mínimo de la Certificación Técnica de Ocupación del decreto 945 del 5 de junio de 2017.</t>
    </r>
  </si>
  <si>
    <t>VALCO</t>
  </si>
  <si>
    <t>ACI</t>
  </si>
  <si>
    <t>flor de Agua 2018/05/14</t>
  </si>
  <si>
    <t>Plazuela del Norte 2018/01/15</t>
  </si>
  <si>
    <t>Ensenada 2017/03/06</t>
  </si>
  <si>
    <t>OPTIMA S.A.S</t>
  </si>
  <si>
    <t>B&amp;B Constructores S.A</t>
  </si>
  <si>
    <t>NO PRESENTÓ CERTIFICADO</t>
  </si>
  <si>
    <t>Pedir certificación técnica de ocupación o Declaración Juramentada del STI</t>
  </si>
  <si>
    <t>PENDIENTES</t>
  </si>
  <si>
    <t>MENDEBALSA</t>
  </si>
  <si>
    <t>CONINSA RAMON H SA</t>
  </si>
  <si>
    <t>CUMPLEN CON LO SOLICITADO</t>
  </si>
  <si>
    <t>Presentó certificado Técnico de Ocupación</t>
  </si>
  <si>
    <t>NO ESTÁ ACORDE A ITEM 6.2.2.1 (T.R.)</t>
  </si>
  <si>
    <t>LOGO(NOMBRE DE LA EMPRESA)</t>
  </si>
  <si>
    <t>Profesionales de la Supervisión Técnica Independiente:
Presentar con la propuesta las hojas de vida y los documentos necesarios para certificar la experiencia solicitada de los profesionales correspondientes a la Supervisión técnica independiente. Correspondientes a los numerales 1.9 a 1.11 y de la tabla No.4 Personal profesional Los profesionales para la Supervisión técnica independiente deben ser profesionales, que tengan mínimo un (1) año de vinculación con la empresa, mediante contrato laboral o de prestación de servicios profesionales.</t>
  </si>
  <si>
    <t>Descripción</t>
  </si>
  <si>
    <t>PERFILES</t>
  </si>
  <si>
    <t>Fecha de expedición Matricula Profesional Para 3</t>
  </si>
  <si>
    <t>Años desde el postgrado en Area requirida (A) 
Para 1 y 2</t>
  </si>
  <si>
    <t>Años en experiencia en el area requerida (B)
Para 1, 2 y 3</t>
  </si>
  <si>
    <t>Total (A+B) Experiencia</t>
  </si>
  <si>
    <t>1.9 Supervisor lider estructural</t>
  </si>
  <si>
    <t>1.10 Supervisor Lider Geotecnico:</t>
  </si>
  <si>
    <t>1.11 Supervisor independiente Residente de estructuras:</t>
  </si>
  <si>
    <t>Valida actividad</t>
  </si>
  <si>
    <t>21 de agosto del 2008</t>
  </si>
  <si>
    <t>09 de noviembre del 2012</t>
  </si>
  <si>
    <t>23 de abril del 2015</t>
  </si>
  <si>
    <t xml:space="preserve">Observación </t>
  </si>
  <si>
    <t>Cumple
Diego Fernando Olarte Ortiz</t>
  </si>
  <si>
    <t>Cumple
Carlos Eduardo Torres Romero</t>
  </si>
  <si>
    <t>Cumple
Daniel Valencia Castrillón</t>
  </si>
  <si>
    <t>Cumple
Victor Antonio Hernandez Gordillo</t>
  </si>
  <si>
    <t xml:space="preserve">Cumple
Francisco Cervantes Vélez </t>
  </si>
  <si>
    <t>Cumple
Edwin Orlando Ortiz Cárdenas</t>
  </si>
  <si>
    <t>Pedir certificado o acta de liquidación Legible</t>
  </si>
  <si>
    <t>SUELDO Y/O TARIFA 2023
 (Ipc 3,5%</t>
  </si>
  <si>
    <t>DURACIÓN 2021
(1 mes)</t>
  </si>
  <si>
    <t>DURACIÓN 2022
(12  meses)</t>
  </si>
  <si>
    <t>DURACIÓN 2023
(Hasta6 meses)</t>
  </si>
  <si>
    <r>
      <rPr>
        <b/>
        <sz val="12"/>
        <color theme="1"/>
        <rFont val="Arial"/>
        <family val="2"/>
      </rPr>
      <t xml:space="preserve">Coordinador interventoría </t>
    </r>
    <r>
      <rPr>
        <sz val="12"/>
        <color theme="1"/>
        <rFont val="Arial"/>
        <family val="2"/>
      </rPr>
      <t>(Ingeniero Civil o Arquitecto o Arquitecto Constructor especializado, con experiencia en coordinación de proyectos, dirección de interventoría, construcción, costos y presupuestos)
Experiencia requerida: mayor a 10 años de experiencia contados a partir de la expedición de la matrícula profesional.</t>
    </r>
  </si>
  <si>
    <t>1.2</t>
  </si>
  <si>
    <r>
      <rPr>
        <b/>
        <sz val="12"/>
        <color theme="1"/>
        <rFont val="Arial"/>
        <family val="2"/>
      </rPr>
      <t>Director de Proyecto especial</t>
    </r>
    <r>
      <rPr>
        <sz val="12"/>
        <color theme="1"/>
        <rFont val="Arial"/>
        <family val="2"/>
      </rPr>
      <t xml:space="preserve"> (Ingeniero Civil especializado, con experiencia en coordinación de proyectos, dirección de interventoría, construcción, costos y presupuestos)
Experiencia requerida: mayor a 5 años de experiencia contados a partir de la expedición de la matrícula profesional.</t>
    </r>
  </si>
  <si>
    <t>1.3</t>
  </si>
  <si>
    <t>1.4</t>
  </si>
  <si>
    <t>1.6</t>
  </si>
  <si>
    <t>1.7</t>
  </si>
  <si>
    <r>
      <rPr>
        <b/>
        <sz val="12"/>
        <color theme="1"/>
        <rFont val="Arial"/>
        <family val="2"/>
      </rPr>
      <t xml:space="preserve">Tecnólogo (a) en seguridad e higiene ocupacional o afínes para INTERVENTORÍA  (Nivel 1). </t>
    </r>
    <r>
      <rPr>
        <u/>
        <sz val="12"/>
        <color theme="1"/>
        <rFont val="Arial"/>
        <family val="2"/>
      </rPr>
      <t>Experiencia requerida</t>
    </r>
    <r>
      <rPr>
        <sz val="12"/>
        <color theme="1"/>
        <rFont val="Arial"/>
        <family val="2"/>
      </rPr>
      <t>: mayor a 1.5 años de experiencia contados a partir de la expedición de la Licencia en salud ocupacional</t>
    </r>
  </si>
  <si>
    <t>1.8</t>
  </si>
  <si>
    <t>1.9</t>
  </si>
  <si>
    <r>
      <t>Supervisor lider estructura</t>
    </r>
    <r>
      <rPr>
        <sz val="12"/>
        <rFont val="Arial"/>
        <family val="2"/>
      </rPr>
      <t xml:space="preserve">l (Elementos Estructurales y no estructurales),  profesiones (Ingeniero Civil con matricula profesional vigente, con postgrado en el area de estructuras)
</t>
    </r>
    <r>
      <rPr>
        <u/>
        <sz val="12"/>
        <rFont val="Arial"/>
        <family val="2"/>
      </rPr>
      <t>Experiencia requerida</t>
    </r>
    <r>
      <rPr>
        <sz val="12"/>
        <rFont val="Arial"/>
        <family val="2"/>
      </rPr>
      <t xml:space="preserve">: 
Mayor a 8 años de experiencia en el area de estructuras:  </t>
    </r>
    <r>
      <rPr>
        <b/>
        <sz val="12"/>
        <rFont val="Arial"/>
        <family val="2"/>
      </rPr>
      <t>(i)</t>
    </r>
    <r>
      <rPr>
        <sz val="12"/>
        <rFont val="Arial"/>
        <family val="2"/>
      </rPr>
      <t xml:space="preserve"> Contados a partir del postgrados en el area estructuras, o  con</t>
    </r>
    <r>
      <rPr>
        <b/>
        <sz val="12"/>
        <rFont val="Arial"/>
        <family val="2"/>
      </rPr>
      <t xml:space="preserve"> (ii) </t>
    </r>
    <r>
      <rPr>
        <sz val="12"/>
        <rFont val="Arial"/>
        <family val="2"/>
      </rPr>
      <t xml:space="preserve">Constancias en </t>
    </r>
    <r>
      <rPr>
        <b/>
        <sz val="12"/>
        <rFont val="Arial"/>
        <family val="2"/>
      </rPr>
      <t>experiencia profesional en area de estructuras</t>
    </r>
    <r>
      <rPr>
        <sz val="12"/>
        <rFont val="Arial"/>
        <family val="2"/>
      </rPr>
      <t xml:space="preserve"> —( Las constancias de experiencia profesional en las labores requeridas por la Ley 400 de 1997 y adquirida a partir de la expedición de la tarjeta profesional, bajo la dirección de un profesional facultado para tal fin en el momento en que se obtuvo la experiencia y bajo la reglamentación profesional de la época, deben estar suscritas por el profesional que dirigió estas labores indicando su profesión, número de la matrícula profesional y fecha de expedición de la misma. En aquellos casos en los que no sea posible obtener la certificación por ausencia, temporal o permanente, de quien la deba suscribir, la entidad ante la cual se aporta la experiencia correspondiente está facultada para admitir constancias o documentos sustitutivos que la comprueben) o la suma de las dos condiciones anteriores (</t>
    </r>
    <r>
      <rPr>
        <b/>
        <sz val="12"/>
        <rFont val="Arial"/>
        <family val="2"/>
      </rPr>
      <t>i y ii</t>
    </r>
    <r>
      <rPr>
        <sz val="12"/>
        <rFont val="Arial"/>
        <family val="2"/>
      </rPr>
      <t>)  y con Matricula profesional Vigente</t>
    </r>
  </si>
  <si>
    <r>
      <rPr>
        <b/>
        <sz val="12"/>
        <color theme="1"/>
        <rFont val="Arial"/>
        <family val="2"/>
      </rPr>
      <t xml:space="preserve">Supervisor Lider Geotecnico: </t>
    </r>
    <r>
      <rPr>
        <sz val="12"/>
        <color theme="1"/>
        <rFont val="Arial"/>
        <family val="2"/>
      </rPr>
      <t xml:space="preserve"> profesiones (Ingeniero Civil con matricula profesionalvigente, con postgrado en el area de</t>
    </r>
    <r>
      <rPr>
        <sz val="12"/>
        <rFont val="Arial"/>
        <family val="2"/>
      </rPr>
      <t xml:space="preserve"> geotecnia).
</t>
    </r>
    <r>
      <rPr>
        <u/>
        <sz val="12"/>
        <rFont val="Arial"/>
        <family val="2"/>
      </rPr>
      <t>Experiencia requerida</t>
    </r>
    <r>
      <rPr>
        <sz val="12"/>
        <rFont val="Arial"/>
        <family val="2"/>
      </rPr>
      <t xml:space="preserve"> : mayor a 8 años de experiencia en el area de geotecnica:  </t>
    </r>
    <r>
      <rPr>
        <b/>
        <sz val="12"/>
        <rFont val="Arial"/>
        <family val="2"/>
      </rPr>
      <t>(i)</t>
    </r>
    <r>
      <rPr>
        <sz val="12"/>
        <rFont val="Arial"/>
        <family val="2"/>
      </rPr>
      <t xml:space="preserve"> Contados a partir del postgrados en el area geotecnia   o  con </t>
    </r>
    <r>
      <rPr>
        <b/>
        <sz val="12"/>
        <rFont val="Arial"/>
        <family val="2"/>
      </rPr>
      <t>(ii)</t>
    </r>
    <r>
      <rPr>
        <sz val="12"/>
        <rFont val="Arial"/>
        <family val="2"/>
      </rPr>
      <t xml:space="preserve"> </t>
    </r>
    <r>
      <rPr>
        <b/>
        <sz val="12"/>
        <rFont val="Arial"/>
        <family val="2"/>
      </rPr>
      <t>Constancias en experiencia profesional en area de geotecnia</t>
    </r>
    <r>
      <rPr>
        <sz val="12"/>
        <rFont val="Arial"/>
        <family val="2"/>
      </rPr>
      <t xml:space="preserve"> —( Las constancias de experiencia profesional en las labores requeridas por la Ley 400 de 1997 y adquirida a partir de la expedición de la tarjeta profesional, bajo la dirección de un profesional facultado para tal fin en el momento en que se obtuvo la experiencia y bajo la reglamentación profesional de la época, deben estar suscritas por el profesional que dirigió estas labores indicando su profesión, número de la matrícula profesional y fecha de expedición de la misma. En aquellos casos en los que no sea posible obtener la certificación por ausencia, temporal o permanente, de quien la deba suscribir, la entidad ante la cual se aporta la experiencia correspondiente está facultada para admitir constancias o documentos sustitutivos que la comprueben) o la suma de las dos condiciones anteriores </t>
    </r>
    <r>
      <rPr>
        <b/>
        <sz val="12"/>
        <rFont val="Arial"/>
        <family val="2"/>
      </rPr>
      <t>(i y ii</t>
    </r>
    <r>
      <rPr>
        <sz val="12"/>
        <rFont val="Arial"/>
        <family val="2"/>
      </rPr>
      <t>)  y con Matricula profesional Vigente</t>
    </r>
  </si>
  <si>
    <t>1.11</t>
  </si>
  <si>
    <r>
      <rPr>
        <b/>
        <sz val="12"/>
        <color theme="1"/>
        <rFont val="Arial"/>
        <family val="2"/>
      </rPr>
      <t>Supervisor técnico Independiente:</t>
    </r>
    <r>
      <rPr>
        <sz val="12"/>
        <color theme="1"/>
        <rFont val="Arial"/>
        <family val="2"/>
      </rPr>
      <t xml:space="preserve"> ​Ingeniero civil​,​Arquitecto Constructor en arquitectura e ingeniería​, Experiencia mayor de cinco (5) años en diseño estructural, construcción, interventoría o supervisión técnica (Nota: la Ley no contempla estudios de postgrado en este caso), contados a partir de la expedición de la matricula profesional vigente. </t>
    </r>
  </si>
  <si>
    <t>SUBTOTAL FNSP</t>
  </si>
  <si>
    <t>OTROS COSTOS DIRECTOS (Reembolsables) /NO MODIFICAR</t>
  </si>
  <si>
    <t>Ensayos de Laboratorio (para verificación en caso de requerirse) previa aprobación de la entidad contratante y presentación de la factura con los requisitos de ley</t>
  </si>
  <si>
    <t>Asesorias especializadas: requeridas en obra, todas las anteriores previa aprobación de la entidad contratante y presentación de la factura con los requisitos de ley</t>
  </si>
  <si>
    <t>VERIFICACIÓN DE TIEMPO DE DEDICACIÓN</t>
  </si>
  <si>
    <t>Costo Directo Min</t>
  </si>
  <si>
    <t>Costo Directo Max</t>
  </si>
  <si>
    <t>Factor Multiplicador Min</t>
  </si>
  <si>
    <t>FM MAX</t>
  </si>
  <si>
    <t>CD MIN</t>
  </si>
  <si>
    <t>CD MAX</t>
  </si>
  <si>
    <t>FM MIN</t>
  </si>
  <si>
    <t>Coordinador interventoría (Ingeniero Civil o Arquitecto o Arquitecto Constructor especializado, con experiencia en coordinación de proyectos, dirección de interventoría, construcción, costos y presupuestos)
Experiencia requerida: mayor a 10 años de experiencia contados a partir de la expedición de la matrícula profesional.</t>
  </si>
  <si>
    <t>Director de Proyecto especial (Ingeniero Civil especializado, con experiencia en coordinación de proyectos, dirección de interventoría, construcción, costos y presupuestos)
Experiencia requerida: mayor a 5 años de experiencia contados a partir de la expedición de la matrícula profesional.</t>
  </si>
  <si>
    <t>Residente de Obra, Nivel 2 (Profesional Nivel 2, profesiones afines, Ingeniero Civil, Arquitecto, Arquitecto Constructor, Ingeniero Constructor)
Experiencia requerida Residente de Obra Nivel 2: mayor a 4 años de experiencia contados a partir de la expedición de la matrícula profesional</t>
  </si>
  <si>
    <t>Residente de Interventoria Electrico, Nivel 2 (Profesional Nivel 2, profesiones Ingeniero electricista)
Experiencia requerida Residente de Obra Nivel 2: mayor a 4 años de experiencia contados a partir de la expedición de la matrícula profesional</t>
  </si>
  <si>
    <t>Residente Interventoria  Ingeniero Mecánico (Profesional Nivel 2, profesiones Ingeniero Mecánico)
Experiencia requerida Residente de Obra Nivel 2: mayor a 4 años de experiencia contados a partir de la expedición de la matrícula profesional</t>
  </si>
  <si>
    <t>Residente desarrollador BIM Profesional Nivel 2, profesiones afines,  Ingeniero Civil, Arquitecto, Arquitecto Constructor, Ingeniero Constructor)
Experiencia requerida Residente de Obra Nivel 2: mayor a 4 años de experiencia contados a partir de la expedición de la matrícula profesional</t>
  </si>
  <si>
    <t>Tecnólogo (a) en seguridad e higiene ocupacional o afínes para INTERVENTORÍA  (Nivel 1). Experiencia requerida: mayor a 1.5 años de experiencia contados a partir de la expedición de la Licencia en salud ocupacional</t>
  </si>
  <si>
    <t>Residente AMBIENTAL (Ingeniero ambiental)
Experiencia requerida Residente de Obra Nivel 2: mayor a 4 años de experiencia contados a partir de la expedición de la matrícula profesional</t>
  </si>
  <si>
    <t>Supervisor lider estructural (Elementos Estructurales y no estructurales),  profesiones (Ingeniero Civil con matricula profesional vigente, con postgrado en el area de estructuras)
Experiencia requerida: 
Mayor a 8 años de experiencia en el area de estructuras:  (i) Contados a partir del postgrados en el area estructuras, o  con (ii) Constancias en experiencia profesional en area de estructuras —( Las constancias de experiencia profesional en las labores requeridas por la Ley 400 de 1997 y adquirida a partir de la expedición de la tarjeta profesional, bajo la dirección de un profesional facultado para tal fin en el momento en que se obtuvo la experiencia y bajo la reglamentación profesional de la época, deben estar suscritas por el profesional que dirigió estas labores indicando su profesión, número de la matrícula profesional y fecha de expedición de la misma. En aquellos casos en los que no sea posible obtener la certificación por ausencia, temporal o permanente, de quien la deba suscribir, la entidad ante la cual se aporta la experiencia correspondiente está facultada para admitir constancias o documentos sustitutivos que la comprueben) o la suma de las dos condiciones anteriores (i y ii)  y con Matricula profesional Vigente</t>
  </si>
  <si>
    <t>Supervisor Lider Geotecnico:  profesiones (Ingeniero Civil con matricula profesionalvigente, con postgrado en el area de geotecnia).
Experiencia requerida : mayor a 8 años de experiencia en el area de geotecnica:  (i) Contados a partir del postgrados en el area geotecnia   o  con (ii) Constancias en experiencia profesional en area de geotecnia —( Las constancias de experiencia profesional en las labores requeridas por la Ley 400 de 1997 y adquirida a partir de la expedición de la tarjeta profesional, bajo la dirección de un profesional facultado para tal fin en el momento en que se obtuvo la experiencia y bajo la reglamentación profesional de la época, deben estar suscritas por el profesional que dirigió estas labores indicando su profesión, número de la matrícula profesional y fecha de expedición de la misma. En aquellos casos en los que no sea posible obtener la certificación por ausencia, temporal o permanente, de quien la deba suscribir, la entidad ante la cual se aporta la experiencia correspondiente está facultada para admitir constancias o documentos sustitutivos que la comprueben) o la suma de las dos condiciones anteriores (i y ii)  y con Matricula profesional Vigente</t>
  </si>
  <si>
    <t xml:space="preserve">Supervisor técnico Independiente: ​Ingeniero civil​,​Arquitecto Constructor en arquitectura e ingeniería​.
Experiencia mayor de cinco (5) años en diseño estructural, construcción, interventoría o supervisión técnica (Nota: la Ley no contempla estudios de postgrado en este caso), contados a partir de la expedición de la matricula profesional vigente. </t>
  </si>
  <si>
    <t xml:space="preserve">Supervisor técnico Independiente: ​Ingeniero civil​,​Arquitecto Constructor en arquitectura e ingeniería​, Experiencia mayor de cinco (5) años en diseño estructural, construcción, interventoría o supervisión técnica (Nota: la Ley no contempla estudios de postgrado en este caso), contados a partir de la expedición de la matricula profesional vigente. </t>
  </si>
  <si>
    <t xml:space="preserve">PRESUPUESTO OFICIAL </t>
  </si>
  <si>
    <t>TRM</t>
  </si>
  <si>
    <t>Presupuesto Oficial</t>
  </si>
  <si>
    <t xml:space="preserve">SI </t>
  </si>
  <si>
    <t>1- NIVEL CENTRAL</t>
  </si>
  <si>
    <t>ARQ-UGGI-144-012-2018</t>
  </si>
  <si>
    <t>ARQ-UGGt- 144-201 7</t>
  </si>
  <si>
    <t>CEMID 002-ARQ</t>
  </si>
  <si>
    <t>No. 3-1 51012</t>
  </si>
  <si>
    <t>UNIVERSIDAD NACIONAL DE COLOMBIA</t>
  </si>
  <si>
    <t>FUNDACION NUEVO MARYMOUNT</t>
  </si>
  <si>
    <t>CORPORACION EDUCAT I VA MINUTO DE DIOS CEMID</t>
  </si>
  <si>
    <t>FIDUCIARIA BOGOTA S .A ADMINISTRADORA Y VOCERA
DEL PATRIMONIO AUTONOMO FIDEICOMISO ASISTENCIA
TECNICA - FINDETER
EQUIPAMENTOS PUBLICOS</t>
  </si>
  <si>
    <t>1 501,33</t>
  </si>
  <si>
    <t>Puntos</t>
  </si>
  <si>
    <t>N/A</t>
  </si>
  <si>
    <t>Cumple
Brigith Julieta Torres Amaya</t>
  </si>
  <si>
    <t xml:space="preserve">ESTATUS EXPERIENCIA GENERAL </t>
  </si>
  <si>
    <t>ESTATUS EXPERIENCIA ESPECIFICA</t>
  </si>
  <si>
    <t>ESTATUS PROFESIONALES</t>
  </si>
  <si>
    <t>H</t>
  </si>
  <si>
    <t>NH</t>
  </si>
  <si>
    <t>Cumple, Diana Marcela Forero Gerena</t>
  </si>
  <si>
    <t>Se solicitó subsanar el requisito y el proponente lo subsanó conforme el requerimiento el 14/12/2021</t>
  </si>
  <si>
    <t>REQUERIMIENTOS SUBSANADOS</t>
  </si>
  <si>
    <r>
      <t>CUMPLE</t>
    </r>
    <r>
      <rPr>
        <sz val="12"/>
        <color theme="1"/>
        <rFont val="Arial"/>
        <family val="2"/>
      </rPr>
      <t xml:space="preserve">
Certificado de Camara de Comercio de Medellín con código de verificación tkjjlhcbEfiiLbcc, representada legalmente por el señor Jaime Horacio Londoño Escobar</t>
    </r>
  </si>
  <si>
    <r>
      <rPr>
        <b/>
        <sz val="12"/>
        <rFont val="Arial"/>
        <family val="2"/>
      </rPr>
      <t>CUMPLE</t>
    </r>
    <r>
      <rPr>
        <sz val="12"/>
        <color rgb="FFFF0000"/>
        <rFont val="Arial"/>
        <family val="2"/>
      </rPr>
      <t xml:space="preserve">
</t>
    </r>
    <r>
      <rPr>
        <sz val="12"/>
        <rFont val="Arial"/>
        <family val="2"/>
      </rPr>
      <t>Certificado de camara de comercio de Bogota con código de verificación 22107294494773, representada legalmente por el señor Ricardo Leguizamo Romero</t>
    </r>
    <r>
      <rPr>
        <sz val="12"/>
        <color rgb="FFFF0000"/>
        <rFont val="Arial"/>
        <family val="2"/>
      </rPr>
      <t xml:space="preserve">
</t>
    </r>
  </si>
  <si>
    <r>
      <rPr>
        <b/>
        <sz val="12"/>
        <rFont val="Arial"/>
        <family val="2"/>
      </rPr>
      <t>CUMPLE</t>
    </r>
    <r>
      <rPr>
        <sz val="12"/>
        <color rgb="FFFF0000"/>
        <rFont val="Arial"/>
        <family val="2"/>
      </rPr>
      <t xml:space="preserve">
</t>
    </r>
    <r>
      <rPr>
        <sz val="12"/>
        <rFont val="Arial"/>
        <family val="2"/>
      </rPr>
      <t>Certificado de camara de comercio de Bogota con código de verificación SKggagPQJt, representada legalmente por el señor Juan Manuel Díaz Hernández</t>
    </r>
    <r>
      <rPr>
        <sz val="12"/>
        <color rgb="FFFF0000"/>
        <rFont val="Arial"/>
        <family val="2"/>
      </rPr>
      <t xml:space="preserve">
</t>
    </r>
  </si>
  <si>
    <r>
      <rPr>
        <b/>
        <sz val="12"/>
        <color theme="1"/>
        <rFont val="Arial"/>
        <family val="2"/>
      </rPr>
      <t xml:space="preserve">CUMPLE
</t>
    </r>
    <r>
      <rPr>
        <sz val="12"/>
        <color theme="1"/>
        <rFont val="Arial"/>
        <family val="2"/>
      </rPr>
      <t>El representante legal tiene como profesión ingeniero civil con matricula profesional 0500-02397 desde el 4 febrero de 1974, se encuentra vigente, según certificado expedido por el Copnia el 26 de noviembre de 2021</t>
    </r>
  </si>
  <si>
    <r>
      <t xml:space="preserve">CUMPLE
</t>
    </r>
    <r>
      <rPr>
        <sz val="12"/>
        <color theme="1"/>
        <rFont val="Arial"/>
        <family val="2"/>
      </rPr>
      <t>El representante legal tiene como profesión arquitecto co matricula profesional No. 25700-19675 desde el 21 de Noviembre de 1985, expedida or el consejo profesional nacional de arquitectura y sus profesiones auxiliares el 2 diciembre de 2021.</t>
    </r>
    <r>
      <rPr>
        <b/>
        <sz val="12"/>
        <color theme="1"/>
        <rFont val="Arial"/>
        <family val="2"/>
      </rPr>
      <t xml:space="preserve">
</t>
    </r>
  </si>
  <si>
    <r>
      <t xml:space="preserve">CUMPLE
</t>
    </r>
    <r>
      <rPr>
        <sz val="12"/>
        <color theme="1"/>
        <rFont val="Arial"/>
        <family val="2"/>
      </rPr>
      <t>La propuesta es abonada por la Ingeniera civil Maria Marcela Clavijo Montaño con matricula profesional 25202-152907 desde el 02 de Abril de 2008, la cual se encuentra vigente según certificado expedido por el copnia el 28 septiembre de 2021</t>
    </r>
    <r>
      <rPr>
        <b/>
        <sz val="12"/>
        <color theme="1"/>
        <rFont val="Arial"/>
        <family val="2"/>
      </rPr>
      <t xml:space="preserve">
</t>
    </r>
  </si>
  <si>
    <r>
      <rPr>
        <b/>
        <sz val="12"/>
        <color theme="1"/>
        <rFont val="Arial"/>
        <family val="2"/>
      </rPr>
      <t xml:space="preserve">CUMPLE
</t>
    </r>
    <r>
      <rPr>
        <sz val="12"/>
        <color theme="1"/>
        <rFont val="Arial"/>
        <family val="2"/>
      </rPr>
      <t>Certificado expedido por la revisora fical Leidi Biviana Ramirez Cardona con tarjeta profesional 205091-T</t>
    </r>
  </si>
  <si>
    <r>
      <rPr>
        <b/>
        <sz val="12"/>
        <color theme="1"/>
        <rFont val="Arial"/>
        <family val="2"/>
      </rPr>
      <t xml:space="preserve">CUMPLE
</t>
    </r>
    <r>
      <rPr>
        <sz val="12"/>
        <color theme="1"/>
        <rFont val="Arial"/>
        <family val="2"/>
      </rPr>
      <t>Certificado expedido por la revisora fica lGERARDO NIETO JARAMILLO Cardona con tarjeta profesional 12096-T</t>
    </r>
  </si>
  <si>
    <r>
      <t xml:space="preserve">CUMPLE
</t>
    </r>
    <r>
      <rPr>
        <sz val="12"/>
        <color theme="1"/>
        <rFont val="Arial"/>
        <family val="2"/>
      </rPr>
      <t xml:space="preserve">Certificado expedido por el revisor fiscal Juan Manuel Bernal Pineda con TP 12905-T
</t>
    </r>
  </si>
  <si>
    <r>
      <rPr>
        <b/>
        <sz val="12"/>
        <color theme="1"/>
        <rFont val="Arial"/>
        <family val="2"/>
      </rPr>
      <t xml:space="preserve">CUMPLE
</t>
    </r>
    <r>
      <rPr>
        <sz val="12"/>
        <color theme="1"/>
        <rFont val="Arial"/>
        <family val="2"/>
      </rPr>
      <t>Certificado con código de verificación 8284236211126100231 y 8909206568211213135040</t>
    </r>
  </si>
  <si>
    <r>
      <rPr>
        <b/>
        <sz val="12"/>
        <color theme="1"/>
        <rFont val="Arial"/>
        <family val="2"/>
      </rPr>
      <t xml:space="preserve">CUMPLE
</t>
    </r>
    <r>
      <rPr>
        <sz val="12"/>
        <color theme="1"/>
        <rFont val="Arial"/>
        <family val="2"/>
      </rPr>
      <t>Certificado con código de verificación 8001684773211206100124 y 79142921211119144245</t>
    </r>
  </si>
  <si>
    <r>
      <rPr>
        <b/>
        <sz val="12"/>
        <color theme="1"/>
        <rFont val="Arial"/>
        <family val="2"/>
      </rPr>
      <t xml:space="preserve">CUMPLE
</t>
    </r>
    <r>
      <rPr>
        <sz val="12"/>
        <color theme="1"/>
        <rFont val="Arial"/>
        <family val="2"/>
      </rPr>
      <t>Certificado con código de verificación 9003464841211202092706 y 80874801211202092748</t>
    </r>
  </si>
  <si>
    <r>
      <rPr>
        <b/>
        <sz val="12"/>
        <color theme="1"/>
        <rFont val="Arial"/>
        <family val="2"/>
      </rPr>
      <t xml:space="preserve">CUMPLE
</t>
    </r>
    <r>
      <rPr>
        <sz val="12"/>
        <color theme="1"/>
        <rFont val="Arial"/>
        <family val="2"/>
      </rPr>
      <t>Certificado con código de Validación 27523098</t>
    </r>
  </si>
  <si>
    <r>
      <rPr>
        <b/>
        <sz val="12"/>
        <color theme="1"/>
        <rFont val="Arial"/>
        <family val="2"/>
      </rPr>
      <t xml:space="preserve">CUMPLE
</t>
    </r>
    <r>
      <rPr>
        <sz val="12"/>
        <color theme="1"/>
        <rFont val="Arial"/>
        <family val="2"/>
      </rPr>
      <t>Certificado con código de Validación 27333010</t>
    </r>
  </si>
  <si>
    <r>
      <rPr>
        <b/>
        <sz val="12"/>
        <color theme="1"/>
        <rFont val="Arial"/>
        <family val="2"/>
      </rPr>
      <t xml:space="preserve">CUMPLE
</t>
    </r>
    <r>
      <rPr>
        <sz val="12"/>
        <color theme="1"/>
        <rFont val="Arial"/>
        <family val="2"/>
      </rPr>
      <t>Certificado con código de Validación 27733385</t>
    </r>
  </si>
  <si>
    <t>CUMPLE*</t>
  </si>
  <si>
    <r>
      <t xml:space="preserve">CUMPLE
</t>
    </r>
    <r>
      <rPr>
        <sz val="12"/>
        <color theme="1"/>
        <rFont val="Arial"/>
        <family val="2"/>
      </rPr>
      <t>RUP de la camara de comercio de Medellín para Antioquia con código de verificación FifjjajCIjaaOjYp</t>
    </r>
  </si>
  <si>
    <r>
      <t xml:space="preserve">CUMPLE
</t>
    </r>
    <r>
      <rPr>
        <sz val="12"/>
        <color theme="1"/>
        <rFont val="Arial"/>
        <family val="2"/>
      </rPr>
      <t>RUP de la camara de comercio de Bogotá con código de verificación 0221072946</t>
    </r>
  </si>
  <si>
    <r>
      <t xml:space="preserve">CUMPLE
</t>
    </r>
    <r>
      <rPr>
        <sz val="12"/>
        <color theme="1"/>
        <rFont val="Arial"/>
        <family val="2"/>
      </rPr>
      <t>RUP de la camara de comercio de Bogotá con código de verificación AB21675652</t>
    </r>
  </si>
  <si>
    <r>
      <t xml:space="preserve">NO CUMPLE*
</t>
    </r>
    <r>
      <rPr>
        <sz val="12"/>
        <color theme="1"/>
        <rFont val="Arial"/>
        <family val="2"/>
      </rPr>
      <t>Adjunto póliza a favor de Entidades particulares</t>
    </r>
  </si>
  <si>
    <t>Seguros Mundial</t>
  </si>
  <si>
    <t>Seguros del Estado</t>
  </si>
  <si>
    <t>M-100155885</t>
  </si>
  <si>
    <t>90 días</t>
  </si>
  <si>
    <t>65 días</t>
  </si>
  <si>
    <t>75 días</t>
  </si>
  <si>
    <r>
      <t xml:space="preserve">CUMPLE
VALCO: </t>
    </r>
    <r>
      <rPr>
        <sz val="12"/>
        <color theme="1"/>
        <rFont val="Arial"/>
        <family val="2"/>
      </rPr>
      <t>Certificado de camara de comercio de bogotá con código de verificación B21636931E069C, representada legalmente por la señora Monica Pérez Valcarcel</t>
    </r>
    <r>
      <rPr>
        <b/>
        <sz val="12"/>
        <color theme="1"/>
        <rFont val="Arial"/>
        <family val="2"/>
      </rPr>
      <t xml:space="preserve">
ACI: </t>
    </r>
    <r>
      <rPr>
        <sz val="12"/>
        <color theme="1"/>
        <rFont val="Arial"/>
        <family val="2"/>
      </rPr>
      <t>Certificado de camara de comercio de bogotá con código de verificación B21604328C0D43, representada legalmente por la señora Jhuliana Andrea Sarmiento Garcia</t>
    </r>
  </si>
  <si>
    <r>
      <t xml:space="preserve">CUMPLE
</t>
    </r>
    <r>
      <rPr>
        <sz val="12"/>
        <color theme="1"/>
        <rFont val="Arial"/>
        <family val="2"/>
      </rPr>
      <t>Propuesta abonada por el ingeniero civilJorge Alberto Caldero Baron</t>
    </r>
    <r>
      <rPr>
        <b/>
        <sz val="12"/>
        <color theme="1"/>
        <rFont val="Arial"/>
        <family val="2"/>
      </rPr>
      <t xml:space="preserve"> </t>
    </r>
    <r>
      <rPr>
        <sz val="12"/>
        <color theme="1"/>
        <rFont val="Arial"/>
        <family val="2"/>
      </rPr>
      <t>con matricula profesional</t>
    </r>
    <r>
      <rPr>
        <b/>
        <sz val="12"/>
        <color theme="1"/>
        <rFont val="Arial"/>
        <family val="2"/>
      </rPr>
      <t xml:space="preserve"> </t>
    </r>
    <r>
      <rPr>
        <sz val="12"/>
        <color theme="1"/>
        <rFont val="Arial"/>
        <family val="2"/>
      </rPr>
      <t>25202-79874  desde el 17 de febrero de 2000, se encuentra vigente según certificadodel copnia del 4 diciembre de 2021</t>
    </r>
  </si>
  <si>
    <r>
      <t xml:space="preserve">CUMPLE
VALCO: </t>
    </r>
    <r>
      <rPr>
        <sz val="12"/>
        <color theme="1"/>
        <rFont val="Arial"/>
        <family val="2"/>
      </rPr>
      <t>Certificado expedido por la representante legal  la señora Monica Pérez Valcarcel</t>
    </r>
    <r>
      <rPr>
        <b/>
        <sz val="12"/>
        <color theme="1"/>
        <rFont val="Arial"/>
        <family val="2"/>
      </rPr>
      <t xml:space="preserve">
ACI: </t>
    </r>
    <r>
      <rPr>
        <sz val="12"/>
        <color theme="1"/>
        <rFont val="Arial"/>
        <family val="2"/>
      </rPr>
      <t>Certificado expedido por el revisor fiscal princial el señor Victor Manuel Zambrano Camargo con TP 193058-T</t>
    </r>
  </si>
  <si>
    <r>
      <t xml:space="preserve">CUMPLE
VALCO: </t>
    </r>
    <r>
      <rPr>
        <sz val="12"/>
        <color theme="1"/>
        <rFont val="Arial"/>
        <family val="2"/>
      </rPr>
      <t>Código de verificación 41748962211130185536 y 9007251345211204110804</t>
    </r>
    <r>
      <rPr>
        <b/>
        <sz val="12"/>
        <color theme="1"/>
        <rFont val="Arial"/>
        <family val="2"/>
      </rPr>
      <t xml:space="preserve">
ACI: </t>
    </r>
    <r>
      <rPr>
        <sz val="12"/>
        <color theme="1"/>
        <rFont val="Arial"/>
        <family val="2"/>
      </rPr>
      <t>Código de verificación 8600598516211129103754 y 52816621211129103834</t>
    </r>
  </si>
  <si>
    <r>
      <t xml:space="preserve">CUMPLE
VALCO: </t>
    </r>
    <r>
      <rPr>
        <sz val="12"/>
        <color theme="1"/>
        <rFont val="Arial"/>
        <family val="2"/>
      </rPr>
      <t>Código de validación 27686974</t>
    </r>
    <r>
      <rPr>
        <b/>
        <sz val="12"/>
        <color theme="1"/>
        <rFont val="Arial"/>
        <family val="2"/>
      </rPr>
      <t xml:space="preserve">
ACI: </t>
    </r>
    <r>
      <rPr>
        <sz val="12"/>
        <color theme="1"/>
        <rFont val="Arial"/>
        <family val="2"/>
      </rPr>
      <t>Código de validación 27581824</t>
    </r>
  </si>
  <si>
    <t xml:space="preserve">CUMPLE*
</t>
  </si>
  <si>
    <r>
      <t xml:space="preserve">CUMPLE
VALCO: </t>
    </r>
    <r>
      <rPr>
        <sz val="12"/>
        <color theme="1"/>
        <rFont val="Arial"/>
        <family val="2"/>
      </rPr>
      <t>RUP con código de validación AB21660872</t>
    </r>
    <r>
      <rPr>
        <b/>
        <sz val="12"/>
        <color theme="1"/>
        <rFont val="Arial"/>
        <family val="2"/>
      </rPr>
      <t xml:space="preserve">
ACI: </t>
    </r>
    <r>
      <rPr>
        <sz val="12"/>
        <color theme="1"/>
        <rFont val="Arial"/>
        <family val="2"/>
      </rPr>
      <t>RUP con código de validación AB21660872AB21588120</t>
    </r>
  </si>
  <si>
    <t xml:space="preserve">CBC-100032662
</t>
  </si>
  <si>
    <t>103 días</t>
  </si>
  <si>
    <t>Subsanó el requisito el 15/12/2021, conforme lo solicitado</t>
  </si>
  <si>
    <t xml:space="preserve">
Cumple
Alirio Soacha Sánchez
</t>
  </si>
  <si>
    <t xml:space="preserve">Cumple
Carlos Jaime Restrepo Garcia
</t>
  </si>
  <si>
    <t>Costos directos personal</t>
  </si>
  <si>
    <t>Media aritmética FM</t>
  </si>
  <si>
    <t>Cumple con todos los requisitos habilitantes para la fase II</t>
  </si>
  <si>
    <t>INTERVE S.A.S.</t>
  </si>
  <si>
    <t>ARQ S.A.S.</t>
  </si>
  <si>
    <t>PREVEO S.A.S.</t>
  </si>
  <si>
    <t>Se recibieron cuatro (4) propuestas tecnico-económicas</t>
  </si>
  <si>
    <t>Invitación Pública N° VA-033-2021</t>
  </si>
  <si>
    <r>
      <rPr>
        <b/>
        <sz val="11"/>
        <rFont val="Arial"/>
        <family val="2"/>
      </rPr>
      <t>Supervisor lider estructural</t>
    </r>
    <r>
      <rPr>
        <sz val="11"/>
        <rFont val="Arial"/>
        <family val="2"/>
      </rPr>
      <t xml:space="preserve"> (Elementos Estructurales y no estructurales),  profesiones (Ingeniero Civil con matricula profesional vigente, con postgrado en el area de estructuras)
Experiencia requerida: 
</t>
    </r>
    <r>
      <rPr>
        <b/>
        <sz val="11"/>
        <rFont val="Arial"/>
        <family val="2"/>
      </rPr>
      <t>Mayor a 8 años de experiencia</t>
    </r>
    <r>
      <rPr>
        <sz val="11"/>
        <rFont val="Arial"/>
        <family val="2"/>
      </rPr>
      <t xml:space="preserve"> en el area de estructuras:  (i) Contados a partir del postgrados en el area estructuras, o  con (ii) Constancias en experiencia profesional en area de estructuras —( Las constancias de experiencia profesional en las labores requeridas por la Ley 400 de 1997 y adquirida a partir de la expedición de la tarjeta profesional, bajo la dirección de un profesional facultado para tal fin en el momento en que se obtuvo la experiencia y bajo la reglamentación profesional de la época, deben estar suscritas por el profesional que dirigió estas labores indicando su profesión, número de la matrícula profesional y fecha de expedición de la misma. En aquellos casos en los que no sea posible obtener la certificación por ausencia, temporal o permanente, de quien la deba suscribir, la entidad ante la cual se aporta la experiencia correspondiente está facultada para admitir constancias o documentos sustitutivos que la comprueben) o la suma de las dos condiciones anteriores (i y ii)  y con Matricula profesional Vigente</t>
    </r>
  </si>
  <si>
    <r>
      <rPr>
        <b/>
        <sz val="11"/>
        <rFont val="Arial"/>
        <family val="2"/>
      </rPr>
      <t>Supervisor Lider Geotecnico</t>
    </r>
    <r>
      <rPr>
        <sz val="11"/>
        <rFont val="Arial"/>
        <family val="2"/>
      </rPr>
      <t>:  profesiones (Ingeniero Civil con matricula profesionalvigente, con postgrado en el area de geotecnia).
Experiencia requerida :</t>
    </r>
    <r>
      <rPr>
        <b/>
        <sz val="11"/>
        <rFont val="Arial"/>
        <family val="2"/>
      </rPr>
      <t xml:space="preserve"> mayor a 8 años de experiencia</t>
    </r>
    <r>
      <rPr>
        <sz val="11"/>
        <rFont val="Arial"/>
        <family val="2"/>
      </rPr>
      <t xml:space="preserve"> en el area de geotecnica:  (i) Contados a partir del postgrados en el area geotecnia   o  con (ii) Constancias en experiencia profesional en area de geotecnia —( Las constancias de experiencia profesional en las labores requeridas por la Ley 400 de 1997 y adquirida a partir de la expedición de la tarjeta profesional, bajo la dirección de un profesional facultado para tal fin en el momento en que se obtuvo la experiencia y bajo la reglamentación profesional de la época, deben estar suscritas por el profesional que dirigió estas labores indicando su profesión, número de la matrícula profesional y fecha de expedición de la misma. En aquellos casos en los que no sea posible obtener la certificación por ausencia, temporal o permanente, de quien la deba suscribir, la entidad ante la cual se aporta la experiencia correspondiente está facultada para admitir constancias o documentos sustitutivos que la comprueben) o la suma de las dos condiciones anteriores (i y ii)  y con Matricula profesional Vigente</t>
    </r>
  </si>
  <si>
    <r>
      <rPr>
        <b/>
        <sz val="11"/>
        <rFont val="Arial"/>
        <family val="2"/>
      </rPr>
      <t>Supervisor Técnico independiente</t>
    </r>
    <r>
      <rPr>
        <sz val="11"/>
        <rFont val="Arial"/>
        <family val="2"/>
      </rPr>
      <t xml:space="preserve">:  Ingeniero civil, Arquitecto Constructor en arquitectura e ingeniería, Experiencia </t>
    </r>
    <r>
      <rPr>
        <b/>
        <sz val="11"/>
        <rFont val="Arial"/>
        <family val="2"/>
      </rPr>
      <t>mayor de cinco (5) años</t>
    </r>
    <r>
      <rPr>
        <sz val="11"/>
        <rFont val="Arial"/>
        <family val="2"/>
      </rPr>
      <t xml:space="preserve"> en diseño estructural, construcción, interventoría o supervisión técnica (Nota: la Ley no contempla estudios de postgrado en este caso), contados a partir de la expedición de la matricula profesional vigente. </t>
    </r>
  </si>
  <si>
    <t>Giovanny Adolfo Arrieta Fontecha, no hay manera de validar que llava un año en la empresa, los aportes son PSP</t>
  </si>
  <si>
    <t>Anita Pérez Arango, no hay manera de validar que llava un año en la empresa</t>
  </si>
  <si>
    <r>
      <t xml:space="preserve">Se inhabilita la propuesta conforme lo dispuesto en los Términos de Referencia: 
</t>
    </r>
    <r>
      <rPr>
        <b/>
        <sz val="16"/>
        <rFont val="Arial"/>
        <family val="2"/>
      </rPr>
      <t>16. Rechazo y eliminación de propuestas comerciales:</t>
    </r>
    <r>
      <rPr>
        <sz val="16"/>
        <rFont val="Arial"/>
        <family val="2"/>
      </rPr>
      <t xml:space="preserve">
16.7 Cuando el valor de la propuesta corregida supera el presupuesto oficial o los valores límites establecidos en el numeral 14.2.1 para Pt1y Pt3.
16.9 Cuando el proponente, habiendo sido requerido por la Universidad para aportar documentos, suministrar información o hacer aclaraciones conforme a lo establecido en esta Invitación, no los allegue dentro del término fijado para el efecto en la respectiva comunicación, o que habiéndolos aportado no estén conformes con lo exigido en la comunicación.
16.18 El OFERENTE no presente la Garantía de Seriedad de la propuesta o no cumpla con lo estipulado para dicha garantía.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</si>
</sst>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6">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 _€_-;\-* #,##0.00\ _€_-;_-* &quot;-&quot;??\ _€_-;_-@_-"/>
    <numFmt numFmtId="165" formatCode="&quot;$&quot;\ #,##0"/>
    <numFmt numFmtId="166" formatCode="&quot;$&quot;\ #,##0.00"/>
    <numFmt numFmtId="167" formatCode="_ * #,##0.00_ ;_ * \-#,##0.00_ ;_ * &quot;-&quot;??_ ;_ @_ "/>
    <numFmt numFmtId="168" formatCode="&quot;K=&quot;\ \ \ \ #,##0.00\ &quot;de contra&quot;"/>
    <numFmt numFmtId="169" formatCode="0.0"/>
    <numFmt numFmtId="170" formatCode="#,##0.00\ &quot;SMMLV&quot;"/>
    <numFmt numFmtId="171" formatCode="_ * #,##0_ ;_ * \-#,##0_ ;_ * &quot;-&quot;??_ ;_ @_ "/>
    <numFmt numFmtId="172" formatCode="_(&quot;$&quot;\ * #,##0.00_);_(&quot;$&quot;\ * \(#,##0.00\);_(&quot;$&quot;\ * &quot;-&quot;??_);_(@_)"/>
    <numFmt numFmtId="173" formatCode="&quot;$&quot;#,##0.00"/>
    <numFmt numFmtId="174" formatCode="_(&quot;$&quot;* #,##0.00_);_(&quot;$&quot;* \(#,##0.00\);_(&quot;$&quot;* &quot;-&quot;??_);_(@_)"/>
    <numFmt numFmtId="175" formatCode="_-* #,##0.00_-;\-* #,##0.00_-;_-* &quot;-&quot;_-;_-@_-"/>
    <numFmt numFmtId="176" formatCode="#,##0.00;[Red]#,##0.00"/>
    <numFmt numFmtId="177" formatCode="#,##0;[Red]#,##0"/>
    <numFmt numFmtId="178" formatCode="_-&quot;$&quot;\ * #,##0_-;\-&quot;$&quot;\ * #,##0_-;_-&quot;$&quot;\ * &quot;-&quot;??_-;_-@_-"/>
    <numFmt numFmtId="179" formatCode="_(* #,##0.00_);_(* \(#,##0.00\);_(* &quot;-&quot;??_);_(@_)"/>
    <numFmt numFmtId="180" formatCode="#,##0.00_ ;[Red]\-#,##0.00\ "/>
    <numFmt numFmtId="181" formatCode="&quot;$&quot;#,##0"/>
    <numFmt numFmtId="182" formatCode="_ &quot;$&quot;\ * #,##0_ ;_ &quot;$&quot;\ * \-#,##0_ ;_ &quot;$&quot;\ * &quot;-&quot;??_ ;_ @_ "/>
    <numFmt numFmtId="183" formatCode="[$$-240A]\ #,##0"/>
  </numFmts>
  <fonts count="65">
    <font>
      <sz val="11"/>
      <color theme="1"/>
      <name val="Calibri"/>
      <family val="2"/>
      <scheme val="minor"/>
    </font>
    <font>
      <sz val="12"/>
      <color theme="1"/>
      <name val="Arial"/>
      <family val="2"/>
    </font>
    <font>
      <sz val="12"/>
      <color theme="1"/>
      <name val="Arial"/>
      <family val="2"/>
    </font>
    <font>
      <sz val="12"/>
      <color theme="1"/>
      <name val="Arial"/>
      <family val="2"/>
    </font>
    <font>
      <sz val="11"/>
      <color theme="1"/>
      <name val="Calibri"/>
      <family val="2"/>
      <scheme val="minor"/>
    </font>
    <font>
      <b/>
      <sz val="16"/>
      <name val="Arial"/>
      <family val="2"/>
    </font>
    <font>
      <b/>
      <sz val="14"/>
      <name val="Arial"/>
      <family val="2"/>
    </font>
    <font>
      <sz val="11"/>
      <name val="Arial"/>
      <family val="2"/>
    </font>
    <font>
      <b/>
      <sz val="12"/>
      <name val="Arial"/>
      <family val="2"/>
    </font>
    <font>
      <b/>
      <sz val="11"/>
      <name val="Arial"/>
      <family val="2"/>
    </font>
    <font>
      <sz val="10"/>
      <name val="Arial"/>
      <family val="2"/>
    </font>
    <font>
      <b/>
      <sz val="10"/>
      <name val="Arial"/>
      <family val="2"/>
    </font>
    <font>
      <sz val="11"/>
      <color theme="1"/>
      <name val="Arial"/>
      <family val="2"/>
    </font>
    <font>
      <b/>
      <sz val="12"/>
      <color theme="1"/>
      <name val="Arial"/>
      <family val="2"/>
    </font>
    <font>
      <b/>
      <sz val="12"/>
      <color rgb="FF000000"/>
      <name val="Arial"/>
      <family val="2"/>
    </font>
    <font>
      <sz val="12"/>
      <name val="Arial"/>
      <family val="2"/>
    </font>
    <font>
      <sz val="12"/>
      <color rgb="FF000000"/>
      <name val="Arial"/>
      <family val="2"/>
    </font>
    <font>
      <b/>
      <sz val="10"/>
      <color theme="1"/>
      <name val="Arial"/>
      <family val="2"/>
    </font>
    <font>
      <b/>
      <sz val="12"/>
      <color rgb="FFFF0000"/>
      <name val="Arial"/>
      <family val="2"/>
    </font>
    <font>
      <b/>
      <sz val="36"/>
      <name val="Arial"/>
      <family val="2"/>
    </font>
    <font>
      <sz val="16"/>
      <name val="Arial"/>
      <family val="2"/>
    </font>
    <font>
      <b/>
      <sz val="22"/>
      <name val="Arial"/>
      <family val="2"/>
    </font>
    <font>
      <b/>
      <sz val="26"/>
      <color rgb="FF000000"/>
      <name val="Calibri"/>
      <family val="2"/>
    </font>
    <font>
      <b/>
      <sz val="11"/>
      <color rgb="FF000000"/>
      <name val="Arial"/>
      <family val="2"/>
    </font>
    <font>
      <b/>
      <sz val="14"/>
      <color rgb="FF000000"/>
      <name val="Calibri"/>
      <family val="2"/>
    </font>
    <font>
      <b/>
      <sz val="72"/>
      <name val="Arial"/>
      <family val="2"/>
    </font>
    <font>
      <b/>
      <sz val="20"/>
      <name val="Arial"/>
      <family val="2"/>
    </font>
    <font>
      <b/>
      <sz val="11"/>
      <color theme="0"/>
      <name val="Arial"/>
      <family val="2"/>
    </font>
    <font>
      <b/>
      <sz val="9"/>
      <color indexed="81"/>
      <name val="Tahoma"/>
      <family val="2"/>
    </font>
    <font>
      <sz val="9"/>
      <color indexed="81"/>
      <name val="Tahoma"/>
      <family val="2"/>
    </font>
    <font>
      <b/>
      <sz val="18"/>
      <name val="Arial"/>
      <family val="2"/>
    </font>
    <font>
      <b/>
      <sz val="8"/>
      <name val="Arial"/>
      <family val="2"/>
    </font>
    <font>
      <sz val="8"/>
      <name val="Arial"/>
      <family val="2"/>
    </font>
    <font>
      <sz val="10"/>
      <color theme="1"/>
      <name val="Arial"/>
      <family val="2"/>
    </font>
    <font>
      <b/>
      <sz val="10"/>
      <color rgb="FF000000"/>
      <name val="Arial"/>
      <family val="2"/>
    </font>
    <font>
      <sz val="12"/>
      <color theme="1"/>
      <name val="Calibri"/>
      <family val="2"/>
      <scheme val="minor"/>
    </font>
    <font>
      <b/>
      <sz val="12"/>
      <name val="Calibri"/>
      <family val="2"/>
      <scheme val="minor"/>
    </font>
    <font>
      <b/>
      <sz val="11"/>
      <name val="Calibri"/>
      <family val="2"/>
      <scheme val="minor"/>
    </font>
    <font>
      <sz val="12"/>
      <name val="Calibri"/>
      <family val="2"/>
      <scheme val="minor"/>
    </font>
    <font>
      <b/>
      <sz val="12"/>
      <color theme="1"/>
      <name val="Calibri"/>
      <family val="2"/>
      <scheme val="minor"/>
    </font>
    <font>
      <sz val="10"/>
      <name val="Century Gothic"/>
      <family val="2"/>
    </font>
    <font>
      <b/>
      <sz val="12"/>
      <color rgb="FFFF0000"/>
      <name val="Calibri"/>
      <family val="2"/>
      <scheme val="minor"/>
    </font>
    <font>
      <b/>
      <vertAlign val="subscript"/>
      <sz val="12"/>
      <name val="Calibri"/>
      <family val="2"/>
      <scheme val="minor"/>
    </font>
    <font>
      <sz val="12"/>
      <name val="Swis721 LtCn BT"/>
      <family val="2"/>
    </font>
    <font>
      <sz val="14"/>
      <name val="Arial"/>
      <family val="2"/>
    </font>
    <font>
      <sz val="11"/>
      <name val="Calibri"/>
      <family val="2"/>
      <scheme val="minor"/>
    </font>
    <font>
      <u/>
      <sz val="11"/>
      <color theme="10"/>
      <name val="Calibri"/>
      <family val="2"/>
      <scheme val="minor"/>
    </font>
    <font>
      <sz val="12"/>
      <color rgb="FFFF0000"/>
      <name val="Arial"/>
      <family val="2"/>
    </font>
    <font>
      <b/>
      <sz val="11"/>
      <color theme="1"/>
      <name val="Calibri"/>
      <family val="2"/>
      <scheme val="minor"/>
    </font>
    <font>
      <b/>
      <sz val="12"/>
      <color theme="1"/>
      <name val="Arial  "/>
    </font>
    <font>
      <sz val="12"/>
      <name val="Arial  "/>
    </font>
    <font>
      <b/>
      <sz val="11"/>
      <color theme="1"/>
      <name val="Swis721 LtCn BT"/>
      <family val="2"/>
    </font>
    <font>
      <b/>
      <sz val="12"/>
      <color theme="1"/>
      <name val="Swis721 LtCn BT"/>
      <family val="2"/>
    </font>
    <font>
      <u/>
      <sz val="12"/>
      <color theme="1"/>
      <name val="Arial"/>
      <family val="2"/>
    </font>
    <font>
      <sz val="11"/>
      <name val="Century Gothic"/>
      <family val="2"/>
    </font>
    <font>
      <b/>
      <sz val="9"/>
      <color rgb="FF000000"/>
      <name val="Tahoma"/>
      <family val="2"/>
    </font>
    <font>
      <sz val="9"/>
      <color rgb="FF000000"/>
      <name val="Tahoma"/>
      <family val="2"/>
    </font>
    <font>
      <b/>
      <sz val="12"/>
      <color theme="0" tint="-0.249977111117893"/>
      <name val="Calibri"/>
      <family val="2"/>
      <scheme val="minor"/>
    </font>
    <font>
      <b/>
      <sz val="12"/>
      <color theme="0"/>
      <name val="Arial"/>
      <family val="2"/>
    </font>
    <font>
      <b/>
      <sz val="12"/>
      <color rgb="FF000000"/>
      <name val="Calibri"/>
      <family val="2"/>
    </font>
    <font>
      <b/>
      <sz val="12"/>
      <name val="Times New Roman"/>
      <family val="1"/>
    </font>
    <font>
      <sz val="12"/>
      <name val="Times New Roman"/>
      <family val="1"/>
    </font>
    <font>
      <sz val="12"/>
      <color theme="1"/>
      <name val="Times New Roman"/>
      <family val="1"/>
    </font>
    <font>
      <u/>
      <sz val="12"/>
      <name val="Arial"/>
      <family val="2"/>
    </font>
    <font>
      <sz val="12"/>
      <color rgb="FFFF0000"/>
      <name val="Calibri"/>
      <family val="2"/>
      <scheme val="minor"/>
    </font>
  </fonts>
  <fills count="32">
    <fill>
      <patternFill patternType="none"/>
    </fill>
    <fill>
      <patternFill patternType="gray125"/>
    </fill>
    <fill>
      <patternFill patternType="solid">
        <fgColor theme="6" tint="0.59999389629810485"/>
        <bgColor indexed="64"/>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rgb="FFFFFF00"/>
        <bgColor indexed="64"/>
      </patternFill>
    </fill>
    <fill>
      <patternFill patternType="solid">
        <fgColor rgb="FFFFC000"/>
        <bgColor indexed="64"/>
      </patternFill>
    </fill>
    <fill>
      <patternFill patternType="solid">
        <fgColor theme="0" tint="-0.34998626667073579"/>
        <bgColor indexed="64"/>
      </patternFill>
    </fill>
    <fill>
      <patternFill patternType="solid">
        <fgColor rgb="FF00B050"/>
        <bgColor indexed="64"/>
      </patternFill>
    </fill>
    <fill>
      <patternFill patternType="solid">
        <fgColor theme="0" tint="-0.499984740745262"/>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theme="0"/>
        <bgColor theme="0"/>
      </patternFill>
    </fill>
    <fill>
      <patternFill patternType="solid">
        <fgColor rgb="FFD8D8D8"/>
        <bgColor rgb="FFD8D8D8"/>
      </patternFill>
    </fill>
    <fill>
      <patternFill patternType="solid">
        <fgColor rgb="FFBFBFBF"/>
        <bgColor rgb="FFBFBFBF"/>
      </patternFill>
    </fill>
    <fill>
      <patternFill patternType="solid">
        <fgColor rgb="FFFFFF00"/>
        <bgColor rgb="FFFFFFCC"/>
      </patternFill>
    </fill>
    <fill>
      <patternFill patternType="solid">
        <fgColor rgb="FF7F7F7F"/>
        <bgColor rgb="FF7F7F7F"/>
      </patternFill>
    </fill>
    <fill>
      <patternFill patternType="solid">
        <fgColor rgb="FFC0C0C0"/>
        <bgColor rgb="FFC0C0C0"/>
      </patternFill>
    </fill>
    <fill>
      <patternFill patternType="solid">
        <fgColor rgb="FFFF0000"/>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DEEAF6"/>
        <bgColor rgb="FFDEEAF6"/>
      </patternFill>
    </fill>
    <fill>
      <patternFill patternType="solid">
        <fgColor rgb="FFFBE4D5"/>
        <bgColor rgb="FFFBE4D5"/>
      </patternFill>
    </fill>
    <fill>
      <patternFill patternType="solid">
        <fgColor theme="0" tint="-0.249977111117893"/>
        <bgColor rgb="FFFFFF00"/>
      </patternFill>
    </fill>
    <fill>
      <patternFill patternType="solid">
        <fgColor rgb="FFE2EFD9"/>
        <bgColor rgb="FFE2EFD9"/>
      </patternFill>
    </fill>
    <fill>
      <patternFill patternType="solid">
        <fgColor theme="0"/>
        <bgColor rgb="FFFFFF00"/>
      </patternFill>
    </fill>
    <fill>
      <patternFill patternType="solid">
        <fgColor theme="0"/>
        <bgColor rgb="FFD8D8D8"/>
      </patternFill>
    </fill>
    <fill>
      <patternFill patternType="solid">
        <fgColor theme="9" tint="0.39997558519241921"/>
        <bgColor indexed="64"/>
      </patternFill>
    </fill>
  </fills>
  <borders count="114">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auto="1"/>
      </left>
      <right style="double">
        <color auto="1"/>
      </right>
      <top style="double">
        <color auto="1"/>
      </top>
      <bottom/>
      <diagonal/>
    </border>
    <border>
      <left style="double">
        <color auto="1"/>
      </left>
      <right/>
      <top style="double">
        <color auto="1"/>
      </top>
      <bottom/>
      <diagonal/>
    </border>
    <border>
      <left/>
      <right style="double">
        <color auto="1"/>
      </right>
      <top style="double">
        <color auto="1"/>
      </top>
      <bottom/>
      <diagonal/>
    </border>
    <border>
      <left style="double">
        <color auto="1"/>
      </left>
      <right style="double">
        <color auto="1"/>
      </right>
      <top/>
      <bottom style="double">
        <color auto="1"/>
      </bottom>
      <diagonal/>
    </border>
    <border>
      <left style="double">
        <color auto="1"/>
      </left>
      <right/>
      <top/>
      <bottom style="double">
        <color indexed="64"/>
      </bottom>
      <diagonal/>
    </border>
    <border>
      <left/>
      <right style="double">
        <color indexed="64"/>
      </right>
      <top/>
      <bottom style="double">
        <color indexed="64"/>
      </bottom>
      <diagonal/>
    </border>
    <border>
      <left style="double">
        <color auto="1"/>
      </left>
      <right/>
      <top style="double">
        <color auto="1"/>
      </top>
      <bottom style="double">
        <color auto="1"/>
      </bottom>
      <diagonal/>
    </border>
    <border>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indexed="64"/>
      </right>
      <top/>
      <bottom/>
      <diagonal/>
    </border>
    <border>
      <left style="double">
        <color auto="1"/>
      </left>
      <right/>
      <top/>
      <bottom/>
      <diagonal/>
    </border>
    <border>
      <left/>
      <right style="double">
        <color auto="1"/>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double">
        <color auto="1"/>
      </bottom>
      <diagonal/>
    </border>
    <border>
      <left/>
      <right/>
      <top style="double">
        <color auto="1"/>
      </top>
      <bottom/>
      <diagonal/>
    </border>
    <border>
      <left style="double">
        <color auto="1"/>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auto="1"/>
      </left>
      <right style="double">
        <color indexed="64"/>
      </right>
      <top style="thin">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auto="1"/>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auto="1"/>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bottom/>
      <diagonal/>
    </border>
    <border>
      <left style="thin">
        <color auto="1"/>
      </left>
      <right/>
      <top style="double">
        <color auto="1"/>
      </top>
      <bottom style="thin">
        <color auto="1"/>
      </bottom>
      <diagonal/>
    </border>
    <border>
      <left style="medium">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top/>
      <bottom/>
      <diagonal/>
    </border>
    <border>
      <left/>
      <right style="medium">
        <color rgb="FF000000"/>
      </right>
      <top/>
      <bottom/>
      <diagonal/>
    </border>
    <border>
      <left/>
      <right style="medium">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rgb="FF000000"/>
      </left>
      <right/>
      <top/>
      <bottom style="thin">
        <color rgb="FF000000"/>
      </bottom>
      <diagonal/>
    </border>
    <border>
      <left/>
      <right/>
      <top/>
      <bottom style="thin">
        <color rgb="FF000000"/>
      </bottom>
      <diagonal/>
    </border>
    <border>
      <left/>
      <right style="medium">
        <color indexed="64"/>
      </right>
      <top style="medium">
        <color indexed="64"/>
      </top>
      <bottom style="thin">
        <color indexed="64"/>
      </bottom>
      <diagonal/>
    </border>
    <border>
      <left style="thin">
        <color rgb="FF000000"/>
      </left>
      <right/>
      <top style="thin">
        <color rgb="FF000000"/>
      </top>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diagonal/>
    </border>
    <border>
      <left style="thin">
        <color rgb="FF000000"/>
      </left>
      <right style="thin">
        <color rgb="FF000000"/>
      </right>
      <top/>
      <bottom/>
      <diagonal/>
    </border>
    <border>
      <left style="thin">
        <color rgb="FF000000"/>
      </left>
      <right/>
      <top/>
      <bottom/>
      <diagonal/>
    </border>
    <border>
      <left style="thin">
        <color rgb="FF000000"/>
      </left>
      <right style="medium">
        <color indexed="64"/>
      </right>
      <top/>
      <bottom/>
      <diagonal/>
    </border>
    <border>
      <left style="thin">
        <color rgb="FF000000"/>
      </left>
      <right/>
      <top style="thin">
        <color indexed="64"/>
      </top>
      <bottom style="thin">
        <color indexed="64"/>
      </bottom>
      <diagonal/>
    </border>
    <border>
      <left style="medium">
        <color indexed="64"/>
      </left>
      <right style="thin">
        <color rgb="FF000000"/>
      </right>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style="thin">
        <color rgb="FF000000"/>
      </top>
      <bottom style="thin">
        <color rgb="FF000000"/>
      </bottom>
      <diagonal/>
    </border>
    <border>
      <left style="medium">
        <color rgb="FF000000"/>
      </left>
      <right style="thin">
        <color rgb="FF000000"/>
      </right>
      <top/>
      <bottom style="thin">
        <color rgb="FF000000"/>
      </bottom>
      <diagonal/>
    </border>
    <border>
      <left/>
      <right style="double">
        <color auto="1"/>
      </right>
      <top style="thin">
        <color rgb="FF000000"/>
      </top>
      <bottom style="thin">
        <color rgb="FF000000"/>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s>
  <cellStyleXfs count="42">
    <xf numFmtId="0" fontId="0" fillId="0" borderId="0"/>
    <xf numFmtId="164" fontId="4" fillId="0" borderId="0" applyFont="0" applyFill="0" applyBorder="0" applyAlignment="0" applyProtection="0"/>
    <xf numFmtId="9" fontId="4" fillId="0" borderId="0" applyFont="0" applyFill="0" applyBorder="0" applyAlignment="0" applyProtection="0"/>
    <xf numFmtId="0" fontId="10" fillId="0" borderId="0"/>
    <xf numFmtId="0" fontId="4" fillId="0" borderId="0"/>
    <xf numFmtId="0" fontId="4" fillId="0" borderId="0"/>
    <xf numFmtId="0" fontId="4" fillId="0" borderId="0"/>
    <xf numFmtId="0" fontId="4" fillId="0" borderId="0"/>
    <xf numFmtId="167" fontId="15" fillId="0" borderId="0" applyFont="0" applyFill="0" applyBorder="0" applyAlignment="0" applyProtection="0"/>
    <xf numFmtId="0" fontId="10" fillId="0" borderId="0"/>
    <xf numFmtId="0" fontId="4" fillId="0" borderId="0"/>
    <xf numFmtId="0" fontId="10" fillId="0" borderId="0"/>
    <xf numFmtId="172" fontId="4" fillId="0" borderId="0" applyFont="0" applyFill="0" applyBorder="0" applyAlignment="0" applyProtection="0"/>
    <xf numFmtId="42" fontId="10" fillId="0" borderId="0" applyFont="0" applyFill="0" applyBorder="0" applyAlignment="0" applyProtection="0"/>
    <xf numFmtId="174"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0" fontId="4" fillId="0" borderId="0"/>
    <xf numFmtId="41" fontId="10" fillId="0" borderId="0" applyFont="0" applyFill="0" applyBorder="0" applyAlignment="0" applyProtection="0"/>
    <xf numFmtId="179" fontId="4" fillId="0" borderId="0" applyFont="0" applyFill="0" applyBorder="0" applyAlignment="0" applyProtection="0"/>
    <xf numFmtId="9" fontId="10" fillId="0" borderId="0" applyFont="0" applyFill="0" applyBorder="0" applyAlignment="0" applyProtection="0"/>
    <xf numFmtId="0" fontId="4" fillId="0" borderId="0"/>
    <xf numFmtId="41" fontId="4" fillId="0" borderId="0" applyFont="0" applyFill="0" applyBorder="0" applyAlignment="0" applyProtection="0"/>
    <xf numFmtId="42" fontId="4" fillId="0" borderId="0" applyFont="0" applyFill="0" applyBorder="0" applyAlignment="0" applyProtection="0"/>
    <xf numFmtId="0" fontId="46" fillId="0" borderId="0" applyNumberForma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46" fillId="0" borderId="0" applyNumberFormat="0" applyFill="0" applyBorder="0" applyAlignment="0" applyProtection="0"/>
    <xf numFmtId="164" fontId="4" fillId="0" borderId="0" applyFont="0" applyFill="0" applyBorder="0" applyAlignment="0" applyProtection="0"/>
    <xf numFmtId="42" fontId="10" fillId="0" borderId="0" applyFont="0" applyFill="0" applyBorder="0" applyAlignment="0" applyProtection="0"/>
    <xf numFmtId="44" fontId="4" fillId="0" borderId="0" applyFont="0" applyFill="0" applyBorder="0" applyAlignment="0" applyProtection="0"/>
    <xf numFmtId="41" fontId="10"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4" fontId="10" fillId="0" borderId="0" applyFont="0" applyFill="0" applyBorder="0" applyAlignment="0" applyProtection="0"/>
    <xf numFmtId="0" fontId="12" fillId="0" borderId="0"/>
    <xf numFmtId="0" fontId="12" fillId="0" borderId="0"/>
    <xf numFmtId="44" fontId="4" fillId="0" borderId="0" applyFont="0" applyFill="0" applyBorder="0" applyAlignment="0" applyProtection="0"/>
  </cellStyleXfs>
  <cellXfs count="1181">
    <xf numFmtId="0" fontId="0" fillId="0" borderId="0" xfId="0"/>
    <xf numFmtId="0" fontId="0" fillId="3" borderId="0" xfId="0" applyFill="1" applyAlignment="1" applyProtection="1">
      <alignment vertical="center" wrapText="1"/>
      <protection hidden="1"/>
    </xf>
    <xf numFmtId="0" fontId="8" fillId="4" borderId="7" xfId="0" applyFont="1" applyFill="1" applyBorder="1" applyAlignment="1" applyProtection="1">
      <alignment horizontal="center" vertical="center" wrapText="1"/>
      <protection hidden="1"/>
    </xf>
    <xf numFmtId="0" fontId="9" fillId="4" borderId="8" xfId="0" applyFont="1" applyFill="1" applyBorder="1" applyAlignment="1" applyProtection="1">
      <alignment horizontal="center" vertical="center" wrapText="1"/>
      <protection hidden="1"/>
    </xf>
    <xf numFmtId="0" fontId="9" fillId="4" borderId="8" xfId="3" applyFont="1" applyFill="1" applyBorder="1" applyAlignment="1" applyProtection="1">
      <alignment horizontal="center" vertical="center" wrapText="1"/>
      <protection hidden="1"/>
    </xf>
    <xf numFmtId="0" fontId="7" fillId="4" borderId="8" xfId="0" applyNumberFormat="1" applyFont="1" applyFill="1" applyBorder="1" applyAlignment="1" applyProtection="1">
      <alignment horizontal="center" wrapText="1"/>
      <protection hidden="1"/>
    </xf>
    <xf numFmtId="0" fontId="7" fillId="4" borderId="0" xfId="0" applyNumberFormat="1" applyFont="1" applyFill="1" applyBorder="1" applyAlignment="1" applyProtection="1">
      <alignment horizontal="center" vertical="center" wrapText="1"/>
      <protection hidden="1"/>
    </xf>
    <xf numFmtId="0" fontId="7" fillId="4" borderId="0" xfId="0" applyFont="1" applyFill="1" applyBorder="1" applyAlignment="1" applyProtection="1">
      <alignment vertical="center"/>
      <protection hidden="1"/>
    </xf>
    <xf numFmtId="0" fontId="12" fillId="0" borderId="0" xfId="4" applyFont="1" applyProtection="1">
      <protection hidden="1"/>
    </xf>
    <xf numFmtId="0" fontId="9" fillId="4" borderId="10" xfId="4" applyFont="1" applyFill="1" applyBorder="1" applyAlignment="1" applyProtection="1">
      <alignment vertical="center" wrapText="1"/>
      <protection hidden="1"/>
    </xf>
    <xf numFmtId="0" fontId="9" fillId="4" borderId="6" xfId="4" applyFont="1" applyFill="1" applyBorder="1" applyAlignment="1" applyProtection="1">
      <alignment vertical="center" wrapText="1"/>
      <protection hidden="1"/>
    </xf>
    <xf numFmtId="0" fontId="7" fillId="0" borderId="0" xfId="4" applyFont="1" applyProtection="1">
      <protection hidden="1"/>
    </xf>
    <xf numFmtId="0" fontId="15" fillId="0" borderId="0" xfId="3" applyNumberFormat="1" applyFont="1" applyFill="1" applyAlignment="1" applyProtection="1">
      <alignment vertical="center" wrapText="1"/>
      <protection hidden="1"/>
    </xf>
    <xf numFmtId="0" fontId="15" fillId="0" borderId="0" xfId="3" applyFont="1" applyFill="1" applyAlignment="1" applyProtection="1">
      <alignment vertical="center" wrapText="1"/>
      <protection hidden="1"/>
    </xf>
    <xf numFmtId="0" fontId="8" fillId="0" borderId="0" xfId="8" applyNumberFormat="1" applyFont="1" applyFill="1" applyAlignment="1" applyProtection="1">
      <alignment vertical="center" wrapText="1"/>
      <protection hidden="1"/>
    </xf>
    <xf numFmtId="167" fontId="8" fillId="0" borderId="0" xfId="8" applyFont="1" applyFill="1" applyAlignment="1" applyProtection="1">
      <alignment horizontal="center" vertical="center" wrapText="1"/>
      <protection hidden="1"/>
    </xf>
    <xf numFmtId="167" fontId="8" fillId="0" borderId="0" xfId="8" applyFont="1" applyFill="1" applyAlignment="1" applyProtection="1">
      <alignment vertical="center" wrapText="1"/>
      <protection hidden="1"/>
    </xf>
    <xf numFmtId="167" fontId="8" fillId="7" borderId="8" xfId="8" applyFont="1" applyFill="1" applyBorder="1" applyAlignment="1" applyProtection="1">
      <alignment horizontal="center" vertical="center" wrapText="1"/>
      <protection hidden="1"/>
    </xf>
    <xf numFmtId="170" fontId="6" fillId="7" borderId="8" xfId="8" applyNumberFormat="1" applyFont="1" applyFill="1" applyBorder="1" applyAlignment="1" applyProtection="1">
      <alignment horizontal="center" vertical="center" wrapText="1"/>
      <protection hidden="1"/>
    </xf>
    <xf numFmtId="0" fontId="8" fillId="0" borderId="0" xfId="3" applyNumberFormat="1" applyFont="1" applyFill="1" applyBorder="1" applyAlignment="1" applyProtection="1">
      <alignment vertical="center" wrapText="1"/>
      <protection hidden="1"/>
    </xf>
    <xf numFmtId="168" fontId="8" fillId="0" borderId="0" xfId="8" applyNumberFormat="1" applyFont="1" applyFill="1" applyBorder="1" applyAlignment="1" applyProtection="1">
      <alignment vertical="center" wrapText="1"/>
      <protection hidden="1"/>
    </xf>
    <xf numFmtId="166" fontId="15" fillId="0" borderId="0" xfId="8" applyNumberFormat="1" applyFont="1" applyFill="1" applyBorder="1" applyAlignment="1" applyProtection="1">
      <alignment horizontal="right" vertical="center" wrapText="1"/>
      <protection hidden="1"/>
    </xf>
    <xf numFmtId="170" fontId="15" fillId="0" borderId="0" xfId="8" applyNumberFormat="1" applyFont="1" applyFill="1" applyBorder="1" applyAlignment="1" applyProtection="1">
      <alignment vertical="center" wrapText="1"/>
      <protection hidden="1"/>
    </xf>
    <xf numFmtId="3" fontId="8" fillId="0" borderId="0" xfId="8" applyNumberFormat="1" applyFont="1" applyFill="1" applyBorder="1" applyAlignment="1" applyProtection="1">
      <alignment vertical="center" wrapText="1"/>
      <protection hidden="1"/>
    </xf>
    <xf numFmtId="171" fontId="15" fillId="0" borderId="0" xfId="8" applyNumberFormat="1" applyFont="1" applyFill="1" applyAlignment="1" applyProtection="1">
      <alignment vertical="center" wrapText="1"/>
      <protection hidden="1"/>
    </xf>
    <xf numFmtId="167" fontId="15" fillId="0" borderId="0" xfId="8" applyFont="1" applyFill="1" applyAlignment="1" applyProtection="1">
      <alignment vertical="center" wrapText="1"/>
      <protection hidden="1"/>
    </xf>
    <xf numFmtId="0" fontId="21" fillId="9" borderId="8" xfId="8" applyNumberFormat="1" applyFont="1" applyFill="1" applyBorder="1" applyAlignment="1" applyProtection="1">
      <alignment horizontal="center" vertical="center" wrapText="1"/>
      <protection hidden="1"/>
    </xf>
    <xf numFmtId="0" fontId="22" fillId="9" borderId="8" xfId="0" applyNumberFormat="1" applyFont="1" applyFill="1" applyBorder="1" applyAlignment="1" applyProtection="1">
      <alignment horizontal="center" vertical="center" wrapText="1"/>
      <protection hidden="1"/>
    </xf>
    <xf numFmtId="0" fontId="7" fillId="0" borderId="0" xfId="3" applyFont="1" applyFill="1" applyAlignment="1" applyProtection="1">
      <alignment vertical="center" wrapText="1"/>
      <protection hidden="1"/>
    </xf>
    <xf numFmtId="0" fontId="15" fillId="0" borderId="0" xfId="3" applyFont="1" applyFill="1" applyBorder="1" applyAlignment="1" applyProtection="1">
      <alignment vertical="center" wrapText="1"/>
      <protection hidden="1"/>
    </xf>
    <xf numFmtId="167" fontId="9" fillId="0" borderId="0" xfId="8" applyFont="1" applyFill="1" applyAlignment="1" applyProtection="1">
      <alignment horizontal="center" vertical="center" wrapText="1"/>
      <protection hidden="1"/>
    </xf>
    <xf numFmtId="0" fontId="7" fillId="0" borderId="0" xfId="3" applyFont="1" applyFill="1" applyAlignment="1" applyProtection="1">
      <alignment horizontal="center" vertical="center" wrapText="1"/>
      <protection hidden="1"/>
    </xf>
    <xf numFmtId="0" fontId="6" fillId="9" borderId="8" xfId="3" applyFont="1" applyFill="1" applyBorder="1" applyAlignment="1" applyProtection="1">
      <alignment horizontal="center" vertical="center" wrapText="1"/>
      <protection hidden="1"/>
    </xf>
    <xf numFmtId="9" fontId="9" fillId="7" borderId="8" xfId="3" applyNumberFormat="1" applyFont="1" applyFill="1" applyBorder="1" applyAlignment="1" applyProtection="1">
      <alignment horizontal="center" vertical="center" wrapText="1"/>
      <protection hidden="1"/>
    </xf>
    <xf numFmtId="0" fontId="10" fillId="0" borderId="8" xfId="9" applyBorder="1" applyAlignment="1" applyProtection="1">
      <alignment horizontal="center" vertical="center"/>
      <protection hidden="1"/>
    </xf>
    <xf numFmtId="0" fontId="10" fillId="0" borderId="8" xfId="9" applyBorder="1" applyAlignment="1" applyProtection="1">
      <alignment vertical="center"/>
      <protection hidden="1"/>
    </xf>
    <xf numFmtId="167" fontId="9" fillId="0" borderId="8" xfId="8" applyFont="1" applyFill="1" applyBorder="1" applyAlignment="1" applyProtection="1">
      <alignment horizontal="center" vertical="center" wrapText="1"/>
      <protection hidden="1"/>
    </xf>
    <xf numFmtId="2" fontId="9" fillId="0" borderId="8" xfId="8" applyNumberFormat="1" applyFont="1" applyFill="1" applyBorder="1" applyAlignment="1" applyProtection="1">
      <alignment horizontal="center" vertical="center" wrapText="1"/>
      <protection hidden="1"/>
    </xf>
    <xf numFmtId="0" fontId="9" fillId="0" borderId="8" xfId="8" applyNumberFormat="1" applyFont="1" applyFill="1" applyBorder="1" applyAlignment="1" applyProtection="1">
      <alignment horizontal="center" vertical="center" wrapText="1"/>
      <protection hidden="1"/>
    </xf>
    <xf numFmtId="171" fontId="9" fillId="0" borderId="8" xfId="8" applyNumberFormat="1" applyFont="1" applyFill="1" applyBorder="1" applyAlignment="1" applyProtection="1">
      <alignment vertical="center" wrapText="1"/>
      <protection hidden="1"/>
    </xf>
    <xf numFmtId="167" fontId="9" fillId="0" borderId="4" xfId="8" applyFont="1" applyFill="1" applyBorder="1" applyAlignment="1" applyProtection="1">
      <alignment vertical="center" wrapText="1"/>
      <protection hidden="1"/>
    </xf>
    <xf numFmtId="167" fontId="9" fillId="0" borderId="0" xfId="8" applyFont="1" applyFill="1" applyBorder="1" applyAlignment="1" applyProtection="1">
      <alignment vertical="center" wrapText="1"/>
      <protection hidden="1"/>
    </xf>
    <xf numFmtId="167" fontId="9" fillId="0" borderId="0" xfId="8" applyFont="1" applyFill="1" applyAlignment="1" applyProtection="1">
      <alignment horizontal="center" wrapText="1"/>
      <protection hidden="1"/>
    </xf>
    <xf numFmtId="167" fontId="27" fillId="0" borderId="0" xfId="8" applyFont="1" applyFill="1" applyAlignment="1" applyProtection="1">
      <alignment horizontal="center" wrapText="1"/>
      <protection hidden="1"/>
    </xf>
    <xf numFmtId="4" fontId="6" fillId="0" borderId="8" xfId="3" applyNumberFormat="1" applyFont="1" applyFill="1" applyBorder="1" applyAlignment="1" applyProtection="1">
      <alignment horizontal="center" vertical="center" wrapText="1"/>
      <protection hidden="1"/>
    </xf>
    <xf numFmtId="0" fontId="7" fillId="0" borderId="0" xfId="3" applyFont="1" applyFill="1" applyAlignment="1" applyProtection="1">
      <alignment horizontal="center" wrapText="1"/>
      <protection hidden="1"/>
    </xf>
    <xf numFmtId="0" fontId="15" fillId="0" borderId="0" xfId="3" applyNumberFormat="1" applyFont="1" applyFill="1" applyAlignment="1" applyProtection="1">
      <alignment horizontal="center" vertical="center" wrapText="1"/>
      <protection hidden="1"/>
    </xf>
    <xf numFmtId="0" fontId="15" fillId="0" borderId="0" xfId="3" applyFont="1" applyFill="1" applyAlignment="1" applyProtection="1">
      <alignment horizontal="center" vertical="center" wrapText="1"/>
      <protection hidden="1"/>
    </xf>
    <xf numFmtId="0" fontId="6" fillId="4" borderId="0" xfId="3" applyFont="1" applyFill="1" applyBorder="1" applyAlignment="1" applyProtection="1">
      <alignment horizontal="center" vertical="center" wrapText="1"/>
      <protection hidden="1"/>
    </xf>
    <xf numFmtId="0" fontId="15" fillId="4" borderId="0" xfId="3" applyFont="1" applyFill="1" applyAlignment="1" applyProtection="1">
      <alignment vertical="center" wrapText="1"/>
      <protection hidden="1"/>
    </xf>
    <xf numFmtId="0" fontId="15" fillId="4" borderId="0" xfId="3" applyNumberFormat="1" applyFont="1" applyFill="1" applyAlignment="1" applyProtection="1">
      <alignment horizontal="center" vertical="center" wrapText="1"/>
      <protection hidden="1"/>
    </xf>
    <xf numFmtId="0" fontId="15" fillId="4" borderId="0" xfId="3" applyFont="1" applyFill="1" applyAlignment="1" applyProtection="1">
      <alignment horizontal="center" vertical="center" wrapText="1"/>
      <protection hidden="1"/>
    </xf>
    <xf numFmtId="0" fontId="31" fillId="7" borderId="8" xfId="3" applyFont="1" applyFill="1" applyBorder="1" applyAlignment="1" applyProtection="1">
      <alignment horizontal="center" vertical="center" wrapText="1"/>
      <protection hidden="1"/>
    </xf>
    <xf numFmtId="167" fontId="8" fillId="9" borderId="8" xfId="8" applyFont="1" applyFill="1" applyBorder="1" applyAlignment="1" applyProtection="1">
      <alignment horizontal="center" vertical="center" wrapText="1"/>
      <protection hidden="1"/>
    </xf>
    <xf numFmtId="9" fontId="10" fillId="0" borderId="8" xfId="2" applyFont="1" applyFill="1" applyBorder="1" applyAlignment="1" applyProtection="1">
      <alignment horizontal="center" vertical="center"/>
      <protection hidden="1"/>
    </xf>
    <xf numFmtId="4" fontId="9" fillId="6" borderId="8" xfId="3" applyNumberFormat="1" applyFont="1" applyFill="1" applyBorder="1" applyAlignment="1" applyProtection="1">
      <alignment horizontal="center" vertical="center"/>
      <protection hidden="1"/>
    </xf>
    <xf numFmtId="4" fontId="10" fillId="0" borderId="8" xfId="3" applyNumberFormat="1" applyFont="1" applyFill="1" applyBorder="1" applyAlignment="1" applyProtection="1">
      <alignment horizontal="center" vertical="center"/>
      <protection hidden="1"/>
    </xf>
    <xf numFmtId="0" fontId="8" fillId="0" borderId="8" xfId="8" applyNumberFormat="1" applyFont="1" applyFill="1" applyBorder="1" applyAlignment="1" applyProtection="1">
      <alignment horizontal="center" vertical="center" wrapText="1"/>
      <protection hidden="1"/>
    </xf>
    <xf numFmtId="167" fontId="8" fillId="0" borderId="8" xfId="8" applyFont="1" applyFill="1" applyBorder="1" applyAlignment="1" applyProtection="1">
      <alignment vertical="center" wrapText="1"/>
      <protection hidden="1"/>
    </xf>
    <xf numFmtId="167" fontId="8" fillId="0" borderId="8" xfId="8" applyFont="1" applyFill="1" applyBorder="1" applyAlignment="1" applyProtection="1">
      <alignment horizontal="center" vertical="center" wrapText="1"/>
      <protection hidden="1"/>
    </xf>
    <xf numFmtId="4" fontId="10" fillId="9" borderId="8" xfId="3" applyNumberFormat="1" applyFont="1" applyFill="1" applyBorder="1" applyAlignment="1" applyProtection="1">
      <alignment horizontal="center" vertical="center"/>
      <protection hidden="1"/>
    </xf>
    <xf numFmtId="0" fontId="15" fillId="0" borderId="0" xfId="3" applyFont="1" applyFill="1" applyAlignment="1" applyProtection="1">
      <alignment horizontal="left" vertical="center"/>
      <protection hidden="1"/>
    </xf>
    <xf numFmtId="0" fontId="33" fillId="0" borderId="0" xfId="5" applyFont="1" applyAlignment="1" applyProtection="1">
      <alignment vertical="center"/>
      <protection hidden="1"/>
    </xf>
    <xf numFmtId="0" fontId="17" fillId="7" borderId="8" xfId="5" applyFont="1" applyFill="1" applyBorder="1" applyAlignment="1" applyProtection="1">
      <alignment horizontal="center" vertical="center"/>
      <protection hidden="1"/>
    </xf>
    <xf numFmtId="0" fontId="34" fillId="7" borderId="8" xfId="5" applyFont="1" applyFill="1" applyBorder="1" applyAlignment="1" applyProtection="1">
      <alignment horizontal="center" vertical="center" wrapText="1"/>
      <protection hidden="1"/>
    </xf>
    <xf numFmtId="0" fontId="33" fillId="7" borderId="8" xfId="5" applyFont="1" applyFill="1" applyBorder="1" applyAlignment="1" applyProtection="1">
      <alignment horizontal="center" vertical="center" wrapText="1"/>
      <protection hidden="1"/>
    </xf>
    <xf numFmtId="1" fontId="17" fillId="7" borderId="8" xfId="5" applyNumberFormat="1" applyFont="1" applyFill="1" applyBorder="1" applyAlignment="1" applyProtection="1">
      <alignment horizontal="center" vertical="center" wrapText="1"/>
      <protection hidden="1"/>
    </xf>
    <xf numFmtId="0" fontId="17" fillId="7" borderId="8" xfId="5" applyFont="1" applyFill="1" applyBorder="1" applyAlignment="1" applyProtection="1">
      <alignment horizontal="center" vertical="center" wrapText="1"/>
      <protection hidden="1"/>
    </xf>
    <xf numFmtId="0" fontId="33" fillId="0" borderId="0" xfId="5" applyFont="1" applyAlignment="1" applyProtection="1">
      <alignment horizontal="left" vertical="center"/>
      <protection hidden="1"/>
    </xf>
    <xf numFmtId="167" fontId="8" fillId="0" borderId="8" xfId="8" applyFont="1" applyFill="1" applyBorder="1" applyAlignment="1" applyProtection="1">
      <alignment horizontal="left" vertical="center" wrapText="1"/>
      <protection hidden="1"/>
    </xf>
    <xf numFmtId="0" fontId="0" fillId="0" borderId="0" xfId="0" applyProtection="1">
      <protection hidden="1"/>
    </xf>
    <xf numFmtId="0" fontId="10" fillId="0" borderId="0" xfId="0" applyFont="1" applyFill="1" applyProtection="1">
      <protection hidden="1"/>
    </xf>
    <xf numFmtId="0" fontId="26" fillId="4" borderId="13" xfId="9" applyFont="1" applyFill="1" applyBorder="1" applyAlignment="1" applyProtection="1">
      <alignment horizontal="center" vertical="center"/>
      <protection hidden="1"/>
    </xf>
    <xf numFmtId="0" fontId="6" fillId="0" borderId="8" xfId="9" applyFont="1" applyFill="1" applyBorder="1" applyAlignment="1" applyProtection="1">
      <alignment horizontal="center" vertical="center" textRotation="90" wrapText="1"/>
      <protection hidden="1"/>
    </xf>
    <xf numFmtId="0" fontId="8" fillId="0" borderId="0" xfId="0" applyFont="1" applyFill="1" applyBorder="1" applyAlignment="1" applyProtection="1">
      <protection hidden="1"/>
    </xf>
    <xf numFmtId="0" fontId="15" fillId="0" borderId="0" xfId="0" applyFont="1" applyFill="1" applyBorder="1" applyProtection="1">
      <protection hidden="1"/>
    </xf>
    <xf numFmtId="0" fontId="8" fillId="0" borderId="0" xfId="9" applyFont="1" applyFill="1" applyBorder="1" applyAlignment="1" applyProtection="1">
      <alignment vertical="center"/>
      <protection hidden="1"/>
    </xf>
    <xf numFmtId="0" fontId="15" fillId="0" borderId="0" xfId="0" applyFont="1" applyFill="1" applyProtection="1">
      <protection hidden="1"/>
    </xf>
    <xf numFmtId="0" fontId="15" fillId="0" borderId="0" xfId="0" applyFont="1" applyFill="1" applyAlignment="1" applyProtection="1">
      <protection hidden="1"/>
    </xf>
    <xf numFmtId="0" fontId="15" fillId="0" borderId="0" xfId="0" applyFont="1" applyProtection="1">
      <protection hidden="1"/>
    </xf>
    <xf numFmtId="0" fontId="38" fillId="0" borderId="0" xfId="17" applyFont="1" applyBorder="1" applyProtection="1">
      <protection hidden="1"/>
    </xf>
    <xf numFmtId="0" fontId="38" fillId="0" borderId="0" xfId="17" applyFont="1" applyProtection="1">
      <protection hidden="1"/>
    </xf>
    <xf numFmtId="0" fontId="38" fillId="4" borderId="0" xfId="17" applyFont="1" applyFill="1" applyProtection="1">
      <protection hidden="1"/>
    </xf>
    <xf numFmtId="0" fontId="36" fillId="3" borderId="30" xfId="17" applyFont="1" applyFill="1" applyBorder="1" applyAlignment="1" applyProtection="1">
      <alignment horizontal="center"/>
      <protection hidden="1"/>
    </xf>
    <xf numFmtId="42" fontId="36" fillId="7" borderId="31" xfId="13" applyFont="1" applyFill="1" applyBorder="1" applyAlignment="1" applyProtection="1">
      <alignment horizontal="center" vertical="center"/>
      <protection hidden="1"/>
    </xf>
    <xf numFmtId="0" fontId="36" fillId="3" borderId="32" xfId="17" applyFont="1" applyFill="1" applyBorder="1" applyAlignment="1" applyProtection="1">
      <alignment horizontal="center" vertical="center" wrapText="1"/>
      <protection hidden="1"/>
    </xf>
    <xf numFmtId="177" fontId="36" fillId="7" borderId="33" xfId="17" applyNumberFormat="1" applyFont="1" applyFill="1" applyBorder="1" applyAlignment="1" applyProtection="1">
      <alignment horizontal="center" vertical="center"/>
      <protection hidden="1"/>
    </xf>
    <xf numFmtId="0" fontId="38" fillId="4" borderId="0" xfId="17" applyFont="1" applyFill="1" applyBorder="1" applyProtection="1">
      <protection hidden="1"/>
    </xf>
    <xf numFmtId="0" fontId="36" fillId="3" borderId="8" xfId="17" applyFont="1" applyFill="1" applyBorder="1" applyAlignment="1" applyProtection="1">
      <alignment horizontal="center" vertical="center"/>
      <protection hidden="1"/>
    </xf>
    <xf numFmtId="0" fontId="38" fillId="4" borderId="0" xfId="17" applyFont="1" applyFill="1" applyBorder="1" applyAlignment="1" applyProtection="1">
      <alignment horizontal="center"/>
      <protection hidden="1"/>
    </xf>
    <xf numFmtId="0" fontId="38" fillId="4" borderId="0" xfId="17" applyFont="1" applyFill="1" applyAlignment="1" applyProtection="1">
      <alignment horizontal="left"/>
      <protection hidden="1"/>
    </xf>
    <xf numFmtId="0" fontId="36" fillId="3" borderId="8" xfId="17" applyFont="1" applyFill="1" applyBorder="1" applyAlignment="1" applyProtection="1">
      <alignment horizontal="center" vertical="center" wrapText="1"/>
      <protection hidden="1"/>
    </xf>
    <xf numFmtId="0" fontId="36" fillId="3" borderId="8" xfId="17" applyFont="1" applyFill="1" applyBorder="1" applyAlignment="1" applyProtection="1">
      <alignment vertical="center" wrapText="1"/>
      <protection hidden="1"/>
    </xf>
    <xf numFmtId="0" fontId="36" fillId="3" borderId="14" xfId="17" applyFont="1" applyFill="1" applyBorder="1" applyAlignment="1" applyProtection="1">
      <alignment horizontal="center" vertical="center" wrapText="1"/>
      <protection hidden="1"/>
    </xf>
    <xf numFmtId="0" fontId="36" fillId="3" borderId="13" xfId="17" applyFont="1" applyFill="1" applyBorder="1" applyAlignment="1" applyProtection="1">
      <alignment horizontal="center" vertical="center" wrapText="1"/>
      <protection hidden="1"/>
    </xf>
    <xf numFmtId="0" fontId="36" fillId="4" borderId="8" xfId="17" applyFont="1" applyFill="1" applyBorder="1" applyAlignment="1" applyProtection="1">
      <alignment horizontal="center" vertical="center"/>
      <protection hidden="1"/>
    </xf>
    <xf numFmtId="0" fontId="36" fillId="9" borderId="8" xfId="17" applyFont="1" applyFill="1" applyBorder="1" applyAlignment="1" applyProtection="1">
      <alignment horizontal="center" vertical="center" wrapText="1"/>
      <protection hidden="1"/>
    </xf>
    <xf numFmtId="178" fontId="38" fillId="4" borderId="8" xfId="17" applyNumberFormat="1" applyFont="1" applyFill="1" applyBorder="1" applyAlignment="1" applyProtection="1">
      <alignment horizontal="center" vertical="center"/>
      <protection hidden="1"/>
    </xf>
    <xf numFmtId="10" fontId="38" fillId="4" borderId="8" xfId="15" applyNumberFormat="1" applyFont="1" applyFill="1" applyBorder="1" applyAlignment="1" applyProtection="1">
      <alignment horizontal="center" vertical="center"/>
      <protection hidden="1"/>
    </xf>
    <xf numFmtId="2" fontId="38" fillId="4" borderId="8" xfId="17" applyNumberFormat="1" applyFont="1" applyFill="1" applyBorder="1" applyAlignment="1" applyProtection="1">
      <alignment horizontal="center" vertical="center"/>
      <protection hidden="1"/>
    </xf>
    <xf numFmtId="2" fontId="36" fillId="4" borderId="8" xfId="17" applyNumberFormat="1" applyFont="1" applyFill="1" applyBorder="1" applyAlignment="1" applyProtection="1">
      <alignment horizontal="center" vertical="center"/>
      <protection hidden="1"/>
    </xf>
    <xf numFmtId="1" fontId="36" fillId="0" borderId="8" xfId="17" applyNumberFormat="1" applyFont="1" applyFill="1" applyBorder="1" applyAlignment="1" applyProtection="1">
      <alignment horizontal="center" vertical="center"/>
      <protection hidden="1"/>
    </xf>
    <xf numFmtId="0" fontId="38" fillId="0" borderId="0" xfId="17" applyFont="1" applyAlignment="1" applyProtection="1">
      <alignment vertical="center"/>
      <protection hidden="1"/>
    </xf>
    <xf numFmtId="176" fontId="38" fillId="0" borderId="0" xfId="17" applyNumberFormat="1" applyFont="1" applyBorder="1" applyAlignment="1" applyProtection="1">
      <alignment vertical="center"/>
      <protection hidden="1"/>
    </xf>
    <xf numFmtId="1" fontId="38" fillId="0" borderId="0" xfId="17" applyNumberFormat="1" applyFont="1" applyBorder="1" applyAlignment="1" applyProtection="1">
      <alignment horizontal="center" vertical="center"/>
      <protection hidden="1"/>
    </xf>
    <xf numFmtId="9" fontId="38" fillId="0" borderId="0" xfId="17" applyNumberFormat="1" applyFont="1" applyProtection="1">
      <protection hidden="1"/>
    </xf>
    <xf numFmtId="0" fontId="10" fillId="4" borderId="11" xfId="9" applyFill="1" applyBorder="1" applyAlignment="1" applyProtection="1">
      <alignment horizontal="center" vertical="center"/>
      <protection hidden="1"/>
    </xf>
    <xf numFmtId="173" fontId="40" fillId="0" borderId="11" xfId="13" applyNumberFormat="1" applyFont="1" applyBorder="1" applyAlignment="1" applyProtection="1">
      <alignment horizontal="center" vertical="center"/>
      <protection hidden="1"/>
    </xf>
    <xf numFmtId="166" fontId="40" fillId="0" borderId="11" xfId="0" applyNumberFormat="1" applyFont="1" applyBorder="1" applyAlignment="1" applyProtection="1">
      <alignment horizontal="center" vertical="center"/>
      <protection hidden="1"/>
    </xf>
    <xf numFmtId="0" fontId="43" fillId="0" borderId="0" xfId="0" applyFont="1" applyProtection="1">
      <protection hidden="1"/>
    </xf>
    <xf numFmtId="0" fontId="15" fillId="0" borderId="8" xfId="0" applyFont="1" applyBorder="1" applyAlignment="1" applyProtection="1">
      <alignment horizontal="center" vertical="center" wrapText="1"/>
      <protection hidden="1"/>
    </xf>
    <xf numFmtId="0" fontId="15" fillId="0" borderId="8" xfId="0" applyFont="1" applyBorder="1" applyAlignment="1" applyProtection="1">
      <alignment horizontal="center" vertical="center"/>
      <protection hidden="1"/>
    </xf>
    <xf numFmtId="0" fontId="8" fillId="9" borderId="8" xfId="0" applyFont="1" applyFill="1" applyBorder="1" applyAlignment="1" applyProtection="1">
      <alignment horizontal="center" vertical="center" wrapText="1"/>
      <protection hidden="1"/>
    </xf>
    <xf numFmtId="0" fontId="44" fillId="0" borderId="8" xfId="0" applyFont="1" applyBorder="1" applyAlignment="1" applyProtection="1">
      <alignment horizontal="left" vertical="center"/>
      <protection hidden="1"/>
    </xf>
    <xf numFmtId="0" fontId="15" fillId="0" borderId="8" xfId="0" applyFont="1" applyFill="1" applyBorder="1" applyAlignment="1" applyProtection="1">
      <alignment horizontal="center" vertical="center"/>
      <protection hidden="1"/>
    </xf>
    <xf numFmtId="0" fontId="6" fillId="0" borderId="8" xfId="0" applyFont="1" applyBorder="1" applyAlignment="1" applyProtection="1">
      <alignment horizontal="center" vertical="center"/>
      <protection hidden="1"/>
    </xf>
    <xf numFmtId="10" fontId="6" fillId="0" borderId="8" xfId="15" applyNumberFormat="1" applyFont="1" applyBorder="1" applyAlignment="1" applyProtection="1">
      <alignment horizontal="center" vertical="center"/>
      <protection hidden="1"/>
    </xf>
    <xf numFmtId="0" fontId="6" fillId="0" borderId="8" xfId="0" applyFont="1" applyFill="1" applyBorder="1" applyAlignment="1" applyProtection="1">
      <alignment horizontal="center" vertical="center"/>
      <protection hidden="1"/>
    </xf>
    <xf numFmtId="0" fontId="10" fillId="0" borderId="0" xfId="0" applyFont="1" applyProtection="1">
      <protection hidden="1"/>
    </xf>
    <xf numFmtId="0" fontId="15" fillId="15" borderId="8" xfId="0" applyFont="1" applyFill="1" applyBorder="1" applyAlignment="1" applyProtection="1">
      <alignment horizontal="center" vertical="center" wrapText="1"/>
      <protection hidden="1"/>
    </xf>
    <xf numFmtId="0" fontId="15" fillId="0" borderId="0" xfId="0" applyFont="1" applyFill="1" applyAlignment="1" applyProtection="1">
      <alignment horizontal="center" vertical="center"/>
      <protection hidden="1"/>
    </xf>
    <xf numFmtId="0" fontId="15" fillId="15" borderId="8" xfId="0" applyFont="1" applyFill="1" applyBorder="1" applyAlignment="1" applyProtection="1">
      <alignment horizontal="center" vertical="center"/>
      <protection hidden="1"/>
    </xf>
    <xf numFmtId="165" fontId="15" fillId="0" borderId="8" xfId="0" applyNumberFormat="1" applyFont="1" applyBorder="1" applyAlignment="1" applyProtection="1">
      <alignment horizontal="center" vertical="center"/>
      <protection hidden="1"/>
    </xf>
    <xf numFmtId="2" fontId="15" fillId="0" borderId="8" xfId="0" applyNumberFormat="1" applyFont="1" applyFill="1" applyBorder="1" applyAlignment="1" applyProtection="1">
      <alignment horizontal="center" vertical="center"/>
      <protection hidden="1"/>
    </xf>
    <xf numFmtId="0" fontId="8" fillId="9" borderId="8" xfId="0" applyFont="1" applyFill="1" applyBorder="1" applyAlignment="1" applyProtection="1">
      <alignment vertical="center"/>
      <protection hidden="1"/>
    </xf>
    <xf numFmtId="0" fontId="20" fillId="0" borderId="8" xfId="0" applyNumberFormat="1" applyFont="1" applyFill="1" applyBorder="1" applyAlignment="1" applyProtection="1">
      <alignment horizontal="center" vertical="center" wrapText="1"/>
      <protection hidden="1"/>
    </xf>
    <xf numFmtId="0" fontId="20" fillId="0" borderId="8" xfId="0" applyFont="1" applyBorder="1" applyAlignment="1" applyProtection="1">
      <alignment vertical="center"/>
      <protection hidden="1"/>
    </xf>
    <xf numFmtId="0" fontId="20" fillId="0" borderId="8" xfId="0" applyFont="1" applyBorder="1" applyAlignment="1" applyProtection="1">
      <alignment horizontal="center"/>
      <protection hidden="1"/>
    </xf>
    <xf numFmtId="0" fontId="30" fillId="0" borderId="8" xfId="0" applyFont="1" applyBorder="1" applyAlignment="1" applyProtection="1">
      <alignment horizontal="center" vertical="center"/>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30" fillId="2" borderId="0" xfId="3" applyFont="1" applyFill="1" applyBorder="1" applyAlignment="1" applyProtection="1">
      <alignment horizontal="left" vertical="center" wrapText="1"/>
      <protection hidden="1"/>
    </xf>
    <xf numFmtId="0" fontId="45" fillId="0" borderId="0" xfId="17" applyFont="1" applyProtection="1">
      <protection hidden="1"/>
    </xf>
    <xf numFmtId="0" fontId="0" fillId="0" borderId="0" xfId="0" applyAlignment="1" applyProtection="1">
      <alignment vertical="center"/>
      <protection hidden="1"/>
    </xf>
    <xf numFmtId="166" fontId="0" fillId="0" borderId="0" xfId="0" applyNumberFormat="1" applyProtection="1">
      <protection hidden="1"/>
    </xf>
    <xf numFmtId="0" fontId="7" fillId="0" borderId="0" xfId="0" applyFont="1" applyAlignment="1" applyProtection="1">
      <alignment vertical="center"/>
      <protection hidden="1"/>
    </xf>
    <xf numFmtId="0" fontId="11" fillId="3" borderId="8" xfId="0" applyFont="1" applyFill="1" applyBorder="1" applyAlignment="1" applyProtection="1">
      <alignment horizontal="center" vertical="center" wrapText="1"/>
      <protection hidden="1"/>
    </xf>
    <xf numFmtId="0" fontId="8" fillId="3" borderId="8" xfId="0" applyFont="1" applyFill="1" applyBorder="1" applyAlignment="1" applyProtection="1">
      <alignment vertical="center"/>
      <protection hidden="1"/>
    </xf>
    <xf numFmtId="0" fontId="11" fillId="9" borderId="8" xfId="0" applyNumberFormat="1" applyFont="1" applyFill="1" applyBorder="1" applyAlignment="1" applyProtection="1">
      <alignment horizontal="center" vertical="center"/>
      <protection hidden="1"/>
    </xf>
    <xf numFmtId="173" fontId="11" fillId="3" borderId="8" xfId="0" applyNumberFormat="1" applyFont="1" applyFill="1" applyBorder="1" applyAlignment="1" applyProtection="1">
      <alignment horizontal="center" vertical="center"/>
      <protection hidden="1"/>
    </xf>
    <xf numFmtId="173" fontId="0" fillId="0" borderId="8" xfId="0" applyNumberFormat="1" applyBorder="1" applyAlignment="1" applyProtection="1">
      <alignment horizontal="center" vertical="center"/>
      <protection hidden="1"/>
    </xf>
    <xf numFmtId="180" fontId="0" fillId="9" borderId="8" xfId="1" applyNumberFormat="1" applyFont="1" applyFill="1" applyBorder="1" applyAlignment="1" applyProtection="1">
      <alignment horizontal="center" vertical="center"/>
      <protection hidden="1"/>
    </xf>
    <xf numFmtId="0" fontId="8" fillId="3" borderId="8" xfId="0" applyFont="1" applyFill="1" applyBorder="1" applyAlignment="1" applyProtection="1">
      <alignment horizontal="centerContinuous" vertical="center"/>
      <protection hidden="1"/>
    </xf>
    <xf numFmtId="42" fontId="38" fillId="0" borderId="0" xfId="17" applyNumberFormat="1" applyFont="1" applyProtection="1">
      <protection hidden="1"/>
    </xf>
    <xf numFmtId="10" fontId="38" fillId="0" borderId="0" xfId="2" applyNumberFormat="1" applyFont="1" applyBorder="1" applyProtection="1">
      <protection hidden="1"/>
    </xf>
    <xf numFmtId="0" fontId="8" fillId="9" borderId="8" xfId="0" applyFont="1" applyFill="1" applyBorder="1" applyAlignment="1" applyProtection="1">
      <alignment horizontal="center" vertical="center"/>
      <protection hidden="1"/>
    </xf>
    <xf numFmtId="0" fontId="11" fillId="3" borderId="8" xfId="0" applyFont="1" applyFill="1" applyBorder="1" applyAlignment="1" applyProtection="1">
      <alignment horizontal="center" vertical="center"/>
      <protection hidden="1"/>
    </xf>
    <xf numFmtId="0" fontId="9" fillId="3" borderId="8" xfId="0" applyFont="1" applyFill="1" applyBorder="1" applyAlignment="1" applyProtection="1">
      <alignment horizontal="center" vertical="center"/>
      <protection hidden="1"/>
    </xf>
    <xf numFmtId="0" fontId="7" fillId="4" borderId="8" xfId="0" applyFont="1" applyFill="1" applyBorder="1" applyAlignment="1" applyProtection="1">
      <protection hidden="1"/>
    </xf>
    <xf numFmtId="0" fontId="7" fillId="4" borderId="8" xfId="0" applyFont="1" applyFill="1" applyBorder="1" applyAlignment="1" applyProtection="1">
      <alignment wrapText="1"/>
      <protection hidden="1"/>
    </xf>
    <xf numFmtId="0" fontId="12" fillId="0" borderId="0" xfId="4" applyFont="1" applyFill="1" applyProtection="1">
      <protection hidden="1"/>
    </xf>
    <xf numFmtId="0" fontId="9" fillId="4" borderId="5" xfId="4" applyFont="1" applyFill="1" applyBorder="1" applyAlignment="1" applyProtection="1">
      <alignment horizontal="center" vertical="center" wrapText="1"/>
      <protection hidden="1"/>
    </xf>
    <xf numFmtId="0" fontId="13" fillId="2" borderId="0" xfId="5" applyFont="1" applyFill="1" applyAlignment="1" applyProtection="1">
      <alignment vertical="center"/>
      <protection hidden="1"/>
    </xf>
    <xf numFmtId="0" fontId="8" fillId="4" borderId="12" xfId="5" applyFont="1" applyFill="1" applyBorder="1" applyAlignment="1" applyProtection="1">
      <alignment horizontal="center" vertical="center" wrapText="1"/>
      <protection hidden="1"/>
    </xf>
    <xf numFmtId="0" fontId="8" fillId="4" borderId="0" xfId="5" applyFont="1" applyFill="1" applyBorder="1" applyAlignment="1" applyProtection="1">
      <alignment horizontal="center" vertical="center" wrapText="1"/>
      <protection hidden="1"/>
    </xf>
    <xf numFmtId="0" fontId="14" fillId="7" borderId="8" xfId="5" applyFont="1" applyFill="1" applyBorder="1" applyAlignment="1" applyProtection="1">
      <alignment horizontal="center" vertical="center" wrapText="1"/>
      <protection hidden="1"/>
    </xf>
    <xf numFmtId="0" fontId="13" fillId="7" borderId="8" xfId="5" applyFont="1" applyFill="1" applyBorder="1" applyAlignment="1" applyProtection="1">
      <alignment horizontal="center" vertical="center" wrapText="1"/>
      <protection hidden="1"/>
    </xf>
    <xf numFmtId="0" fontId="8" fillId="4" borderId="8" xfId="5" applyFont="1" applyFill="1" applyBorder="1" applyAlignment="1" applyProtection="1">
      <alignment vertical="center" wrapText="1"/>
      <protection hidden="1"/>
    </xf>
    <xf numFmtId="0" fontId="13" fillId="4" borderId="8" xfId="5" applyFont="1" applyFill="1" applyBorder="1" applyAlignment="1" applyProtection="1">
      <alignment horizontal="center" vertical="center" wrapText="1"/>
      <protection hidden="1"/>
    </xf>
    <xf numFmtId="0" fontId="13" fillId="6" borderId="8" xfId="5" applyFont="1" applyFill="1" applyBorder="1" applyAlignment="1" applyProtection="1">
      <alignment horizontal="center" vertical="center" wrapText="1"/>
      <protection hidden="1"/>
    </xf>
    <xf numFmtId="0" fontId="8" fillId="6" borderId="8" xfId="5" applyFont="1" applyFill="1" applyBorder="1" applyAlignment="1" applyProtection="1">
      <alignment vertical="center"/>
      <protection hidden="1"/>
    </xf>
    <xf numFmtId="0" fontId="15" fillId="6" borderId="8" xfId="5" applyFont="1" applyFill="1" applyBorder="1" applyAlignment="1" applyProtection="1">
      <alignment horizontal="justify" vertical="center" wrapText="1"/>
      <protection hidden="1"/>
    </xf>
    <xf numFmtId="0" fontId="16" fillId="0" borderId="8" xfId="5" applyFont="1" applyFill="1" applyBorder="1" applyAlignment="1" applyProtection="1">
      <alignment horizontal="center" vertical="center" wrapText="1"/>
      <protection hidden="1"/>
    </xf>
    <xf numFmtId="0" fontId="13" fillId="0" borderId="8" xfId="5" applyFont="1" applyFill="1" applyBorder="1" applyAlignment="1" applyProtection="1">
      <alignment horizontal="center" vertical="center" wrapText="1"/>
      <protection hidden="1"/>
    </xf>
    <xf numFmtId="0" fontId="8" fillId="6" borderId="8" xfId="5" applyFont="1" applyFill="1" applyBorder="1" applyAlignment="1" applyProtection="1">
      <alignment horizontal="right" vertical="center" wrapText="1"/>
      <protection hidden="1"/>
    </xf>
    <xf numFmtId="0" fontId="18" fillId="0" borderId="8" xfId="5" applyFont="1" applyFill="1" applyBorder="1" applyAlignment="1" applyProtection="1">
      <alignment horizontal="left" vertical="center"/>
      <protection hidden="1"/>
    </xf>
    <xf numFmtId="0" fontId="13" fillId="8" borderId="8" xfId="5" applyFont="1" applyFill="1" applyBorder="1" applyAlignment="1" applyProtection="1">
      <alignment horizontal="center" vertical="center"/>
      <protection hidden="1"/>
    </xf>
    <xf numFmtId="0" fontId="8" fillId="8" borderId="8" xfId="5" applyFont="1" applyFill="1" applyBorder="1" applyAlignment="1" applyProtection="1">
      <alignment vertical="center"/>
      <protection hidden="1"/>
    </xf>
    <xf numFmtId="0" fontId="15" fillId="8" borderId="8" xfId="0" applyFont="1" applyFill="1" applyBorder="1" applyAlignment="1" applyProtection="1">
      <alignment horizontal="justify" vertical="center" wrapText="1"/>
      <protection hidden="1"/>
    </xf>
    <xf numFmtId="0" fontId="13" fillId="8" borderId="8" xfId="5" applyFont="1" applyFill="1" applyBorder="1" applyAlignment="1" applyProtection="1">
      <alignment horizontal="right" vertical="center"/>
      <protection hidden="1"/>
    </xf>
    <xf numFmtId="0" fontId="13" fillId="0" borderId="0" xfId="5" applyFont="1" applyFill="1" applyAlignment="1" applyProtection="1">
      <alignment vertical="center"/>
      <protection hidden="1"/>
    </xf>
    <xf numFmtId="169" fontId="6" fillId="9" borderId="8" xfId="8" applyNumberFormat="1" applyFont="1" applyFill="1" applyBorder="1" applyAlignment="1" applyProtection="1">
      <alignment horizontal="center" vertical="center" wrapText="1"/>
      <protection hidden="1"/>
    </xf>
    <xf numFmtId="9" fontId="9" fillId="5" borderId="8" xfId="3" applyNumberFormat="1" applyFont="1" applyFill="1" applyBorder="1" applyAlignment="1" applyProtection="1">
      <alignment horizontal="center" vertical="center" wrapText="1"/>
      <protection hidden="1"/>
    </xf>
    <xf numFmtId="4" fontId="10" fillId="9" borderId="8" xfId="8" applyNumberFormat="1" applyFont="1" applyFill="1" applyBorder="1" applyAlignment="1" applyProtection="1">
      <alignment horizontal="center" vertical="center" wrapText="1"/>
      <protection hidden="1"/>
    </xf>
    <xf numFmtId="0" fontId="33" fillId="0" borderId="8" xfId="5" applyFont="1" applyFill="1" applyBorder="1" applyAlignment="1" applyProtection="1">
      <alignment horizontal="center" vertical="center" wrapText="1"/>
      <protection hidden="1"/>
    </xf>
    <xf numFmtId="0" fontId="35" fillId="4" borderId="0" xfId="10" applyFont="1" applyFill="1" applyAlignment="1" applyProtection="1">
      <alignment vertical="center"/>
      <protection hidden="1"/>
    </xf>
    <xf numFmtId="0" fontId="35" fillId="0" borderId="0" xfId="10" applyFont="1" applyAlignment="1" applyProtection="1">
      <alignment vertical="center"/>
      <protection hidden="1"/>
    </xf>
    <xf numFmtId="0" fontId="35" fillId="0" borderId="0" xfId="10" applyFont="1" applyFill="1" applyAlignment="1" applyProtection="1">
      <alignment vertical="center"/>
      <protection hidden="1"/>
    </xf>
    <xf numFmtId="0" fontId="38" fillId="0" borderId="0" xfId="10" applyFont="1" applyFill="1" applyAlignment="1" applyProtection="1">
      <alignment vertical="center"/>
      <protection hidden="1"/>
    </xf>
    <xf numFmtId="0" fontId="20" fillId="9" borderId="8" xfId="0" applyFont="1" applyFill="1" applyBorder="1" applyAlignment="1" applyProtection="1">
      <alignment horizontal="center" vertical="center" wrapText="1"/>
      <protection hidden="1"/>
    </xf>
    <xf numFmtId="0" fontId="9" fillId="9" borderId="8" xfId="0" applyFont="1" applyFill="1" applyBorder="1" applyAlignment="1" applyProtection="1">
      <alignment horizontal="center" vertical="center"/>
      <protection hidden="1"/>
    </xf>
    <xf numFmtId="175" fontId="41" fillId="9" borderId="29" xfId="18" applyNumberFormat="1" applyFont="1" applyFill="1" applyBorder="1" applyAlignment="1" applyProtection="1">
      <alignment horizontal="center" vertical="center"/>
      <protection hidden="1"/>
    </xf>
    <xf numFmtId="14" fontId="36" fillId="9" borderId="29" xfId="17" applyNumberFormat="1" applyFont="1" applyFill="1" applyBorder="1" applyAlignment="1" applyProtection="1">
      <alignment horizontal="center" vertical="center" wrapText="1"/>
      <protection hidden="1"/>
    </xf>
    <xf numFmtId="0" fontId="36" fillId="9" borderId="29" xfId="17" applyFont="1" applyFill="1" applyBorder="1" applyAlignment="1" applyProtection="1">
      <alignment horizontal="center" vertical="center"/>
      <protection hidden="1"/>
    </xf>
    <xf numFmtId="6" fontId="36" fillId="9" borderId="29" xfId="17" applyNumberFormat="1" applyFont="1" applyFill="1" applyBorder="1" applyAlignment="1" applyProtection="1">
      <alignment horizontal="center" vertical="center" wrapText="1"/>
      <protection hidden="1"/>
    </xf>
    <xf numFmtId="0" fontId="36" fillId="9" borderId="8" xfId="18" applyNumberFormat="1" applyFont="1" applyFill="1" applyBorder="1" applyAlignment="1" applyProtection="1">
      <alignment horizontal="center" vertical="center" wrapText="1"/>
      <protection hidden="1"/>
    </xf>
    <xf numFmtId="0" fontId="36" fillId="9" borderId="15" xfId="17" applyFont="1" applyFill="1" applyBorder="1" applyAlignment="1" applyProtection="1">
      <alignment horizontal="center" vertical="center" wrapText="1"/>
      <protection hidden="1"/>
    </xf>
    <xf numFmtId="0" fontId="36" fillId="9" borderId="7" xfId="17" applyFont="1" applyFill="1" applyBorder="1" applyAlignment="1" applyProtection="1">
      <alignment horizontal="center" vertical="center" wrapText="1"/>
      <protection hidden="1"/>
    </xf>
    <xf numFmtId="0" fontId="36" fillId="9" borderId="16" xfId="17" applyFont="1" applyFill="1" applyBorder="1" applyAlignment="1" applyProtection="1">
      <alignment horizontal="center" vertical="center" wrapText="1"/>
      <protection hidden="1"/>
    </xf>
    <xf numFmtId="0" fontId="8" fillId="9" borderId="8" xfId="0" applyFont="1" applyFill="1" applyBorder="1" applyAlignment="1" applyProtection="1">
      <alignment horizontal="center" vertical="center"/>
      <protection hidden="1"/>
    </xf>
    <xf numFmtId="0" fontId="7" fillId="4" borderId="8" xfId="0" applyNumberFormat="1" applyFont="1" applyFill="1" applyBorder="1" applyAlignment="1" applyProtection="1">
      <alignment horizontal="left" wrapText="1"/>
      <protection hidden="1"/>
    </xf>
    <xf numFmtId="0" fontId="7" fillId="0" borderId="8" xfId="4" applyFont="1" applyBorder="1" applyAlignment="1" applyProtection="1">
      <alignment horizontal="left" vertical="center" wrapText="1"/>
      <protection hidden="1"/>
    </xf>
    <xf numFmtId="0" fontId="15" fillId="8" borderId="8" xfId="5" applyFont="1" applyFill="1" applyBorder="1" applyAlignment="1" applyProtection="1">
      <alignment horizontal="left" vertical="center" wrapText="1"/>
      <protection hidden="1"/>
    </xf>
    <xf numFmtId="3" fontId="38" fillId="0" borderId="0" xfId="17" applyNumberFormat="1" applyFont="1" applyProtection="1">
      <protection hidden="1"/>
    </xf>
    <xf numFmtId="166" fontId="15" fillId="0" borderId="0" xfId="0" applyNumberFormat="1" applyFont="1" applyFill="1" applyAlignment="1" applyProtection="1">
      <protection hidden="1"/>
    </xf>
    <xf numFmtId="178" fontId="38" fillId="0" borderId="0" xfId="17" applyNumberFormat="1" applyFont="1" applyProtection="1">
      <protection hidden="1"/>
    </xf>
    <xf numFmtId="173" fontId="0" fillId="0" borderId="0" xfId="0" applyNumberFormat="1" applyProtection="1">
      <protection hidden="1"/>
    </xf>
    <xf numFmtId="0" fontId="9" fillId="4" borderId="3" xfId="4" applyFont="1" applyFill="1" applyBorder="1" applyAlignment="1" applyProtection="1">
      <alignment horizontal="center" vertical="center" wrapText="1"/>
      <protection hidden="1"/>
    </xf>
    <xf numFmtId="0" fontId="9" fillId="4" borderId="0" xfId="4" applyFont="1" applyFill="1" applyBorder="1" applyAlignment="1" applyProtection="1">
      <alignment vertical="center" wrapText="1"/>
      <protection hidden="1"/>
    </xf>
    <xf numFmtId="0" fontId="9" fillId="4" borderId="4" xfId="4" applyFont="1" applyFill="1" applyBorder="1" applyAlignment="1" applyProtection="1">
      <alignment vertical="center" wrapText="1"/>
      <protection hidden="1"/>
    </xf>
    <xf numFmtId="42" fontId="7" fillId="5" borderId="56" xfId="23" applyFont="1" applyFill="1" applyBorder="1" applyAlignment="1" applyProtection="1">
      <alignment horizontal="center" vertical="center" wrapText="1"/>
      <protection hidden="1"/>
    </xf>
    <xf numFmtId="9" fontId="7" fillId="5" borderId="56" xfId="2" applyFont="1" applyFill="1" applyBorder="1" applyAlignment="1" applyProtection="1">
      <alignment horizontal="center" vertical="center" wrapText="1"/>
      <protection hidden="1"/>
    </xf>
    <xf numFmtId="0" fontId="7" fillId="0" borderId="58" xfId="4" applyFont="1" applyBorder="1" applyAlignment="1" applyProtection="1">
      <alignment horizontal="left" vertical="center" wrapText="1"/>
      <protection hidden="1"/>
    </xf>
    <xf numFmtId="0" fontId="7" fillId="0" borderId="33" xfId="4" applyFont="1" applyBorder="1" applyAlignment="1" applyProtection="1">
      <alignment horizontal="left" vertical="center" wrapText="1"/>
      <protection hidden="1"/>
    </xf>
    <xf numFmtId="0" fontId="7" fillId="0" borderId="61" xfId="4" applyNumberFormat="1" applyFont="1" applyBorder="1" applyAlignment="1" applyProtection="1">
      <alignment horizontal="center" vertical="center"/>
      <protection hidden="1"/>
    </xf>
    <xf numFmtId="0" fontId="7" fillId="0" borderId="48" xfId="4" applyNumberFormat="1" applyFont="1" applyBorder="1" applyAlignment="1" applyProtection="1">
      <alignment horizontal="center" vertical="center"/>
      <protection hidden="1"/>
    </xf>
    <xf numFmtId="1" fontId="7" fillId="5" borderId="8" xfId="23" applyNumberFormat="1" applyFont="1" applyFill="1" applyBorder="1" applyAlignment="1" applyProtection="1">
      <alignment horizontal="center" vertical="center" wrapText="1"/>
      <protection hidden="1"/>
    </xf>
    <xf numFmtId="22" fontId="33" fillId="0" borderId="50" xfId="0" applyNumberFormat="1" applyFont="1" applyBorder="1" applyAlignment="1">
      <alignment horizontal="center" vertical="center" wrapText="1"/>
    </xf>
    <xf numFmtId="22" fontId="33" fillId="0" borderId="32" xfId="0" applyNumberFormat="1" applyFont="1" applyBorder="1" applyAlignment="1">
      <alignment horizontal="center" vertical="center" wrapText="1"/>
    </xf>
    <xf numFmtId="0" fontId="7" fillId="0" borderId="59" xfId="4" applyFont="1" applyBorder="1" applyAlignment="1" applyProtection="1">
      <alignment horizontal="left" vertical="center" wrapText="1"/>
      <protection hidden="1"/>
    </xf>
    <xf numFmtId="1" fontId="7" fillId="5" borderId="59" xfId="23" applyNumberFormat="1" applyFont="1" applyFill="1" applyBorder="1" applyAlignment="1" applyProtection="1">
      <alignment horizontal="center" vertical="center" wrapText="1"/>
      <protection hidden="1"/>
    </xf>
    <xf numFmtId="9" fontId="7" fillId="0" borderId="56" xfId="2" applyFont="1" applyFill="1" applyBorder="1" applyAlignment="1" applyProtection="1">
      <alignment horizontal="center" vertical="center" wrapText="1"/>
      <protection hidden="1"/>
    </xf>
    <xf numFmtId="0" fontId="33" fillId="0" borderId="53" xfId="0" applyFont="1" applyBorder="1" applyAlignment="1">
      <alignment horizontal="center" vertical="center" wrapText="1"/>
    </xf>
    <xf numFmtId="1" fontId="33" fillId="0" borderId="53" xfId="0" applyNumberFormat="1" applyFont="1" applyBorder="1" applyAlignment="1">
      <alignment horizontal="center" vertical="center" wrapText="1"/>
    </xf>
    <xf numFmtId="0" fontId="8" fillId="0" borderId="50" xfId="8" applyNumberFormat="1" applyFont="1" applyFill="1" applyBorder="1" applyAlignment="1" applyProtection="1">
      <alignment horizontal="center" vertical="center" wrapText="1"/>
      <protection hidden="1"/>
    </xf>
    <xf numFmtId="167" fontId="8" fillId="0" borderId="58" xfId="8" applyFont="1" applyFill="1" applyBorder="1" applyAlignment="1" applyProtection="1">
      <alignment horizontal="center" vertical="center" wrapText="1"/>
      <protection hidden="1"/>
    </xf>
    <xf numFmtId="0" fontId="8" fillId="0" borderId="32" xfId="8" applyNumberFormat="1" applyFont="1" applyFill="1" applyBorder="1" applyAlignment="1" applyProtection="1">
      <alignment horizontal="center" vertical="center" wrapText="1"/>
      <protection hidden="1"/>
    </xf>
    <xf numFmtId="167" fontId="8" fillId="0" borderId="59" xfId="8" applyFont="1" applyFill="1" applyBorder="1" applyAlignment="1" applyProtection="1">
      <alignment vertical="center" wrapText="1"/>
      <protection hidden="1"/>
    </xf>
    <xf numFmtId="167" fontId="8" fillId="0" borderId="33" xfId="8" applyFont="1" applyFill="1" applyBorder="1" applyAlignment="1" applyProtection="1">
      <alignment horizontal="center" vertical="center" wrapText="1"/>
      <protection hidden="1"/>
    </xf>
    <xf numFmtId="0" fontId="8" fillId="0" borderId="64" xfId="8" applyNumberFormat="1" applyFont="1" applyFill="1" applyBorder="1" applyAlignment="1" applyProtection="1">
      <alignment horizontal="center" vertical="center" wrapText="1"/>
      <protection hidden="1"/>
    </xf>
    <xf numFmtId="167" fontId="8" fillId="0" borderId="11" xfId="8" applyFont="1" applyFill="1" applyBorder="1" applyAlignment="1" applyProtection="1">
      <alignment vertical="center" wrapText="1"/>
      <protection hidden="1"/>
    </xf>
    <xf numFmtId="167" fontId="8" fillId="0" borderId="65" xfId="8" applyFont="1" applyFill="1" applyBorder="1" applyAlignment="1" applyProtection="1">
      <alignment horizontal="center" vertical="center" wrapText="1"/>
      <protection hidden="1"/>
    </xf>
    <xf numFmtId="167" fontId="8" fillId="9" borderId="52" xfId="8" applyFont="1" applyFill="1" applyBorder="1" applyAlignment="1" applyProtection="1">
      <alignment horizontal="center" vertical="center" wrapText="1"/>
      <protection hidden="1"/>
    </xf>
    <xf numFmtId="0" fontId="31" fillId="7" borderId="59" xfId="3" applyFont="1" applyFill="1" applyBorder="1" applyAlignment="1" applyProtection="1">
      <alignment horizontal="center" vertical="center" wrapText="1"/>
      <protection hidden="1"/>
    </xf>
    <xf numFmtId="0" fontId="31" fillId="13" borderId="59" xfId="3" applyFont="1" applyFill="1" applyBorder="1" applyAlignment="1" applyProtection="1">
      <alignment horizontal="center" vertical="center" wrapText="1"/>
      <protection hidden="1"/>
    </xf>
    <xf numFmtId="9" fontId="7" fillId="9" borderId="15" xfId="3" applyNumberFormat="1" applyFont="1" applyFill="1" applyBorder="1" applyAlignment="1" applyProtection="1">
      <alignment horizontal="center" vertical="center" wrapText="1"/>
      <protection hidden="1"/>
    </xf>
    <xf numFmtId="0" fontId="31" fillId="7" borderId="67" xfId="3" applyFont="1" applyFill="1" applyBorder="1" applyAlignment="1" applyProtection="1">
      <alignment horizontal="center" vertical="center" wrapText="1"/>
      <protection hidden="1"/>
    </xf>
    <xf numFmtId="0" fontId="31" fillId="13" borderId="50" xfId="0" applyFont="1" applyFill="1" applyBorder="1" applyAlignment="1" applyProtection="1">
      <alignment horizontal="center" vertical="center" wrapText="1"/>
      <protection hidden="1"/>
    </xf>
    <xf numFmtId="0" fontId="31" fillId="13" borderId="32" xfId="3" applyFont="1" applyFill="1" applyBorder="1" applyAlignment="1" applyProtection="1">
      <alignment horizontal="center" vertical="center" wrapText="1"/>
      <protection hidden="1"/>
    </xf>
    <xf numFmtId="4" fontId="10" fillId="9" borderId="56" xfId="8" applyNumberFormat="1" applyFont="1" applyFill="1" applyBorder="1" applyAlignment="1" applyProtection="1">
      <alignment horizontal="center" vertical="center" wrapText="1"/>
      <protection hidden="1"/>
    </xf>
    <xf numFmtId="9" fontId="10" fillId="0" borderId="56" xfId="2" applyFont="1" applyFill="1" applyBorder="1" applyAlignment="1" applyProtection="1">
      <alignment horizontal="center" vertical="center"/>
      <protection hidden="1"/>
    </xf>
    <xf numFmtId="4" fontId="9" fillId="6" borderId="56" xfId="3" applyNumberFormat="1" applyFont="1" applyFill="1" applyBorder="1" applyAlignment="1" applyProtection="1">
      <alignment horizontal="center" vertical="center"/>
      <protection hidden="1"/>
    </xf>
    <xf numFmtId="4" fontId="10" fillId="9" borderId="56" xfId="3" applyNumberFormat="1" applyFont="1" applyFill="1" applyBorder="1" applyAlignment="1" applyProtection="1">
      <alignment horizontal="center" vertical="center"/>
      <protection hidden="1"/>
    </xf>
    <xf numFmtId="4" fontId="10" fillId="0" borderId="56" xfId="3" applyNumberFormat="1" applyFont="1" applyFill="1" applyBorder="1" applyAlignment="1" applyProtection="1">
      <alignment horizontal="center" vertical="center"/>
      <protection hidden="1"/>
    </xf>
    <xf numFmtId="4" fontId="10" fillId="9" borderId="59" xfId="8" applyNumberFormat="1" applyFont="1" applyFill="1" applyBorder="1" applyAlignment="1" applyProtection="1">
      <alignment horizontal="center" vertical="center" wrapText="1"/>
      <protection hidden="1"/>
    </xf>
    <xf numFmtId="9" fontId="10" fillId="0" borderId="59" xfId="2" applyFont="1" applyFill="1" applyBorder="1" applyAlignment="1" applyProtection="1">
      <alignment horizontal="center" vertical="center"/>
      <protection hidden="1"/>
    </xf>
    <xf numFmtId="4" fontId="9" fillId="6" borderId="59" xfId="3" applyNumberFormat="1" applyFont="1" applyFill="1" applyBorder="1" applyAlignment="1" applyProtection="1">
      <alignment horizontal="center" vertical="center"/>
      <protection hidden="1"/>
    </xf>
    <xf numFmtId="4" fontId="10" fillId="9" borderId="59" xfId="3" applyNumberFormat="1" applyFont="1" applyFill="1" applyBorder="1" applyAlignment="1" applyProtection="1">
      <alignment horizontal="center" vertical="center"/>
      <protection hidden="1"/>
    </xf>
    <xf numFmtId="4" fontId="10" fillId="0" borderId="59" xfId="3" applyNumberFormat="1" applyFont="1" applyFill="1" applyBorder="1" applyAlignment="1" applyProtection="1">
      <alignment horizontal="center" vertical="center"/>
      <protection hidden="1"/>
    </xf>
    <xf numFmtId="4" fontId="7" fillId="0" borderId="57" xfId="8" applyNumberFormat="1" applyFont="1" applyFill="1" applyBorder="1" applyAlignment="1" applyProtection="1">
      <alignment horizontal="left" vertical="center" wrapText="1"/>
      <protection hidden="1"/>
    </xf>
    <xf numFmtId="4" fontId="7" fillId="0" borderId="16" xfId="8" applyNumberFormat="1" applyFont="1" applyFill="1" applyBorder="1" applyAlignment="1" applyProtection="1">
      <alignment horizontal="left" vertical="center" wrapText="1"/>
      <protection hidden="1"/>
    </xf>
    <xf numFmtId="4" fontId="7" fillId="0" borderId="60" xfId="8" applyNumberFormat="1" applyFont="1" applyFill="1" applyBorder="1" applyAlignment="1" applyProtection="1">
      <alignment horizontal="left" vertical="center" wrapText="1"/>
      <protection hidden="1"/>
    </xf>
    <xf numFmtId="1" fontId="7" fillId="0" borderId="68" xfId="0" applyNumberFormat="1" applyFont="1" applyFill="1" applyBorder="1" applyAlignment="1" applyProtection="1">
      <alignment horizontal="center" vertical="center" wrapText="1"/>
      <protection hidden="1"/>
    </xf>
    <xf numFmtId="1" fontId="7" fillId="0" borderId="69" xfId="0" applyNumberFormat="1" applyFont="1" applyFill="1" applyBorder="1" applyAlignment="1" applyProtection="1">
      <alignment horizontal="center" vertical="center" wrapText="1"/>
      <protection hidden="1"/>
    </xf>
    <xf numFmtId="1" fontId="7" fillId="0" borderId="54" xfId="0" applyNumberFormat="1" applyFont="1" applyFill="1" applyBorder="1" applyAlignment="1" applyProtection="1">
      <alignment horizontal="center" vertical="center" wrapText="1"/>
      <protection hidden="1"/>
    </xf>
    <xf numFmtId="41" fontId="7" fillId="9" borderId="0" xfId="22" applyFont="1" applyFill="1" applyBorder="1" applyAlignment="1" applyProtection="1">
      <alignment horizontal="center" vertical="center"/>
      <protection hidden="1"/>
    </xf>
    <xf numFmtId="0" fontId="31" fillId="13" borderId="67" xfId="3" applyFont="1" applyFill="1" applyBorder="1" applyAlignment="1" applyProtection="1">
      <alignment horizontal="center" vertical="center" wrapText="1"/>
      <protection hidden="1"/>
    </xf>
    <xf numFmtId="4" fontId="9" fillId="6" borderId="66" xfId="3" applyNumberFormat="1" applyFont="1" applyFill="1" applyBorder="1" applyAlignment="1" applyProtection="1">
      <alignment horizontal="center" vertical="center"/>
      <protection hidden="1"/>
    </xf>
    <xf numFmtId="4" fontId="9" fillId="6" borderId="15" xfId="3" applyNumberFormat="1" applyFont="1" applyFill="1" applyBorder="1" applyAlignment="1" applyProtection="1">
      <alignment horizontal="center" vertical="center"/>
      <protection hidden="1"/>
    </xf>
    <xf numFmtId="4" fontId="9" fillId="6" borderId="67" xfId="3" applyNumberFormat="1" applyFont="1" applyFill="1" applyBorder="1" applyAlignment="1" applyProtection="1">
      <alignment horizontal="center" vertical="center"/>
      <protection hidden="1"/>
    </xf>
    <xf numFmtId="167" fontId="8" fillId="0" borderId="69" xfId="8" applyFont="1" applyFill="1" applyBorder="1" applyAlignment="1" applyProtection="1">
      <alignment vertical="center" wrapText="1"/>
      <protection hidden="1"/>
    </xf>
    <xf numFmtId="0" fontId="15" fillId="0" borderId="69" xfId="3" applyFont="1" applyFill="1" applyBorder="1" applyAlignment="1" applyProtection="1">
      <alignment vertical="center" wrapText="1"/>
      <protection hidden="1"/>
    </xf>
    <xf numFmtId="0" fontId="15" fillId="0" borderId="54" xfId="3" applyFont="1" applyFill="1" applyBorder="1" applyAlignment="1" applyProtection="1">
      <alignment vertical="center" wrapText="1"/>
      <protection hidden="1"/>
    </xf>
    <xf numFmtId="0" fontId="46" fillId="4" borderId="8" xfId="28" applyFill="1" applyBorder="1" applyAlignment="1">
      <alignment horizontal="center" vertical="center"/>
    </xf>
    <xf numFmtId="0" fontId="46" fillId="0" borderId="8" xfId="28" applyFill="1" applyBorder="1" applyAlignment="1">
      <alignment horizontal="center" vertical="center"/>
    </xf>
    <xf numFmtId="2" fontId="46" fillId="0" borderId="8" xfId="28" applyNumberFormat="1" applyFill="1" applyBorder="1" applyAlignment="1">
      <alignment horizontal="center" vertical="center"/>
    </xf>
    <xf numFmtId="41" fontId="0" fillId="0" borderId="0" xfId="22" applyFont="1" applyProtection="1">
      <protection hidden="1"/>
    </xf>
    <xf numFmtId="0" fontId="46" fillId="4" borderId="8" xfId="28" applyFill="1" applyBorder="1" applyAlignment="1">
      <alignment horizontal="center" vertical="center"/>
    </xf>
    <xf numFmtId="6" fontId="16" fillId="0" borderId="8" xfId="5" applyNumberFormat="1" applyFont="1" applyFill="1" applyBorder="1" applyAlignment="1" applyProtection="1">
      <alignment horizontal="center" vertical="center" wrapText="1"/>
      <protection hidden="1"/>
    </xf>
    <xf numFmtId="41" fontId="15" fillId="0" borderId="0" xfId="22" applyFont="1" applyFill="1" applyAlignment="1" applyProtection="1">
      <alignment vertical="center" wrapText="1"/>
      <protection hidden="1"/>
    </xf>
    <xf numFmtId="0" fontId="20" fillId="9" borderId="8" xfId="0" applyFont="1" applyFill="1" applyBorder="1" applyAlignment="1" applyProtection="1">
      <alignment horizontal="left" vertical="center" wrapText="1"/>
      <protection hidden="1"/>
    </xf>
    <xf numFmtId="0" fontId="20" fillId="9" borderId="8" xfId="0" applyFont="1" applyFill="1" applyBorder="1" applyAlignment="1" applyProtection="1">
      <alignment vertical="center" wrapText="1"/>
      <protection hidden="1"/>
    </xf>
    <xf numFmtId="0" fontId="20" fillId="0" borderId="8" xfId="0" applyFont="1" applyBorder="1" applyAlignment="1" applyProtection="1">
      <alignment horizontal="center" vertical="center"/>
      <protection hidden="1"/>
    </xf>
    <xf numFmtId="6" fontId="38" fillId="0" borderId="0" xfId="17" applyNumberFormat="1" applyFont="1" applyProtection="1">
      <protection hidden="1"/>
    </xf>
    <xf numFmtId="0" fontId="47" fillId="0" borderId="8" xfId="5" applyFont="1" applyFill="1" applyBorder="1" applyAlignment="1" applyProtection="1">
      <alignment horizontal="left" vertical="center" wrapText="1"/>
      <protection hidden="1"/>
    </xf>
    <xf numFmtId="167" fontId="6" fillId="7" borderId="8" xfId="8" applyFont="1" applyFill="1" applyBorder="1" applyAlignment="1" applyProtection="1">
      <alignment horizontal="center" vertical="center" wrapText="1"/>
      <protection hidden="1"/>
    </xf>
    <xf numFmtId="0" fontId="30" fillId="2" borderId="0" xfId="3" applyFont="1" applyFill="1" applyBorder="1" applyAlignment="1" applyProtection="1">
      <alignment horizontal="center" vertical="center" wrapText="1"/>
      <protection hidden="1"/>
    </xf>
    <xf numFmtId="0" fontId="36" fillId="3" borderId="16" xfId="17" applyFont="1" applyFill="1" applyBorder="1" applyAlignment="1" applyProtection="1">
      <alignment horizontal="center" vertical="center" wrapText="1"/>
      <protection hidden="1"/>
    </xf>
    <xf numFmtId="22" fontId="33" fillId="0" borderId="64" xfId="0" applyNumberFormat="1" applyFont="1" applyBorder="1" applyAlignment="1">
      <alignment horizontal="center" vertical="center" wrapText="1"/>
    </xf>
    <xf numFmtId="0" fontId="7" fillId="0" borderId="11" xfId="4" applyFont="1" applyBorder="1" applyAlignment="1" applyProtection="1">
      <alignment horizontal="left" vertical="center" wrapText="1"/>
      <protection hidden="1"/>
    </xf>
    <xf numFmtId="1" fontId="7" fillId="5" borderId="11" xfId="23" applyNumberFormat="1" applyFont="1" applyFill="1" applyBorder="1" applyAlignment="1" applyProtection="1">
      <alignment horizontal="center" vertical="center" wrapText="1"/>
      <protection hidden="1"/>
    </xf>
    <xf numFmtId="42" fontId="7" fillId="5" borderId="11" xfId="23" applyFont="1" applyFill="1" applyBorder="1" applyAlignment="1" applyProtection="1">
      <alignment horizontal="center" vertical="center" wrapText="1"/>
      <protection hidden="1"/>
    </xf>
    <xf numFmtId="9" fontId="7" fillId="0" borderId="11" xfId="2" applyFont="1" applyFill="1" applyBorder="1" applyAlignment="1" applyProtection="1">
      <alignment horizontal="center" vertical="center" wrapText="1"/>
      <protection hidden="1"/>
    </xf>
    <xf numFmtId="9" fontId="7" fillId="5" borderId="11" xfId="2" applyFont="1" applyFill="1" applyBorder="1" applyAlignment="1" applyProtection="1">
      <alignment horizontal="center" vertical="center" wrapText="1"/>
      <protection hidden="1"/>
    </xf>
    <xf numFmtId="0" fontId="7" fillId="0" borderId="65" xfId="4" applyFont="1" applyBorder="1" applyAlignment="1" applyProtection="1">
      <alignment horizontal="left" vertical="center" wrapText="1"/>
      <protection hidden="1"/>
    </xf>
    <xf numFmtId="4" fontId="9" fillId="6" borderId="7" xfId="3" applyNumberFormat="1" applyFont="1" applyFill="1" applyBorder="1" applyAlignment="1" applyProtection="1">
      <alignment horizontal="center" vertical="center"/>
      <protection hidden="1"/>
    </xf>
    <xf numFmtId="4" fontId="9" fillId="6" borderId="70" xfId="3" applyNumberFormat="1" applyFont="1" applyFill="1" applyBorder="1" applyAlignment="1" applyProtection="1">
      <alignment horizontal="center" vertical="center"/>
      <protection hidden="1"/>
    </xf>
    <xf numFmtId="9" fontId="7" fillId="9" borderId="0" xfId="22" applyNumberFormat="1" applyFont="1" applyFill="1" applyBorder="1" applyAlignment="1" applyProtection="1">
      <alignment horizontal="center" vertical="center"/>
      <protection hidden="1"/>
    </xf>
    <xf numFmtId="9" fontId="15" fillId="0" borderId="0" xfId="3" applyNumberFormat="1" applyFont="1" applyFill="1" applyAlignment="1" applyProtection="1">
      <alignment vertical="center" wrapText="1"/>
      <protection hidden="1"/>
    </xf>
    <xf numFmtId="4" fontId="10" fillId="9" borderId="11" xfId="8" applyNumberFormat="1" applyFont="1" applyFill="1" applyBorder="1" applyAlignment="1" applyProtection="1">
      <alignment horizontal="center" vertical="center" wrapText="1"/>
      <protection hidden="1"/>
    </xf>
    <xf numFmtId="9" fontId="10" fillId="0" borderId="11" xfId="2" applyFont="1" applyFill="1" applyBorder="1" applyAlignment="1" applyProtection="1">
      <alignment horizontal="center" vertical="center"/>
      <protection hidden="1"/>
    </xf>
    <xf numFmtId="0" fontId="31" fillId="7" borderId="30" xfId="3" applyFont="1" applyFill="1" applyBorder="1" applyAlignment="1" applyProtection="1">
      <alignment horizontal="center" wrapText="1"/>
      <protection hidden="1"/>
    </xf>
    <xf numFmtId="0" fontId="31" fillId="7" borderId="56" xfId="3" applyFont="1" applyFill="1" applyBorder="1" applyAlignment="1" applyProtection="1">
      <alignment horizontal="center" wrapText="1"/>
      <protection hidden="1"/>
    </xf>
    <xf numFmtId="0" fontId="31" fillId="7" borderId="31" xfId="3" applyFont="1" applyFill="1" applyBorder="1" applyAlignment="1" applyProtection="1">
      <alignment horizontal="center" wrapText="1"/>
      <protection hidden="1"/>
    </xf>
    <xf numFmtId="0" fontId="9" fillId="7" borderId="32" xfId="3" applyFont="1" applyFill="1" applyBorder="1" applyAlignment="1" applyProtection="1">
      <alignment horizontal="center" vertical="center" wrapText="1"/>
      <protection hidden="1"/>
    </xf>
    <xf numFmtId="0" fontId="9" fillId="7" borderId="59" xfId="3" applyFont="1" applyFill="1" applyBorder="1" applyAlignment="1" applyProtection="1">
      <alignment horizontal="center" vertical="center" wrapText="1"/>
      <protection hidden="1"/>
    </xf>
    <xf numFmtId="0" fontId="9" fillId="7" borderId="33" xfId="3" applyFont="1" applyFill="1" applyBorder="1" applyAlignment="1" applyProtection="1">
      <alignment horizontal="center" vertical="center" wrapText="1"/>
      <protection hidden="1"/>
    </xf>
    <xf numFmtId="0" fontId="8" fillId="10" borderId="0" xfId="0" applyFont="1" applyFill="1" applyBorder="1" applyAlignment="1" applyProtection="1">
      <alignment horizontal="center" vertical="center" wrapText="1"/>
      <protection hidden="1"/>
    </xf>
    <xf numFmtId="0" fontId="15" fillId="15" borderId="0" xfId="0" applyFont="1" applyFill="1" applyBorder="1" applyAlignment="1" applyProtection="1">
      <alignment horizontal="center" vertical="center" wrapText="1"/>
      <protection hidden="1"/>
    </xf>
    <xf numFmtId="0" fontId="15" fillId="15" borderId="0" xfId="0" applyFont="1" applyFill="1" applyBorder="1" applyAlignment="1" applyProtection="1">
      <alignment horizontal="center" vertical="center"/>
      <protection hidden="1"/>
    </xf>
    <xf numFmtId="0" fontId="15" fillId="0" borderId="0" xfId="0" applyFont="1" applyFill="1" applyBorder="1" applyAlignment="1" applyProtection="1">
      <alignment horizontal="center" vertical="center"/>
      <protection hidden="1"/>
    </xf>
    <xf numFmtId="2" fontId="15" fillId="0" borderId="0" xfId="0" applyNumberFormat="1" applyFont="1" applyFill="1" applyBorder="1" applyAlignment="1" applyProtection="1">
      <alignment horizontal="center" vertical="center"/>
      <protection hidden="1"/>
    </xf>
    <xf numFmtId="0" fontId="49" fillId="0" borderId="0" xfId="0" applyFont="1" applyFill="1" applyBorder="1" applyAlignment="1">
      <alignment horizontal="center" vertical="center"/>
    </xf>
    <xf numFmtId="0" fontId="49" fillId="0" borderId="0" xfId="0" applyFont="1" applyFill="1" applyBorder="1" applyAlignment="1">
      <alignment horizontal="left" vertical="center"/>
    </xf>
    <xf numFmtId="0" fontId="50" fillId="0" borderId="0" xfId="0" applyFont="1" applyFill="1" applyBorder="1"/>
    <xf numFmtId="183" fontId="49" fillId="0" borderId="0" xfId="0" applyNumberFormat="1" applyFont="1" applyFill="1" applyBorder="1" applyAlignment="1">
      <alignment horizontal="right" vertical="center"/>
    </xf>
    <xf numFmtId="175" fontId="36" fillId="9" borderId="29" xfId="22" applyNumberFormat="1" applyFont="1" applyFill="1" applyBorder="1" applyAlignment="1" applyProtection="1">
      <alignment horizontal="center" vertical="center" wrapText="1"/>
      <protection hidden="1"/>
    </xf>
    <xf numFmtId="0" fontId="8" fillId="0" borderId="0" xfId="0" applyFont="1" applyFill="1" applyAlignment="1" applyProtection="1">
      <protection hidden="1"/>
    </xf>
    <xf numFmtId="166" fontId="8" fillId="0" borderId="0" xfId="0" applyNumberFormat="1" applyFont="1" applyFill="1" applyAlignment="1" applyProtection="1">
      <protection hidden="1"/>
    </xf>
    <xf numFmtId="173" fontId="54" fillId="0" borderId="11" xfId="13" applyNumberFormat="1" applyFont="1" applyBorder="1" applyAlignment="1" applyProtection="1">
      <alignment horizontal="center" vertical="center"/>
      <protection hidden="1"/>
    </xf>
    <xf numFmtId="0" fontId="16" fillId="0" borderId="8" xfId="5" applyFont="1" applyBorder="1" applyAlignment="1" applyProtection="1">
      <alignment horizontal="center" vertical="center" wrapText="1"/>
      <protection hidden="1"/>
    </xf>
    <xf numFmtId="0" fontId="8" fillId="9" borderId="8" xfId="8" applyNumberFormat="1" applyFont="1" applyFill="1" applyBorder="1" applyAlignment="1" applyProtection="1">
      <alignment horizontal="center" vertical="center" wrapText="1"/>
      <protection hidden="1"/>
    </xf>
    <xf numFmtId="0" fontId="3" fillId="2" borderId="0" xfId="5" applyFont="1" applyFill="1" applyAlignment="1" applyProtection="1">
      <alignment vertical="center"/>
      <protection hidden="1"/>
    </xf>
    <xf numFmtId="0" fontId="3" fillId="0" borderId="0" xfId="5" applyFont="1" applyFill="1" applyAlignment="1" applyProtection="1">
      <alignment vertical="center"/>
      <protection hidden="1"/>
    </xf>
    <xf numFmtId="0" fontId="3" fillId="7" borderId="8" xfId="5" applyFont="1" applyFill="1" applyBorder="1" applyAlignment="1" applyProtection="1">
      <alignment horizontal="center" vertical="center" wrapText="1"/>
      <protection hidden="1"/>
    </xf>
    <xf numFmtId="0" fontId="3" fillId="4" borderId="8" xfId="5" applyFont="1" applyFill="1" applyBorder="1" applyAlignment="1" applyProtection="1">
      <alignment horizontal="center" vertical="center" wrapText="1"/>
      <protection hidden="1"/>
    </xf>
    <xf numFmtId="0" fontId="3" fillId="6" borderId="8" xfId="5" applyFont="1" applyFill="1" applyBorder="1" applyAlignment="1" applyProtection="1">
      <alignment vertical="center"/>
      <protection hidden="1"/>
    </xf>
    <xf numFmtId="0" fontId="3" fillId="6" borderId="8" xfId="5" applyFont="1" applyFill="1" applyBorder="1" applyAlignment="1" applyProtection="1">
      <alignment horizontal="center" vertical="center" wrapText="1"/>
      <protection hidden="1"/>
    </xf>
    <xf numFmtId="0" fontId="13" fillId="0" borderId="8" xfId="5" applyFont="1" applyBorder="1" applyAlignment="1" applyProtection="1">
      <alignment horizontal="center" vertical="center" wrapText="1"/>
      <protection hidden="1"/>
    </xf>
    <xf numFmtId="0" fontId="3" fillId="0" borderId="8" xfId="6" applyFont="1" applyFill="1" applyBorder="1" applyAlignment="1" applyProtection="1">
      <alignment horizontal="center" vertical="center" wrapText="1"/>
      <protection hidden="1"/>
    </xf>
    <xf numFmtId="6" fontId="3" fillId="0" borderId="8" xfId="5" applyNumberFormat="1" applyFont="1" applyFill="1" applyBorder="1" applyAlignment="1" applyProtection="1">
      <alignment horizontal="center" vertical="center"/>
      <protection hidden="1"/>
    </xf>
    <xf numFmtId="0" fontId="3" fillId="6" borderId="11" xfId="5" applyFont="1" applyFill="1" applyBorder="1" applyAlignment="1" applyProtection="1">
      <alignment horizontal="center" vertical="center" wrapText="1"/>
      <protection hidden="1"/>
    </xf>
    <xf numFmtId="0" fontId="3" fillId="0" borderId="8" xfId="5" applyFont="1" applyFill="1" applyBorder="1" applyAlignment="1" applyProtection="1">
      <alignment horizontal="left" vertical="center" wrapText="1"/>
      <protection hidden="1"/>
    </xf>
    <xf numFmtId="0" fontId="3" fillId="0" borderId="0" xfId="6" applyFont="1" applyFill="1" applyAlignment="1" applyProtection="1">
      <alignment horizontal="justify" vertical="center"/>
      <protection hidden="1"/>
    </xf>
    <xf numFmtId="0" fontId="3" fillId="0" borderId="0" xfId="5" applyFont="1" applyFill="1" applyBorder="1" applyAlignment="1" applyProtection="1">
      <alignment vertical="center"/>
      <protection hidden="1"/>
    </xf>
    <xf numFmtId="0" fontId="3" fillId="8" borderId="8" xfId="5" applyFont="1" applyFill="1" applyBorder="1" applyAlignment="1" applyProtection="1">
      <alignment horizontal="justify" vertical="center"/>
      <protection hidden="1"/>
    </xf>
    <xf numFmtId="0" fontId="3" fillId="8" borderId="8" xfId="5" applyFont="1" applyFill="1" applyBorder="1" applyAlignment="1" applyProtection="1">
      <alignment horizontal="center" vertical="center"/>
      <protection hidden="1"/>
    </xf>
    <xf numFmtId="0" fontId="3" fillId="0" borderId="0" xfId="5" applyFont="1" applyAlignment="1" applyProtection="1">
      <alignment vertical="center"/>
      <protection hidden="1"/>
    </xf>
    <xf numFmtId="14" fontId="3" fillId="0" borderId="0" xfId="5" applyNumberFormat="1" applyFont="1" applyAlignment="1" applyProtection="1">
      <alignment vertical="center"/>
      <protection hidden="1"/>
    </xf>
    <xf numFmtId="169" fontId="8" fillId="9" borderId="8" xfId="8" applyNumberFormat="1" applyFont="1" applyFill="1" applyBorder="1" applyAlignment="1" applyProtection="1">
      <alignment horizontal="center" vertical="center" wrapText="1"/>
      <protection hidden="1"/>
    </xf>
    <xf numFmtId="170" fontId="8" fillId="7" borderId="8" xfId="8" applyNumberFormat="1" applyFont="1" applyFill="1" applyBorder="1" applyAlignment="1" applyProtection="1">
      <alignment horizontal="center" vertical="center" wrapText="1"/>
      <protection hidden="1"/>
    </xf>
    <xf numFmtId="0" fontId="59" fillId="9" borderId="8" xfId="0" applyNumberFormat="1" applyFont="1" applyFill="1" applyBorder="1" applyAlignment="1" applyProtection="1">
      <alignment horizontal="center" vertical="center" wrapText="1"/>
      <protection hidden="1"/>
    </xf>
    <xf numFmtId="0" fontId="8" fillId="9" borderId="8" xfId="3" applyFont="1" applyFill="1" applyBorder="1" applyAlignment="1" applyProtection="1">
      <alignment horizontal="center" vertical="center" wrapText="1"/>
      <protection hidden="1"/>
    </xf>
    <xf numFmtId="9" fontId="8" fillId="7" borderId="8" xfId="3" applyNumberFormat="1" applyFont="1" applyFill="1" applyBorder="1" applyAlignment="1" applyProtection="1">
      <alignment horizontal="center" vertical="center" wrapText="1"/>
      <protection hidden="1"/>
    </xf>
    <xf numFmtId="0" fontId="15" fillId="0" borderId="8" xfId="9" applyFont="1" applyBorder="1" applyAlignment="1" applyProtection="1">
      <alignment horizontal="center" vertical="center"/>
      <protection hidden="1"/>
    </xf>
    <xf numFmtId="0" fontId="15" fillId="0" borderId="8" xfId="9" applyFont="1" applyBorder="1" applyAlignment="1" applyProtection="1">
      <alignment vertical="center"/>
      <protection hidden="1"/>
    </xf>
    <xf numFmtId="2" fontId="8" fillId="0" borderId="8" xfId="8" applyNumberFormat="1" applyFont="1" applyFill="1" applyBorder="1" applyAlignment="1" applyProtection="1">
      <alignment horizontal="center" vertical="center" wrapText="1"/>
      <protection hidden="1"/>
    </xf>
    <xf numFmtId="171" fontId="8" fillId="0" borderId="8" xfId="8" applyNumberFormat="1" applyFont="1" applyFill="1" applyBorder="1" applyAlignment="1" applyProtection="1">
      <alignment vertical="center" wrapText="1"/>
      <protection hidden="1"/>
    </xf>
    <xf numFmtId="167" fontId="8" fillId="0" borderId="4" xfId="8" applyFont="1" applyFill="1" applyBorder="1" applyAlignment="1" applyProtection="1">
      <alignment vertical="center" wrapText="1"/>
      <protection hidden="1"/>
    </xf>
    <xf numFmtId="9" fontId="8" fillId="5" borderId="8" xfId="3" applyNumberFormat="1" applyFont="1" applyFill="1" applyBorder="1" applyAlignment="1" applyProtection="1">
      <alignment horizontal="center" vertical="center" wrapText="1"/>
      <protection hidden="1"/>
    </xf>
    <xf numFmtId="167" fontId="8" fillId="0" borderId="0" xfId="8" applyFont="1" applyFill="1" applyBorder="1" applyAlignment="1" applyProtection="1">
      <alignment vertical="center" wrapText="1"/>
      <protection hidden="1"/>
    </xf>
    <xf numFmtId="167" fontId="8" fillId="0" borderId="0" xfId="8" applyFont="1" applyFill="1" applyAlignment="1" applyProtection="1">
      <alignment horizontal="center" wrapText="1"/>
      <protection hidden="1"/>
    </xf>
    <xf numFmtId="167" fontId="58" fillId="0" borderId="0" xfId="8" applyFont="1" applyFill="1" applyAlignment="1" applyProtection="1">
      <alignment horizontal="center" wrapText="1"/>
      <protection hidden="1"/>
    </xf>
    <xf numFmtId="4" fontId="8" fillId="0" borderId="8" xfId="3" applyNumberFormat="1" applyFont="1" applyFill="1" applyBorder="1" applyAlignment="1" applyProtection="1">
      <alignment horizontal="center" vertical="center" wrapText="1"/>
      <protection hidden="1"/>
    </xf>
    <xf numFmtId="0" fontId="15" fillId="0" borderId="0" xfId="3" applyFont="1" applyFill="1" applyAlignment="1" applyProtection="1">
      <alignment horizontal="center" wrapText="1"/>
      <protection hidden="1"/>
    </xf>
    <xf numFmtId="0" fontId="13" fillId="0" borderId="13" xfId="5" applyFont="1" applyBorder="1" applyAlignment="1" applyProtection="1">
      <alignment horizontal="center" vertical="center" wrapText="1"/>
      <protection hidden="1"/>
    </xf>
    <xf numFmtId="0" fontId="15" fillId="6" borderId="13" xfId="5" applyFont="1" applyFill="1" applyBorder="1" applyAlignment="1" applyProtection="1">
      <alignment horizontal="justify" vertical="center" wrapText="1"/>
      <protection hidden="1"/>
    </xf>
    <xf numFmtId="0" fontId="15" fillId="6" borderId="8" xfId="5" applyFont="1" applyFill="1" applyBorder="1" applyAlignment="1" applyProtection="1">
      <alignment vertical="center" wrapText="1"/>
      <protection hidden="1"/>
    </xf>
    <xf numFmtId="0" fontId="61" fillId="0" borderId="8" xfId="4" applyFont="1" applyBorder="1" applyAlignment="1" applyProtection="1">
      <alignment horizontal="left" vertical="center" wrapText="1"/>
      <protection hidden="1"/>
    </xf>
    <xf numFmtId="0" fontId="60" fillId="3" borderId="8" xfId="4" applyFont="1" applyFill="1" applyBorder="1" applyAlignment="1" applyProtection="1">
      <alignment horizontal="center" vertical="center"/>
      <protection hidden="1"/>
    </xf>
    <xf numFmtId="0" fontId="60" fillId="3" borderId="8" xfId="4" applyFont="1" applyFill="1" applyBorder="1" applyAlignment="1" applyProtection="1">
      <alignment horizontal="center" vertical="center" wrapText="1"/>
      <protection hidden="1"/>
    </xf>
    <xf numFmtId="0" fontId="61" fillId="0" borderId="8" xfId="4" applyNumberFormat="1" applyFont="1" applyBorder="1" applyAlignment="1" applyProtection="1">
      <alignment horizontal="center" vertical="center"/>
      <protection hidden="1"/>
    </xf>
    <xf numFmtId="0" fontId="61" fillId="0" borderId="8" xfId="0" applyFont="1" applyBorder="1" applyAlignment="1">
      <alignment horizontal="center" vertical="center" wrapText="1"/>
    </xf>
    <xf numFmtId="0" fontId="62" fillId="15" borderId="8" xfId="0" applyFont="1" applyFill="1" applyBorder="1" applyAlignment="1">
      <alignment horizontal="right" wrapText="1"/>
    </xf>
    <xf numFmtId="0" fontId="62" fillId="0" borderId="8" xfId="0" applyFont="1" applyBorder="1" applyAlignment="1">
      <alignment horizontal="center" wrapText="1"/>
    </xf>
    <xf numFmtId="6" fontId="61" fillId="15" borderId="8" xfId="0" applyNumberFormat="1" applyFont="1" applyFill="1" applyBorder="1" applyAlignment="1">
      <alignment horizontal="center" vertical="center" wrapText="1"/>
    </xf>
    <xf numFmtId="3" fontId="15" fillId="0" borderId="0" xfId="3" applyNumberFormat="1" applyFont="1" applyFill="1" applyAlignment="1" applyProtection="1">
      <alignment vertical="center" wrapText="1"/>
      <protection hidden="1"/>
    </xf>
    <xf numFmtId="0" fontId="0" fillId="0" borderId="8" xfId="0" applyBorder="1" applyAlignment="1">
      <alignment horizontal="center" vertical="center"/>
    </xf>
    <xf numFmtId="0" fontId="13" fillId="17" borderId="73" xfId="39" applyFont="1" applyFill="1" applyBorder="1" applyAlignment="1">
      <alignment horizontal="center" vertical="center" wrapText="1"/>
    </xf>
    <xf numFmtId="0" fontId="13" fillId="17" borderId="74" xfId="39" applyFont="1" applyFill="1" applyBorder="1" applyAlignment="1">
      <alignment horizontal="center" vertical="center" wrapText="1"/>
    </xf>
    <xf numFmtId="0" fontId="13" fillId="17" borderId="75" xfId="39" applyFont="1" applyFill="1" applyBorder="1" applyAlignment="1">
      <alignment horizontal="center" vertical="center" wrapText="1"/>
    </xf>
    <xf numFmtId="3" fontId="13" fillId="17" borderId="75" xfId="39" applyNumberFormat="1" applyFont="1" applyFill="1" applyBorder="1" applyAlignment="1">
      <alignment horizontal="center" vertical="center" wrapText="1"/>
    </xf>
    <xf numFmtId="4" fontId="13" fillId="25" borderId="75" xfId="39" applyNumberFormat="1" applyFont="1" applyFill="1" applyBorder="1" applyAlignment="1">
      <alignment horizontal="center" vertical="center" wrapText="1"/>
    </xf>
    <xf numFmtId="4" fontId="13" fillId="26" borderId="75" xfId="39" applyNumberFormat="1" applyFont="1" applyFill="1" applyBorder="1" applyAlignment="1">
      <alignment horizontal="center" vertical="center" wrapText="1"/>
    </xf>
    <xf numFmtId="4" fontId="13" fillId="17" borderId="75" xfId="39" applyNumberFormat="1" applyFont="1" applyFill="1" applyBorder="1" applyAlignment="1">
      <alignment horizontal="center" vertical="center" wrapText="1"/>
    </xf>
    <xf numFmtId="4" fontId="13" fillId="27" borderId="75" xfId="39" applyNumberFormat="1" applyFont="1" applyFill="1" applyBorder="1" applyAlignment="1">
      <alignment horizontal="center" vertical="center" wrapText="1"/>
    </xf>
    <xf numFmtId="4" fontId="13" fillId="27" borderId="99" xfId="39" applyNumberFormat="1" applyFont="1" applyFill="1" applyBorder="1" applyAlignment="1">
      <alignment horizontal="center" vertical="center" wrapText="1"/>
    </xf>
    <xf numFmtId="3" fontId="13" fillId="17" borderId="76" xfId="39" applyNumberFormat="1" applyFont="1" applyFill="1" applyBorder="1" applyAlignment="1">
      <alignment horizontal="center" vertical="center" wrapText="1"/>
    </xf>
    <xf numFmtId="0" fontId="51" fillId="17" borderId="78" xfId="39" applyFont="1" applyFill="1" applyBorder="1" applyAlignment="1">
      <alignment horizontal="center" vertical="center"/>
    </xf>
    <xf numFmtId="0" fontId="13" fillId="0" borderId="78" xfId="39" applyFont="1" applyBorder="1" applyAlignment="1">
      <alignment horizontal="center" vertical="center"/>
    </xf>
    <xf numFmtId="0" fontId="3" fillId="0" borderId="94" xfId="39" applyFont="1" applyBorder="1" applyAlignment="1">
      <alignment horizontal="left" vertical="center" wrapText="1"/>
    </xf>
    <xf numFmtId="0" fontId="3" fillId="16" borderId="79" xfId="39" applyFont="1" applyFill="1" applyBorder="1" applyAlignment="1">
      <alignment horizontal="center" vertical="center"/>
    </xf>
    <xf numFmtId="181" fontId="3" fillId="26" borderId="79" xfId="39" applyNumberFormat="1" applyFont="1" applyFill="1" applyBorder="1" applyAlignment="1">
      <alignment horizontal="center" vertical="center"/>
    </xf>
    <xf numFmtId="2" fontId="15" fillId="16" borderId="79" xfId="39" applyNumberFormat="1" applyFont="1" applyFill="1" applyBorder="1" applyAlignment="1">
      <alignment horizontal="center" vertical="center"/>
    </xf>
    <xf numFmtId="169" fontId="15" fillId="16" borderId="79" xfId="39" applyNumberFormat="1" applyFont="1" applyFill="1" applyBorder="1" applyAlignment="1">
      <alignment horizontal="center" vertical="center"/>
    </xf>
    <xf numFmtId="169" fontId="15" fillId="16" borderId="95" xfId="39" applyNumberFormat="1" applyFont="1" applyFill="1" applyBorder="1" applyAlignment="1">
      <alignment horizontal="center" vertical="center"/>
    </xf>
    <xf numFmtId="182" fontId="13" fillId="28" borderId="81" xfId="39" applyNumberFormat="1" applyFont="1" applyFill="1" applyBorder="1" applyAlignment="1">
      <alignment vertical="center"/>
    </xf>
    <xf numFmtId="0" fontId="12" fillId="0" borderId="78" xfId="39" applyBorder="1" applyAlignment="1">
      <alignment horizontal="center" vertical="center"/>
    </xf>
    <xf numFmtId="0" fontId="3" fillId="0" borderId="77" xfId="39" applyFont="1" applyBorder="1" applyAlignment="1">
      <alignment horizontal="left" vertical="center" wrapText="1"/>
    </xf>
    <xf numFmtId="0" fontId="3" fillId="16" borderId="78" xfId="39" applyFont="1" applyFill="1" applyBorder="1" applyAlignment="1">
      <alignment horizontal="center" vertical="center"/>
    </xf>
    <xf numFmtId="2" fontId="15" fillId="16" borderId="78" xfId="39" applyNumberFormat="1" applyFont="1" applyFill="1" applyBorder="1" applyAlignment="1">
      <alignment horizontal="center" vertical="center"/>
    </xf>
    <xf numFmtId="169" fontId="15" fillId="16" borderId="78" xfId="39" applyNumberFormat="1" applyFont="1" applyFill="1" applyBorder="1" applyAlignment="1">
      <alignment horizontal="center" vertical="center"/>
    </xf>
    <xf numFmtId="169" fontId="15" fillId="16" borderId="80" xfId="39" applyNumberFormat="1" applyFont="1" applyFill="1" applyBorder="1" applyAlignment="1">
      <alignment horizontal="center" vertical="center"/>
    </xf>
    <xf numFmtId="169" fontId="15" fillId="29" borderId="78" xfId="39" applyNumberFormat="1" applyFont="1" applyFill="1" applyBorder="1" applyAlignment="1">
      <alignment horizontal="center" vertical="center"/>
    </xf>
    <xf numFmtId="169" fontId="15" fillId="29" borderId="80" xfId="39" applyNumberFormat="1" applyFont="1" applyFill="1" applyBorder="1" applyAlignment="1">
      <alignment horizontal="center" vertical="center"/>
    </xf>
    <xf numFmtId="0" fontId="3" fillId="16" borderId="77" xfId="39" applyFont="1" applyFill="1" applyBorder="1" applyAlignment="1">
      <alignment horizontal="left" vertical="center" wrapText="1"/>
    </xf>
    <xf numFmtId="2" fontId="15" fillId="29" borderId="78" xfId="39" applyNumberFormat="1" applyFont="1" applyFill="1" applyBorder="1" applyAlignment="1">
      <alignment horizontal="center" vertical="center"/>
    </xf>
    <xf numFmtId="0" fontId="13" fillId="17" borderId="86" xfId="39" applyFont="1" applyFill="1" applyBorder="1" applyAlignment="1">
      <alignment horizontal="center" vertical="center"/>
    </xf>
    <xf numFmtId="0" fontId="13" fillId="17" borderId="0" xfId="39" applyFont="1" applyFill="1" applyAlignment="1">
      <alignment horizontal="center" vertical="center"/>
    </xf>
    <xf numFmtId="0" fontId="13" fillId="17" borderId="80" xfId="39" applyFont="1" applyFill="1" applyBorder="1" applyAlignment="1">
      <alignment vertical="center" wrapText="1"/>
    </xf>
    <xf numFmtId="0" fontId="13" fillId="17" borderId="83" xfId="39" applyFont="1" applyFill="1" applyBorder="1" applyAlignment="1">
      <alignment vertical="center" wrapText="1"/>
    </xf>
    <xf numFmtId="0" fontId="8" fillId="30" borderId="83" xfId="39" applyFont="1" applyFill="1" applyBorder="1" applyAlignment="1">
      <alignment vertical="center" wrapText="1"/>
    </xf>
    <xf numFmtId="0" fontId="13" fillId="17" borderId="88" xfId="39" applyFont="1" applyFill="1" applyBorder="1" applyAlignment="1">
      <alignment vertical="center" wrapText="1"/>
    </xf>
    <xf numFmtId="0" fontId="8" fillId="16" borderId="77" xfId="39" applyFont="1" applyFill="1" applyBorder="1" applyAlignment="1">
      <alignment horizontal="left" vertical="center" wrapText="1"/>
    </xf>
    <xf numFmtId="0" fontId="3" fillId="0" borderId="83" xfId="39" applyFont="1" applyBorder="1"/>
    <xf numFmtId="182" fontId="13" fillId="21" borderId="84" xfId="39" applyNumberFormat="1" applyFont="1" applyFill="1" applyBorder="1" applyAlignment="1">
      <alignment vertical="center"/>
    </xf>
    <xf numFmtId="0" fontId="13" fillId="0" borderId="82" xfId="39" applyFont="1" applyBorder="1" applyAlignment="1">
      <alignment horizontal="center" vertical="center"/>
    </xf>
    <xf numFmtId="0" fontId="13" fillId="0" borderId="83" xfId="39" applyFont="1" applyBorder="1" applyAlignment="1">
      <alignment horizontal="center" vertical="center"/>
    </xf>
    <xf numFmtId="0" fontId="3" fillId="0" borderId="83" xfId="39" applyFont="1" applyBorder="1" applyAlignment="1">
      <alignment horizontal="center"/>
    </xf>
    <xf numFmtId="0" fontId="3" fillId="0" borderId="77" xfId="39" applyFont="1" applyBorder="1" applyAlignment="1">
      <alignment horizontal="center"/>
    </xf>
    <xf numFmtId="182" fontId="13" fillId="0" borderId="84" xfId="39" applyNumberFormat="1" applyFont="1" applyBorder="1" applyAlignment="1">
      <alignment vertical="center"/>
    </xf>
    <xf numFmtId="0" fontId="3" fillId="17" borderId="85" xfId="39" applyFont="1" applyFill="1" applyBorder="1" applyAlignment="1">
      <alignment horizontal="center" vertical="center"/>
    </xf>
    <xf numFmtId="0" fontId="3" fillId="17" borderId="83" xfId="39" applyFont="1" applyFill="1" applyBorder="1" applyAlignment="1">
      <alignment horizontal="center" vertical="center"/>
    </xf>
    <xf numFmtId="182" fontId="13" fillId="18" borderId="84" xfId="39" applyNumberFormat="1" applyFont="1" applyFill="1" applyBorder="1" applyAlignment="1">
      <alignment horizontal="right" vertical="center"/>
    </xf>
    <xf numFmtId="0" fontId="3" fillId="0" borderId="85" xfId="39" applyFont="1" applyBorder="1" applyAlignment="1">
      <alignment horizontal="center" vertical="center"/>
    </xf>
    <xf numFmtId="0" fontId="3" fillId="0" borderId="83" xfId="39" applyFont="1" applyBorder="1" applyAlignment="1">
      <alignment horizontal="center" vertical="center"/>
    </xf>
    <xf numFmtId="0" fontId="3" fillId="0" borderId="80" xfId="39" applyFont="1" applyBorder="1" applyAlignment="1">
      <alignment vertical="center"/>
    </xf>
    <xf numFmtId="182" fontId="3" fillId="0" borderId="77" xfId="39" applyNumberFormat="1" applyFont="1" applyBorder="1" applyAlignment="1">
      <alignment horizontal="right" vertical="center"/>
    </xf>
    <xf numFmtId="182" fontId="3" fillId="0" borderId="83" xfId="39" applyNumberFormat="1" applyFont="1" applyBorder="1" applyAlignment="1">
      <alignment horizontal="right" vertical="center"/>
    </xf>
    <xf numFmtId="0" fontId="3" fillId="18" borderId="85" xfId="39" applyFont="1" applyFill="1" applyBorder="1" applyAlignment="1">
      <alignment horizontal="center" vertical="center"/>
    </xf>
    <xf numFmtId="0" fontId="3" fillId="18" borderId="83" xfId="39" applyFont="1" applyFill="1" applyBorder="1" applyAlignment="1">
      <alignment horizontal="center" vertical="center"/>
    </xf>
    <xf numFmtId="0" fontId="3" fillId="0" borderId="86" xfId="39" applyFont="1" applyBorder="1" applyAlignment="1">
      <alignment vertical="center" wrapText="1"/>
    </xf>
    <xf numFmtId="0" fontId="3" fillId="0" borderId="0" xfId="39" applyFont="1" applyAlignment="1">
      <alignment vertical="center" wrapText="1"/>
    </xf>
    <xf numFmtId="0" fontId="3" fillId="0" borderId="87" xfId="39" applyFont="1" applyBorder="1" applyAlignment="1">
      <alignment vertical="center" wrapText="1"/>
    </xf>
    <xf numFmtId="0" fontId="13" fillId="20" borderId="85" xfId="39" applyFont="1" applyFill="1" applyBorder="1" applyAlignment="1">
      <alignment horizontal="center" vertical="center" wrapText="1"/>
    </xf>
    <xf numFmtId="0" fontId="13" fillId="20" borderId="77" xfId="39" applyFont="1" applyFill="1" applyBorder="1" applyAlignment="1">
      <alignment horizontal="center" vertical="center" wrapText="1"/>
    </xf>
    <xf numFmtId="0" fontId="13" fillId="20" borderId="78" xfId="39" applyFont="1" applyFill="1" applyBorder="1" applyAlignment="1">
      <alignment horizontal="center" vertical="center" wrapText="1"/>
    </xf>
    <xf numFmtId="3" fontId="13" fillId="20" borderId="78" xfId="39" applyNumberFormat="1" applyFont="1" applyFill="1" applyBorder="1" applyAlignment="1">
      <alignment horizontal="center" vertical="center" wrapText="1"/>
    </xf>
    <xf numFmtId="4" fontId="13" fillId="20" borderId="78" xfId="39" applyNumberFormat="1" applyFont="1" applyFill="1" applyBorder="1" applyAlignment="1">
      <alignment horizontal="center" vertical="center" wrapText="1"/>
    </xf>
    <xf numFmtId="4" fontId="13" fillId="20" borderId="80" xfId="39" applyNumberFormat="1" applyFont="1" applyFill="1" applyBorder="1" applyAlignment="1">
      <alignment horizontal="center" vertical="center" wrapText="1"/>
    </xf>
    <xf numFmtId="3" fontId="13" fillId="20" borderId="84" xfId="39" applyNumberFormat="1" applyFont="1" applyFill="1" applyBorder="1" applyAlignment="1">
      <alignment horizontal="center" vertical="center" wrapText="1"/>
    </xf>
    <xf numFmtId="0" fontId="13" fillId="18" borderId="85" xfId="39" applyFont="1" applyFill="1" applyBorder="1" applyAlignment="1">
      <alignment horizontal="center" vertical="center"/>
    </xf>
    <xf numFmtId="0" fontId="13" fillId="18" borderId="83" xfId="39" applyFont="1" applyFill="1" applyBorder="1" applyAlignment="1">
      <alignment horizontal="center" vertical="center"/>
    </xf>
    <xf numFmtId="0" fontId="13" fillId="0" borderId="85" xfId="39" applyFont="1" applyBorder="1" applyAlignment="1">
      <alignment horizontal="center" vertical="center"/>
    </xf>
    <xf numFmtId="0" fontId="13" fillId="0" borderId="77" xfId="39" applyFont="1" applyBorder="1" applyAlignment="1">
      <alignment horizontal="center" vertical="center"/>
    </xf>
    <xf numFmtId="0" fontId="3" fillId="0" borderId="78" xfId="39" applyFont="1" applyBorder="1" applyAlignment="1">
      <alignment horizontal="left" vertical="center" wrapText="1"/>
    </xf>
    <xf numFmtId="0" fontId="3" fillId="0" borderId="78" xfId="39" applyFont="1" applyBorder="1" applyAlignment="1">
      <alignment horizontal="center" vertical="center"/>
    </xf>
    <xf numFmtId="182" fontId="3" fillId="16" borderId="78" xfId="39" applyNumberFormat="1" applyFont="1" applyFill="1" applyBorder="1" applyAlignment="1">
      <alignment vertical="center"/>
    </xf>
    <xf numFmtId="169" fontId="3" fillId="0" borderId="78" xfId="39" applyNumberFormat="1" applyFont="1" applyBorder="1" applyAlignment="1">
      <alignment horizontal="center" vertical="center"/>
    </xf>
    <xf numFmtId="169" fontId="3" fillId="0" borderId="80" xfId="39" applyNumberFormat="1" applyFont="1" applyBorder="1" applyAlignment="1">
      <alignment horizontal="center" vertical="center"/>
    </xf>
    <xf numFmtId="182" fontId="3" fillId="21" borderId="84" xfId="39" applyNumberFormat="1" applyFont="1" applyFill="1" applyBorder="1" applyAlignment="1">
      <alignment vertical="center"/>
    </xf>
    <xf numFmtId="182" fontId="13" fillId="16" borderId="84" xfId="39" applyNumberFormat="1" applyFont="1" applyFill="1" applyBorder="1" applyAlignment="1">
      <alignment horizontal="right" vertical="center"/>
    </xf>
    <xf numFmtId="0" fontId="3" fillId="0" borderId="86" xfId="39" applyFont="1" applyBorder="1" applyAlignment="1">
      <alignment horizontal="center" vertical="center" wrapText="1"/>
    </xf>
    <xf numFmtId="0" fontId="3" fillId="0" borderId="0" xfId="39" applyFont="1" applyAlignment="1">
      <alignment horizontal="center" vertical="center" wrapText="1"/>
    </xf>
    <xf numFmtId="183" fontId="13" fillId="18" borderId="84" xfId="39" applyNumberFormat="1" applyFont="1" applyFill="1" applyBorder="1" applyAlignment="1">
      <alignment horizontal="right" vertical="center"/>
    </xf>
    <xf numFmtId="0" fontId="13" fillId="18" borderId="89" xfId="39" applyFont="1" applyFill="1" applyBorder="1" applyAlignment="1">
      <alignment horizontal="center" vertical="center"/>
    </xf>
    <xf numFmtId="0" fontId="13" fillId="18" borderId="90" xfId="39" applyFont="1" applyFill="1" applyBorder="1" applyAlignment="1">
      <alignment horizontal="center" vertical="center"/>
    </xf>
    <xf numFmtId="0" fontId="3" fillId="0" borderId="90" xfId="39" applyFont="1" applyBorder="1"/>
    <xf numFmtId="183" fontId="13" fillId="18" borderId="93" xfId="39" applyNumberFormat="1" applyFont="1" applyFill="1" applyBorder="1" applyAlignment="1">
      <alignment horizontal="right" vertical="center"/>
    </xf>
    <xf numFmtId="181" fontId="15" fillId="9" borderId="79" xfId="39" applyNumberFormat="1" applyFont="1" applyFill="1" applyBorder="1" applyAlignment="1">
      <alignment horizontal="center" vertical="center"/>
    </xf>
    <xf numFmtId="4" fontId="13" fillId="19" borderId="84" xfId="39" applyNumberFormat="1" applyFont="1" applyFill="1" applyBorder="1" applyAlignment="1">
      <alignment vertical="center"/>
    </xf>
    <xf numFmtId="0" fontId="50" fillId="0" borderId="0" xfId="0" applyFont="1" applyBorder="1" applyAlignment="1"/>
    <xf numFmtId="0" fontId="50" fillId="0" borderId="4" xfId="0" applyFont="1" applyBorder="1" applyAlignment="1"/>
    <xf numFmtId="0" fontId="13" fillId="17" borderId="73" xfId="39" applyFont="1" applyFill="1" applyBorder="1" applyAlignment="1">
      <alignment horizontal="center" vertical="center" wrapText="1"/>
    </xf>
    <xf numFmtId="0" fontId="13" fillId="17" borderId="74" xfId="39" applyFont="1" applyFill="1" applyBorder="1" applyAlignment="1">
      <alignment horizontal="center" vertical="center" wrapText="1"/>
    </xf>
    <xf numFmtId="0" fontId="13" fillId="17" borderId="75" xfId="39" applyFont="1" applyFill="1" applyBorder="1" applyAlignment="1">
      <alignment horizontal="center" vertical="center" wrapText="1"/>
    </xf>
    <xf numFmtId="3" fontId="13" fillId="17" borderId="75" xfId="39" applyNumberFormat="1" applyFont="1" applyFill="1" applyBorder="1" applyAlignment="1">
      <alignment horizontal="center" vertical="center" wrapText="1"/>
    </xf>
    <xf numFmtId="4" fontId="13" fillId="25" borderId="75" xfId="39" applyNumberFormat="1" applyFont="1" applyFill="1" applyBorder="1" applyAlignment="1">
      <alignment horizontal="center" vertical="center" wrapText="1"/>
    </xf>
    <xf numFmtId="4" fontId="13" fillId="26" borderId="75" xfId="39" applyNumberFormat="1" applyFont="1" applyFill="1" applyBorder="1" applyAlignment="1">
      <alignment horizontal="center" vertical="center" wrapText="1"/>
    </xf>
    <xf numFmtId="4" fontId="13" fillId="17" borderId="75" xfId="39" applyNumberFormat="1" applyFont="1" applyFill="1" applyBorder="1" applyAlignment="1">
      <alignment horizontal="center" vertical="center" wrapText="1"/>
    </xf>
    <xf numFmtId="4" fontId="13" fillId="27" borderId="75" xfId="39" applyNumberFormat="1" applyFont="1" applyFill="1" applyBorder="1" applyAlignment="1">
      <alignment horizontal="center" vertical="center" wrapText="1"/>
    </xf>
    <xf numFmtId="4" fontId="13" fillId="27" borderId="99" xfId="39" applyNumberFormat="1" applyFont="1" applyFill="1" applyBorder="1" applyAlignment="1">
      <alignment horizontal="center" vertical="center" wrapText="1"/>
    </xf>
    <xf numFmtId="3" fontId="13" fillId="17" borderId="76" xfId="39" applyNumberFormat="1" applyFont="1" applyFill="1" applyBorder="1" applyAlignment="1">
      <alignment horizontal="center" vertical="center" wrapText="1"/>
    </xf>
    <xf numFmtId="0" fontId="51" fillId="17" borderId="78" xfId="39" applyFont="1" applyFill="1" applyBorder="1" applyAlignment="1">
      <alignment horizontal="center" vertical="center"/>
    </xf>
    <xf numFmtId="0" fontId="13" fillId="0" borderId="78" xfId="39" applyFont="1" applyBorder="1" applyAlignment="1">
      <alignment horizontal="center" vertical="center"/>
    </xf>
    <xf numFmtId="0" fontId="3" fillId="0" borderId="94" xfId="39" applyFont="1" applyBorder="1" applyAlignment="1">
      <alignment horizontal="left" vertical="center" wrapText="1"/>
    </xf>
    <xf numFmtId="0" fontId="3" fillId="16" borderId="79" xfId="39" applyFont="1" applyFill="1" applyBorder="1" applyAlignment="1">
      <alignment horizontal="center" vertical="center"/>
    </xf>
    <xf numFmtId="181" fontId="3" fillId="26" borderId="79" xfId="39" applyNumberFormat="1" applyFont="1" applyFill="1" applyBorder="1" applyAlignment="1">
      <alignment horizontal="center" vertical="center"/>
    </xf>
    <xf numFmtId="2" fontId="15" fillId="16" borderId="79" xfId="39" applyNumberFormat="1" applyFont="1" applyFill="1" applyBorder="1" applyAlignment="1">
      <alignment horizontal="center" vertical="center"/>
    </xf>
    <xf numFmtId="169" fontId="15" fillId="16" borderId="79" xfId="39" applyNumberFormat="1" applyFont="1" applyFill="1" applyBorder="1" applyAlignment="1">
      <alignment horizontal="center" vertical="center"/>
    </xf>
    <xf numFmtId="169" fontId="15" fillId="16" borderId="95" xfId="39" applyNumberFormat="1" applyFont="1" applyFill="1" applyBorder="1" applyAlignment="1">
      <alignment horizontal="center" vertical="center"/>
    </xf>
    <xf numFmtId="182" fontId="13" fillId="28" borderId="81" xfId="39" applyNumberFormat="1" applyFont="1" applyFill="1" applyBorder="1" applyAlignment="1">
      <alignment vertical="center"/>
    </xf>
    <xf numFmtId="0" fontId="12" fillId="0" borderId="78" xfId="39" applyBorder="1" applyAlignment="1">
      <alignment horizontal="center" vertical="center"/>
    </xf>
    <xf numFmtId="0" fontId="3" fillId="0" borderId="77" xfId="39" applyFont="1" applyBorder="1" applyAlignment="1">
      <alignment horizontal="left" vertical="center" wrapText="1"/>
    </xf>
    <xf numFmtId="0" fontId="3" fillId="16" borderId="78" xfId="39" applyFont="1" applyFill="1" applyBorder="1" applyAlignment="1">
      <alignment horizontal="center" vertical="center"/>
    </xf>
    <xf numFmtId="2" fontId="15" fillId="16" borderId="78" xfId="39" applyNumberFormat="1" applyFont="1" applyFill="1" applyBorder="1" applyAlignment="1">
      <alignment horizontal="center" vertical="center"/>
    </xf>
    <xf numFmtId="169" fontId="15" fillId="16" borderId="78" xfId="39" applyNumberFormat="1" applyFont="1" applyFill="1" applyBorder="1" applyAlignment="1">
      <alignment horizontal="center" vertical="center"/>
    </xf>
    <xf numFmtId="169" fontId="15" fillId="16" borderId="80" xfId="39" applyNumberFormat="1" applyFont="1" applyFill="1" applyBorder="1" applyAlignment="1">
      <alignment horizontal="center" vertical="center"/>
    </xf>
    <xf numFmtId="169" fontId="15" fillId="29" borderId="78" xfId="39" applyNumberFormat="1" applyFont="1" applyFill="1" applyBorder="1" applyAlignment="1">
      <alignment horizontal="center" vertical="center"/>
    </xf>
    <xf numFmtId="169" fontId="15" fillId="29" borderId="80" xfId="39" applyNumberFormat="1" applyFont="1" applyFill="1" applyBorder="1" applyAlignment="1">
      <alignment horizontal="center" vertical="center"/>
    </xf>
    <xf numFmtId="0" fontId="3" fillId="16" borderId="77" xfId="39" applyFont="1" applyFill="1" applyBorder="1" applyAlignment="1">
      <alignment horizontal="left" vertical="center" wrapText="1"/>
    </xf>
    <xf numFmtId="2" fontId="15" fillId="29" borderId="78" xfId="39" applyNumberFormat="1" applyFont="1" applyFill="1" applyBorder="1" applyAlignment="1">
      <alignment horizontal="center" vertical="center"/>
    </xf>
    <xf numFmtId="0" fontId="13" fillId="17" borderId="86" xfId="39" applyFont="1" applyFill="1" applyBorder="1" applyAlignment="1">
      <alignment horizontal="center" vertical="center"/>
    </xf>
    <xf numFmtId="0" fontId="13" fillId="17" borderId="0" xfId="39" applyFont="1" applyFill="1" applyAlignment="1">
      <alignment horizontal="center" vertical="center"/>
    </xf>
    <xf numFmtId="0" fontId="13" fillId="17" borderId="80" xfId="39" applyFont="1" applyFill="1" applyBorder="1" applyAlignment="1">
      <alignment vertical="center" wrapText="1"/>
    </xf>
    <xf numFmtId="0" fontId="13" fillId="17" borderId="83" xfId="39" applyFont="1" applyFill="1" applyBorder="1" applyAlignment="1">
      <alignment vertical="center" wrapText="1"/>
    </xf>
    <xf numFmtId="0" fontId="8" fillId="30" borderId="83" xfId="39" applyFont="1" applyFill="1" applyBorder="1" applyAlignment="1">
      <alignment vertical="center" wrapText="1"/>
    </xf>
    <xf numFmtId="0" fontId="13" fillId="17" borderId="88" xfId="39" applyFont="1" applyFill="1" applyBorder="1" applyAlignment="1">
      <alignment vertical="center" wrapText="1"/>
    </xf>
    <xf numFmtId="0" fontId="8" fillId="16" borderId="77" xfId="39" applyFont="1" applyFill="1" applyBorder="1" applyAlignment="1">
      <alignment horizontal="left" vertical="center" wrapText="1"/>
    </xf>
    <xf numFmtId="0" fontId="3" fillId="0" borderId="83" xfId="39" applyFont="1" applyBorder="1"/>
    <xf numFmtId="182" fontId="13" fillId="21" borderId="84" xfId="39" applyNumberFormat="1" applyFont="1" applyFill="1" applyBorder="1" applyAlignment="1">
      <alignment vertical="center"/>
    </xf>
    <xf numFmtId="0" fontId="13" fillId="0" borderId="82" xfId="39" applyFont="1" applyBorder="1" applyAlignment="1">
      <alignment horizontal="center" vertical="center"/>
    </xf>
    <xf numFmtId="0" fontId="13" fillId="0" borderId="83" xfId="39" applyFont="1" applyBorder="1" applyAlignment="1">
      <alignment horizontal="center" vertical="center"/>
    </xf>
    <xf numFmtId="0" fontId="3" fillId="0" borderId="83" xfId="39" applyFont="1" applyBorder="1" applyAlignment="1">
      <alignment horizontal="center"/>
    </xf>
    <xf numFmtId="0" fontId="3" fillId="0" borderId="77" xfId="39" applyFont="1" applyBorder="1" applyAlignment="1">
      <alignment horizontal="center"/>
    </xf>
    <xf numFmtId="182" fontId="13" fillId="0" borderId="84" xfId="39" applyNumberFormat="1" applyFont="1" applyBorder="1" applyAlignment="1">
      <alignment vertical="center"/>
    </xf>
    <xf numFmtId="0" fontId="3" fillId="17" borderId="85" xfId="39" applyFont="1" applyFill="1" applyBorder="1" applyAlignment="1">
      <alignment horizontal="center" vertical="center"/>
    </xf>
    <xf numFmtId="0" fontId="3" fillId="17" borderId="83" xfId="39" applyFont="1" applyFill="1" applyBorder="1" applyAlignment="1">
      <alignment horizontal="center" vertical="center"/>
    </xf>
    <xf numFmtId="182" fontId="13" fillId="18" borderId="84" xfId="39" applyNumberFormat="1" applyFont="1" applyFill="1" applyBorder="1" applyAlignment="1">
      <alignment horizontal="right" vertical="center"/>
    </xf>
    <xf numFmtId="0" fontId="3" fillId="0" borderId="85" xfId="39" applyFont="1" applyBorder="1" applyAlignment="1">
      <alignment horizontal="center" vertical="center"/>
    </xf>
    <xf numFmtId="0" fontId="3" fillId="0" borderId="83" xfId="39" applyFont="1" applyBorder="1" applyAlignment="1">
      <alignment horizontal="center" vertical="center"/>
    </xf>
    <xf numFmtId="0" fontId="3" fillId="0" borderId="80" xfId="39" applyFont="1" applyBorder="1" applyAlignment="1">
      <alignment vertical="center"/>
    </xf>
    <xf numFmtId="182" fontId="3" fillId="0" borderId="77" xfId="39" applyNumberFormat="1" applyFont="1" applyBorder="1" applyAlignment="1">
      <alignment horizontal="right" vertical="center"/>
    </xf>
    <xf numFmtId="182" fontId="3" fillId="0" borderId="83" xfId="39" applyNumberFormat="1" applyFont="1" applyBorder="1" applyAlignment="1">
      <alignment horizontal="right" vertical="center"/>
    </xf>
    <xf numFmtId="0" fontId="3" fillId="18" borderId="85" xfId="39" applyFont="1" applyFill="1" applyBorder="1" applyAlignment="1">
      <alignment horizontal="center" vertical="center"/>
    </xf>
    <xf numFmtId="0" fontId="3" fillId="18" borderId="83" xfId="39" applyFont="1" applyFill="1" applyBorder="1" applyAlignment="1">
      <alignment horizontal="center" vertical="center"/>
    </xf>
    <xf numFmtId="0" fontId="3" fillId="0" borderId="86" xfId="39" applyFont="1" applyBorder="1" applyAlignment="1">
      <alignment vertical="center" wrapText="1"/>
    </xf>
    <xf numFmtId="0" fontId="3" fillId="0" borderId="0" xfId="39" applyFont="1" applyAlignment="1">
      <alignment vertical="center" wrapText="1"/>
    </xf>
    <xf numFmtId="0" fontId="3" fillId="0" borderId="87" xfId="39" applyFont="1" applyBorder="1" applyAlignment="1">
      <alignment vertical="center" wrapText="1"/>
    </xf>
    <xf numFmtId="0" fontId="13" fillId="20" borderId="85" xfId="39" applyFont="1" applyFill="1" applyBorder="1" applyAlignment="1">
      <alignment horizontal="center" vertical="center" wrapText="1"/>
    </xf>
    <xf numFmtId="0" fontId="13" fillId="20" borderId="77" xfId="39" applyFont="1" applyFill="1" applyBorder="1" applyAlignment="1">
      <alignment horizontal="center" vertical="center" wrapText="1"/>
    </xf>
    <xf numFmtId="0" fontId="13" fillId="20" borderId="78" xfId="39" applyFont="1" applyFill="1" applyBorder="1" applyAlignment="1">
      <alignment horizontal="center" vertical="center" wrapText="1"/>
    </xf>
    <xf numFmtId="3" fontId="13" fillId="20" borderId="78" xfId="39" applyNumberFormat="1" applyFont="1" applyFill="1" applyBorder="1" applyAlignment="1">
      <alignment horizontal="center" vertical="center" wrapText="1"/>
    </xf>
    <xf numFmtId="4" fontId="13" fillId="20" borderId="78" xfId="39" applyNumberFormat="1" applyFont="1" applyFill="1" applyBorder="1" applyAlignment="1">
      <alignment horizontal="center" vertical="center" wrapText="1"/>
    </xf>
    <xf numFmtId="4" fontId="13" fillId="20" borderId="80" xfId="39" applyNumberFormat="1" applyFont="1" applyFill="1" applyBorder="1" applyAlignment="1">
      <alignment horizontal="center" vertical="center" wrapText="1"/>
    </xf>
    <xf numFmtId="3" fontId="13" fillId="20" borderId="84" xfId="39" applyNumberFormat="1" applyFont="1" applyFill="1" applyBorder="1" applyAlignment="1">
      <alignment horizontal="center" vertical="center" wrapText="1"/>
    </xf>
    <xf numFmtId="0" fontId="13" fillId="18" borderId="85" xfId="39" applyFont="1" applyFill="1" applyBorder="1" applyAlignment="1">
      <alignment horizontal="center" vertical="center"/>
    </xf>
    <xf numFmtId="0" fontId="13" fillId="18" borderId="83" xfId="39" applyFont="1" applyFill="1" applyBorder="1" applyAlignment="1">
      <alignment horizontal="center" vertical="center"/>
    </xf>
    <xf numFmtId="0" fontId="13" fillId="0" borderId="85" xfId="39" applyFont="1" applyBorder="1" applyAlignment="1">
      <alignment horizontal="center" vertical="center"/>
    </xf>
    <xf numFmtId="0" fontId="13" fillId="0" borderId="77" xfId="39" applyFont="1" applyBorder="1" applyAlignment="1">
      <alignment horizontal="center" vertical="center"/>
    </xf>
    <xf numFmtId="0" fontId="3" fillId="0" borderId="78" xfId="39" applyFont="1" applyBorder="1" applyAlignment="1">
      <alignment horizontal="left" vertical="center" wrapText="1"/>
    </xf>
    <xf numFmtId="0" fontId="3" fillId="0" borderId="78" xfId="39" applyFont="1" applyBorder="1" applyAlignment="1">
      <alignment horizontal="center" vertical="center"/>
    </xf>
    <xf numFmtId="182" fontId="3" fillId="16" borderId="78" xfId="39" applyNumberFormat="1" applyFont="1" applyFill="1" applyBorder="1" applyAlignment="1">
      <alignment vertical="center"/>
    </xf>
    <xf numFmtId="169" fontId="3" fillId="0" borderId="78" xfId="39" applyNumberFormat="1" applyFont="1" applyBorder="1" applyAlignment="1">
      <alignment horizontal="center" vertical="center"/>
    </xf>
    <xf numFmtId="169" fontId="3" fillId="0" borderId="80" xfId="39" applyNumberFormat="1" applyFont="1" applyBorder="1" applyAlignment="1">
      <alignment horizontal="center" vertical="center"/>
    </xf>
    <xf numFmtId="182" fontId="3" fillId="21" borderId="84" xfId="39" applyNumberFormat="1" applyFont="1" applyFill="1" applyBorder="1" applyAlignment="1">
      <alignment vertical="center"/>
    </xf>
    <xf numFmtId="182" fontId="13" fillId="16" borderId="84" xfId="39" applyNumberFormat="1" applyFont="1" applyFill="1" applyBorder="1" applyAlignment="1">
      <alignment horizontal="right" vertical="center"/>
    </xf>
    <xf numFmtId="0" fontId="3" fillId="0" borderId="86" xfId="39" applyFont="1" applyBorder="1" applyAlignment="1">
      <alignment horizontal="center" vertical="center" wrapText="1"/>
    </xf>
    <xf numFmtId="0" fontId="3" fillId="0" borderId="0" xfId="39" applyFont="1" applyAlignment="1">
      <alignment horizontal="center" vertical="center" wrapText="1"/>
    </xf>
    <xf numFmtId="183" fontId="13" fillId="18" borderId="84" xfId="39" applyNumberFormat="1" applyFont="1" applyFill="1" applyBorder="1" applyAlignment="1">
      <alignment horizontal="right" vertical="center"/>
    </xf>
    <xf numFmtId="0" fontId="13" fillId="18" borderId="89" xfId="39" applyFont="1" applyFill="1" applyBorder="1" applyAlignment="1">
      <alignment horizontal="center" vertical="center"/>
    </xf>
    <xf numFmtId="0" fontId="13" fillId="18" borderId="90" xfId="39" applyFont="1" applyFill="1" applyBorder="1" applyAlignment="1">
      <alignment horizontal="center" vertical="center"/>
    </xf>
    <xf numFmtId="0" fontId="3" fillId="0" borderId="90" xfId="39" applyFont="1" applyBorder="1"/>
    <xf numFmtId="183" fontId="13" fillId="18" borderId="93" xfId="39" applyNumberFormat="1" applyFont="1" applyFill="1" applyBorder="1" applyAlignment="1">
      <alignment horizontal="right" vertical="center"/>
    </xf>
    <xf numFmtId="181" fontId="15" fillId="9" borderId="79" xfId="39" applyNumberFormat="1" applyFont="1" applyFill="1" applyBorder="1" applyAlignment="1">
      <alignment horizontal="center" vertical="center"/>
    </xf>
    <xf numFmtId="4" fontId="13" fillId="19" borderId="84" xfId="39" applyNumberFormat="1" applyFont="1" applyFill="1" applyBorder="1" applyAlignment="1">
      <alignment vertical="center"/>
    </xf>
    <xf numFmtId="0" fontId="51" fillId="17" borderId="100" xfId="40" applyFont="1" applyFill="1" applyBorder="1" applyAlignment="1">
      <alignment horizontal="center" vertical="center"/>
    </xf>
    <xf numFmtId="0" fontId="51" fillId="17" borderId="78" xfId="40" applyFont="1" applyFill="1" applyBorder="1" applyAlignment="1">
      <alignment horizontal="center" vertical="center"/>
    </xf>
    <xf numFmtId="0" fontId="13" fillId="0" borderId="100" xfId="40" applyFont="1" applyBorder="1" applyAlignment="1">
      <alignment horizontal="center" vertical="center"/>
    </xf>
    <xf numFmtId="0" fontId="13" fillId="0" borderId="78" xfId="40" applyFont="1" applyBorder="1" applyAlignment="1">
      <alignment horizontal="center" vertical="center"/>
    </xf>
    <xf numFmtId="0" fontId="3" fillId="0" borderId="94" xfId="40" applyFont="1" applyBorder="1" applyAlignment="1">
      <alignment horizontal="left" vertical="center" wrapText="1"/>
    </xf>
    <xf numFmtId="0" fontId="3" fillId="16" borderId="79" xfId="40" applyFont="1" applyFill="1" applyBorder="1" applyAlignment="1">
      <alignment horizontal="center" vertical="center"/>
    </xf>
    <xf numFmtId="181" fontId="15" fillId="9" borderId="79" xfId="40" applyNumberFormat="1" applyFont="1" applyFill="1" applyBorder="1" applyAlignment="1">
      <alignment horizontal="center" vertical="center"/>
    </xf>
    <xf numFmtId="181" fontId="3" fillId="26" borderId="79" xfId="40" applyNumberFormat="1" applyFont="1" applyFill="1" applyBorder="1" applyAlignment="1">
      <alignment horizontal="center" vertical="center"/>
    </xf>
    <xf numFmtId="2" fontId="15" fillId="16" borderId="79" xfId="40" applyNumberFormat="1" applyFont="1" applyFill="1" applyBorder="1" applyAlignment="1">
      <alignment horizontal="center" vertical="center"/>
    </xf>
    <xf numFmtId="169" fontId="15" fillId="16" borderId="79" xfId="40" applyNumberFormat="1" applyFont="1" applyFill="1" applyBorder="1" applyAlignment="1">
      <alignment horizontal="center" vertical="center"/>
    </xf>
    <xf numFmtId="169" fontId="15" fillId="16" borderId="95" xfId="40" applyNumberFormat="1" applyFont="1" applyFill="1" applyBorder="1" applyAlignment="1">
      <alignment horizontal="center" vertical="center"/>
    </xf>
    <xf numFmtId="182" fontId="13" fillId="28" borderId="101" xfId="40" applyNumberFormat="1" applyFont="1" applyFill="1" applyBorder="1" applyAlignment="1">
      <alignment vertical="center"/>
    </xf>
    <xf numFmtId="0" fontId="12" fillId="0" borderId="78" xfId="40" applyBorder="1" applyAlignment="1">
      <alignment horizontal="center" vertical="center"/>
    </xf>
    <xf numFmtId="0" fontId="3" fillId="0" borderId="77" xfId="40" applyFont="1" applyBorder="1" applyAlignment="1">
      <alignment horizontal="left" vertical="center" wrapText="1"/>
    </xf>
    <xf numFmtId="0" fontId="3" fillId="16" borderId="78" xfId="40" applyFont="1" applyFill="1" applyBorder="1" applyAlignment="1">
      <alignment horizontal="center" vertical="center"/>
    </xf>
    <xf numFmtId="2" fontId="15" fillId="16" borderId="78" xfId="40" applyNumberFormat="1" applyFont="1" applyFill="1" applyBorder="1" applyAlignment="1">
      <alignment horizontal="center" vertical="center"/>
    </xf>
    <xf numFmtId="169" fontId="15" fillId="16" borderId="78" xfId="40" applyNumberFormat="1" applyFont="1" applyFill="1" applyBorder="1" applyAlignment="1">
      <alignment horizontal="center" vertical="center"/>
    </xf>
    <xf numFmtId="169" fontId="15" fillId="16" borderId="80" xfId="40" applyNumberFormat="1" applyFont="1" applyFill="1" applyBorder="1" applyAlignment="1">
      <alignment horizontal="center" vertical="center"/>
    </xf>
    <xf numFmtId="0" fontId="13" fillId="0" borderId="78" xfId="40" applyFont="1" applyFill="1" applyBorder="1" applyAlignment="1">
      <alignment horizontal="center" vertical="center"/>
    </xf>
    <xf numFmtId="0" fontId="3" fillId="0" borderId="77" xfId="40" applyFont="1" applyFill="1" applyBorder="1" applyAlignment="1">
      <alignment horizontal="left" vertical="center" wrapText="1"/>
    </xf>
    <xf numFmtId="169" fontId="15" fillId="29" borderId="78" xfId="40" applyNumberFormat="1" applyFont="1" applyFill="1" applyBorder="1" applyAlignment="1">
      <alignment horizontal="center" vertical="center"/>
    </xf>
    <xf numFmtId="169" fontId="15" fillId="29" borderId="80" xfId="40" applyNumberFormat="1" applyFont="1" applyFill="1" applyBorder="1" applyAlignment="1">
      <alignment horizontal="center" vertical="center"/>
    </xf>
    <xf numFmtId="0" fontId="3" fillId="16" borderId="77" xfId="40" applyFont="1" applyFill="1" applyBorder="1" applyAlignment="1">
      <alignment horizontal="left" vertical="center" wrapText="1"/>
    </xf>
    <xf numFmtId="0" fontId="13" fillId="0" borderId="102" xfId="40" applyFont="1" applyBorder="1" applyAlignment="1">
      <alignment horizontal="center" vertical="center"/>
    </xf>
    <xf numFmtId="0" fontId="13" fillId="0" borderId="75" xfId="40" applyFont="1" applyBorder="1" applyAlignment="1">
      <alignment horizontal="center" vertical="center"/>
    </xf>
    <xf numFmtId="0" fontId="3" fillId="0" borderId="74" xfId="40" applyFont="1" applyBorder="1" applyAlignment="1">
      <alignment horizontal="left" vertical="center" wrapText="1"/>
    </xf>
    <xf numFmtId="0" fontId="3" fillId="16" borderId="75" xfId="40" applyFont="1" applyFill="1" applyBorder="1" applyAlignment="1">
      <alignment horizontal="center" vertical="center"/>
    </xf>
    <xf numFmtId="181" fontId="15" fillId="9" borderId="103" xfId="40" applyNumberFormat="1" applyFont="1" applyFill="1" applyBorder="1" applyAlignment="1">
      <alignment horizontal="center" vertical="center"/>
    </xf>
    <xf numFmtId="181" fontId="3" fillId="26" borderId="103" xfId="40" applyNumberFormat="1" applyFont="1" applyFill="1" applyBorder="1" applyAlignment="1">
      <alignment horizontal="center" vertical="center"/>
    </xf>
    <xf numFmtId="2" fontId="15" fillId="29" borderId="75" xfId="40" applyNumberFormat="1" applyFont="1" applyFill="1" applyBorder="1" applyAlignment="1">
      <alignment horizontal="center" vertical="center"/>
    </xf>
    <xf numFmtId="169" fontId="15" fillId="16" borderId="75" xfId="40" applyNumberFormat="1" applyFont="1" applyFill="1" applyBorder="1" applyAlignment="1">
      <alignment horizontal="center" vertical="center"/>
    </xf>
    <xf numFmtId="169" fontId="15" fillId="16" borderId="99" xfId="40" applyNumberFormat="1" applyFont="1" applyFill="1" applyBorder="1" applyAlignment="1">
      <alignment horizontal="center" vertical="center"/>
    </xf>
    <xf numFmtId="169" fontId="15" fillId="16" borderId="104" xfId="40" applyNumberFormat="1" applyFont="1" applyFill="1" applyBorder="1" applyAlignment="1">
      <alignment horizontal="center" vertical="center"/>
    </xf>
    <xf numFmtId="182" fontId="13" fillId="28" borderId="105" xfId="40" applyNumberFormat="1" applyFont="1" applyFill="1" applyBorder="1" applyAlignment="1">
      <alignment vertical="center"/>
    </xf>
    <xf numFmtId="0" fontId="13" fillId="17" borderId="15" xfId="40" applyFont="1" applyFill="1" applyBorder="1" applyAlignment="1">
      <alignment horizontal="center" vertical="center"/>
    </xf>
    <xf numFmtId="0" fontId="13" fillId="17" borderId="7" xfId="40" applyFont="1" applyFill="1" applyBorder="1" applyAlignment="1">
      <alignment horizontal="center" vertical="center"/>
    </xf>
    <xf numFmtId="0" fontId="13" fillId="17" borderId="106" xfId="40" applyFont="1" applyFill="1" applyBorder="1" applyAlignment="1">
      <alignment vertical="center" wrapText="1"/>
    </xf>
    <xf numFmtId="0" fontId="13" fillId="17" borderId="7" xfId="40" applyFont="1" applyFill="1" applyBorder="1" applyAlignment="1">
      <alignment vertical="center" wrapText="1"/>
    </xf>
    <xf numFmtId="0" fontId="8" fillId="30" borderId="7" xfId="40" applyFont="1" applyFill="1" applyBorder="1" applyAlignment="1">
      <alignment vertical="center" wrapText="1"/>
    </xf>
    <xf numFmtId="0" fontId="13" fillId="17" borderId="16" xfId="40" applyFont="1" applyFill="1" applyBorder="1" applyAlignment="1">
      <alignment vertical="center" wrapText="1"/>
    </xf>
    <xf numFmtId="0" fontId="13" fillId="0" borderId="107" xfId="40" applyFont="1" applyBorder="1" applyAlignment="1">
      <alignment horizontal="center" vertical="center"/>
    </xf>
    <xf numFmtId="0" fontId="13" fillId="0" borderId="79" xfId="40" applyFont="1" applyFill="1" applyBorder="1" applyAlignment="1">
      <alignment horizontal="center" vertical="center"/>
    </xf>
    <xf numFmtId="0" fontId="8" fillId="0" borderId="94" xfId="40" applyFont="1" applyFill="1" applyBorder="1" applyAlignment="1">
      <alignment horizontal="left" vertical="center" wrapText="1"/>
    </xf>
    <xf numFmtId="0" fontId="3" fillId="0" borderId="83" xfId="40" applyFont="1" applyBorder="1"/>
    <xf numFmtId="182" fontId="13" fillId="21" borderId="108" xfId="40" applyNumberFormat="1" applyFont="1" applyFill="1" applyBorder="1" applyAlignment="1">
      <alignment vertical="center"/>
    </xf>
    <xf numFmtId="0" fontId="13" fillId="0" borderId="109" xfId="40" applyFont="1" applyBorder="1" applyAlignment="1">
      <alignment horizontal="center" vertical="center"/>
    </xf>
    <xf numFmtId="0" fontId="13" fillId="0" borderId="83" xfId="40" applyFont="1" applyBorder="1" applyAlignment="1">
      <alignment horizontal="center" vertical="center"/>
    </xf>
    <xf numFmtId="0" fontId="3" fillId="0" borderId="83" xfId="40" applyFont="1" applyBorder="1" applyAlignment="1">
      <alignment horizontal="center"/>
    </xf>
    <xf numFmtId="0" fontId="3" fillId="0" borderId="77" xfId="40" applyFont="1" applyBorder="1" applyAlignment="1">
      <alignment horizontal="center"/>
    </xf>
    <xf numFmtId="182" fontId="13" fillId="0" borderId="108" xfId="40" applyNumberFormat="1" applyFont="1" applyBorder="1" applyAlignment="1">
      <alignment vertical="center"/>
    </xf>
    <xf numFmtId="0" fontId="3" fillId="17" borderId="100" xfId="40" applyFont="1" applyFill="1" applyBorder="1" applyAlignment="1">
      <alignment horizontal="center" vertical="center"/>
    </xf>
    <xf numFmtId="0" fontId="3" fillId="17" borderId="83" xfId="40" applyFont="1" applyFill="1" applyBorder="1" applyAlignment="1">
      <alignment horizontal="center" vertical="center"/>
    </xf>
    <xf numFmtId="182" fontId="13" fillId="18" borderId="108" xfId="40" applyNumberFormat="1" applyFont="1" applyFill="1" applyBorder="1" applyAlignment="1">
      <alignment horizontal="right" vertical="center"/>
    </xf>
    <xf numFmtId="0" fontId="3" fillId="0" borderId="100" xfId="40" applyFont="1" applyBorder="1" applyAlignment="1">
      <alignment horizontal="center" vertical="center"/>
    </xf>
    <xf numFmtId="0" fontId="3" fillId="0" borderId="83" xfId="40" applyFont="1" applyBorder="1" applyAlignment="1">
      <alignment horizontal="center" vertical="center"/>
    </xf>
    <xf numFmtId="0" fontId="3" fillId="0" borderId="80" xfId="40" applyFont="1" applyBorder="1" applyAlignment="1">
      <alignment vertical="center"/>
    </xf>
    <xf numFmtId="182" fontId="3" fillId="0" borderId="77" xfId="40" applyNumberFormat="1" applyFont="1" applyBorder="1" applyAlignment="1">
      <alignment horizontal="right" vertical="center"/>
    </xf>
    <xf numFmtId="182" fontId="3" fillId="0" borderId="83" xfId="40" applyNumberFormat="1" applyFont="1" applyBorder="1" applyAlignment="1">
      <alignment horizontal="right" vertical="center"/>
    </xf>
    <xf numFmtId="4" fontId="13" fillId="19" borderId="108" xfId="40" applyNumberFormat="1" applyFont="1" applyFill="1" applyBorder="1" applyAlignment="1">
      <alignment horizontal="center" vertical="center"/>
    </xf>
    <xf numFmtId="0" fontId="3" fillId="18" borderId="100" xfId="40" applyFont="1" applyFill="1" applyBorder="1" applyAlignment="1">
      <alignment horizontal="center" vertical="center"/>
    </xf>
    <xf numFmtId="0" fontId="3" fillId="18" borderId="83" xfId="40" applyFont="1" applyFill="1" applyBorder="1" applyAlignment="1">
      <alignment horizontal="center" vertical="center"/>
    </xf>
    <xf numFmtId="0" fontId="3" fillId="0" borderId="48" xfId="40" applyFont="1" applyBorder="1" applyAlignment="1">
      <alignment vertical="center" wrapText="1"/>
    </xf>
    <xf numFmtId="0" fontId="3" fillId="0" borderId="44" xfId="40" applyFont="1" applyBorder="1" applyAlignment="1">
      <alignment vertical="center" wrapText="1"/>
    </xf>
    <xf numFmtId="0" fontId="3" fillId="0" borderId="49" xfId="40" applyFont="1" applyBorder="1" applyAlignment="1">
      <alignment vertical="center" wrapText="1"/>
    </xf>
    <xf numFmtId="0" fontId="13" fillId="20" borderId="110" xfId="40" applyFont="1" applyFill="1" applyBorder="1" applyAlignment="1">
      <alignment horizontal="center" vertical="center" wrapText="1"/>
    </xf>
    <xf numFmtId="0" fontId="13" fillId="20" borderId="94" xfId="40" applyFont="1" applyFill="1" applyBorder="1" applyAlignment="1">
      <alignment horizontal="center" vertical="center" wrapText="1"/>
    </xf>
    <xf numFmtId="0" fontId="13" fillId="20" borderId="79" xfId="40" applyFont="1" applyFill="1" applyBorder="1" applyAlignment="1">
      <alignment horizontal="center" vertical="center" wrapText="1"/>
    </xf>
    <xf numFmtId="3" fontId="13" fillId="20" borderId="79" xfId="40" applyNumberFormat="1" applyFont="1" applyFill="1" applyBorder="1" applyAlignment="1">
      <alignment horizontal="center" vertical="center" wrapText="1"/>
    </xf>
    <xf numFmtId="4" fontId="13" fillId="20" borderId="79" xfId="40" applyNumberFormat="1" applyFont="1" applyFill="1" applyBorder="1" applyAlignment="1">
      <alignment horizontal="center" vertical="center" wrapText="1"/>
    </xf>
    <xf numFmtId="4" fontId="13" fillId="20" borderId="95" xfId="40" applyNumberFormat="1" applyFont="1" applyFill="1" applyBorder="1" applyAlignment="1">
      <alignment horizontal="center" vertical="center" wrapText="1"/>
    </xf>
    <xf numFmtId="3" fontId="13" fillId="20" borderId="81" xfId="40" applyNumberFormat="1" applyFont="1" applyFill="1" applyBorder="1" applyAlignment="1">
      <alignment horizontal="center" vertical="center" wrapText="1"/>
    </xf>
    <xf numFmtId="0" fontId="13" fillId="18" borderId="85" xfId="40" applyFont="1" applyFill="1" applyBorder="1" applyAlignment="1">
      <alignment horizontal="center" vertical="center"/>
    </xf>
    <xf numFmtId="0" fontId="13" fillId="18" borderId="83" xfId="40" applyFont="1" applyFill="1" applyBorder="1" applyAlignment="1">
      <alignment horizontal="center" vertical="center"/>
    </xf>
    <xf numFmtId="0" fontId="13" fillId="0" borderId="85" xfId="40" applyFont="1" applyBorder="1" applyAlignment="1">
      <alignment horizontal="center" vertical="center"/>
    </xf>
    <xf numFmtId="0" fontId="13" fillId="0" borderId="77" xfId="40" applyFont="1" applyBorder="1" applyAlignment="1">
      <alignment horizontal="center" vertical="center"/>
    </xf>
    <xf numFmtId="0" fontId="3" fillId="0" borderId="78" xfId="40" applyFont="1" applyBorder="1" applyAlignment="1">
      <alignment horizontal="left" vertical="center" wrapText="1"/>
    </xf>
    <xf numFmtId="0" fontId="3" fillId="0" borderId="78" xfId="40" applyFont="1" applyBorder="1" applyAlignment="1">
      <alignment horizontal="center" vertical="center"/>
    </xf>
    <xf numFmtId="182" fontId="3" fillId="16" borderId="78" xfId="40" applyNumberFormat="1" applyFont="1" applyFill="1" applyBorder="1" applyAlignment="1">
      <alignment vertical="center"/>
    </xf>
    <xf numFmtId="169" fontId="3" fillId="0" borderId="78" xfId="40" applyNumberFormat="1" applyFont="1" applyBorder="1" applyAlignment="1">
      <alignment horizontal="center" vertical="center"/>
    </xf>
    <xf numFmtId="169" fontId="3" fillId="0" borderId="80" xfId="40" applyNumberFormat="1" applyFont="1" applyBorder="1" applyAlignment="1">
      <alignment horizontal="center" vertical="center"/>
    </xf>
    <xf numFmtId="182" fontId="3" fillId="21" borderId="84" xfId="40" applyNumberFormat="1" applyFont="1" applyFill="1" applyBorder="1" applyAlignment="1">
      <alignment vertical="center"/>
    </xf>
    <xf numFmtId="0" fontId="3" fillId="18" borderId="85" xfId="40" applyFont="1" applyFill="1" applyBorder="1" applyAlignment="1">
      <alignment horizontal="center" vertical="center"/>
    </xf>
    <xf numFmtId="182" fontId="13" fillId="16" borderId="84" xfId="40" applyNumberFormat="1" applyFont="1" applyFill="1" applyBorder="1" applyAlignment="1">
      <alignment horizontal="right" vertical="center"/>
    </xf>
    <xf numFmtId="0" fontId="3" fillId="0" borderId="86" xfId="40" applyFont="1" applyBorder="1" applyAlignment="1">
      <alignment horizontal="center" vertical="center" wrapText="1"/>
    </xf>
    <xf numFmtId="0" fontId="3" fillId="0" borderId="0" xfId="40" applyFont="1" applyAlignment="1">
      <alignment horizontal="center" vertical="center" wrapText="1"/>
    </xf>
    <xf numFmtId="0" fontId="3" fillId="0" borderId="0" xfId="40" applyFont="1" applyAlignment="1">
      <alignment vertical="center" wrapText="1"/>
    </xf>
    <xf numFmtId="0" fontId="3" fillId="0" borderId="87" xfId="40" applyFont="1" applyBorder="1" applyAlignment="1">
      <alignment vertical="center" wrapText="1"/>
    </xf>
    <xf numFmtId="183" fontId="13" fillId="18" borderId="84" xfId="40" applyNumberFormat="1" applyFont="1" applyFill="1" applyBorder="1" applyAlignment="1">
      <alignment horizontal="right" vertical="center"/>
    </xf>
    <xf numFmtId="0" fontId="13" fillId="18" borderId="89" xfId="40" applyFont="1" applyFill="1" applyBorder="1" applyAlignment="1">
      <alignment horizontal="center" vertical="center"/>
    </xf>
    <xf numFmtId="0" fontId="13" fillId="18" borderId="90" xfId="40" applyFont="1" applyFill="1" applyBorder="1" applyAlignment="1">
      <alignment horizontal="center" vertical="center"/>
    </xf>
    <xf numFmtId="0" fontId="3" fillId="0" borderId="90" xfId="40" applyFont="1" applyBorder="1"/>
    <xf numFmtId="183" fontId="13" fillId="18" borderId="93" xfId="40" applyNumberFormat="1" applyFont="1" applyFill="1" applyBorder="1" applyAlignment="1">
      <alignment horizontal="right" vertical="center"/>
    </xf>
    <xf numFmtId="0" fontId="51" fillId="17" borderId="78" xfId="0" applyFont="1" applyFill="1" applyBorder="1" applyAlignment="1">
      <alignment horizontal="center" vertical="center"/>
    </xf>
    <xf numFmtId="0" fontId="13" fillId="0" borderId="78" xfId="0" applyFont="1" applyBorder="1" applyAlignment="1">
      <alignment horizontal="center" vertical="center"/>
    </xf>
    <xf numFmtId="0" fontId="3" fillId="0" borderId="94" xfId="0" applyFont="1" applyBorder="1" applyAlignment="1">
      <alignment horizontal="left" vertical="center" wrapText="1"/>
    </xf>
    <xf numFmtId="0" fontId="3" fillId="16" borderId="79" xfId="0" applyFont="1" applyFill="1" applyBorder="1" applyAlignment="1">
      <alignment horizontal="center" vertical="center"/>
    </xf>
    <xf numFmtId="181" fontId="15" fillId="9" borderId="79" xfId="0" applyNumberFormat="1" applyFont="1" applyFill="1" applyBorder="1" applyAlignment="1">
      <alignment horizontal="center" vertical="center"/>
    </xf>
    <xf numFmtId="181" fontId="3" fillId="26" borderId="79" xfId="0" applyNumberFormat="1" applyFont="1" applyFill="1" applyBorder="1" applyAlignment="1">
      <alignment horizontal="center" vertical="center"/>
    </xf>
    <xf numFmtId="2" fontId="15" fillId="16" borderId="79" xfId="0" applyNumberFormat="1" applyFont="1" applyFill="1" applyBorder="1" applyAlignment="1">
      <alignment horizontal="center" vertical="center"/>
    </xf>
    <xf numFmtId="169" fontId="15" fillId="16" borderId="79" xfId="0" applyNumberFormat="1" applyFont="1" applyFill="1" applyBorder="1" applyAlignment="1">
      <alignment horizontal="center" vertical="center"/>
    </xf>
    <xf numFmtId="169" fontId="15" fillId="16" borderId="95" xfId="0" applyNumberFormat="1" applyFont="1" applyFill="1" applyBorder="1" applyAlignment="1">
      <alignment horizontal="center" vertical="center"/>
    </xf>
    <xf numFmtId="182" fontId="13" fillId="28" borderId="81" xfId="0" applyNumberFormat="1" applyFont="1" applyFill="1" applyBorder="1" applyAlignment="1">
      <alignment vertical="center"/>
    </xf>
    <xf numFmtId="0" fontId="0" fillId="0" borderId="78" xfId="0" applyBorder="1" applyAlignment="1">
      <alignment horizontal="center" vertical="center"/>
    </xf>
    <xf numFmtId="0" fontId="3" fillId="0" borderId="77" xfId="0" applyFont="1" applyBorder="1" applyAlignment="1">
      <alignment horizontal="left" vertical="center" wrapText="1"/>
    </xf>
    <xf numFmtId="0" fontId="3" fillId="16" borderId="78" xfId="0" applyFont="1" applyFill="1" applyBorder="1" applyAlignment="1">
      <alignment horizontal="center" vertical="center"/>
    </xf>
    <xf numFmtId="2" fontId="15" fillId="16" borderId="78" xfId="0" applyNumberFormat="1" applyFont="1" applyFill="1" applyBorder="1" applyAlignment="1">
      <alignment horizontal="center" vertical="center"/>
    </xf>
    <xf numFmtId="169" fontId="15" fillId="16" borderId="78" xfId="0" applyNumberFormat="1" applyFont="1" applyFill="1" applyBorder="1" applyAlignment="1">
      <alignment horizontal="center" vertical="center"/>
    </xf>
    <xf numFmtId="169" fontId="15" fillId="16" borderId="80" xfId="0" applyNumberFormat="1" applyFont="1" applyFill="1" applyBorder="1" applyAlignment="1">
      <alignment horizontal="center" vertical="center"/>
    </xf>
    <xf numFmtId="169" fontId="15" fillId="29" borderId="78" xfId="0" applyNumberFormat="1" applyFont="1" applyFill="1" applyBorder="1" applyAlignment="1">
      <alignment horizontal="center" vertical="center"/>
    </xf>
    <xf numFmtId="169" fontId="15" fillId="29" borderId="80" xfId="0" applyNumberFormat="1" applyFont="1" applyFill="1" applyBorder="1" applyAlignment="1">
      <alignment horizontal="center" vertical="center"/>
    </xf>
    <xf numFmtId="0" fontId="3" fillId="16" borderId="77" xfId="0" applyFont="1" applyFill="1" applyBorder="1" applyAlignment="1">
      <alignment horizontal="left" vertical="center" wrapText="1"/>
    </xf>
    <xf numFmtId="2" fontId="15" fillId="29" borderId="78" xfId="0" applyNumberFormat="1" applyFont="1" applyFill="1" applyBorder="1" applyAlignment="1">
      <alignment horizontal="center" vertical="center"/>
    </xf>
    <xf numFmtId="0" fontId="13" fillId="17" borderId="86" xfId="0" applyFont="1" applyFill="1" applyBorder="1" applyAlignment="1">
      <alignment horizontal="center" vertical="center"/>
    </xf>
    <xf numFmtId="0" fontId="13" fillId="17" borderId="0" xfId="0" applyFont="1" applyFill="1" applyAlignment="1">
      <alignment horizontal="center" vertical="center"/>
    </xf>
    <xf numFmtId="0" fontId="13" fillId="17" borderId="80" xfId="0" applyFont="1" applyFill="1" applyBorder="1" applyAlignment="1">
      <alignment vertical="center" wrapText="1"/>
    </xf>
    <xf numFmtId="0" fontId="13" fillId="17" borderId="83" xfId="0" applyFont="1" applyFill="1" applyBorder="1" applyAlignment="1">
      <alignment vertical="center" wrapText="1"/>
    </xf>
    <xf numFmtId="0" fontId="8" fillId="30" borderId="83" xfId="0" applyFont="1" applyFill="1" applyBorder="1" applyAlignment="1">
      <alignment vertical="center" wrapText="1"/>
    </xf>
    <xf numFmtId="0" fontId="13" fillId="17" borderId="88" xfId="0" applyFont="1" applyFill="1" applyBorder="1" applyAlignment="1">
      <alignment vertical="center" wrapText="1"/>
    </xf>
    <xf numFmtId="0" fontId="8" fillId="16" borderId="77" xfId="0" applyFont="1" applyFill="1" applyBorder="1" applyAlignment="1">
      <alignment horizontal="left" vertical="center" wrapText="1"/>
    </xf>
    <xf numFmtId="0" fontId="3" fillId="0" borderId="83" xfId="0" applyFont="1" applyBorder="1"/>
    <xf numFmtId="182" fontId="13" fillId="21" borderId="84" xfId="0" applyNumberFormat="1" applyFont="1" applyFill="1" applyBorder="1" applyAlignment="1">
      <alignment vertical="center"/>
    </xf>
    <xf numFmtId="0" fontId="13" fillId="0" borderId="82" xfId="0" applyFont="1" applyBorder="1" applyAlignment="1">
      <alignment horizontal="center" vertical="center"/>
    </xf>
    <xf numFmtId="0" fontId="13" fillId="0" borderId="83" xfId="0" applyFont="1" applyBorder="1" applyAlignment="1">
      <alignment horizontal="center" vertical="center"/>
    </xf>
    <xf numFmtId="0" fontId="3" fillId="0" borderId="83" xfId="0" applyFont="1" applyBorder="1" applyAlignment="1">
      <alignment horizontal="center"/>
    </xf>
    <xf numFmtId="0" fontId="3" fillId="0" borderId="77" xfId="0" applyFont="1" applyBorder="1" applyAlignment="1">
      <alignment horizontal="center"/>
    </xf>
    <xf numFmtId="182" fontId="13" fillId="0" borderId="84" xfId="0" applyNumberFormat="1" applyFont="1" applyBorder="1" applyAlignment="1">
      <alignment vertical="center"/>
    </xf>
    <xf numFmtId="0" fontId="3" fillId="17" borderId="85" xfId="0" applyFont="1" applyFill="1" applyBorder="1" applyAlignment="1">
      <alignment horizontal="center" vertical="center"/>
    </xf>
    <xf numFmtId="0" fontId="3" fillId="17" borderId="83" xfId="0" applyFont="1" applyFill="1" applyBorder="1" applyAlignment="1">
      <alignment horizontal="center" vertical="center"/>
    </xf>
    <xf numFmtId="182" fontId="13" fillId="18" borderId="84" xfId="0" applyNumberFormat="1" applyFont="1" applyFill="1" applyBorder="1" applyAlignment="1">
      <alignment horizontal="right" vertical="center"/>
    </xf>
    <xf numFmtId="0" fontId="3" fillId="0" borderId="85" xfId="0" applyFont="1" applyBorder="1" applyAlignment="1">
      <alignment horizontal="center" vertical="center"/>
    </xf>
    <xf numFmtId="0" fontId="3" fillId="0" borderId="83" xfId="0" applyFont="1" applyBorder="1" applyAlignment="1">
      <alignment horizontal="center" vertical="center"/>
    </xf>
    <xf numFmtId="0" fontId="3" fillId="0" borderId="80" xfId="0" applyFont="1" applyBorder="1" applyAlignment="1">
      <alignment vertical="center"/>
    </xf>
    <xf numFmtId="182" fontId="3" fillId="0" borderId="77" xfId="0" applyNumberFormat="1" applyFont="1" applyBorder="1" applyAlignment="1">
      <alignment horizontal="right" vertical="center"/>
    </xf>
    <xf numFmtId="182" fontId="3" fillId="0" borderId="83" xfId="0" applyNumberFormat="1" applyFont="1" applyBorder="1" applyAlignment="1">
      <alignment horizontal="right" vertical="center"/>
    </xf>
    <xf numFmtId="4" fontId="13" fillId="19" borderId="84" xfId="0" applyNumberFormat="1" applyFont="1" applyFill="1" applyBorder="1" applyAlignment="1">
      <alignment vertical="center"/>
    </xf>
    <xf numFmtId="0" fontId="3" fillId="18" borderId="85" xfId="0" applyFont="1" applyFill="1" applyBorder="1" applyAlignment="1">
      <alignment horizontal="center" vertical="center"/>
    </xf>
    <xf numFmtId="0" fontId="3" fillId="18" borderId="83" xfId="0" applyFont="1" applyFill="1" applyBorder="1" applyAlignment="1">
      <alignment horizontal="center" vertical="center"/>
    </xf>
    <xf numFmtId="0" fontId="3" fillId="0" borderId="86" xfId="0" applyFont="1" applyBorder="1" applyAlignment="1">
      <alignment vertical="center" wrapText="1"/>
    </xf>
    <xf numFmtId="0" fontId="3" fillId="0" borderId="0" xfId="0" applyFont="1" applyAlignment="1">
      <alignment vertical="center" wrapText="1"/>
    </xf>
    <xf numFmtId="0" fontId="3" fillId="0" borderId="87" xfId="0" applyFont="1" applyBorder="1" applyAlignment="1">
      <alignment vertical="center" wrapText="1"/>
    </xf>
    <xf numFmtId="0" fontId="13" fillId="20" borderId="85" xfId="0" applyFont="1" applyFill="1" applyBorder="1" applyAlignment="1">
      <alignment horizontal="center" vertical="center" wrapText="1"/>
    </xf>
    <xf numFmtId="0" fontId="13" fillId="20" borderId="77" xfId="0" applyFont="1" applyFill="1" applyBorder="1" applyAlignment="1">
      <alignment horizontal="center" vertical="center" wrapText="1"/>
    </xf>
    <xf numFmtId="0" fontId="13" fillId="20" borderId="78" xfId="0" applyFont="1" applyFill="1" applyBorder="1" applyAlignment="1">
      <alignment horizontal="center" vertical="center" wrapText="1"/>
    </xf>
    <xf numFmtId="3" fontId="13" fillId="20" borderId="78" xfId="0" applyNumberFormat="1" applyFont="1" applyFill="1" applyBorder="1" applyAlignment="1">
      <alignment horizontal="center" vertical="center" wrapText="1"/>
    </xf>
    <xf numFmtId="4" fontId="13" fillId="20" borderId="78" xfId="0" applyNumberFormat="1" applyFont="1" applyFill="1" applyBorder="1" applyAlignment="1">
      <alignment horizontal="center" vertical="center" wrapText="1"/>
    </xf>
    <xf numFmtId="4" fontId="13" fillId="20" borderId="80" xfId="0" applyNumberFormat="1" applyFont="1" applyFill="1" applyBorder="1" applyAlignment="1">
      <alignment horizontal="center" vertical="center" wrapText="1"/>
    </xf>
    <xf numFmtId="3" fontId="13" fillId="20" borderId="84" xfId="0" applyNumberFormat="1" applyFont="1" applyFill="1" applyBorder="1" applyAlignment="1">
      <alignment horizontal="center" vertical="center" wrapText="1"/>
    </xf>
    <xf numFmtId="0" fontId="13" fillId="18" borderId="85" xfId="0" applyFont="1" applyFill="1" applyBorder="1" applyAlignment="1">
      <alignment horizontal="center" vertical="center"/>
    </xf>
    <xf numFmtId="0" fontId="13" fillId="18" borderId="83" xfId="0" applyFont="1" applyFill="1" applyBorder="1" applyAlignment="1">
      <alignment horizontal="center" vertical="center"/>
    </xf>
    <xf numFmtId="0" fontId="13" fillId="0" borderId="85" xfId="0" applyFont="1" applyBorder="1" applyAlignment="1">
      <alignment horizontal="center" vertical="center"/>
    </xf>
    <xf numFmtId="0" fontId="13" fillId="0" borderId="77" xfId="0" applyFont="1" applyBorder="1" applyAlignment="1">
      <alignment horizontal="center" vertical="center"/>
    </xf>
    <xf numFmtId="0" fontId="3" fillId="0" borderId="78" xfId="0" applyFont="1" applyBorder="1" applyAlignment="1">
      <alignment horizontal="left" vertical="center" wrapText="1"/>
    </xf>
    <xf numFmtId="0" fontId="3" fillId="0" borderId="78" xfId="0" applyFont="1" applyBorder="1" applyAlignment="1">
      <alignment horizontal="center" vertical="center"/>
    </xf>
    <xf numFmtId="182" fontId="3" fillId="16" borderId="78" xfId="0" applyNumberFormat="1" applyFont="1" applyFill="1" applyBorder="1" applyAlignment="1">
      <alignment vertical="center"/>
    </xf>
    <xf numFmtId="169" fontId="3" fillId="0" borderId="78" xfId="0" applyNumberFormat="1" applyFont="1" applyBorder="1" applyAlignment="1">
      <alignment horizontal="center" vertical="center"/>
    </xf>
    <xf numFmtId="169" fontId="3" fillId="0" borderId="80" xfId="0" applyNumberFormat="1" applyFont="1" applyBorder="1" applyAlignment="1">
      <alignment horizontal="center" vertical="center"/>
    </xf>
    <xf numFmtId="182" fontId="3" fillId="21" borderId="84" xfId="0" applyNumberFormat="1" applyFont="1" applyFill="1" applyBorder="1" applyAlignment="1">
      <alignment vertical="center"/>
    </xf>
    <xf numFmtId="182" fontId="13" fillId="16" borderId="84" xfId="0" applyNumberFormat="1" applyFont="1" applyFill="1" applyBorder="1" applyAlignment="1">
      <alignment horizontal="right" vertical="center"/>
    </xf>
    <xf numFmtId="0" fontId="3" fillId="0" borderId="86" xfId="0" applyFont="1" applyBorder="1" applyAlignment="1">
      <alignment horizontal="center" vertical="center" wrapText="1"/>
    </xf>
    <xf numFmtId="0" fontId="3" fillId="0" borderId="0" xfId="0" applyFont="1" applyAlignment="1">
      <alignment horizontal="center" vertical="center" wrapText="1"/>
    </xf>
    <xf numFmtId="183" fontId="13" fillId="18" borderId="84" xfId="0" applyNumberFormat="1" applyFont="1" applyFill="1" applyBorder="1" applyAlignment="1">
      <alignment horizontal="right" vertical="center"/>
    </xf>
    <xf numFmtId="0" fontId="13" fillId="18" borderId="89" xfId="0" applyFont="1" applyFill="1" applyBorder="1" applyAlignment="1">
      <alignment horizontal="center" vertical="center"/>
    </xf>
    <xf numFmtId="0" fontId="13" fillId="18" borderId="90" xfId="0" applyFont="1" applyFill="1" applyBorder="1" applyAlignment="1">
      <alignment horizontal="center" vertical="center"/>
    </xf>
    <xf numFmtId="0" fontId="3" fillId="0" borderId="90" xfId="0" applyFont="1" applyBorder="1"/>
    <xf numFmtId="183" fontId="13" fillId="18" borderId="93" xfId="0" applyNumberFormat="1" applyFont="1" applyFill="1" applyBorder="1" applyAlignment="1">
      <alignment horizontal="right" vertical="center"/>
    </xf>
    <xf numFmtId="42" fontId="64" fillId="0" borderId="0" xfId="17" applyNumberFormat="1" applyFont="1" applyProtection="1">
      <protection hidden="1"/>
    </xf>
    <xf numFmtId="41" fontId="35" fillId="0" borderId="0" xfId="22" applyFont="1" applyAlignment="1" applyProtection="1">
      <alignment vertical="center"/>
      <protection hidden="1"/>
    </xf>
    <xf numFmtId="182" fontId="35" fillId="0" borderId="0" xfId="10" applyNumberFormat="1" applyFont="1" applyAlignment="1" applyProtection="1">
      <alignment vertical="center"/>
      <protection hidden="1"/>
    </xf>
    <xf numFmtId="0" fontId="20" fillId="0" borderId="0" xfId="0" applyFont="1" applyBorder="1" applyAlignment="1" applyProtection="1">
      <alignment horizontal="center"/>
      <protection hidden="1"/>
    </xf>
    <xf numFmtId="41" fontId="36" fillId="9" borderId="29" xfId="22" applyNumberFormat="1" applyFont="1" applyFill="1" applyBorder="1" applyAlignment="1" applyProtection="1">
      <alignment horizontal="center" vertical="center" wrapText="1"/>
      <protection hidden="1"/>
    </xf>
    <xf numFmtId="0" fontId="2" fillId="0" borderId="13" xfId="5" applyFont="1" applyBorder="1" applyAlignment="1" applyProtection="1">
      <alignment horizontal="center" vertical="center" wrapText="1"/>
      <protection hidden="1"/>
    </xf>
    <xf numFmtId="0" fontId="18" fillId="0" borderId="13" xfId="5" applyFont="1" applyBorder="1" applyAlignment="1" applyProtection="1">
      <alignment horizontal="center" vertical="center" wrapText="1"/>
      <protection hidden="1"/>
    </xf>
    <xf numFmtId="0" fontId="2" fillId="0" borderId="8" xfId="5" applyFont="1" applyBorder="1" applyAlignment="1" applyProtection="1">
      <alignment horizontal="center" vertical="center" wrapText="1"/>
      <protection hidden="1"/>
    </xf>
    <xf numFmtId="8" fontId="2" fillId="0" borderId="8" xfId="5" applyNumberFormat="1" applyFont="1" applyBorder="1" applyAlignment="1" applyProtection="1">
      <alignment horizontal="center" vertical="center" wrapText="1"/>
      <protection hidden="1"/>
    </xf>
    <xf numFmtId="0" fontId="2" fillId="0" borderId="8" xfId="5" applyFont="1" applyFill="1" applyBorder="1" applyAlignment="1" applyProtection="1">
      <alignment horizontal="left" vertical="center" wrapText="1"/>
      <protection hidden="1"/>
    </xf>
    <xf numFmtId="0" fontId="2" fillId="0" borderId="0" xfId="6" applyFont="1" applyFill="1" applyAlignment="1" applyProtection="1">
      <alignment horizontal="justify" vertical="center"/>
      <protection hidden="1"/>
    </xf>
    <xf numFmtId="0" fontId="2" fillId="8" borderId="8" xfId="5" applyFont="1" applyFill="1" applyBorder="1" applyAlignment="1" applyProtection="1">
      <alignment horizontal="justify" vertical="center"/>
      <protection hidden="1"/>
    </xf>
    <xf numFmtId="0" fontId="13" fillId="0" borderId="13" xfId="5" applyFont="1" applyFill="1" applyBorder="1" applyAlignment="1" applyProtection="1">
      <alignment horizontal="center" vertical="center" wrapText="1"/>
      <protection hidden="1"/>
    </xf>
    <xf numFmtId="6" fontId="2" fillId="0" borderId="13" xfId="5" applyNumberFormat="1" applyFont="1" applyBorder="1" applyAlignment="1" applyProtection="1">
      <alignment horizontal="center" vertical="center" wrapText="1"/>
      <protection hidden="1"/>
    </xf>
    <xf numFmtId="0" fontId="36" fillId="7" borderId="29" xfId="17" applyFont="1" applyFill="1" applyBorder="1" applyAlignment="1" applyProtection="1">
      <alignment horizontal="center" vertical="center"/>
      <protection hidden="1"/>
    </xf>
    <xf numFmtId="164" fontId="35" fillId="0" borderId="0" xfId="1" applyFont="1" applyAlignment="1" applyProtection="1">
      <alignment vertical="center"/>
      <protection hidden="1"/>
    </xf>
    <xf numFmtId="4" fontId="35" fillId="0" borderId="0" xfId="10" applyNumberFormat="1" applyFont="1" applyAlignment="1" applyProtection="1">
      <alignment vertical="center"/>
      <protection hidden="1"/>
    </xf>
    <xf numFmtId="2" fontId="38" fillId="4" borderId="8" xfId="15" applyNumberFormat="1" applyFont="1" applyFill="1" applyBorder="1" applyAlignment="1" applyProtection="1">
      <alignment horizontal="center" vertical="center"/>
      <protection hidden="1"/>
    </xf>
    <xf numFmtId="22" fontId="62" fillId="15" borderId="8" xfId="0" applyNumberFormat="1" applyFont="1" applyFill="1" applyBorder="1" applyAlignment="1">
      <alignment horizontal="center" wrapText="1"/>
    </xf>
    <xf numFmtId="0" fontId="7" fillId="0" borderId="0" xfId="4" applyFont="1" applyAlignment="1" applyProtection="1">
      <alignment horizontal="center"/>
      <protection hidden="1"/>
    </xf>
    <xf numFmtId="22" fontId="12" fillId="0" borderId="0" xfId="4" applyNumberFormat="1" applyFont="1" applyAlignment="1" applyProtection="1">
      <alignment horizontal="center"/>
      <protection hidden="1"/>
    </xf>
    <xf numFmtId="0" fontId="12" fillId="0" borderId="0" xfId="4" applyFont="1" applyAlignment="1" applyProtection="1">
      <alignment horizontal="center"/>
      <protection hidden="1"/>
    </xf>
    <xf numFmtId="0" fontId="48" fillId="9" borderId="8" xfId="0" applyFont="1" applyFill="1" applyBorder="1" applyAlignment="1">
      <alignment horizontal="center" vertical="center" wrapText="1"/>
    </xf>
    <xf numFmtId="0" fontId="9" fillId="23" borderId="64" xfId="3" applyFont="1" applyFill="1" applyBorder="1" applyAlignment="1" applyProtection="1">
      <alignment horizontal="center" vertical="center" wrapText="1"/>
      <protection hidden="1"/>
    </xf>
    <xf numFmtId="0" fontId="9" fillId="23" borderId="11" xfId="3" applyFont="1" applyFill="1" applyBorder="1" applyAlignment="1" applyProtection="1">
      <alignment horizontal="center" vertical="center" wrapText="1"/>
      <protection hidden="1"/>
    </xf>
    <xf numFmtId="0" fontId="9" fillId="23" borderId="65" xfId="3" applyFont="1" applyFill="1" applyBorder="1" applyAlignment="1" applyProtection="1">
      <alignment horizontal="center" vertical="center" wrapText="1"/>
      <protection hidden="1"/>
    </xf>
    <xf numFmtId="0" fontId="9" fillId="23" borderId="5" xfId="3" applyFont="1" applyFill="1" applyBorder="1" applyAlignment="1" applyProtection="1">
      <alignment horizontal="center" vertical="center" wrapText="1"/>
      <protection hidden="1"/>
    </xf>
    <xf numFmtId="0" fontId="9" fillId="7" borderId="57" xfId="3" applyFont="1" applyFill="1" applyBorder="1" applyAlignment="1" applyProtection="1">
      <alignment horizontal="center" vertical="center" wrapText="1"/>
      <protection hidden="1"/>
    </xf>
    <xf numFmtId="14" fontId="7" fillId="9" borderId="8" xfId="8" applyNumberFormat="1" applyFont="1" applyFill="1" applyBorder="1" applyAlignment="1" applyProtection="1">
      <alignment horizontal="left" vertical="center" wrapText="1"/>
      <protection hidden="1"/>
    </xf>
    <xf numFmtId="2" fontId="7" fillId="9" borderId="8" xfId="8" applyNumberFormat="1" applyFont="1" applyFill="1" applyBorder="1" applyAlignment="1" applyProtection="1">
      <alignment horizontal="center" vertical="center" wrapText="1"/>
      <protection hidden="1"/>
    </xf>
    <xf numFmtId="0" fontId="37" fillId="9" borderId="8" xfId="0" applyFont="1" applyFill="1" applyBorder="1" applyAlignment="1">
      <alignment horizontal="center" vertical="center" wrapText="1"/>
    </xf>
    <xf numFmtId="14" fontId="7" fillId="9" borderId="8" xfId="8" applyNumberFormat="1" applyFont="1" applyFill="1" applyBorder="1" applyAlignment="1" applyProtection="1">
      <alignment horizontal="center" vertical="center" wrapText="1"/>
      <protection hidden="1"/>
    </xf>
    <xf numFmtId="1" fontId="7" fillId="9" borderId="8" xfId="8" applyNumberFormat="1" applyFont="1" applyFill="1" applyBorder="1" applyAlignment="1" applyProtection="1">
      <alignment horizontal="center" vertical="center" wrapText="1"/>
      <protection hidden="1"/>
    </xf>
    <xf numFmtId="0" fontId="0" fillId="22" borderId="8" xfId="0" applyFont="1" applyFill="1" applyBorder="1" applyAlignment="1">
      <alignment vertical="center" wrapText="1"/>
    </xf>
    <xf numFmtId="0" fontId="9" fillId="7" borderId="98" xfId="3" applyFont="1" applyFill="1" applyBorder="1" applyAlignment="1" applyProtection="1">
      <alignment horizontal="center" vertical="center" wrapText="1"/>
      <protection hidden="1"/>
    </xf>
    <xf numFmtId="0" fontId="0" fillId="0" borderId="0" xfId="0" applyFont="1" applyAlignment="1">
      <alignment wrapText="1"/>
    </xf>
    <xf numFmtId="0" fontId="0" fillId="0" borderId="8" xfId="0" applyFont="1" applyBorder="1" applyAlignment="1">
      <alignment horizontal="center" vertical="center" wrapText="1"/>
    </xf>
    <xf numFmtId="2" fontId="0" fillId="9" borderId="8" xfId="0" applyNumberFormat="1" applyFont="1" applyFill="1" applyBorder="1" applyAlignment="1">
      <alignment wrapText="1"/>
    </xf>
    <xf numFmtId="17" fontId="0" fillId="0" borderId="0" xfId="0" applyNumberFormat="1" applyFont="1" applyAlignment="1">
      <alignment wrapText="1"/>
    </xf>
    <xf numFmtId="14" fontId="0" fillId="9" borderId="8" xfId="0" applyNumberFormat="1" applyFont="1" applyFill="1" applyBorder="1" applyAlignment="1">
      <alignment horizontal="center" vertical="center" wrapText="1"/>
    </xf>
    <xf numFmtId="2" fontId="0" fillId="9" borderId="8" xfId="0" applyNumberFormat="1" applyFont="1" applyFill="1" applyBorder="1" applyAlignment="1">
      <alignment horizontal="center" vertical="center" wrapText="1"/>
    </xf>
    <xf numFmtId="14" fontId="0" fillId="0" borderId="0" xfId="0" applyNumberFormat="1" applyFont="1" applyAlignment="1">
      <alignment wrapText="1"/>
    </xf>
    <xf numFmtId="1" fontId="0" fillId="0" borderId="0" xfId="0" applyNumberFormat="1" applyFont="1" applyAlignment="1">
      <alignment wrapText="1"/>
    </xf>
    <xf numFmtId="0" fontId="0" fillId="0" borderId="8" xfId="0" applyFont="1" applyBorder="1" applyAlignment="1">
      <alignment wrapText="1"/>
    </xf>
    <xf numFmtId="0" fontId="45" fillId="22" borderId="8" xfId="0" applyFont="1" applyFill="1" applyBorder="1" applyAlignment="1">
      <alignment horizontal="center" vertical="center" wrapText="1"/>
    </xf>
    <xf numFmtId="0" fontId="5" fillId="9" borderId="11" xfId="0" applyFont="1" applyFill="1" applyBorder="1" applyAlignment="1" applyProtection="1">
      <alignment horizontal="center" vertical="center" wrapText="1"/>
      <protection hidden="1"/>
    </xf>
    <xf numFmtId="0" fontId="5" fillId="9" borderId="11" xfId="3" applyFont="1" applyFill="1" applyBorder="1" applyAlignment="1" applyProtection="1">
      <alignment horizontal="center" vertical="center" wrapText="1"/>
      <protection hidden="1"/>
    </xf>
    <xf numFmtId="0" fontId="5" fillId="12" borderId="14" xfId="0" applyFont="1" applyFill="1" applyBorder="1" applyAlignment="1" applyProtection="1">
      <alignment horizontal="center" vertical="center" wrapText="1"/>
      <protection hidden="1"/>
    </xf>
    <xf numFmtId="44" fontId="15" fillId="0" borderId="0" xfId="41" applyFont="1" applyFill="1" applyAlignment="1" applyProtection="1">
      <alignment horizontal="left" vertical="center"/>
      <protection hidden="1"/>
    </xf>
    <xf numFmtId="0" fontId="10" fillId="4" borderId="0" xfId="0" applyFont="1" applyFill="1" applyAlignment="1" applyProtection="1">
      <alignment horizontal="justify" vertical="top" wrapText="1"/>
      <protection hidden="1"/>
    </xf>
    <xf numFmtId="0" fontId="5" fillId="5" borderId="1" xfId="0" applyFont="1" applyFill="1" applyBorder="1" applyAlignment="1" applyProtection="1">
      <alignment horizontal="center" vertical="center" wrapText="1"/>
      <protection hidden="1"/>
    </xf>
    <xf numFmtId="0" fontId="5" fillId="5" borderId="2" xfId="0" applyFont="1" applyFill="1" applyBorder="1" applyAlignment="1" applyProtection="1">
      <alignment horizontal="center" vertical="center" wrapText="1"/>
      <protection hidden="1"/>
    </xf>
    <xf numFmtId="0" fontId="6" fillId="5" borderId="3" xfId="0" applyFont="1" applyFill="1" applyBorder="1" applyAlignment="1" applyProtection="1">
      <alignment horizontal="center" vertical="center" wrapText="1"/>
      <protection hidden="1"/>
    </xf>
    <xf numFmtId="0" fontId="6" fillId="5" borderId="4" xfId="0" applyFont="1" applyFill="1" applyBorder="1" applyAlignment="1" applyProtection="1">
      <alignment horizontal="center" vertical="center" wrapText="1"/>
      <protection hidden="1"/>
    </xf>
    <xf numFmtId="0" fontId="7" fillId="5" borderId="3" xfId="0" applyFont="1" applyFill="1" applyBorder="1" applyAlignment="1" applyProtection="1">
      <alignment horizontal="center" vertical="center" wrapText="1"/>
      <protection hidden="1"/>
    </xf>
    <xf numFmtId="0" fontId="7" fillId="5" borderId="4" xfId="0" applyFont="1" applyFill="1" applyBorder="1" applyAlignment="1" applyProtection="1">
      <alignment horizontal="center" vertical="center" wrapText="1"/>
      <protection hidden="1"/>
    </xf>
    <xf numFmtId="0" fontId="8" fillId="5" borderId="5" xfId="0" applyFont="1" applyFill="1" applyBorder="1" applyAlignment="1" applyProtection="1">
      <alignment horizontal="center" vertical="center" wrapText="1"/>
      <protection hidden="1"/>
    </xf>
    <xf numFmtId="0" fontId="8" fillId="5" borderId="6" xfId="0" applyFont="1" applyFill="1" applyBorder="1" applyAlignment="1" applyProtection="1">
      <alignment horizontal="center" vertical="center" wrapText="1"/>
      <protection hidden="1"/>
    </xf>
    <xf numFmtId="0" fontId="7" fillId="0" borderId="41" xfId="4" applyFont="1" applyBorder="1" applyAlignment="1" applyProtection="1">
      <alignment horizontal="center" vertical="center" wrapText="1"/>
      <protection hidden="1"/>
    </xf>
    <xf numFmtId="0" fontId="7" fillId="0" borderId="42" xfId="4" applyFont="1" applyBorder="1" applyAlignment="1" applyProtection="1">
      <alignment horizontal="center" vertical="center" wrapText="1"/>
      <protection hidden="1"/>
    </xf>
    <xf numFmtId="0" fontId="7" fillId="0" borderId="42" xfId="4" applyFont="1" applyBorder="1" applyAlignment="1" applyProtection="1">
      <alignment horizontal="center" vertical="center"/>
      <protection hidden="1"/>
    </xf>
    <xf numFmtId="0" fontId="7" fillId="0" borderId="43" xfId="4" applyFont="1" applyBorder="1" applyAlignment="1" applyProtection="1">
      <alignment horizontal="center" vertical="center"/>
      <protection hidden="1"/>
    </xf>
    <xf numFmtId="0" fontId="7" fillId="5" borderId="1" xfId="4" applyFont="1" applyFill="1" applyBorder="1" applyAlignment="1" applyProtection="1">
      <alignment horizontal="center"/>
      <protection hidden="1"/>
    </xf>
    <xf numFmtId="0" fontId="7" fillId="5" borderId="3" xfId="4" applyFont="1" applyFill="1" applyBorder="1" applyAlignment="1" applyProtection="1">
      <alignment horizontal="center"/>
      <protection hidden="1"/>
    </xf>
    <xf numFmtId="0" fontId="5" fillId="5" borderId="9" xfId="4" applyFont="1" applyFill="1" applyBorder="1" applyAlignment="1" applyProtection="1">
      <alignment horizontal="center" wrapText="1"/>
      <protection hidden="1"/>
    </xf>
    <xf numFmtId="0" fontId="5" fillId="5" borderId="2" xfId="4" applyFont="1" applyFill="1" applyBorder="1" applyAlignment="1" applyProtection="1">
      <alignment horizontal="center" wrapText="1"/>
      <protection hidden="1"/>
    </xf>
    <xf numFmtId="0" fontId="6" fillId="5" borderId="0" xfId="4" applyFont="1" applyFill="1" applyBorder="1" applyAlignment="1" applyProtection="1">
      <alignment horizontal="center"/>
      <protection hidden="1"/>
    </xf>
    <xf numFmtId="0" fontId="6" fillId="5" borderId="4" xfId="4" applyFont="1" applyFill="1" applyBorder="1" applyAlignment="1" applyProtection="1">
      <alignment horizontal="center"/>
      <protection hidden="1"/>
    </xf>
    <xf numFmtId="0" fontId="9" fillId="5" borderId="0" xfId="4" applyFont="1" applyFill="1" applyBorder="1" applyAlignment="1" applyProtection="1">
      <alignment horizontal="center" vertical="center" wrapText="1"/>
      <protection hidden="1"/>
    </xf>
    <xf numFmtId="0" fontId="9" fillId="5" borderId="4" xfId="4" applyFont="1" applyFill="1" applyBorder="1" applyAlignment="1" applyProtection="1">
      <alignment horizontal="center" vertical="center" wrapText="1"/>
      <protection hidden="1"/>
    </xf>
    <xf numFmtId="0" fontId="8" fillId="5" borderId="5" xfId="4" applyFont="1" applyFill="1" applyBorder="1" applyAlignment="1" applyProtection="1">
      <alignment horizontal="center" vertical="center" wrapText="1"/>
      <protection hidden="1"/>
    </xf>
    <xf numFmtId="0" fontId="8" fillId="5" borderId="10" xfId="4" applyFont="1" applyFill="1" applyBorder="1" applyAlignment="1" applyProtection="1">
      <alignment horizontal="center" vertical="center" wrapText="1"/>
      <protection hidden="1"/>
    </xf>
    <xf numFmtId="0" fontId="8" fillId="5" borderId="6" xfId="4" applyFont="1" applyFill="1" applyBorder="1" applyAlignment="1" applyProtection="1">
      <alignment horizontal="center" vertical="center" wrapText="1"/>
      <protection hidden="1"/>
    </xf>
    <xf numFmtId="0" fontId="9" fillId="6" borderId="5" xfId="4" applyFont="1" applyFill="1" applyBorder="1" applyAlignment="1" applyProtection="1">
      <alignment horizontal="center" wrapText="1"/>
      <protection hidden="1"/>
    </xf>
    <xf numFmtId="0" fontId="9" fillId="6" borderId="10" xfId="4" applyFont="1" applyFill="1" applyBorder="1" applyAlignment="1" applyProtection="1">
      <alignment horizontal="center" wrapText="1"/>
      <protection hidden="1"/>
    </xf>
    <xf numFmtId="0" fontId="9" fillId="6" borderId="6" xfId="4" applyFont="1" applyFill="1" applyBorder="1" applyAlignment="1" applyProtection="1">
      <alignment horizontal="center" wrapText="1"/>
      <protection hidden="1"/>
    </xf>
    <xf numFmtId="0" fontId="9" fillId="6" borderId="3" xfId="4" applyFont="1" applyFill="1" applyBorder="1" applyAlignment="1" applyProtection="1">
      <alignment horizontal="center" vertical="center" wrapText="1"/>
      <protection hidden="1"/>
    </xf>
    <xf numFmtId="0" fontId="9" fillId="6" borderId="0" xfId="4" applyFont="1" applyFill="1" applyBorder="1" applyAlignment="1" applyProtection="1">
      <alignment horizontal="center" vertical="center" wrapText="1"/>
      <protection hidden="1"/>
    </xf>
    <xf numFmtId="0" fontId="9" fillId="6" borderId="4" xfId="4" applyFont="1" applyFill="1" applyBorder="1" applyAlignment="1" applyProtection="1">
      <alignment horizontal="center" vertical="center" wrapText="1"/>
      <protection hidden="1"/>
    </xf>
    <xf numFmtId="0" fontId="3" fillId="8" borderId="13" xfId="5" applyFont="1" applyFill="1" applyBorder="1" applyAlignment="1" applyProtection="1">
      <alignment horizontal="center" vertical="center"/>
      <protection hidden="1"/>
    </xf>
    <xf numFmtId="0" fontId="3" fillId="8" borderId="14" xfId="5" applyFont="1" applyFill="1" applyBorder="1" applyAlignment="1" applyProtection="1">
      <alignment horizontal="center" vertical="center"/>
      <protection hidden="1"/>
    </xf>
    <xf numFmtId="0" fontId="3" fillId="8" borderId="11" xfId="5" applyFont="1" applyFill="1" applyBorder="1" applyAlignment="1" applyProtection="1">
      <alignment horizontal="center" vertical="center"/>
      <protection hidden="1"/>
    </xf>
    <xf numFmtId="0" fontId="8" fillId="0" borderId="1" xfId="1" applyNumberFormat="1" applyFont="1" applyFill="1" applyBorder="1" applyAlignment="1" applyProtection="1">
      <alignment horizontal="center" vertical="center" wrapText="1"/>
      <protection hidden="1"/>
    </xf>
    <xf numFmtId="0" fontId="8" fillId="0" borderId="9" xfId="1" applyNumberFormat="1" applyFont="1" applyFill="1" applyBorder="1" applyAlignment="1" applyProtection="1">
      <alignment horizontal="center" vertical="center" wrapText="1"/>
      <protection hidden="1"/>
    </xf>
    <xf numFmtId="0" fontId="8" fillId="0" borderId="2" xfId="1" applyNumberFormat="1" applyFont="1" applyFill="1" applyBorder="1" applyAlignment="1" applyProtection="1">
      <alignment horizontal="center" vertical="center" wrapText="1"/>
      <protection hidden="1"/>
    </xf>
    <xf numFmtId="0" fontId="8" fillId="0" borderId="5" xfId="1" applyNumberFormat="1" applyFont="1" applyFill="1" applyBorder="1" applyAlignment="1" applyProtection="1">
      <alignment horizontal="center" vertical="center" wrapText="1"/>
      <protection hidden="1"/>
    </xf>
    <xf numFmtId="0" fontId="8" fillId="0" borderId="10" xfId="1" applyNumberFormat="1" applyFont="1" applyFill="1" applyBorder="1" applyAlignment="1" applyProtection="1">
      <alignment horizontal="center" vertical="center" wrapText="1"/>
      <protection hidden="1"/>
    </xf>
    <xf numFmtId="0" fontId="8" fillId="0" borderId="6" xfId="1" applyNumberFormat="1" applyFont="1" applyFill="1" applyBorder="1" applyAlignment="1" applyProtection="1">
      <alignment horizontal="center" vertical="center" wrapText="1"/>
      <protection hidden="1"/>
    </xf>
    <xf numFmtId="0" fontId="8" fillId="11" borderId="15" xfId="0" applyFont="1" applyFill="1" applyBorder="1" applyAlignment="1" applyProtection="1">
      <alignment horizontal="center" vertical="center"/>
      <protection hidden="1"/>
    </xf>
    <xf numFmtId="0" fontId="8" fillId="11" borderId="7" xfId="0" applyFont="1" applyFill="1" applyBorder="1" applyAlignment="1" applyProtection="1">
      <alignment horizontal="center" vertical="center"/>
      <protection hidden="1"/>
    </xf>
    <xf numFmtId="0" fontId="8" fillId="11" borderId="16" xfId="0" applyFont="1" applyFill="1" applyBorder="1" applyAlignment="1" applyProtection="1">
      <alignment horizontal="center" vertical="center"/>
      <protection hidden="1"/>
    </xf>
    <xf numFmtId="0" fontId="8" fillId="0" borderId="13" xfId="1" applyNumberFormat="1" applyFont="1" applyFill="1" applyBorder="1" applyAlignment="1" applyProtection="1">
      <alignment horizontal="center" vertical="center" wrapText="1"/>
      <protection hidden="1"/>
    </xf>
    <xf numFmtId="0" fontId="8" fillId="0" borderId="11" xfId="1" applyNumberFormat="1" applyFont="1" applyFill="1" applyBorder="1" applyAlignment="1" applyProtection="1">
      <alignment horizontal="center" vertical="center" wrapText="1"/>
      <protection hidden="1"/>
    </xf>
    <xf numFmtId="0" fontId="59" fillId="7" borderId="13" xfId="0" applyFont="1" applyFill="1" applyBorder="1" applyAlignment="1" applyProtection="1">
      <alignment horizontal="center" vertical="center" textRotation="255" wrapText="1"/>
      <protection hidden="1"/>
    </xf>
    <xf numFmtId="0" fontId="59" fillId="7" borderId="14" xfId="0" applyFont="1" applyFill="1" applyBorder="1" applyAlignment="1" applyProtection="1">
      <alignment horizontal="center" vertical="center" textRotation="255" wrapText="1"/>
      <protection hidden="1"/>
    </xf>
    <xf numFmtId="0" fontId="59" fillId="7" borderId="11" xfId="0" applyFont="1" applyFill="1" applyBorder="1" applyAlignment="1" applyProtection="1">
      <alignment horizontal="center" vertical="center" textRotation="255" wrapText="1"/>
      <protection hidden="1"/>
    </xf>
    <xf numFmtId="0" fontId="15" fillId="0" borderId="13" xfId="3" applyNumberFormat="1" applyFont="1" applyFill="1" applyBorder="1" applyAlignment="1" applyProtection="1">
      <alignment horizontal="center" vertical="center" wrapText="1"/>
      <protection hidden="1"/>
    </xf>
    <xf numFmtId="0" fontId="15" fillId="0" borderId="14" xfId="3" applyNumberFormat="1" applyFont="1" applyFill="1" applyBorder="1" applyAlignment="1" applyProtection="1">
      <alignment horizontal="center" vertical="center" wrapText="1"/>
      <protection hidden="1"/>
    </xf>
    <xf numFmtId="0" fontId="15" fillId="0" borderId="11" xfId="3" applyNumberFormat="1" applyFont="1" applyFill="1" applyBorder="1" applyAlignment="1" applyProtection="1">
      <alignment horizontal="center" vertical="center" wrapText="1"/>
      <protection hidden="1"/>
    </xf>
    <xf numFmtId="4" fontId="8" fillId="0" borderId="13" xfId="3" applyNumberFormat="1" applyFont="1" applyFill="1" applyBorder="1" applyAlignment="1" applyProtection="1">
      <alignment horizontal="center" vertical="center" wrapText="1"/>
      <protection hidden="1"/>
    </xf>
    <xf numFmtId="4" fontId="8" fillId="0" borderId="14" xfId="3" applyNumberFormat="1" applyFont="1" applyFill="1" applyBorder="1" applyAlignment="1" applyProtection="1">
      <alignment horizontal="center" vertical="center" wrapText="1"/>
      <protection hidden="1"/>
    </xf>
    <xf numFmtId="4" fontId="8" fillId="0" borderId="11" xfId="3" applyNumberFormat="1" applyFont="1" applyFill="1" applyBorder="1" applyAlignment="1" applyProtection="1">
      <alignment horizontal="center" vertical="center" wrapText="1"/>
      <protection hidden="1"/>
    </xf>
    <xf numFmtId="0" fontId="15" fillId="5" borderId="13" xfId="3" applyNumberFormat="1" applyFont="1" applyFill="1" applyBorder="1" applyAlignment="1" applyProtection="1">
      <alignment horizontal="center" vertical="center" wrapText="1"/>
      <protection hidden="1"/>
    </xf>
    <xf numFmtId="0" fontId="15" fillId="5" borderId="14" xfId="3" applyNumberFormat="1" applyFont="1" applyFill="1" applyBorder="1" applyAlignment="1" applyProtection="1">
      <alignment horizontal="center" vertical="center" wrapText="1"/>
      <protection hidden="1"/>
    </xf>
    <xf numFmtId="0" fontId="15" fillId="5" borderId="11" xfId="3" applyNumberFormat="1" applyFont="1" applyFill="1" applyBorder="1" applyAlignment="1" applyProtection="1">
      <alignment horizontal="center" vertical="center" wrapText="1"/>
      <protection hidden="1"/>
    </xf>
    <xf numFmtId="9" fontId="15" fillId="0" borderId="13" xfId="3" applyNumberFormat="1" applyFont="1" applyFill="1" applyBorder="1" applyAlignment="1" applyProtection="1">
      <alignment horizontal="center" vertical="center" wrapText="1"/>
      <protection hidden="1"/>
    </xf>
    <xf numFmtId="9" fontId="15" fillId="0" borderId="14" xfId="3" applyNumberFormat="1" applyFont="1" applyFill="1" applyBorder="1" applyAlignment="1" applyProtection="1">
      <alignment horizontal="center" vertical="center" wrapText="1"/>
      <protection hidden="1"/>
    </xf>
    <xf numFmtId="9" fontId="15" fillId="0" borderId="11" xfId="3" applyNumberFormat="1" applyFont="1" applyFill="1" applyBorder="1" applyAlignment="1" applyProtection="1">
      <alignment horizontal="center" vertical="center" wrapText="1"/>
      <protection hidden="1"/>
    </xf>
    <xf numFmtId="0" fontId="8" fillId="5" borderId="13" xfId="3" applyFont="1" applyFill="1" applyBorder="1" applyAlignment="1" applyProtection="1">
      <alignment horizontal="center" vertical="center" wrapText="1"/>
      <protection hidden="1"/>
    </xf>
    <xf numFmtId="0" fontId="8" fillId="5" borderId="14" xfId="3" applyFont="1" applyFill="1" applyBorder="1" applyAlignment="1" applyProtection="1">
      <alignment horizontal="center" vertical="center" wrapText="1"/>
      <protection hidden="1"/>
    </xf>
    <xf numFmtId="0" fontId="8" fillId="5" borderId="11" xfId="3" applyFont="1" applyFill="1" applyBorder="1" applyAlignment="1" applyProtection="1">
      <alignment horizontal="center" vertical="center" wrapText="1"/>
      <protection hidden="1"/>
    </xf>
    <xf numFmtId="0" fontId="15" fillId="0" borderId="13" xfId="3" quotePrefix="1" applyFont="1" applyFill="1" applyBorder="1" applyAlignment="1" applyProtection="1">
      <alignment horizontal="center" vertical="center" wrapText="1"/>
      <protection hidden="1"/>
    </xf>
    <xf numFmtId="0" fontId="15" fillId="0" borderId="14" xfId="3" applyFont="1" applyFill="1" applyBorder="1" applyAlignment="1" applyProtection="1">
      <alignment horizontal="center" vertical="center" wrapText="1"/>
      <protection hidden="1"/>
    </xf>
    <xf numFmtId="0" fontId="15" fillId="0" borderId="11" xfId="3" applyFont="1" applyFill="1" applyBorder="1" applyAlignment="1" applyProtection="1">
      <alignment horizontal="center" vertical="center" wrapText="1"/>
      <protection hidden="1"/>
    </xf>
    <xf numFmtId="0" fontId="8" fillId="0" borderId="13" xfId="8" applyNumberFormat="1" applyFont="1" applyFill="1" applyBorder="1" applyAlignment="1" applyProtection="1">
      <alignment horizontal="center" vertical="center" wrapText="1"/>
      <protection hidden="1"/>
    </xf>
    <xf numFmtId="0" fontId="8" fillId="0" borderId="14" xfId="8" applyNumberFormat="1" applyFont="1" applyFill="1" applyBorder="1" applyAlignment="1" applyProtection="1">
      <alignment horizontal="center" vertical="center" wrapText="1"/>
      <protection hidden="1"/>
    </xf>
    <xf numFmtId="0" fontId="8" fillId="0" borderId="11" xfId="8" applyNumberFormat="1" applyFont="1" applyFill="1" applyBorder="1" applyAlignment="1" applyProtection="1">
      <alignment horizontal="center" vertical="center" wrapText="1"/>
      <protection hidden="1"/>
    </xf>
    <xf numFmtId="4" fontId="8" fillId="10" borderId="13" xfId="3" applyNumberFormat="1" applyFont="1" applyFill="1" applyBorder="1" applyAlignment="1" applyProtection="1">
      <alignment horizontal="center" vertical="center" wrapText="1"/>
      <protection hidden="1"/>
    </xf>
    <xf numFmtId="4" fontId="8" fillId="10" borderId="14" xfId="3" applyNumberFormat="1" applyFont="1" applyFill="1" applyBorder="1" applyAlignment="1" applyProtection="1">
      <alignment horizontal="center" vertical="center" wrapText="1"/>
      <protection hidden="1"/>
    </xf>
    <xf numFmtId="4" fontId="8" fillId="10" borderId="11" xfId="3" applyNumberFormat="1" applyFont="1" applyFill="1" applyBorder="1" applyAlignment="1" applyProtection="1">
      <alignment horizontal="center" vertical="center" wrapText="1"/>
      <protection hidden="1"/>
    </xf>
    <xf numFmtId="0" fontId="8" fillId="0" borderId="8" xfId="8" applyNumberFormat="1" applyFont="1" applyFill="1" applyBorder="1" applyAlignment="1" applyProtection="1">
      <alignment horizontal="center" vertical="center" wrapText="1"/>
      <protection hidden="1"/>
    </xf>
    <xf numFmtId="9" fontId="8" fillId="5" borderId="13" xfId="3" applyNumberFormat="1" applyFont="1" applyFill="1" applyBorder="1" applyAlignment="1" applyProtection="1">
      <alignment horizontal="center" vertical="center" wrapText="1"/>
      <protection hidden="1"/>
    </xf>
    <xf numFmtId="9" fontId="8" fillId="5" borderId="11" xfId="3" applyNumberFormat="1" applyFont="1" applyFill="1" applyBorder="1" applyAlignment="1" applyProtection="1">
      <alignment horizontal="center" vertical="center" wrapText="1"/>
      <protection hidden="1"/>
    </xf>
    <xf numFmtId="0" fontId="15" fillId="2" borderId="13" xfId="3" applyNumberFormat="1" applyFont="1" applyFill="1" applyBorder="1" applyAlignment="1" applyProtection="1">
      <alignment horizontal="center" vertical="center" wrapText="1"/>
      <protection hidden="1"/>
    </xf>
    <xf numFmtId="0" fontId="15" fillId="2" borderId="14" xfId="3" applyNumberFormat="1" applyFont="1" applyFill="1" applyBorder="1" applyAlignment="1" applyProtection="1">
      <alignment horizontal="center" vertical="center" wrapText="1"/>
      <protection hidden="1"/>
    </xf>
    <xf numFmtId="0" fontId="15" fillId="2" borderId="11" xfId="3" applyNumberFormat="1" applyFont="1" applyFill="1" applyBorder="1" applyAlignment="1" applyProtection="1">
      <alignment horizontal="center" vertical="center" wrapText="1"/>
      <protection hidden="1"/>
    </xf>
    <xf numFmtId="4" fontId="8" fillId="2" borderId="13" xfId="3" applyNumberFormat="1" applyFont="1" applyFill="1" applyBorder="1" applyAlignment="1" applyProtection="1">
      <alignment horizontal="center" vertical="center" wrapText="1"/>
      <protection hidden="1"/>
    </xf>
    <xf numFmtId="4" fontId="8" fillId="2" borderId="14" xfId="3" applyNumberFormat="1" applyFont="1" applyFill="1" applyBorder="1" applyAlignment="1" applyProtection="1">
      <alignment horizontal="center" vertical="center" wrapText="1"/>
      <protection hidden="1"/>
    </xf>
    <xf numFmtId="4" fontId="8" fillId="2" borderId="11" xfId="3" applyNumberFormat="1" applyFont="1" applyFill="1" applyBorder="1" applyAlignment="1" applyProtection="1">
      <alignment horizontal="center" vertical="center" wrapText="1"/>
      <protection hidden="1"/>
    </xf>
    <xf numFmtId="9" fontId="15" fillId="2" borderId="13" xfId="3" applyNumberFormat="1" applyFont="1" applyFill="1" applyBorder="1" applyAlignment="1" applyProtection="1">
      <alignment horizontal="center" vertical="center" wrapText="1"/>
      <protection hidden="1"/>
    </xf>
    <xf numFmtId="9" fontId="15" fillId="2" borderId="14" xfId="3" applyNumberFormat="1" applyFont="1" applyFill="1" applyBorder="1" applyAlignment="1" applyProtection="1">
      <alignment horizontal="center" vertical="center" wrapText="1"/>
      <protection hidden="1"/>
    </xf>
    <xf numFmtId="9" fontId="15" fillId="2" borderId="11" xfId="3" applyNumberFormat="1" applyFont="1" applyFill="1" applyBorder="1" applyAlignment="1" applyProtection="1">
      <alignment horizontal="center" vertical="center" wrapText="1"/>
      <protection hidden="1"/>
    </xf>
    <xf numFmtId="0" fontId="8" fillId="7" borderId="13" xfId="3" applyNumberFormat="1" applyFont="1" applyFill="1" applyBorder="1" applyAlignment="1" applyProtection="1">
      <alignment horizontal="center" vertical="center" wrapText="1"/>
      <protection hidden="1"/>
    </xf>
    <xf numFmtId="0" fontId="8" fillId="7" borderId="11" xfId="3" applyNumberFormat="1" applyFont="1" applyFill="1" applyBorder="1" applyAlignment="1" applyProtection="1">
      <alignment horizontal="center" vertical="center" wrapText="1"/>
      <protection hidden="1"/>
    </xf>
    <xf numFmtId="9" fontId="8" fillId="7" borderId="15" xfId="3" applyNumberFormat="1" applyFont="1" applyFill="1" applyBorder="1" applyAlignment="1" applyProtection="1">
      <alignment horizontal="center" vertical="center" wrapText="1"/>
      <protection hidden="1"/>
    </xf>
    <xf numFmtId="9" fontId="8" fillId="7" borderId="7" xfId="3" applyNumberFormat="1" applyFont="1" applyFill="1" applyBorder="1" applyAlignment="1" applyProtection="1">
      <alignment horizontal="center" vertical="center" wrapText="1"/>
      <protection hidden="1"/>
    </xf>
    <xf numFmtId="9" fontId="8" fillId="7" borderId="16" xfId="3" applyNumberFormat="1" applyFont="1" applyFill="1" applyBorder="1" applyAlignment="1" applyProtection="1">
      <alignment horizontal="center" vertical="center" wrapText="1"/>
      <protection hidden="1"/>
    </xf>
    <xf numFmtId="167" fontId="8" fillId="0" borderId="13" xfId="8" applyFont="1" applyFill="1" applyBorder="1" applyAlignment="1" applyProtection="1">
      <alignment horizontal="center" vertical="center" wrapText="1"/>
      <protection hidden="1"/>
    </xf>
    <xf numFmtId="167" fontId="8" fillId="0" borderId="14" xfId="8" applyFont="1" applyFill="1" applyBorder="1" applyAlignment="1" applyProtection="1">
      <alignment horizontal="center" vertical="center" wrapText="1"/>
      <protection hidden="1"/>
    </xf>
    <xf numFmtId="167" fontId="8" fillId="0" borderId="11" xfId="8" applyFont="1" applyFill="1" applyBorder="1" applyAlignment="1" applyProtection="1">
      <alignment horizontal="center" vertical="center" wrapText="1"/>
      <protection hidden="1"/>
    </xf>
    <xf numFmtId="0" fontId="59" fillId="7" borderId="15" xfId="0" applyFont="1" applyFill="1" applyBorder="1" applyAlignment="1" applyProtection="1">
      <alignment horizontal="center" vertical="center" wrapText="1"/>
      <protection hidden="1"/>
    </xf>
    <xf numFmtId="0" fontId="59" fillId="7" borderId="7" xfId="0" applyFont="1" applyFill="1" applyBorder="1" applyAlignment="1" applyProtection="1">
      <alignment horizontal="center" vertical="center" wrapText="1"/>
      <protection hidden="1"/>
    </xf>
    <xf numFmtId="0" fontId="59" fillId="7" borderId="16" xfId="0" applyFont="1" applyFill="1" applyBorder="1" applyAlignment="1" applyProtection="1">
      <alignment horizontal="center" vertical="center" wrapText="1"/>
      <protection hidden="1"/>
    </xf>
    <xf numFmtId="0" fontId="59" fillId="9" borderId="15" xfId="0" applyNumberFormat="1" applyFont="1" applyFill="1" applyBorder="1" applyAlignment="1" applyProtection="1">
      <alignment horizontal="center" vertical="center" wrapText="1"/>
      <protection hidden="1"/>
    </xf>
    <xf numFmtId="0" fontId="59" fillId="9" borderId="7" xfId="0" applyNumberFormat="1" applyFont="1" applyFill="1" applyBorder="1" applyAlignment="1" applyProtection="1">
      <alignment horizontal="center" vertical="center" wrapText="1"/>
      <protection hidden="1"/>
    </xf>
    <xf numFmtId="0" fontId="59" fillId="9" borderId="16" xfId="0" applyNumberFormat="1" applyFont="1" applyFill="1" applyBorder="1" applyAlignment="1" applyProtection="1">
      <alignment horizontal="center" vertical="center" wrapText="1"/>
      <protection hidden="1"/>
    </xf>
    <xf numFmtId="0" fontId="59" fillId="6" borderId="15" xfId="0" applyNumberFormat="1" applyFont="1" applyFill="1" applyBorder="1" applyAlignment="1" applyProtection="1">
      <alignment horizontal="center" vertical="center" wrapText="1"/>
      <protection hidden="1"/>
    </xf>
    <xf numFmtId="0" fontId="59" fillId="6" borderId="7" xfId="0" applyNumberFormat="1" applyFont="1" applyFill="1" applyBorder="1" applyAlignment="1" applyProtection="1">
      <alignment horizontal="center" vertical="center" wrapText="1"/>
      <protection hidden="1"/>
    </xf>
    <xf numFmtId="0" fontId="59" fillId="6" borderId="16" xfId="0" applyNumberFormat="1" applyFont="1" applyFill="1" applyBorder="1" applyAlignment="1" applyProtection="1">
      <alignment horizontal="center" vertical="center" wrapText="1"/>
      <protection hidden="1"/>
    </xf>
    <xf numFmtId="0" fontId="14" fillId="7" borderId="13" xfId="0" applyFont="1" applyFill="1" applyBorder="1" applyAlignment="1" applyProtection="1">
      <alignment horizontal="center" vertical="center" textRotation="255" wrapText="1"/>
      <protection hidden="1"/>
    </xf>
    <xf numFmtId="0" fontId="14" fillId="7" borderId="11" xfId="0" applyFont="1" applyFill="1" applyBorder="1" applyAlignment="1" applyProtection="1">
      <alignment horizontal="center" vertical="center" textRotation="255" wrapText="1"/>
      <protection hidden="1"/>
    </xf>
    <xf numFmtId="0" fontId="8" fillId="7" borderId="15" xfId="3" applyNumberFormat="1" applyFont="1" applyFill="1" applyBorder="1" applyAlignment="1" applyProtection="1">
      <alignment horizontal="center" vertical="center" wrapText="1"/>
      <protection hidden="1"/>
    </xf>
    <xf numFmtId="0" fontId="8" fillId="7" borderId="7" xfId="3" applyNumberFormat="1" applyFont="1" applyFill="1" applyBorder="1" applyAlignment="1" applyProtection="1">
      <alignment horizontal="center" vertical="center" wrapText="1"/>
      <protection hidden="1"/>
    </xf>
    <xf numFmtId="0" fontId="8" fillId="7" borderId="16" xfId="3" applyNumberFormat="1" applyFont="1" applyFill="1" applyBorder="1" applyAlignment="1" applyProtection="1">
      <alignment horizontal="center" vertical="center" wrapText="1"/>
      <protection hidden="1"/>
    </xf>
    <xf numFmtId="0" fontId="26" fillId="2" borderId="15" xfId="3" applyNumberFormat="1" applyFont="1" applyFill="1" applyBorder="1" applyAlignment="1" applyProtection="1">
      <alignment horizontal="center" vertical="center" wrapText="1"/>
      <protection hidden="1"/>
    </xf>
    <xf numFmtId="0" fontId="26" fillId="2" borderId="7" xfId="3" applyNumberFormat="1" applyFont="1" applyFill="1" applyBorder="1" applyAlignment="1" applyProtection="1">
      <alignment horizontal="center" vertical="center" wrapText="1"/>
      <protection hidden="1"/>
    </xf>
    <xf numFmtId="0" fontId="26" fillId="2" borderId="16" xfId="3" applyNumberFormat="1" applyFont="1" applyFill="1" applyBorder="1" applyAlignment="1" applyProtection="1">
      <alignment horizontal="center" vertical="center" wrapText="1"/>
      <protection hidden="1"/>
    </xf>
    <xf numFmtId="0" fontId="15" fillId="9" borderId="15" xfId="3" applyFont="1" applyFill="1" applyBorder="1" applyAlignment="1" applyProtection="1">
      <alignment horizontal="center" vertical="center" wrapText="1"/>
      <protection hidden="1"/>
    </xf>
    <xf numFmtId="0" fontId="15" fillId="9" borderId="7" xfId="3" applyFont="1" applyFill="1" applyBorder="1" applyAlignment="1" applyProtection="1">
      <alignment horizontal="center" vertical="center" wrapText="1"/>
      <protection hidden="1"/>
    </xf>
    <xf numFmtId="0" fontId="15" fillId="9" borderId="16" xfId="3" applyFont="1" applyFill="1" applyBorder="1" applyAlignment="1" applyProtection="1">
      <alignment horizontal="center" vertical="center" wrapText="1"/>
      <protection hidden="1"/>
    </xf>
    <xf numFmtId="0" fontId="15" fillId="0" borderId="0" xfId="3" applyFont="1" applyFill="1" applyAlignment="1" applyProtection="1">
      <alignment horizontal="left" vertical="center" wrapText="1"/>
      <protection hidden="1"/>
    </xf>
    <xf numFmtId="167" fontId="8" fillId="7" borderId="15" xfId="8" applyFont="1" applyFill="1" applyBorder="1" applyAlignment="1" applyProtection="1">
      <alignment horizontal="center" vertical="center" wrapText="1"/>
      <protection hidden="1"/>
    </xf>
    <xf numFmtId="167" fontId="8" fillId="7" borderId="16" xfId="8" applyFont="1" applyFill="1" applyBorder="1" applyAlignment="1" applyProtection="1">
      <alignment horizontal="center" vertical="center" wrapText="1"/>
      <protection hidden="1"/>
    </xf>
    <xf numFmtId="168" fontId="8" fillId="7" borderId="8" xfId="8" applyNumberFormat="1" applyFont="1" applyFill="1" applyBorder="1" applyAlignment="1" applyProtection="1">
      <alignment horizontal="center" vertical="center" wrapText="1"/>
      <protection hidden="1"/>
    </xf>
    <xf numFmtId="167" fontId="8" fillId="7" borderId="8" xfId="8" applyFont="1" applyFill="1" applyBorder="1" applyAlignment="1" applyProtection="1">
      <alignment horizontal="center" vertical="center" wrapText="1"/>
      <protection hidden="1"/>
    </xf>
    <xf numFmtId="165" fontId="8" fillId="9" borderId="15" xfId="8" applyNumberFormat="1" applyFont="1" applyFill="1" applyBorder="1" applyAlignment="1" applyProtection="1">
      <alignment horizontal="center" vertical="center" wrapText="1"/>
      <protection hidden="1"/>
    </xf>
    <xf numFmtId="165" fontId="8" fillId="9" borderId="16" xfId="8" applyNumberFormat="1" applyFont="1" applyFill="1" applyBorder="1" applyAlignment="1" applyProtection="1">
      <alignment horizontal="center" vertical="center" wrapText="1"/>
      <protection hidden="1"/>
    </xf>
    <xf numFmtId="166" fontId="8" fillId="9" borderId="8" xfId="8" applyNumberFormat="1" applyFont="1" applyFill="1" applyBorder="1" applyAlignment="1" applyProtection="1">
      <alignment horizontal="center" vertical="center" wrapText="1"/>
      <protection hidden="1"/>
    </xf>
    <xf numFmtId="0" fontId="8" fillId="9" borderId="15" xfId="9" applyFont="1" applyFill="1" applyBorder="1" applyAlignment="1" applyProtection="1">
      <alignment horizontal="center" vertical="center"/>
      <protection hidden="1"/>
    </xf>
    <xf numFmtId="0" fontId="8" fillId="9" borderId="7" xfId="9" applyFont="1" applyFill="1" applyBorder="1" applyAlignment="1" applyProtection="1">
      <alignment horizontal="center" vertical="center"/>
      <protection hidden="1"/>
    </xf>
    <xf numFmtId="0" fontId="8" fillId="9" borderId="16" xfId="9" applyFont="1" applyFill="1" applyBorder="1" applyAlignment="1" applyProtection="1">
      <alignment horizontal="center" vertical="center"/>
      <protection hidden="1"/>
    </xf>
    <xf numFmtId="14" fontId="15" fillId="0" borderId="13" xfId="3" applyNumberFormat="1" applyFont="1" applyFill="1" applyBorder="1" applyAlignment="1" applyProtection="1">
      <alignment horizontal="center" vertical="center" wrapText="1"/>
      <protection hidden="1"/>
    </xf>
    <xf numFmtId="14" fontId="15" fillId="2" borderId="13" xfId="3" applyNumberFormat="1" applyFont="1" applyFill="1" applyBorder="1" applyAlignment="1" applyProtection="1">
      <alignment horizontal="center" vertical="center" wrapText="1"/>
      <protection hidden="1"/>
    </xf>
    <xf numFmtId="0" fontId="26" fillId="0" borderId="1" xfId="1" applyNumberFormat="1" applyFont="1" applyFill="1" applyBorder="1" applyAlignment="1" applyProtection="1">
      <alignment horizontal="center" vertical="center" wrapText="1"/>
      <protection hidden="1"/>
    </xf>
    <xf numFmtId="0" fontId="26" fillId="0" borderId="9" xfId="1" applyNumberFormat="1" applyFont="1" applyFill="1" applyBorder="1" applyAlignment="1" applyProtection="1">
      <alignment horizontal="center" vertical="center" wrapText="1"/>
      <protection hidden="1"/>
    </xf>
    <xf numFmtId="0" fontId="26" fillId="0" borderId="2" xfId="1" applyNumberFormat="1" applyFont="1" applyFill="1" applyBorder="1" applyAlignment="1" applyProtection="1">
      <alignment horizontal="center" vertical="center" wrapText="1"/>
      <protection hidden="1"/>
    </xf>
    <xf numFmtId="0" fontId="26" fillId="0" borderId="5" xfId="1" applyNumberFormat="1" applyFont="1" applyFill="1" applyBorder="1" applyAlignment="1" applyProtection="1">
      <alignment horizontal="center" vertical="center" wrapText="1"/>
      <protection hidden="1"/>
    </xf>
    <xf numFmtId="0" fontId="26" fillId="0" borderId="10" xfId="1" applyNumberFormat="1" applyFont="1" applyFill="1" applyBorder="1" applyAlignment="1" applyProtection="1">
      <alignment horizontal="center" vertical="center" wrapText="1"/>
      <protection hidden="1"/>
    </xf>
    <xf numFmtId="0" fontId="26" fillId="0" borderId="6" xfId="1" applyNumberFormat="1" applyFont="1" applyFill="1" applyBorder="1" applyAlignment="1" applyProtection="1">
      <alignment horizontal="center" vertical="center" wrapText="1"/>
      <protection hidden="1"/>
    </xf>
    <xf numFmtId="0" fontId="6" fillId="11" borderId="15" xfId="0" applyFont="1" applyFill="1" applyBorder="1" applyAlignment="1" applyProtection="1">
      <alignment horizontal="center" vertical="center"/>
      <protection hidden="1"/>
    </xf>
    <xf numFmtId="0" fontId="6" fillId="11" borderId="7" xfId="0" applyFont="1" applyFill="1" applyBorder="1" applyAlignment="1" applyProtection="1">
      <alignment horizontal="center" vertical="center"/>
      <protection hidden="1"/>
    </xf>
    <xf numFmtId="0" fontId="6" fillId="11" borderId="16" xfId="0" applyFont="1" applyFill="1" applyBorder="1" applyAlignment="1" applyProtection="1">
      <alignment horizontal="center" vertical="center"/>
      <protection hidden="1"/>
    </xf>
    <xf numFmtId="0" fontId="26" fillId="0" borderId="13" xfId="1" applyNumberFormat="1" applyFont="1" applyFill="1" applyBorder="1" applyAlignment="1" applyProtection="1">
      <alignment horizontal="center" vertical="center" wrapText="1"/>
      <protection hidden="1"/>
    </xf>
    <xf numFmtId="0" fontId="26" fillId="0" borderId="11" xfId="1" applyNumberFormat="1" applyFont="1" applyFill="1" applyBorder="1" applyAlignment="1" applyProtection="1">
      <alignment horizontal="center" vertical="center" wrapText="1"/>
      <protection hidden="1"/>
    </xf>
    <xf numFmtId="0" fontId="7" fillId="5" borderId="13" xfId="3" applyNumberFormat="1" applyFont="1" applyFill="1" applyBorder="1" applyAlignment="1" applyProtection="1">
      <alignment horizontal="center" vertical="center" wrapText="1"/>
      <protection hidden="1"/>
    </xf>
    <xf numFmtId="0" fontId="7" fillId="5" borderId="14" xfId="3" applyNumberFormat="1" applyFont="1" applyFill="1" applyBorder="1" applyAlignment="1" applyProtection="1">
      <alignment horizontal="center" vertical="center" wrapText="1"/>
      <protection hidden="1"/>
    </xf>
    <xf numFmtId="0" fontId="7" fillId="5" borderId="11" xfId="3" applyNumberFormat="1" applyFont="1" applyFill="1" applyBorder="1" applyAlignment="1" applyProtection="1">
      <alignment horizontal="center" vertical="center" wrapText="1"/>
      <protection hidden="1"/>
    </xf>
    <xf numFmtId="9" fontId="7" fillId="0" borderId="13" xfId="3" applyNumberFormat="1" applyFont="1" applyFill="1" applyBorder="1" applyAlignment="1" applyProtection="1">
      <alignment horizontal="center" vertical="center" wrapText="1"/>
      <protection hidden="1"/>
    </xf>
    <xf numFmtId="9" fontId="7" fillId="0" borderId="14" xfId="3" applyNumberFormat="1" applyFont="1" applyFill="1" applyBorder="1" applyAlignment="1" applyProtection="1">
      <alignment horizontal="center" vertical="center" wrapText="1"/>
      <protection hidden="1"/>
    </xf>
    <xf numFmtId="9" fontId="7" fillId="0" borderId="11" xfId="3" applyNumberFormat="1" applyFont="1" applyFill="1" applyBorder="1" applyAlignment="1" applyProtection="1">
      <alignment horizontal="center" vertical="center" wrapText="1"/>
      <protection hidden="1"/>
    </xf>
    <xf numFmtId="0" fontId="9" fillId="5" borderId="13" xfId="3" applyFont="1" applyFill="1" applyBorder="1" applyAlignment="1" applyProtection="1">
      <alignment horizontal="center" vertical="center" wrapText="1"/>
      <protection hidden="1"/>
    </xf>
    <xf numFmtId="0" fontId="9" fillId="5" borderId="14" xfId="3" applyFont="1" applyFill="1" applyBorder="1" applyAlignment="1" applyProtection="1">
      <alignment horizontal="center" vertical="center" wrapText="1"/>
      <protection hidden="1"/>
    </xf>
    <xf numFmtId="0" fontId="9" fillId="5" borderId="11" xfId="3" applyFont="1" applyFill="1" applyBorder="1" applyAlignment="1" applyProtection="1">
      <alignment horizontal="center" vertical="center" wrapText="1"/>
      <protection hidden="1"/>
    </xf>
    <xf numFmtId="0" fontId="7" fillId="0" borderId="13" xfId="3" quotePrefix="1" applyFont="1" applyFill="1" applyBorder="1" applyAlignment="1" applyProtection="1">
      <alignment horizontal="center" vertical="center" wrapText="1"/>
      <protection hidden="1"/>
    </xf>
    <xf numFmtId="0" fontId="7" fillId="0" borderId="14" xfId="3" applyFont="1" applyFill="1" applyBorder="1" applyAlignment="1" applyProtection="1">
      <alignment horizontal="center" vertical="center" wrapText="1"/>
      <protection hidden="1"/>
    </xf>
    <xf numFmtId="0" fontId="7" fillId="0" borderId="11" xfId="3" applyFont="1" applyFill="1" applyBorder="1" applyAlignment="1" applyProtection="1">
      <alignment horizontal="center" vertical="center" wrapText="1"/>
      <protection hidden="1"/>
    </xf>
    <xf numFmtId="0" fontId="24" fillId="7" borderId="13" xfId="0" applyFont="1" applyFill="1" applyBorder="1" applyAlignment="1" applyProtection="1">
      <alignment horizontal="center" vertical="center" textRotation="255" wrapText="1"/>
      <protection hidden="1"/>
    </xf>
    <xf numFmtId="0" fontId="24" fillId="7" borderId="14" xfId="0" applyFont="1" applyFill="1" applyBorder="1" applyAlignment="1" applyProtection="1">
      <alignment horizontal="center" vertical="center" textRotation="255" wrapText="1"/>
      <protection hidden="1"/>
    </xf>
    <xf numFmtId="0" fontId="24" fillId="7" borderId="11" xfId="0" applyFont="1" applyFill="1" applyBorder="1" applyAlignment="1" applyProtection="1">
      <alignment horizontal="center" vertical="center" textRotation="255" wrapText="1"/>
      <protection hidden="1"/>
    </xf>
    <xf numFmtId="0" fontId="7" fillId="0" borderId="13" xfId="3" applyNumberFormat="1" applyFont="1" applyFill="1" applyBorder="1" applyAlignment="1" applyProtection="1">
      <alignment horizontal="center" vertical="center" wrapText="1"/>
      <protection hidden="1"/>
    </xf>
    <xf numFmtId="0" fontId="7" fillId="0" borderId="14" xfId="3" applyNumberFormat="1" applyFont="1" applyFill="1" applyBorder="1" applyAlignment="1" applyProtection="1">
      <alignment horizontal="center" vertical="center" wrapText="1"/>
      <protection hidden="1"/>
    </xf>
    <xf numFmtId="0" fontId="7" fillId="0" borderId="11" xfId="3" applyNumberFormat="1" applyFont="1" applyFill="1" applyBorder="1" applyAlignment="1" applyProtection="1">
      <alignment horizontal="center" vertical="center" wrapText="1"/>
      <protection hidden="1"/>
    </xf>
    <xf numFmtId="4" fontId="9" fillId="0" borderId="13" xfId="3" applyNumberFormat="1" applyFont="1" applyFill="1" applyBorder="1" applyAlignment="1" applyProtection="1">
      <alignment horizontal="center" vertical="center" wrapText="1"/>
      <protection hidden="1"/>
    </xf>
    <xf numFmtId="4" fontId="9" fillId="0" borderId="14" xfId="3" applyNumberFormat="1" applyFont="1" applyFill="1" applyBorder="1" applyAlignment="1" applyProtection="1">
      <alignment horizontal="center" vertical="center" wrapText="1"/>
      <protection hidden="1"/>
    </xf>
    <xf numFmtId="4" fontId="9" fillId="0" borderId="11" xfId="3" applyNumberFormat="1" applyFont="1" applyFill="1" applyBorder="1" applyAlignment="1" applyProtection="1">
      <alignment horizontal="center" vertical="center" wrapText="1"/>
      <protection hidden="1"/>
    </xf>
    <xf numFmtId="4" fontId="6" fillId="10" borderId="13" xfId="3" applyNumberFormat="1" applyFont="1" applyFill="1" applyBorder="1" applyAlignment="1" applyProtection="1">
      <alignment horizontal="center" vertical="center" wrapText="1"/>
      <protection hidden="1"/>
    </xf>
    <xf numFmtId="4" fontId="6" fillId="10" borderId="14" xfId="3" applyNumberFormat="1" applyFont="1" applyFill="1" applyBorder="1" applyAlignment="1" applyProtection="1">
      <alignment horizontal="center" vertical="center" wrapText="1"/>
      <protection hidden="1"/>
    </xf>
    <xf numFmtId="4" fontId="6" fillId="10" borderId="11" xfId="3" applyNumberFormat="1" applyFont="1" applyFill="1" applyBorder="1" applyAlignment="1" applyProtection="1">
      <alignment horizontal="center" vertical="center" wrapText="1"/>
      <protection hidden="1"/>
    </xf>
    <xf numFmtId="0" fontId="7" fillId="2" borderId="13" xfId="3" applyNumberFormat="1" applyFont="1" applyFill="1" applyBorder="1" applyAlignment="1" applyProtection="1">
      <alignment horizontal="center" vertical="center" wrapText="1"/>
      <protection hidden="1"/>
    </xf>
    <xf numFmtId="0" fontId="7" fillId="2" borderId="14" xfId="3" applyNumberFormat="1" applyFont="1" applyFill="1" applyBorder="1" applyAlignment="1" applyProtection="1">
      <alignment horizontal="center" vertical="center" wrapText="1"/>
      <protection hidden="1"/>
    </xf>
    <xf numFmtId="0" fontId="7" fillId="2" borderId="11" xfId="3" applyNumberFormat="1" applyFont="1" applyFill="1" applyBorder="1" applyAlignment="1" applyProtection="1">
      <alignment horizontal="center" vertical="center" wrapText="1"/>
      <protection hidden="1"/>
    </xf>
    <xf numFmtId="0" fontId="26" fillId="0" borderId="8" xfId="8" applyNumberFormat="1" applyFont="1" applyFill="1" applyBorder="1" applyAlignment="1" applyProtection="1">
      <alignment horizontal="center" vertical="center" wrapText="1"/>
      <protection hidden="1"/>
    </xf>
    <xf numFmtId="9" fontId="9" fillId="5" borderId="13" xfId="3" applyNumberFormat="1" applyFont="1" applyFill="1" applyBorder="1" applyAlignment="1" applyProtection="1">
      <alignment horizontal="center" vertical="center" wrapText="1"/>
      <protection hidden="1"/>
    </xf>
    <xf numFmtId="9" fontId="9" fillId="5" borderId="11" xfId="3" applyNumberFormat="1" applyFont="1" applyFill="1" applyBorder="1" applyAlignment="1" applyProtection="1">
      <alignment horizontal="center" vertical="center" wrapText="1"/>
      <protection hidden="1"/>
    </xf>
    <xf numFmtId="0" fontId="9" fillId="0" borderId="13" xfId="8" applyNumberFormat="1" applyFont="1" applyFill="1" applyBorder="1" applyAlignment="1" applyProtection="1">
      <alignment horizontal="center" vertical="center" wrapText="1"/>
      <protection hidden="1"/>
    </xf>
    <xf numFmtId="0" fontId="9" fillId="0" borderId="11" xfId="8" applyNumberFormat="1" applyFont="1" applyFill="1" applyBorder="1" applyAlignment="1" applyProtection="1">
      <alignment horizontal="center" vertical="center" wrapText="1"/>
      <protection hidden="1"/>
    </xf>
    <xf numFmtId="4" fontId="9" fillId="2" borderId="13" xfId="3" applyNumberFormat="1" applyFont="1" applyFill="1" applyBorder="1" applyAlignment="1" applyProtection="1">
      <alignment horizontal="center" vertical="center" wrapText="1"/>
      <protection hidden="1"/>
    </xf>
    <xf numFmtId="4" fontId="9" fillId="2" borderId="14" xfId="3" applyNumberFormat="1" applyFont="1" applyFill="1" applyBorder="1" applyAlignment="1" applyProtection="1">
      <alignment horizontal="center" vertical="center" wrapText="1"/>
      <protection hidden="1"/>
    </xf>
    <xf numFmtId="4" fontId="9" fillId="2" borderId="11" xfId="3" applyNumberFormat="1" applyFont="1" applyFill="1" applyBorder="1" applyAlignment="1" applyProtection="1">
      <alignment horizontal="center" vertical="center" wrapText="1"/>
      <protection hidden="1"/>
    </xf>
    <xf numFmtId="9" fontId="7" fillId="2" borderId="13" xfId="3" applyNumberFormat="1" applyFont="1" applyFill="1" applyBorder="1" applyAlignment="1" applyProtection="1">
      <alignment horizontal="center" vertical="center" wrapText="1"/>
      <protection hidden="1"/>
    </xf>
    <xf numFmtId="9" fontId="7" fillId="2" borderId="14" xfId="3" applyNumberFormat="1" applyFont="1" applyFill="1" applyBorder="1" applyAlignment="1" applyProtection="1">
      <alignment horizontal="center" vertical="center" wrapText="1"/>
      <protection hidden="1"/>
    </xf>
    <xf numFmtId="9" fontId="7" fillId="2" borderId="11" xfId="3" applyNumberFormat="1" applyFont="1" applyFill="1" applyBorder="1" applyAlignment="1" applyProtection="1">
      <alignment horizontal="center" vertical="center" wrapText="1"/>
      <protection hidden="1"/>
    </xf>
    <xf numFmtId="167" fontId="25" fillId="0" borderId="13" xfId="8" applyFont="1" applyFill="1" applyBorder="1" applyAlignment="1" applyProtection="1">
      <alignment horizontal="center" vertical="center" wrapText="1"/>
      <protection hidden="1"/>
    </xf>
    <xf numFmtId="167" fontId="25" fillId="0" borderId="14" xfId="8" applyFont="1" applyFill="1" applyBorder="1" applyAlignment="1" applyProtection="1">
      <alignment horizontal="center" vertical="center" wrapText="1"/>
      <protection hidden="1"/>
    </xf>
    <xf numFmtId="167" fontId="25" fillId="0" borderId="11" xfId="8" applyFont="1" applyFill="1" applyBorder="1" applyAlignment="1" applyProtection="1">
      <alignment horizontal="center" vertical="center" wrapText="1"/>
      <protection hidden="1"/>
    </xf>
    <xf numFmtId="0" fontId="9" fillId="7" borderId="13" xfId="3" applyNumberFormat="1" applyFont="1" applyFill="1" applyBorder="1" applyAlignment="1" applyProtection="1">
      <alignment horizontal="center" vertical="center" wrapText="1"/>
      <protection hidden="1"/>
    </xf>
    <xf numFmtId="0" fontId="9" fillId="7" borderId="11" xfId="3" applyNumberFormat="1" applyFont="1" applyFill="1" applyBorder="1" applyAlignment="1" applyProtection="1">
      <alignment horizontal="center" vertical="center" wrapText="1"/>
      <protection hidden="1"/>
    </xf>
    <xf numFmtId="9" fontId="9" fillId="7" borderId="15" xfId="3" applyNumberFormat="1" applyFont="1" applyFill="1" applyBorder="1" applyAlignment="1" applyProtection="1">
      <alignment horizontal="center" vertical="center" wrapText="1"/>
      <protection hidden="1"/>
    </xf>
    <xf numFmtId="9" fontId="9" fillId="7" borderId="7" xfId="3" applyNumberFormat="1" applyFont="1" applyFill="1" applyBorder="1" applyAlignment="1" applyProtection="1">
      <alignment horizontal="center" vertical="center" wrapText="1"/>
      <protection hidden="1"/>
    </xf>
    <xf numFmtId="9" fontId="9" fillId="7" borderId="16" xfId="3" applyNumberFormat="1" applyFont="1" applyFill="1" applyBorder="1" applyAlignment="1" applyProtection="1">
      <alignment horizontal="center" vertical="center" wrapText="1"/>
      <protection hidden="1"/>
    </xf>
    <xf numFmtId="0" fontId="9" fillId="7" borderId="15" xfId="3" applyNumberFormat="1" applyFont="1" applyFill="1" applyBorder="1" applyAlignment="1" applyProtection="1">
      <alignment horizontal="center" vertical="center" wrapText="1"/>
      <protection hidden="1"/>
    </xf>
    <xf numFmtId="0" fontId="9" fillId="7" borderId="7" xfId="3" applyNumberFormat="1" applyFont="1" applyFill="1" applyBorder="1" applyAlignment="1" applyProtection="1">
      <alignment horizontal="center" vertical="center" wrapText="1"/>
      <protection hidden="1"/>
    </xf>
    <xf numFmtId="0" fontId="9" fillId="7" borderId="16" xfId="3" applyNumberFormat="1" applyFont="1" applyFill="1" applyBorder="1" applyAlignment="1" applyProtection="1">
      <alignment horizontal="center" vertical="center" wrapText="1"/>
      <protection hidden="1"/>
    </xf>
    <xf numFmtId="0" fontId="23" fillId="7" borderId="13" xfId="0" applyFont="1" applyFill="1" applyBorder="1" applyAlignment="1" applyProtection="1">
      <alignment horizontal="center" vertical="center" textRotation="255" wrapText="1"/>
      <protection hidden="1"/>
    </xf>
    <xf numFmtId="0" fontId="23" fillId="7" borderId="11" xfId="0" applyFont="1" applyFill="1" applyBorder="1" applyAlignment="1" applyProtection="1">
      <alignment horizontal="center" vertical="center" textRotation="255" wrapText="1"/>
      <protection hidden="1"/>
    </xf>
    <xf numFmtId="0" fontId="22" fillId="7" borderId="15" xfId="0" applyFont="1" applyFill="1" applyBorder="1" applyAlignment="1" applyProtection="1">
      <alignment horizontal="center" vertical="center" wrapText="1"/>
      <protection hidden="1"/>
    </xf>
    <xf numFmtId="0" fontId="22" fillId="7" borderId="7" xfId="0" applyFont="1" applyFill="1" applyBorder="1" applyAlignment="1" applyProtection="1">
      <alignment horizontal="center" vertical="center" wrapText="1"/>
      <protection hidden="1"/>
    </xf>
    <xf numFmtId="0" fontId="22" fillId="7" borderId="16" xfId="0" applyFont="1" applyFill="1" applyBorder="1" applyAlignment="1" applyProtection="1">
      <alignment horizontal="center" vertical="center" wrapText="1"/>
      <protection hidden="1"/>
    </xf>
    <xf numFmtId="0" fontId="22" fillId="9" borderId="15" xfId="0" applyNumberFormat="1" applyFont="1" applyFill="1" applyBorder="1" applyAlignment="1" applyProtection="1">
      <alignment horizontal="center" vertical="center" wrapText="1"/>
      <protection hidden="1"/>
    </xf>
    <xf numFmtId="0" fontId="22" fillId="9" borderId="7" xfId="0" applyNumberFormat="1" applyFont="1" applyFill="1" applyBorder="1" applyAlignment="1" applyProtection="1">
      <alignment horizontal="center" vertical="center" wrapText="1"/>
      <protection hidden="1"/>
    </xf>
    <xf numFmtId="0" fontId="22" fillId="9" borderId="16" xfId="0" applyNumberFormat="1" applyFont="1" applyFill="1" applyBorder="1" applyAlignment="1" applyProtection="1">
      <alignment horizontal="center" vertical="center" wrapText="1"/>
      <protection hidden="1"/>
    </xf>
    <xf numFmtId="0" fontId="22" fillId="6" borderId="15" xfId="0" applyNumberFormat="1" applyFont="1" applyFill="1" applyBorder="1" applyAlignment="1" applyProtection="1">
      <alignment horizontal="center" vertical="center" wrapText="1"/>
      <protection hidden="1"/>
    </xf>
    <xf numFmtId="0" fontId="22" fillId="6" borderId="7" xfId="0" applyNumberFormat="1" applyFont="1" applyFill="1" applyBorder="1" applyAlignment="1" applyProtection="1">
      <alignment horizontal="center" vertical="center" wrapText="1"/>
      <protection hidden="1"/>
    </xf>
    <xf numFmtId="0" fontId="22" fillId="6" borderId="16" xfId="0" applyNumberFormat="1" applyFont="1" applyFill="1" applyBorder="1" applyAlignment="1" applyProtection="1">
      <alignment horizontal="center" vertical="center" wrapText="1"/>
      <protection hidden="1"/>
    </xf>
    <xf numFmtId="0" fontId="10" fillId="2" borderId="13" xfId="3" applyNumberFormat="1" applyFont="1" applyFill="1" applyBorder="1" applyAlignment="1" applyProtection="1">
      <alignment horizontal="center" vertical="center" wrapText="1"/>
      <protection hidden="1"/>
    </xf>
    <xf numFmtId="0" fontId="10" fillId="2" borderId="14" xfId="3" applyNumberFormat="1" applyFont="1" applyFill="1" applyBorder="1" applyAlignment="1" applyProtection="1">
      <alignment horizontal="center" vertical="center" wrapText="1"/>
      <protection hidden="1"/>
    </xf>
    <xf numFmtId="0" fontId="10" fillId="2" borderId="11" xfId="3" applyNumberFormat="1" applyFont="1" applyFill="1" applyBorder="1" applyAlignment="1" applyProtection="1">
      <alignment horizontal="center" vertical="center" wrapText="1"/>
      <protection hidden="1"/>
    </xf>
    <xf numFmtId="0" fontId="9" fillId="0" borderId="14" xfId="8" applyNumberFormat="1" applyFont="1" applyFill="1" applyBorder="1" applyAlignment="1" applyProtection="1">
      <alignment horizontal="center" vertical="center" wrapText="1"/>
      <protection hidden="1"/>
    </xf>
    <xf numFmtId="0" fontId="19" fillId="2" borderId="15" xfId="3" applyNumberFormat="1" applyFont="1" applyFill="1" applyBorder="1" applyAlignment="1" applyProtection="1">
      <alignment horizontal="center" vertical="center" wrapText="1"/>
      <protection hidden="1"/>
    </xf>
    <xf numFmtId="0" fontId="19" fillId="2" borderId="7" xfId="3" applyNumberFormat="1" applyFont="1" applyFill="1" applyBorder="1" applyAlignment="1" applyProtection="1">
      <alignment horizontal="center" vertical="center" wrapText="1"/>
      <protection hidden="1"/>
    </xf>
    <xf numFmtId="0" fontId="19" fillId="2" borderId="16" xfId="3" applyNumberFormat="1" applyFont="1" applyFill="1" applyBorder="1" applyAlignment="1" applyProtection="1">
      <alignment horizontal="center" vertical="center" wrapText="1"/>
      <protection hidden="1"/>
    </xf>
    <xf numFmtId="0" fontId="20" fillId="9" borderId="15" xfId="3" applyFont="1" applyFill="1" applyBorder="1" applyAlignment="1" applyProtection="1">
      <alignment horizontal="center" vertical="center" wrapText="1"/>
      <protection hidden="1"/>
    </xf>
    <xf numFmtId="0" fontId="20" fillId="9" borderId="7" xfId="3" applyFont="1" applyFill="1" applyBorder="1" applyAlignment="1" applyProtection="1">
      <alignment horizontal="center" vertical="center" wrapText="1"/>
      <protection hidden="1"/>
    </xf>
    <xf numFmtId="0" fontId="20" fillId="9" borderId="16" xfId="3" applyFont="1" applyFill="1" applyBorder="1" applyAlignment="1" applyProtection="1">
      <alignment horizontal="center" vertical="center" wrapText="1"/>
      <protection hidden="1"/>
    </xf>
    <xf numFmtId="168" fontId="6" fillId="7" borderId="8" xfId="8" applyNumberFormat="1" applyFont="1" applyFill="1" applyBorder="1" applyAlignment="1" applyProtection="1">
      <alignment horizontal="center" vertical="center" wrapText="1"/>
      <protection hidden="1"/>
    </xf>
    <xf numFmtId="167" fontId="6" fillId="7" borderId="8" xfId="8" applyFont="1" applyFill="1" applyBorder="1" applyAlignment="1" applyProtection="1">
      <alignment horizontal="center" vertical="center" wrapText="1"/>
      <protection hidden="1"/>
    </xf>
    <xf numFmtId="165" fontId="6" fillId="9" borderId="15" xfId="8" applyNumberFormat="1" applyFont="1" applyFill="1" applyBorder="1" applyAlignment="1" applyProtection="1">
      <alignment horizontal="center" vertical="center" wrapText="1"/>
      <protection hidden="1"/>
    </xf>
    <xf numFmtId="165" fontId="6" fillId="9" borderId="16" xfId="8" applyNumberFormat="1" applyFont="1" applyFill="1" applyBorder="1" applyAlignment="1" applyProtection="1">
      <alignment horizontal="center" vertical="center" wrapText="1"/>
      <protection hidden="1"/>
    </xf>
    <xf numFmtId="166" fontId="6" fillId="9" borderId="8" xfId="8" applyNumberFormat="1" applyFont="1" applyFill="1" applyBorder="1" applyAlignment="1" applyProtection="1">
      <alignment horizontal="center" vertical="center" wrapText="1"/>
      <protection hidden="1"/>
    </xf>
    <xf numFmtId="0" fontId="6" fillId="9" borderId="15" xfId="9" applyFont="1" applyFill="1" applyBorder="1" applyAlignment="1" applyProtection="1">
      <alignment horizontal="center" vertical="center"/>
      <protection hidden="1"/>
    </xf>
    <xf numFmtId="0" fontId="6" fillId="9" borderId="7" xfId="9" applyFont="1" applyFill="1" applyBorder="1" applyAlignment="1" applyProtection="1">
      <alignment horizontal="center" vertical="center"/>
      <protection hidden="1"/>
    </xf>
    <xf numFmtId="0" fontId="6" fillId="9" borderId="16" xfId="9" applyFont="1" applyFill="1" applyBorder="1" applyAlignment="1" applyProtection="1">
      <alignment horizontal="center" vertical="center"/>
      <protection hidden="1"/>
    </xf>
    <xf numFmtId="0" fontId="48" fillId="24" borderId="8" xfId="0" applyFont="1" applyFill="1" applyBorder="1" applyAlignment="1">
      <alignment horizontal="center" vertical="center" textRotation="90" wrapText="1"/>
    </xf>
    <xf numFmtId="0" fontId="9" fillId="23" borderId="8" xfId="3" applyFont="1" applyFill="1" applyBorder="1" applyAlignment="1" applyProtection="1">
      <alignment horizontal="center" vertical="center" wrapText="1"/>
      <protection hidden="1"/>
    </xf>
    <xf numFmtId="0" fontId="48" fillId="9" borderId="1" xfId="0" applyFont="1" applyFill="1" applyBorder="1" applyAlignment="1">
      <alignment horizontal="center" vertical="center" wrapText="1"/>
    </xf>
    <xf numFmtId="0" fontId="48" fillId="9" borderId="2" xfId="0" applyFont="1" applyFill="1" applyBorder="1" applyAlignment="1">
      <alignment horizontal="center" vertical="center" wrapText="1"/>
    </xf>
    <xf numFmtId="0" fontId="48" fillId="9" borderId="3" xfId="0" applyFont="1" applyFill="1" applyBorder="1" applyAlignment="1">
      <alignment horizontal="center" vertical="center" wrapText="1"/>
    </xf>
    <xf numFmtId="0" fontId="48" fillId="9" borderId="4" xfId="0" applyFont="1" applyFill="1" applyBorder="1" applyAlignment="1">
      <alignment horizontal="center" vertical="center" wrapText="1"/>
    </xf>
    <xf numFmtId="0" fontId="48" fillId="9" borderId="5" xfId="0" applyFont="1" applyFill="1" applyBorder="1" applyAlignment="1">
      <alignment horizontal="center" vertical="center" wrapText="1"/>
    </xf>
    <xf numFmtId="0" fontId="48" fillId="9" borderId="6" xfId="0" applyFont="1" applyFill="1" applyBorder="1" applyAlignment="1">
      <alignment horizontal="center" vertical="center" wrapText="1"/>
    </xf>
    <xf numFmtId="0" fontId="48" fillId="23" borderId="8" xfId="0" applyFont="1" applyFill="1" applyBorder="1" applyAlignment="1">
      <alignment horizontal="center" vertical="center" wrapText="1"/>
    </xf>
    <xf numFmtId="0" fontId="48" fillId="9" borderId="13" xfId="0" applyFont="1" applyFill="1" applyBorder="1" applyAlignment="1">
      <alignment horizontal="center" vertical="center" wrapText="1"/>
    </xf>
    <xf numFmtId="0" fontId="48" fillId="9" borderId="11" xfId="0" applyFont="1" applyFill="1" applyBorder="1" applyAlignment="1">
      <alignment horizontal="center" vertical="center" wrapText="1"/>
    </xf>
    <xf numFmtId="0" fontId="9" fillId="23" borderId="30" xfId="3" applyFont="1" applyFill="1" applyBorder="1" applyAlignment="1" applyProtection="1">
      <alignment horizontal="center" vertical="center" wrapText="1"/>
      <protection hidden="1"/>
    </xf>
    <xf numFmtId="0" fontId="9" fillId="23" borderId="50" xfId="3" applyFont="1" applyFill="1" applyBorder="1" applyAlignment="1" applyProtection="1">
      <alignment horizontal="center" vertical="center" wrapText="1"/>
      <protection hidden="1"/>
    </xf>
    <xf numFmtId="0" fontId="9" fillId="23" borderId="66" xfId="3" applyFont="1" applyFill="1" applyBorder="1" applyAlignment="1" applyProtection="1">
      <alignment horizontal="center" vertical="center" wrapText="1"/>
      <protection hidden="1"/>
    </xf>
    <xf numFmtId="0" fontId="9" fillId="23" borderId="15" xfId="3" applyFont="1" applyFill="1" applyBorder="1" applyAlignment="1" applyProtection="1">
      <alignment horizontal="center" vertical="center" wrapText="1"/>
      <protection hidden="1"/>
    </xf>
    <xf numFmtId="0" fontId="48" fillId="9" borderId="8" xfId="0" applyFont="1" applyFill="1" applyBorder="1" applyAlignment="1">
      <alignment horizontal="center" vertical="center" wrapText="1"/>
    </xf>
    <xf numFmtId="0" fontId="8" fillId="9" borderId="51" xfId="8" applyNumberFormat="1" applyFont="1" applyFill="1" applyBorder="1" applyAlignment="1" applyProtection="1">
      <alignment horizontal="center" vertical="center" wrapText="1"/>
      <protection hidden="1"/>
    </xf>
    <xf numFmtId="0" fontId="8" fillId="9" borderId="55" xfId="8" applyNumberFormat="1" applyFont="1" applyFill="1" applyBorder="1" applyAlignment="1" applyProtection="1">
      <alignment horizontal="center" vertical="center" wrapText="1"/>
      <protection hidden="1"/>
    </xf>
    <xf numFmtId="0" fontId="30" fillId="2" borderId="8" xfId="3" applyFont="1" applyFill="1" applyBorder="1" applyAlignment="1" applyProtection="1">
      <alignment horizontal="center" vertical="center" wrapText="1"/>
      <protection hidden="1"/>
    </xf>
    <xf numFmtId="0" fontId="8" fillId="0" borderId="30" xfId="3" applyFont="1" applyFill="1" applyBorder="1" applyAlignment="1" applyProtection="1">
      <alignment horizontal="center" vertical="center" wrapText="1"/>
      <protection hidden="1"/>
    </xf>
    <xf numFmtId="0" fontId="8" fillId="0" borderId="50" xfId="3" applyFont="1" applyFill="1" applyBorder="1" applyAlignment="1" applyProtection="1">
      <alignment horizontal="center" vertical="center" wrapText="1"/>
      <protection hidden="1"/>
    </xf>
    <xf numFmtId="0" fontId="8" fillId="0" borderId="32" xfId="3" applyFont="1" applyFill="1" applyBorder="1" applyAlignment="1" applyProtection="1">
      <alignment horizontal="center" vertical="center" wrapText="1"/>
      <protection hidden="1"/>
    </xf>
    <xf numFmtId="0" fontId="8" fillId="0" borderId="56" xfId="3" applyFont="1" applyFill="1" applyBorder="1" applyAlignment="1" applyProtection="1">
      <alignment horizontal="center" vertical="center" wrapText="1"/>
      <protection hidden="1"/>
    </xf>
    <xf numFmtId="0" fontId="8" fillId="0" borderId="8" xfId="3" applyFont="1" applyFill="1" applyBorder="1" applyAlignment="1" applyProtection="1">
      <alignment horizontal="center" vertical="center" wrapText="1"/>
      <protection hidden="1"/>
    </xf>
    <xf numFmtId="0" fontId="8" fillId="0" borderId="59" xfId="3" applyFont="1" applyFill="1" applyBorder="1" applyAlignment="1" applyProtection="1">
      <alignment horizontal="center" vertical="center" wrapText="1"/>
      <protection hidden="1"/>
    </xf>
    <xf numFmtId="0" fontId="8" fillId="7" borderId="56" xfId="3" applyNumberFormat="1" applyFont="1" applyFill="1" applyBorder="1" applyAlignment="1" applyProtection="1">
      <alignment horizontal="center" vertical="center" wrapText="1"/>
      <protection hidden="1"/>
    </xf>
    <xf numFmtId="0" fontId="8" fillId="7" borderId="66" xfId="3" applyNumberFormat="1" applyFont="1" applyFill="1" applyBorder="1" applyAlignment="1" applyProtection="1">
      <alignment horizontal="center" vertical="center" wrapText="1"/>
      <protection hidden="1"/>
    </xf>
    <xf numFmtId="0" fontId="8" fillId="13" borderId="30" xfId="3" applyNumberFormat="1" applyFont="1" applyFill="1" applyBorder="1" applyAlignment="1" applyProtection="1">
      <alignment horizontal="center" vertical="center" wrapText="1"/>
      <protection hidden="1"/>
    </xf>
    <xf numFmtId="0" fontId="8" fillId="13" borderId="56" xfId="3" applyNumberFormat="1" applyFont="1" applyFill="1" applyBorder="1" applyAlignment="1" applyProtection="1">
      <alignment horizontal="center" vertical="center" wrapText="1"/>
      <protection hidden="1"/>
    </xf>
    <xf numFmtId="0" fontId="8" fillId="13" borderId="31" xfId="3" applyNumberFormat="1" applyFont="1" applyFill="1" applyBorder="1" applyAlignment="1" applyProtection="1">
      <alignment horizontal="center" vertical="center" wrapText="1"/>
      <protection hidden="1"/>
    </xf>
    <xf numFmtId="0" fontId="32" fillId="7" borderId="15" xfId="3" applyFont="1" applyFill="1" applyBorder="1" applyAlignment="1" applyProtection="1">
      <alignment horizontal="center" vertical="center" wrapText="1"/>
      <protection hidden="1"/>
    </xf>
    <xf numFmtId="0" fontId="32" fillId="7" borderId="16" xfId="3" applyFont="1" applyFill="1" applyBorder="1" applyAlignment="1" applyProtection="1">
      <alignment horizontal="center" vertical="center" wrapText="1"/>
      <protection hidden="1"/>
    </xf>
    <xf numFmtId="0" fontId="32" fillId="13" borderId="15" xfId="3" applyFont="1" applyFill="1" applyBorder="1" applyAlignment="1" applyProtection="1">
      <alignment horizontal="center" vertical="center" wrapText="1"/>
      <protection hidden="1"/>
    </xf>
    <xf numFmtId="0" fontId="32" fillId="13" borderId="16" xfId="3" applyFont="1" applyFill="1" applyBorder="1" applyAlignment="1" applyProtection="1">
      <alignment horizontal="center" vertical="center" wrapText="1"/>
      <protection hidden="1"/>
    </xf>
    <xf numFmtId="0" fontId="15" fillId="0" borderId="68" xfId="3" applyFont="1" applyFill="1" applyBorder="1" applyAlignment="1" applyProtection="1">
      <alignment horizontal="center" vertical="center" wrapText="1"/>
      <protection hidden="1"/>
    </xf>
    <xf numFmtId="0" fontId="15" fillId="0" borderId="69" xfId="3" applyFont="1" applyFill="1" applyBorder="1" applyAlignment="1" applyProtection="1">
      <alignment horizontal="center" vertical="center" wrapText="1"/>
      <protection hidden="1"/>
    </xf>
    <xf numFmtId="0" fontId="30" fillId="2" borderId="3" xfId="3" applyFont="1" applyFill="1" applyBorder="1" applyAlignment="1" applyProtection="1">
      <alignment horizontal="center" vertical="center" wrapText="1"/>
      <protection hidden="1"/>
    </xf>
    <xf numFmtId="0" fontId="30" fillId="2" borderId="0" xfId="3" applyFont="1" applyFill="1" applyBorder="1" applyAlignment="1" applyProtection="1">
      <alignment horizontal="center" vertical="center" wrapText="1"/>
      <protection hidden="1"/>
    </xf>
    <xf numFmtId="0" fontId="8" fillId="9" borderId="8" xfId="8" applyNumberFormat="1" applyFont="1" applyFill="1" applyBorder="1" applyAlignment="1" applyProtection="1">
      <alignment horizontal="center" vertical="center" wrapText="1"/>
      <protection hidden="1"/>
    </xf>
    <xf numFmtId="0" fontId="13" fillId="18" borderId="80" xfId="39" applyFont="1" applyFill="1" applyBorder="1" applyAlignment="1">
      <alignment horizontal="left" vertical="center"/>
    </xf>
    <xf numFmtId="0" fontId="7" fillId="0" borderId="83" xfId="39" applyFont="1" applyBorder="1"/>
    <xf numFmtId="0" fontId="7" fillId="0" borderId="77" xfId="39" applyFont="1" applyBorder="1"/>
    <xf numFmtId="0" fontId="7" fillId="0" borderId="83" xfId="39" applyFont="1" applyBorder="1" applyAlignment="1"/>
    <xf numFmtId="0" fontId="7" fillId="0" borderId="77" xfId="39" applyFont="1" applyBorder="1" applyAlignment="1"/>
    <xf numFmtId="0" fontId="25" fillId="0" borderId="23" xfId="0" applyFont="1" applyBorder="1" applyAlignment="1" applyProtection="1">
      <alignment horizontal="center" vertical="center"/>
      <protection hidden="1"/>
    </xf>
    <xf numFmtId="0" fontId="25" fillId="0" borderId="24" xfId="0" applyFont="1" applyBorder="1" applyAlignment="1" applyProtection="1">
      <alignment horizontal="center" vertical="center"/>
      <protection hidden="1"/>
    </xf>
    <xf numFmtId="0" fontId="25" fillId="0" borderId="25" xfId="0" applyFont="1" applyBorder="1" applyAlignment="1" applyProtection="1">
      <alignment horizontal="center" vertical="center"/>
      <protection hidden="1"/>
    </xf>
    <xf numFmtId="0" fontId="8" fillId="10" borderId="15" xfId="0" applyFont="1" applyFill="1" applyBorder="1" applyAlignment="1" applyProtection="1">
      <alignment horizontal="center" wrapText="1"/>
      <protection hidden="1"/>
    </xf>
    <xf numFmtId="0" fontId="8" fillId="10" borderId="16" xfId="0" applyFont="1" applyFill="1" applyBorder="1" applyAlignment="1" applyProtection="1">
      <alignment horizontal="center" wrapText="1"/>
      <protection hidden="1"/>
    </xf>
    <xf numFmtId="0" fontId="8" fillId="10" borderId="15" xfId="0" applyFont="1" applyFill="1" applyBorder="1" applyAlignment="1" applyProtection="1">
      <alignment horizontal="center" vertical="center" wrapText="1"/>
      <protection hidden="1"/>
    </xf>
    <xf numFmtId="0" fontId="8" fillId="10" borderId="16" xfId="0" applyFont="1" applyFill="1" applyBorder="1" applyAlignment="1" applyProtection="1">
      <alignment horizontal="center" vertical="center" wrapText="1"/>
      <protection hidden="1"/>
    </xf>
    <xf numFmtId="0" fontId="8" fillId="9" borderId="15" xfId="0" applyFont="1" applyFill="1" applyBorder="1" applyAlignment="1" applyProtection="1">
      <alignment horizontal="center" vertical="center"/>
      <protection hidden="1"/>
    </xf>
    <xf numFmtId="0" fontId="8" fillId="9" borderId="16" xfId="0" applyFont="1" applyFill="1" applyBorder="1" applyAlignment="1" applyProtection="1">
      <alignment horizontal="center" vertical="center"/>
      <protection hidden="1"/>
    </xf>
    <xf numFmtId="0" fontId="6" fillId="9" borderId="18" xfId="0" applyFont="1" applyFill="1" applyBorder="1" applyAlignment="1" applyProtection="1">
      <alignment horizontal="center" vertical="center" wrapText="1"/>
      <protection hidden="1"/>
    </xf>
    <xf numFmtId="0" fontId="6" fillId="9" borderId="35" xfId="0" applyFont="1" applyFill="1" applyBorder="1" applyAlignment="1" applyProtection="1">
      <alignment horizontal="center" vertical="center" wrapText="1"/>
      <protection hidden="1"/>
    </xf>
    <xf numFmtId="0" fontId="6" fillId="9" borderId="19" xfId="0" applyFont="1" applyFill="1" applyBorder="1" applyAlignment="1" applyProtection="1">
      <alignment horizontal="center" vertical="center" wrapText="1"/>
      <protection hidden="1"/>
    </xf>
    <xf numFmtId="0" fontId="6" fillId="9" borderId="21" xfId="0" applyFont="1" applyFill="1" applyBorder="1" applyAlignment="1" applyProtection="1">
      <alignment horizontal="center" vertical="center" wrapText="1"/>
      <protection hidden="1"/>
    </xf>
    <xf numFmtId="0" fontId="6" fillId="9" borderId="34" xfId="0" applyFont="1" applyFill="1" applyBorder="1" applyAlignment="1" applyProtection="1">
      <alignment horizontal="center" vertical="center" wrapText="1"/>
      <protection hidden="1"/>
    </xf>
    <xf numFmtId="0" fontId="6" fillId="9" borderId="22" xfId="0" applyFont="1" applyFill="1" applyBorder="1" applyAlignment="1" applyProtection="1">
      <alignment horizontal="center" vertical="center" wrapText="1"/>
      <protection hidden="1"/>
    </xf>
    <xf numFmtId="0" fontId="39" fillId="0" borderId="34" xfId="10" applyFont="1" applyBorder="1" applyAlignment="1" applyProtection="1">
      <alignment horizontal="center" vertical="center"/>
      <protection hidden="1"/>
    </xf>
    <xf numFmtId="0" fontId="38" fillId="9" borderId="18" xfId="10" applyFont="1" applyFill="1" applyBorder="1" applyAlignment="1" applyProtection="1">
      <alignment horizontal="center" vertical="center" wrapText="1"/>
      <protection hidden="1"/>
    </xf>
    <xf numFmtId="0" fontId="38" fillId="9" borderId="35" xfId="10" applyFont="1" applyFill="1" applyBorder="1" applyAlignment="1" applyProtection="1">
      <alignment horizontal="center" vertical="center" wrapText="1"/>
      <protection hidden="1"/>
    </xf>
    <xf numFmtId="0" fontId="38" fillId="9" borderId="19" xfId="10" applyFont="1" applyFill="1" applyBorder="1" applyAlignment="1" applyProtection="1">
      <alignment horizontal="center" vertical="center" wrapText="1"/>
      <protection hidden="1"/>
    </xf>
    <xf numFmtId="0" fontId="38" fillId="9" borderId="27" xfId="10" applyFont="1" applyFill="1" applyBorder="1" applyAlignment="1" applyProtection="1">
      <alignment horizontal="center" vertical="center" wrapText="1"/>
      <protection hidden="1"/>
    </xf>
    <xf numFmtId="0" fontId="38" fillId="9" borderId="0" xfId="10" applyFont="1" applyFill="1" applyBorder="1" applyAlignment="1" applyProtection="1">
      <alignment horizontal="center" vertical="center" wrapText="1"/>
      <protection hidden="1"/>
    </xf>
    <xf numFmtId="0" fontId="38" fillId="9" borderId="28" xfId="10" applyFont="1" applyFill="1" applyBorder="1" applyAlignment="1" applyProtection="1">
      <alignment horizontal="center" vertical="center" wrapText="1"/>
      <protection hidden="1"/>
    </xf>
    <xf numFmtId="0" fontId="38" fillId="9" borderId="21" xfId="10" applyFont="1" applyFill="1" applyBorder="1" applyAlignment="1" applyProtection="1">
      <alignment horizontal="center" vertical="center" wrapText="1"/>
      <protection hidden="1"/>
    </xf>
    <xf numFmtId="0" fontId="38" fillId="9" borderId="34" xfId="10" applyFont="1" applyFill="1" applyBorder="1" applyAlignment="1" applyProtection="1">
      <alignment horizontal="center" vertical="center" wrapText="1"/>
      <protection hidden="1"/>
    </xf>
    <xf numFmtId="0" fontId="38" fillId="9" borderId="22" xfId="10" applyFont="1" applyFill="1" applyBorder="1" applyAlignment="1" applyProtection="1">
      <alignment horizontal="center" vertical="center" wrapText="1"/>
      <protection hidden="1"/>
    </xf>
    <xf numFmtId="0" fontId="36" fillId="7" borderId="23" xfId="10" quotePrefix="1" applyFont="1" applyFill="1" applyBorder="1" applyAlignment="1" applyProtection="1">
      <alignment horizontal="center" vertical="center" wrapText="1"/>
      <protection hidden="1"/>
    </xf>
    <xf numFmtId="0" fontId="36" fillId="7" borderId="24" xfId="10" quotePrefix="1" applyFont="1" applyFill="1" applyBorder="1" applyAlignment="1" applyProtection="1">
      <alignment horizontal="center" vertical="center" wrapText="1"/>
      <protection hidden="1"/>
    </xf>
    <xf numFmtId="0" fontId="36" fillId="7" borderId="25" xfId="10" quotePrefix="1" applyFont="1" applyFill="1" applyBorder="1" applyAlignment="1" applyProtection="1">
      <alignment horizontal="center" vertical="center" wrapText="1"/>
      <protection hidden="1"/>
    </xf>
    <xf numFmtId="0" fontId="36" fillId="7" borderId="36" xfId="10" applyFont="1" applyFill="1" applyBorder="1" applyAlignment="1" applyProtection="1">
      <alignment horizontal="center" vertical="center" wrapText="1"/>
      <protection hidden="1"/>
    </xf>
    <xf numFmtId="0" fontId="38" fillId="7" borderId="37" xfId="10" applyFont="1" applyFill="1" applyBorder="1" applyAlignment="1" applyProtection="1">
      <alignment horizontal="center" vertical="center" wrapText="1"/>
      <protection hidden="1"/>
    </xf>
    <xf numFmtId="0" fontId="38" fillId="7" borderId="72" xfId="10" applyFont="1" applyFill="1" applyBorder="1" applyAlignment="1" applyProtection="1">
      <alignment horizontal="center" vertical="center" wrapText="1"/>
      <protection hidden="1"/>
    </xf>
    <xf numFmtId="0" fontId="38" fillId="7" borderId="38" xfId="10" applyFont="1" applyFill="1" applyBorder="1" applyAlignment="1" applyProtection="1">
      <alignment horizontal="center" vertical="center" wrapText="1"/>
      <protection hidden="1"/>
    </xf>
    <xf numFmtId="0" fontId="38" fillId="7" borderId="39" xfId="10" applyFont="1" applyFill="1" applyBorder="1" applyAlignment="1" applyProtection="1">
      <alignment horizontal="center" vertical="center" wrapText="1"/>
      <protection hidden="1"/>
    </xf>
    <xf numFmtId="0" fontId="38" fillId="7" borderId="8" xfId="10" applyFont="1" applyFill="1" applyBorder="1" applyAlignment="1" applyProtection="1">
      <alignment horizontal="center" vertical="center" wrapText="1"/>
      <protection hidden="1"/>
    </xf>
    <xf numFmtId="0" fontId="38" fillId="7" borderId="15" xfId="10" applyFont="1" applyFill="1" applyBorder="1" applyAlignment="1" applyProtection="1">
      <alignment horizontal="center" vertical="center" wrapText="1"/>
      <protection hidden="1"/>
    </xf>
    <xf numFmtId="0" fontId="38" fillId="7" borderId="40" xfId="10" applyFont="1" applyFill="1" applyBorder="1" applyAlignment="1" applyProtection="1">
      <alignment horizontal="center" vertical="center" wrapText="1"/>
      <protection hidden="1"/>
    </xf>
    <xf numFmtId="0" fontId="36" fillId="7" borderId="18" xfId="10" applyFont="1" applyFill="1" applyBorder="1" applyAlignment="1" applyProtection="1">
      <alignment horizontal="left" vertical="center" wrapText="1"/>
      <protection hidden="1"/>
    </xf>
    <xf numFmtId="0" fontId="36" fillId="7" borderId="35" xfId="10" applyFont="1" applyFill="1" applyBorder="1" applyAlignment="1" applyProtection="1">
      <alignment horizontal="left" vertical="center" wrapText="1"/>
      <protection hidden="1"/>
    </xf>
    <xf numFmtId="0" fontId="36" fillId="7" borderId="19" xfId="10" applyFont="1" applyFill="1" applyBorder="1" applyAlignment="1" applyProtection="1">
      <alignment horizontal="left" vertical="center" wrapText="1"/>
      <protection hidden="1"/>
    </xf>
    <xf numFmtId="0" fontId="36" fillId="7" borderId="21" xfId="10" applyFont="1" applyFill="1" applyBorder="1" applyAlignment="1" applyProtection="1">
      <alignment horizontal="left" vertical="center" wrapText="1"/>
      <protection hidden="1"/>
    </xf>
    <xf numFmtId="0" fontId="36" fillId="7" borderId="34" xfId="10" applyFont="1" applyFill="1" applyBorder="1" applyAlignment="1" applyProtection="1">
      <alignment horizontal="left" vertical="center" wrapText="1"/>
      <protection hidden="1"/>
    </xf>
    <xf numFmtId="0" fontId="36" fillId="7" borderId="22" xfId="10" applyFont="1" applyFill="1" applyBorder="1" applyAlignment="1" applyProtection="1">
      <alignment horizontal="left" vertical="center" wrapText="1"/>
      <protection hidden="1"/>
    </xf>
    <xf numFmtId="0" fontId="36" fillId="7" borderId="18" xfId="10" applyFont="1" applyFill="1" applyBorder="1" applyAlignment="1" applyProtection="1">
      <alignment horizontal="center" vertical="center" wrapText="1"/>
      <protection hidden="1"/>
    </xf>
    <xf numFmtId="0" fontId="36" fillId="7" borderId="35" xfId="10" applyFont="1" applyFill="1" applyBorder="1" applyAlignment="1" applyProtection="1">
      <alignment horizontal="center" vertical="center" wrapText="1"/>
      <protection hidden="1"/>
    </xf>
    <xf numFmtId="0" fontId="36" fillId="7" borderId="19" xfId="10" applyFont="1" applyFill="1" applyBorder="1" applyAlignment="1" applyProtection="1">
      <alignment horizontal="center" vertical="center" wrapText="1"/>
      <protection hidden="1"/>
    </xf>
    <xf numFmtId="0" fontId="36" fillId="7" borderId="21" xfId="10" applyFont="1" applyFill="1" applyBorder="1" applyAlignment="1" applyProtection="1">
      <alignment horizontal="center" vertical="center" wrapText="1"/>
      <protection hidden="1"/>
    </xf>
    <xf numFmtId="0" fontId="36" fillId="7" borderId="34" xfId="10" applyFont="1" applyFill="1" applyBorder="1" applyAlignment="1" applyProtection="1">
      <alignment horizontal="center" vertical="center" wrapText="1"/>
      <protection hidden="1"/>
    </xf>
    <xf numFmtId="0" fontId="36" fillId="7" borderId="22" xfId="10" applyFont="1" applyFill="1" applyBorder="1" applyAlignment="1" applyProtection="1">
      <alignment horizontal="center" vertical="center" wrapText="1"/>
      <protection hidden="1"/>
    </xf>
    <xf numFmtId="0" fontId="6" fillId="9" borderId="17" xfId="0" applyFont="1" applyFill="1" applyBorder="1" applyAlignment="1" applyProtection="1">
      <alignment horizontal="center" vertical="center" wrapText="1"/>
      <protection hidden="1"/>
    </xf>
    <xf numFmtId="0" fontId="6" fillId="9" borderId="20" xfId="0" applyFont="1" applyFill="1" applyBorder="1" applyAlignment="1" applyProtection="1">
      <alignment horizontal="center" vertical="center" wrapText="1"/>
      <protection hidden="1"/>
    </xf>
    <xf numFmtId="0" fontId="13" fillId="17" borderId="80" xfId="39" applyFont="1" applyFill="1" applyBorder="1" applyAlignment="1">
      <alignment horizontal="right" vertical="center"/>
    </xf>
    <xf numFmtId="0" fontId="51" fillId="17" borderId="80" xfId="39" applyFont="1" applyFill="1" applyBorder="1" applyAlignment="1">
      <alignment horizontal="left" vertical="center"/>
    </xf>
    <xf numFmtId="0" fontId="52" fillId="0" borderId="96" xfId="39" applyFont="1" applyBorder="1" applyAlignment="1">
      <alignment horizontal="center" vertical="center"/>
    </xf>
    <xf numFmtId="0" fontId="7" fillId="0" borderId="97" xfId="39" applyFont="1" applyBorder="1"/>
    <xf numFmtId="0" fontId="7" fillId="0" borderId="94" xfId="39" applyFont="1" applyBorder="1"/>
    <xf numFmtId="0" fontId="13" fillId="31" borderId="80" xfId="39" applyFont="1" applyFill="1" applyBorder="1" applyAlignment="1">
      <alignment horizontal="left" vertical="center"/>
    </xf>
    <xf numFmtId="0" fontId="13" fillId="31" borderId="83" xfId="39" applyFont="1" applyFill="1" applyBorder="1" applyAlignment="1">
      <alignment horizontal="left" vertical="center"/>
    </xf>
    <xf numFmtId="0" fontId="13" fillId="31" borderId="88" xfId="39" applyFont="1" applyFill="1" applyBorder="1" applyAlignment="1">
      <alignment horizontal="left" vertical="center"/>
    </xf>
    <xf numFmtId="0" fontId="13" fillId="18" borderId="91" xfId="39" applyFont="1" applyFill="1" applyBorder="1" applyAlignment="1">
      <alignment horizontal="left" vertical="center"/>
    </xf>
    <xf numFmtId="0" fontId="7" fillId="0" borderId="90" xfId="39" applyFont="1" applyBorder="1"/>
    <xf numFmtId="0" fontId="7" fillId="0" borderId="92" xfId="39" applyFont="1" applyBorder="1"/>
    <xf numFmtId="169" fontId="13" fillId="17" borderId="80" xfId="39" applyNumberFormat="1" applyFont="1" applyFill="1" applyBorder="1" applyAlignment="1">
      <alignment horizontal="left" vertical="center" wrapText="1"/>
    </xf>
    <xf numFmtId="0" fontId="37" fillId="14" borderId="17" xfId="9" applyFont="1" applyFill="1" applyBorder="1" applyAlignment="1" applyProtection="1">
      <alignment horizontal="center" vertical="center" textRotation="90" wrapText="1"/>
      <protection hidden="1"/>
    </xf>
    <xf numFmtId="0" fontId="37" fillId="14" borderId="26" xfId="9" applyFont="1" applyFill="1" applyBorder="1" applyAlignment="1" applyProtection="1">
      <alignment horizontal="center" vertical="center" textRotation="90" wrapText="1"/>
      <protection hidden="1"/>
    </xf>
    <xf numFmtId="0" fontId="37" fillId="14" borderId="20" xfId="9" applyFont="1" applyFill="1" applyBorder="1" applyAlignment="1" applyProtection="1">
      <alignment horizontal="center" vertical="center" textRotation="90" wrapText="1"/>
      <protection hidden="1"/>
    </xf>
    <xf numFmtId="0" fontId="7" fillId="0" borderId="97" xfId="39" applyFont="1" applyBorder="1" applyAlignment="1"/>
    <xf numFmtId="0" fontId="7" fillId="0" borderId="94" xfId="39" applyFont="1" applyBorder="1" applyAlignment="1"/>
    <xf numFmtId="0" fontId="10" fillId="4" borderId="15" xfId="9" applyFill="1" applyBorder="1" applyAlignment="1" applyProtection="1">
      <alignment horizontal="center" vertical="center"/>
      <protection hidden="1"/>
    </xf>
    <xf numFmtId="0" fontId="10" fillId="4" borderId="7" xfId="9" applyFill="1" applyBorder="1" applyAlignment="1" applyProtection="1">
      <alignment horizontal="center" vertical="center"/>
      <protection hidden="1"/>
    </xf>
    <xf numFmtId="0" fontId="10" fillId="4" borderId="16" xfId="9" applyFill="1" applyBorder="1" applyAlignment="1" applyProtection="1">
      <alignment horizontal="center" vertical="center"/>
      <protection hidden="1"/>
    </xf>
    <xf numFmtId="0" fontId="37" fillId="5" borderId="17" xfId="9" applyFont="1" applyFill="1" applyBorder="1" applyAlignment="1" applyProtection="1">
      <alignment horizontal="center" vertical="center" textRotation="90" wrapText="1"/>
      <protection hidden="1"/>
    </xf>
    <xf numFmtId="0" fontId="37" fillId="5" borderId="26" xfId="9" applyFont="1" applyFill="1" applyBorder="1" applyAlignment="1" applyProtection="1">
      <alignment horizontal="center" vertical="center" textRotation="90" wrapText="1"/>
      <protection hidden="1"/>
    </xf>
    <xf numFmtId="0" fontId="37" fillId="5" borderId="20" xfId="9" applyFont="1" applyFill="1" applyBorder="1" applyAlignment="1" applyProtection="1">
      <alignment horizontal="center" vertical="center" textRotation="90" wrapText="1"/>
      <protection hidden="1"/>
    </xf>
    <xf numFmtId="0" fontId="7" fillId="0" borderId="90" xfId="39" applyFont="1" applyBorder="1" applyAlignment="1"/>
    <xf numFmtId="0" fontId="7" fillId="0" borderId="92" xfId="39" applyFont="1" applyBorder="1" applyAlignment="1"/>
    <xf numFmtId="0" fontId="13" fillId="17" borderId="80" xfId="40" applyFont="1" applyFill="1" applyBorder="1" applyAlignment="1">
      <alignment horizontal="right" vertical="center"/>
    </xf>
    <xf numFmtId="0" fontId="13" fillId="17" borderId="83" xfId="40" applyFont="1" applyFill="1" applyBorder="1" applyAlignment="1">
      <alignment horizontal="right" vertical="center"/>
    </xf>
    <xf numFmtId="0" fontId="13" fillId="17" borderId="77" xfId="40" applyFont="1" applyFill="1" applyBorder="1" applyAlignment="1">
      <alignment horizontal="right" vertical="center"/>
    </xf>
    <xf numFmtId="0" fontId="13" fillId="18" borderId="91" xfId="40" applyFont="1" applyFill="1" applyBorder="1" applyAlignment="1">
      <alignment horizontal="left" vertical="center"/>
    </xf>
    <xf numFmtId="0" fontId="13" fillId="18" borderId="90" xfId="40" applyFont="1" applyFill="1" applyBorder="1" applyAlignment="1">
      <alignment horizontal="left" vertical="center"/>
    </xf>
    <xf numFmtId="0" fontId="13" fillId="18" borderId="92" xfId="40" applyFont="1" applyFill="1" applyBorder="1" applyAlignment="1">
      <alignment horizontal="left" vertical="center"/>
    </xf>
    <xf numFmtId="0" fontId="51" fillId="17" borderId="80" xfId="40" applyFont="1" applyFill="1" applyBorder="1" applyAlignment="1">
      <alignment horizontal="left" vertical="center"/>
    </xf>
    <xf numFmtId="0" fontId="51" fillId="17" borderId="83" xfId="40" applyFont="1" applyFill="1" applyBorder="1" applyAlignment="1">
      <alignment horizontal="left" vertical="center"/>
    </xf>
    <xf numFmtId="0" fontId="51" fillId="17" borderId="111" xfId="40" applyFont="1" applyFill="1" applyBorder="1" applyAlignment="1">
      <alignment horizontal="left" vertical="center"/>
    </xf>
    <xf numFmtId="169" fontId="13" fillId="17" borderId="80" xfId="0" applyNumberFormat="1" applyFont="1" applyFill="1" applyBorder="1" applyAlignment="1">
      <alignment horizontal="left" vertical="center" wrapText="1"/>
    </xf>
    <xf numFmtId="169" fontId="13" fillId="17" borderId="77" xfId="0" applyNumberFormat="1" applyFont="1" applyFill="1" applyBorder="1" applyAlignment="1">
      <alignment horizontal="left" vertical="center" wrapText="1"/>
    </xf>
    <xf numFmtId="0" fontId="13" fillId="18" borderId="80" xfId="0" applyFont="1" applyFill="1" applyBorder="1" applyAlignment="1">
      <alignment horizontal="left" vertical="center"/>
    </xf>
    <xf numFmtId="0" fontId="13" fillId="18" borderId="83" xfId="0" applyFont="1" applyFill="1" applyBorder="1" applyAlignment="1">
      <alignment horizontal="left" vertical="center"/>
    </xf>
    <xf numFmtId="0" fontId="13" fillId="18" borderId="77" xfId="0" applyFont="1" applyFill="1" applyBorder="1" applyAlignment="1">
      <alignment horizontal="left" vertical="center"/>
    </xf>
    <xf numFmtId="0" fontId="13" fillId="18" borderId="91" xfId="0" applyFont="1" applyFill="1" applyBorder="1" applyAlignment="1">
      <alignment horizontal="left" vertical="center"/>
    </xf>
    <xf numFmtId="0" fontId="13" fillId="18" borderId="90" xfId="0" applyFont="1" applyFill="1" applyBorder="1" applyAlignment="1">
      <alignment horizontal="left" vertical="center"/>
    </xf>
    <xf numFmtId="0" fontId="13" fillId="18" borderId="92" xfId="0" applyFont="1" applyFill="1" applyBorder="1" applyAlignment="1">
      <alignment horizontal="left" vertical="center"/>
    </xf>
    <xf numFmtId="0" fontId="13" fillId="31" borderId="80" xfId="40" applyFont="1" applyFill="1" applyBorder="1" applyAlignment="1">
      <alignment horizontal="left" vertical="center"/>
    </xf>
    <xf numFmtId="0" fontId="13" fillId="31" borderId="83" xfId="40" applyFont="1" applyFill="1" applyBorder="1" applyAlignment="1">
      <alignment horizontal="left" vertical="center"/>
    </xf>
    <xf numFmtId="0" fontId="13" fillId="31" borderId="88" xfId="40" applyFont="1" applyFill="1" applyBorder="1" applyAlignment="1">
      <alignment horizontal="left" vertical="center"/>
    </xf>
    <xf numFmtId="0" fontId="13" fillId="18" borderId="80" xfId="40" applyFont="1" applyFill="1" applyBorder="1" applyAlignment="1">
      <alignment horizontal="left" vertical="center"/>
    </xf>
    <xf numFmtId="0" fontId="13" fillId="18" borderId="83" xfId="40" applyFont="1" applyFill="1" applyBorder="1" applyAlignment="1">
      <alignment horizontal="left" vertical="center"/>
    </xf>
    <xf numFmtId="0" fontId="13" fillId="18" borderId="77" xfId="40" applyFont="1" applyFill="1" applyBorder="1" applyAlignment="1">
      <alignment horizontal="left" vertical="center"/>
    </xf>
    <xf numFmtId="169" fontId="13" fillId="17" borderId="80" xfId="40" applyNumberFormat="1" applyFont="1" applyFill="1" applyBorder="1" applyAlignment="1">
      <alignment horizontal="left" vertical="center" wrapText="1"/>
    </xf>
    <xf numFmtId="169" fontId="13" fillId="17" borderId="77" xfId="40" applyNumberFormat="1" applyFont="1" applyFill="1" applyBorder="1" applyAlignment="1">
      <alignment horizontal="left" vertical="center" wrapText="1"/>
    </xf>
    <xf numFmtId="0" fontId="52" fillId="0" borderId="109" xfId="40" applyFont="1" applyBorder="1" applyAlignment="1">
      <alignment horizontal="center" vertical="center"/>
    </xf>
    <xf numFmtId="0" fontId="52" fillId="0" borderId="83" xfId="40" applyFont="1" applyBorder="1" applyAlignment="1">
      <alignment horizontal="center" vertical="center"/>
    </xf>
    <xf numFmtId="0" fontId="52" fillId="0" borderId="77" xfId="40" applyFont="1" applyBorder="1" applyAlignment="1">
      <alignment horizontal="center" vertical="center"/>
    </xf>
    <xf numFmtId="0" fontId="13" fillId="31" borderId="80" xfId="0" applyFont="1" applyFill="1" applyBorder="1" applyAlignment="1">
      <alignment horizontal="left" vertical="center"/>
    </xf>
    <xf numFmtId="0" fontId="13" fillId="31" borderId="83" xfId="0" applyFont="1" applyFill="1" applyBorder="1" applyAlignment="1">
      <alignment horizontal="left" vertical="center"/>
    </xf>
    <xf numFmtId="0" fontId="13" fillId="31" borderId="88" xfId="0" applyFont="1" applyFill="1" applyBorder="1" applyAlignment="1">
      <alignment horizontal="left" vertical="center"/>
    </xf>
    <xf numFmtId="0" fontId="52" fillId="0" borderId="82" xfId="0" applyFont="1" applyBorder="1" applyAlignment="1">
      <alignment horizontal="center" vertical="center"/>
    </xf>
    <xf numFmtId="0" fontId="52" fillId="0" borderId="83" xfId="0" applyFont="1" applyBorder="1" applyAlignment="1">
      <alignment horizontal="center" vertical="center"/>
    </xf>
    <xf numFmtId="0" fontId="52" fillId="0" borderId="77" xfId="0" applyFont="1" applyBorder="1" applyAlignment="1">
      <alignment horizontal="center" vertical="center"/>
    </xf>
    <xf numFmtId="0" fontId="13" fillId="17" borderId="80" xfId="0" applyFont="1" applyFill="1" applyBorder="1" applyAlignment="1">
      <alignment horizontal="right" vertical="center"/>
    </xf>
    <xf numFmtId="0" fontId="13" fillId="17" borderId="83" xfId="0" applyFont="1" applyFill="1" applyBorder="1" applyAlignment="1">
      <alignment horizontal="right" vertical="center"/>
    </xf>
    <xf numFmtId="0" fontId="13" fillId="17" borderId="77" xfId="0" applyFont="1" applyFill="1" applyBorder="1" applyAlignment="1">
      <alignment horizontal="right" vertical="center"/>
    </xf>
    <xf numFmtId="0" fontId="51" fillId="17" borderId="80" xfId="0" applyFont="1" applyFill="1" applyBorder="1" applyAlignment="1">
      <alignment horizontal="left" vertical="center"/>
    </xf>
    <xf numFmtId="0" fontId="51" fillId="17" borderId="83" xfId="0" applyFont="1" applyFill="1" applyBorder="1" applyAlignment="1">
      <alignment horizontal="left" vertical="center"/>
    </xf>
    <xf numFmtId="0" fontId="51" fillId="17" borderId="111" xfId="0" applyFont="1" applyFill="1" applyBorder="1" applyAlignment="1">
      <alignment horizontal="left" vertical="center"/>
    </xf>
    <xf numFmtId="0" fontId="21" fillId="9" borderId="15" xfId="0" applyFont="1" applyFill="1" applyBorder="1" applyAlignment="1" applyProtection="1">
      <alignment horizontal="center" vertical="center"/>
      <protection hidden="1"/>
    </xf>
    <xf numFmtId="0" fontId="21" fillId="9" borderId="7" xfId="0" applyFont="1" applyFill="1" applyBorder="1" applyAlignment="1" applyProtection="1">
      <alignment horizontal="center" vertical="center"/>
      <protection hidden="1"/>
    </xf>
    <xf numFmtId="0" fontId="21" fillId="9" borderId="16" xfId="0" applyFont="1" applyFill="1" applyBorder="1" applyAlignment="1" applyProtection="1">
      <alignment horizontal="center" vertical="center"/>
      <protection hidden="1"/>
    </xf>
    <xf numFmtId="9" fontId="9" fillId="7" borderId="8" xfId="3" applyNumberFormat="1" applyFont="1" applyFill="1" applyBorder="1" applyAlignment="1" applyProtection="1">
      <alignment horizontal="center" vertical="center" wrapText="1"/>
      <protection hidden="1"/>
    </xf>
    <xf numFmtId="0" fontId="8" fillId="0" borderId="66" xfId="3" applyFont="1" applyFill="1" applyBorder="1" applyAlignment="1" applyProtection="1">
      <alignment horizontal="center" vertical="center" wrapText="1"/>
      <protection hidden="1"/>
    </xf>
    <xf numFmtId="0" fontId="8" fillId="0" borderId="15" xfId="3" applyFont="1" applyFill="1" applyBorder="1" applyAlignment="1" applyProtection="1">
      <alignment horizontal="center" vertical="center" wrapText="1"/>
      <protection hidden="1"/>
    </xf>
    <xf numFmtId="0" fontId="8" fillId="0" borderId="67" xfId="3" applyFont="1" applyFill="1" applyBorder="1" applyAlignment="1" applyProtection="1">
      <alignment horizontal="center" vertical="center" wrapText="1"/>
      <protection hidden="1"/>
    </xf>
    <xf numFmtId="0" fontId="8" fillId="7" borderId="63" xfId="3" applyNumberFormat="1" applyFont="1" applyFill="1" applyBorder="1" applyAlignment="1" applyProtection="1">
      <alignment horizontal="center" vertical="center" wrapText="1"/>
      <protection hidden="1"/>
    </xf>
    <xf numFmtId="0" fontId="8" fillId="7" borderId="62" xfId="3" applyNumberFormat="1" applyFont="1" applyFill="1" applyBorder="1" applyAlignment="1" applyProtection="1">
      <alignment horizontal="center" vertical="center" wrapText="1"/>
      <protection hidden="1"/>
    </xf>
    <xf numFmtId="0" fontId="8" fillId="7" borderId="112" xfId="3" applyNumberFormat="1" applyFont="1" applyFill="1" applyBorder="1" applyAlignment="1" applyProtection="1">
      <alignment horizontal="center" vertical="center" wrapText="1"/>
      <protection hidden="1"/>
    </xf>
    <xf numFmtId="0" fontId="48" fillId="9" borderId="46" xfId="0" applyFont="1" applyFill="1" applyBorder="1" applyAlignment="1">
      <alignment horizontal="center" vertical="center" wrapText="1"/>
    </xf>
    <xf numFmtId="0" fontId="48" fillId="9" borderId="45" xfId="0" applyFont="1" applyFill="1" applyBorder="1" applyAlignment="1">
      <alignment horizontal="center" vertical="center" wrapText="1"/>
    </xf>
    <xf numFmtId="0" fontId="48" fillId="9" borderId="47" xfId="0" applyFont="1" applyFill="1" applyBorder="1" applyAlignment="1">
      <alignment horizontal="center" vertical="center" wrapText="1"/>
    </xf>
    <xf numFmtId="0" fontId="48" fillId="9" borderId="12" xfId="0" applyFont="1" applyFill="1" applyBorder="1" applyAlignment="1">
      <alignment horizontal="center" vertical="center" wrapText="1"/>
    </xf>
    <xf numFmtId="0" fontId="48" fillId="9" borderId="0" xfId="0" applyFont="1" applyFill="1" applyBorder="1" applyAlignment="1">
      <alignment horizontal="center" vertical="center" wrapText="1"/>
    </xf>
    <xf numFmtId="0" fontId="48" fillId="9" borderId="71" xfId="0" applyFont="1" applyFill="1" applyBorder="1" applyAlignment="1">
      <alignment horizontal="center" vertical="center" wrapText="1"/>
    </xf>
    <xf numFmtId="0" fontId="48" fillId="9" borderId="48" xfId="0" applyFont="1" applyFill="1" applyBorder="1" applyAlignment="1">
      <alignment horizontal="center" vertical="center" wrapText="1"/>
    </xf>
    <xf numFmtId="0" fontId="48" fillId="9" borderId="44" xfId="0" applyFont="1" applyFill="1" applyBorder="1" applyAlignment="1">
      <alignment horizontal="center" vertical="center" wrapText="1"/>
    </xf>
    <xf numFmtId="0" fontId="48" fillId="9" borderId="49" xfId="0" applyFont="1" applyFill="1" applyBorder="1" applyAlignment="1">
      <alignment horizontal="center" vertical="center" wrapText="1"/>
    </xf>
    <xf numFmtId="9" fontId="9" fillId="9" borderId="45" xfId="3" applyNumberFormat="1" applyFont="1" applyFill="1" applyBorder="1" applyAlignment="1" applyProtection="1">
      <alignment horizontal="center" vertical="center" wrapText="1"/>
      <protection hidden="1"/>
    </xf>
    <xf numFmtId="9" fontId="9" fillId="9" borderId="44" xfId="3" applyNumberFormat="1" applyFont="1" applyFill="1" applyBorder="1" applyAlignment="1" applyProtection="1">
      <alignment horizontal="center" vertical="center" wrapText="1"/>
      <protection hidden="1"/>
    </xf>
    <xf numFmtId="180" fontId="11" fillId="7" borderId="8" xfId="0" applyNumberFormat="1" applyFont="1" applyFill="1" applyBorder="1" applyAlignment="1" applyProtection="1">
      <alignment horizontal="center" vertical="center"/>
      <protection hidden="1"/>
    </xf>
    <xf numFmtId="0" fontId="11" fillId="7" borderId="8" xfId="0" applyFont="1" applyFill="1" applyBorder="1" applyAlignment="1" applyProtection="1">
      <alignment horizontal="center" vertical="center"/>
      <protection hidden="1"/>
    </xf>
    <xf numFmtId="0" fontId="8" fillId="3" borderId="15" xfId="0" applyFont="1" applyFill="1" applyBorder="1" applyAlignment="1" applyProtection="1">
      <alignment horizontal="center" vertical="center"/>
      <protection hidden="1"/>
    </xf>
    <xf numFmtId="0" fontId="8" fillId="3" borderId="7" xfId="0" applyFont="1" applyFill="1" applyBorder="1" applyAlignment="1" applyProtection="1">
      <alignment horizontal="center" vertical="center"/>
      <protection hidden="1"/>
    </xf>
    <xf numFmtId="0" fontId="8" fillId="3" borderId="16" xfId="0" applyFont="1" applyFill="1" applyBorder="1" applyAlignment="1" applyProtection="1">
      <alignment horizontal="center" vertical="center"/>
      <protection hidden="1"/>
    </xf>
    <xf numFmtId="0" fontId="11" fillId="3" borderId="8" xfId="0" applyFont="1" applyFill="1" applyBorder="1" applyAlignment="1" applyProtection="1">
      <alignment horizontal="center" vertical="center"/>
      <protection hidden="1"/>
    </xf>
    <xf numFmtId="180" fontId="10" fillId="7" borderId="8" xfId="0" applyNumberFormat="1" applyFont="1" applyFill="1" applyBorder="1" applyAlignment="1" applyProtection="1">
      <alignment horizontal="center" vertical="center"/>
      <protection hidden="1"/>
    </xf>
    <xf numFmtId="0" fontId="10" fillId="7" borderId="8" xfId="0" applyFont="1" applyFill="1" applyBorder="1" applyAlignment="1" applyProtection="1">
      <alignment horizontal="center" vertical="center"/>
      <protection hidden="1"/>
    </xf>
    <xf numFmtId="1" fontId="9" fillId="3" borderId="15" xfId="0" applyNumberFormat="1" applyFont="1" applyFill="1" applyBorder="1" applyAlignment="1" applyProtection="1">
      <alignment horizontal="center" vertical="center"/>
      <protection hidden="1"/>
    </xf>
    <xf numFmtId="1" fontId="9" fillId="3" borderId="16" xfId="0" applyNumberFormat="1" applyFont="1" applyFill="1" applyBorder="1" applyAlignment="1" applyProtection="1">
      <alignment horizontal="center" vertical="center"/>
      <protection hidden="1"/>
    </xf>
    <xf numFmtId="1" fontId="9" fillId="3" borderId="8" xfId="0" applyNumberFormat="1" applyFont="1" applyFill="1" applyBorder="1" applyAlignment="1" applyProtection="1">
      <alignment horizontal="center" vertical="center"/>
      <protection hidden="1"/>
    </xf>
    <xf numFmtId="0" fontId="30" fillId="2" borderId="5" xfId="3" applyFont="1" applyFill="1" applyBorder="1" applyAlignment="1" applyProtection="1">
      <alignment horizontal="center" vertical="center" wrapText="1"/>
      <protection hidden="1"/>
    </xf>
    <xf numFmtId="0" fontId="30" fillId="2" borderId="10" xfId="3" applyFont="1" applyFill="1" applyBorder="1" applyAlignment="1" applyProtection="1">
      <alignment horizontal="center" vertical="center" wrapText="1"/>
      <protection hidden="1"/>
    </xf>
    <xf numFmtId="0" fontId="9" fillId="3" borderId="8" xfId="0" applyFont="1" applyFill="1" applyBorder="1" applyAlignment="1" applyProtection="1">
      <alignment horizontal="center" vertical="center" wrapText="1"/>
      <protection hidden="1"/>
    </xf>
    <xf numFmtId="0" fontId="9" fillId="0" borderId="10" xfId="0" applyFont="1" applyBorder="1" applyAlignment="1" applyProtection="1">
      <alignment horizontal="center"/>
      <protection hidden="1"/>
    </xf>
    <xf numFmtId="0" fontId="9" fillId="0" borderId="0" xfId="0" applyFont="1" applyBorder="1" applyAlignment="1" applyProtection="1">
      <alignment horizontal="center"/>
      <protection hidden="1"/>
    </xf>
    <xf numFmtId="0" fontId="5" fillId="3" borderId="1" xfId="0" applyFont="1" applyFill="1" applyBorder="1" applyAlignment="1" applyProtection="1">
      <alignment horizontal="center" vertical="center"/>
      <protection hidden="1"/>
    </xf>
    <xf numFmtId="0" fontId="5" fillId="3" borderId="9" xfId="0" applyFont="1" applyFill="1" applyBorder="1" applyAlignment="1" applyProtection="1">
      <alignment horizontal="center" vertical="center"/>
      <protection hidden="1"/>
    </xf>
    <xf numFmtId="0" fontId="5" fillId="3" borderId="2" xfId="0" applyFont="1" applyFill="1" applyBorder="1" applyAlignment="1" applyProtection="1">
      <alignment horizontal="center" vertical="center"/>
      <protection hidden="1"/>
    </xf>
    <xf numFmtId="0" fontId="5" fillId="3" borderId="5" xfId="0" applyFont="1" applyFill="1" applyBorder="1" applyAlignment="1" applyProtection="1">
      <alignment horizontal="center" vertical="center"/>
      <protection hidden="1"/>
    </xf>
    <xf numFmtId="0" fontId="5" fillId="3" borderId="10" xfId="0" applyFont="1" applyFill="1" applyBorder="1" applyAlignment="1" applyProtection="1">
      <alignment horizontal="center" vertical="center"/>
      <protection hidden="1"/>
    </xf>
    <xf numFmtId="0" fontId="5" fillId="3" borderId="6" xfId="0" applyFont="1" applyFill="1" applyBorder="1" applyAlignment="1" applyProtection="1">
      <alignment horizontal="center" vertical="center"/>
      <protection hidden="1"/>
    </xf>
    <xf numFmtId="0" fontId="9" fillId="3" borderId="15" xfId="0" applyFont="1" applyFill="1" applyBorder="1" applyAlignment="1" applyProtection="1">
      <alignment horizontal="center" vertical="center"/>
      <protection hidden="1"/>
    </xf>
    <xf numFmtId="0" fontId="9" fillId="3" borderId="16" xfId="0" applyFont="1" applyFill="1" applyBorder="1" applyAlignment="1" applyProtection="1">
      <alignment horizontal="center" vertical="center"/>
      <protection hidden="1"/>
    </xf>
    <xf numFmtId="41" fontId="38" fillId="0" borderId="0" xfId="22" applyFont="1" applyAlignment="1" applyProtection="1">
      <alignment horizontal="center"/>
      <protection hidden="1"/>
    </xf>
    <xf numFmtId="0" fontId="36" fillId="9" borderId="15" xfId="17" applyFont="1" applyFill="1" applyBorder="1" applyAlignment="1" applyProtection="1">
      <alignment horizontal="left" vertical="center" wrapText="1"/>
      <protection hidden="1"/>
    </xf>
    <xf numFmtId="0" fontId="36" fillId="9" borderId="7" xfId="17" applyFont="1" applyFill="1" applyBorder="1" applyAlignment="1" applyProtection="1">
      <alignment horizontal="left" vertical="center" wrapText="1"/>
      <protection hidden="1"/>
    </xf>
    <xf numFmtId="0" fontId="36" fillId="9" borderId="16" xfId="17" applyFont="1" applyFill="1" applyBorder="1" applyAlignment="1" applyProtection="1">
      <alignment horizontal="left" vertical="center" wrapText="1"/>
      <protection hidden="1"/>
    </xf>
    <xf numFmtId="0" fontId="38" fillId="4" borderId="15" xfId="17" applyFont="1" applyFill="1" applyBorder="1" applyAlignment="1" applyProtection="1">
      <alignment horizontal="left" vertical="center" wrapText="1"/>
      <protection hidden="1"/>
    </xf>
    <xf numFmtId="0" fontId="38" fillId="4" borderId="7" xfId="17" applyFont="1" applyFill="1" applyBorder="1" applyAlignment="1" applyProtection="1">
      <alignment horizontal="left" vertical="center" wrapText="1"/>
      <protection hidden="1"/>
    </xf>
    <xf numFmtId="0" fontId="38" fillId="4" borderId="16" xfId="17" applyFont="1" applyFill="1" applyBorder="1" applyAlignment="1" applyProtection="1">
      <alignment horizontal="left" vertical="center" wrapText="1"/>
      <protection hidden="1"/>
    </xf>
    <xf numFmtId="0" fontId="36" fillId="9" borderId="15" xfId="17" applyFont="1" applyFill="1" applyBorder="1" applyAlignment="1" applyProtection="1">
      <alignment horizontal="center" vertical="center" wrapText="1"/>
      <protection hidden="1"/>
    </xf>
    <xf numFmtId="0" fontId="36" fillId="9" borderId="7" xfId="17" applyFont="1" applyFill="1" applyBorder="1" applyAlignment="1" applyProtection="1">
      <alignment horizontal="center" vertical="center" wrapText="1"/>
      <protection hidden="1"/>
    </xf>
    <xf numFmtId="0" fontId="36" fillId="9" borderId="16" xfId="17" applyFont="1" applyFill="1" applyBorder="1" applyAlignment="1" applyProtection="1">
      <alignment horizontal="center" vertical="center" wrapText="1"/>
      <protection hidden="1"/>
    </xf>
    <xf numFmtId="42" fontId="38" fillId="0" borderId="8" xfId="23" applyFont="1" applyBorder="1" applyAlignment="1" applyProtection="1">
      <alignment horizontal="center"/>
      <protection hidden="1"/>
    </xf>
    <xf numFmtId="0" fontId="36" fillId="9" borderId="15" xfId="17" applyFont="1" applyFill="1" applyBorder="1" applyAlignment="1" applyProtection="1">
      <alignment vertical="center" wrapText="1"/>
      <protection hidden="1"/>
    </xf>
    <xf numFmtId="0" fontId="36" fillId="9" borderId="7" xfId="17" applyFont="1" applyFill="1" applyBorder="1" applyAlignment="1" applyProtection="1">
      <alignment vertical="center" wrapText="1"/>
      <protection hidden="1"/>
    </xf>
    <xf numFmtId="0" fontId="36" fillId="9" borderId="16" xfId="17" applyFont="1" applyFill="1" applyBorder="1" applyAlignment="1" applyProtection="1">
      <alignment vertical="center" wrapText="1"/>
      <protection hidden="1"/>
    </xf>
    <xf numFmtId="0" fontId="36" fillId="3" borderId="15" xfId="17" applyFont="1" applyFill="1" applyBorder="1" applyAlignment="1" applyProtection="1">
      <alignment horizontal="center" vertical="center" wrapText="1"/>
      <protection hidden="1"/>
    </xf>
    <xf numFmtId="0" fontId="36" fillId="3" borderId="7" xfId="17" applyFont="1" applyFill="1" applyBorder="1" applyAlignment="1" applyProtection="1">
      <alignment horizontal="center" vertical="center" wrapText="1"/>
      <protection hidden="1"/>
    </xf>
    <xf numFmtId="0" fontId="36" fillId="3" borderId="16" xfId="17" applyFont="1" applyFill="1" applyBorder="1" applyAlignment="1" applyProtection="1">
      <alignment horizontal="center" vertical="center" wrapText="1"/>
      <protection hidden="1"/>
    </xf>
    <xf numFmtId="176" fontId="36" fillId="0" borderId="0" xfId="17" applyNumberFormat="1" applyFont="1" applyBorder="1" applyAlignment="1" applyProtection="1">
      <alignment horizontal="center" vertical="center"/>
      <protection hidden="1"/>
    </xf>
    <xf numFmtId="0" fontId="8" fillId="2" borderId="1" xfId="3" applyFont="1" applyFill="1" applyBorder="1" applyAlignment="1" applyProtection="1">
      <alignment horizontal="center" vertical="center" wrapText="1"/>
      <protection hidden="1"/>
    </xf>
    <xf numFmtId="0" fontId="8" fillId="2" borderId="9" xfId="3" applyFont="1" applyFill="1" applyBorder="1" applyAlignment="1" applyProtection="1">
      <alignment horizontal="center" vertical="center" wrapText="1"/>
      <protection hidden="1"/>
    </xf>
    <xf numFmtId="0" fontId="8" fillId="2" borderId="2" xfId="3" applyFont="1" applyFill="1" applyBorder="1" applyAlignment="1" applyProtection="1">
      <alignment horizontal="center" vertical="center" wrapText="1"/>
      <protection hidden="1"/>
    </xf>
    <xf numFmtId="0" fontId="8" fillId="2" borderId="3" xfId="3" applyFont="1" applyFill="1" applyBorder="1" applyAlignment="1" applyProtection="1">
      <alignment horizontal="center" vertical="center" wrapText="1"/>
      <protection hidden="1"/>
    </xf>
    <xf numFmtId="0" fontId="8" fillId="2" borderId="0" xfId="3" applyFont="1" applyFill="1" applyBorder="1" applyAlignment="1" applyProtection="1">
      <alignment horizontal="center" vertical="center" wrapText="1"/>
      <protection hidden="1"/>
    </xf>
    <xf numFmtId="0" fontId="8" fillId="2" borderId="4" xfId="3" applyFont="1" applyFill="1" applyBorder="1" applyAlignment="1" applyProtection="1">
      <alignment horizontal="center" vertical="center" wrapText="1"/>
      <protection hidden="1"/>
    </xf>
    <xf numFmtId="0" fontId="8" fillId="2" borderId="5" xfId="3" applyFont="1" applyFill="1" applyBorder="1" applyAlignment="1" applyProtection="1">
      <alignment horizontal="center" vertical="center" wrapText="1"/>
      <protection hidden="1"/>
    </xf>
    <xf numFmtId="0" fontId="8" fillId="2" borderId="10" xfId="3" applyFont="1" applyFill="1" applyBorder="1" applyAlignment="1" applyProtection="1">
      <alignment horizontal="center" vertical="center" wrapText="1"/>
      <protection hidden="1"/>
    </xf>
    <xf numFmtId="0" fontId="8" fillId="2" borderId="6" xfId="3" applyFont="1" applyFill="1" applyBorder="1" applyAlignment="1" applyProtection="1">
      <alignment horizontal="center" vertical="center" wrapText="1"/>
      <protection hidden="1"/>
    </xf>
    <xf numFmtId="0" fontId="36" fillId="3" borderId="29" xfId="17" applyFont="1" applyFill="1" applyBorder="1" applyAlignment="1" applyProtection="1">
      <alignment horizontal="center" vertical="center"/>
      <protection hidden="1"/>
    </xf>
    <xf numFmtId="0" fontId="57" fillId="3" borderId="29" xfId="17" applyFont="1" applyFill="1" applyBorder="1" applyAlignment="1" applyProtection="1">
      <alignment horizontal="center"/>
      <protection hidden="1"/>
    </xf>
    <xf numFmtId="0" fontId="36" fillId="3" borderId="29" xfId="17" applyFont="1" applyFill="1" applyBorder="1" applyAlignment="1" applyProtection="1">
      <alignment horizontal="center" vertical="center" wrapText="1"/>
      <protection hidden="1"/>
    </xf>
    <xf numFmtId="0" fontId="36" fillId="4" borderId="29" xfId="17" applyFont="1" applyFill="1" applyBorder="1" applyAlignment="1" applyProtection="1">
      <alignment horizontal="left" vertical="center"/>
      <protection hidden="1"/>
    </xf>
    <xf numFmtId="0" fontId="36" fillId="7" borderId="113" xfId="17" applyFont="1" applyFill="1" applyBorder="1" applyAlignment="1" applyProtection="1">
      <alignment horizontal="center" vertical="center" wrapText="1"/>
      <protection hidden="1"/>
    </xf>
    <xf numFmtId="176" fontId="36" fillId="7" borderId="29" xfId="17" applyNumberFormat="1" applyFont="1" applyFill="1" applyBorder="1" applyAlignment="1" applyProtection="1">
      <alignment horizontal="center" vertical="center"/>
      <protection hidden="1"/>
    </xf>
    <xf numFmtId="0" fontId="36" fillId="7" borderId="29" xfId="17" applyFont="1" applyFill="1" applyBorder="1" applyAlignment="1" applyProtection="1">
      <alignment horizontal="center" vertical="center" wrapText="1"/>
      <protection hidden="1"/>
    </xf>
  </cellXfs>
  <cellStyles count="42">
    <cellStyle name="Hipervínculo" xfId="28" builtinId="8"/>
    <cellStyle name="Hipervínculo 3" xfId="24" xr:uid="{00000000-0005-0000-0000-000001000000}"/>
    <cellStyle name="Millares" xfId="1" builtinId="3"/>
    <cellStyle name="Millares [0]" xfId="22" builtinId="6"/>
    <cellStyle name="Millares [0] 2" xfId="18" xr:uid="{00000000-0005-0000-0000-000004000000}"/>
    <cellStyle name="Millares [0] 2 2" xfId="32" xr:uid="{00000000-0005-0000-0000-000005000000}"/>
    <cellStyle name="Millares [0] 3" xfId="34" xr:uid="{00000000-0005-0000-0000-000006000000}"/>
    <cellStyle name="Millares 2" xfId="26" xr:uid="{00000000-0005-0000-0000-000007000000}"/>
    <cellStyle name="Millares 2 2" xfId="37" xr:uid="{00000000-0005-0000-0000-000008000000}"/>
    <cellStyle name="Millares 3" xfId="29" xr:uid="{00000000-0005-0000-0000-000009000000}"/>
    <cellStyle name="Millares 4" xfId="19" xr:uid="{00000000-0005-0000-0000-00000A000000}"/>
    <cellStyle name="Millares 4 2" xfId="25" xr:uid="{00000000-0005-0000-0000-00000B000000}"/>
    <cellStyle name="Millares 4 2 2" xfId="36" xr:uid="{00000000-0005-0000-0000-00000C000000}"/>
    <cellStyle name="Millares 4 3" xfId="33" xr:uid="{00000000-0005-0000-0000-00000D000000}"/>
    <cellStyle name="Millares_Formato Evaluacion LP No. 41 Biblioteca Belen" xfId="8" xr:uid="{00000000-0005-0000-0000-00000E000000}"/>
    <cellStyle name="Moneda" xfId="41" builtinId="4"/>
    <cellStyle name="Moneda [0]" xfId="23" builtinId="7"/>
    <cellStyle name="Moneda [0] 2" xfId="35" xr:uid="{00000000-0005-0000-0000-000011000000}"/>
    <cellStyle name="Moneda [0] 6" xfId="13" xr:uid="{00000000-0005-0000-0000-000012000000}"/>
    <cellStyle name="Moneda [0] 6 2" xfId="30" xr:uid="{00000000-0005-0000-0000-000013000000}"/>
    <cellStyle name="Moneda 11" xfId="12" xr:uid="{00000000-0005-0000-0000-000014000000}"/>
    <cellStyle name="Moneda 2" xfId="27" xr:uid="{00000000-0005-0000-0000-000015000000}"/>
    <cellStyle name="Moneda 2 2" xfId="38" xr:uid="{00000000-0005-0000-0000-000016000000}"/>
    <cellStyle name="Moneda 9 2" xfId="14" xr:uid="{00000000-0005-0000-0000-000017000000}"/>
    <cellStyle name="Moneda 9 2 2" xfId="31" xr:uid="{00000000-0005-0000-0000-000018000000}"/>
    <cellStyle name="Normal" xfId="0" builtinId="0"/>
    <cellStyle name="Normal 10 10 2" xfId="9" xr:uid="{00000000-0005-0000-0000-00001A000000}"/>
    <cellStyle name="Normal 12 2" xfId="5" xr:uid="{00000000-0005-0000-0000-00001B000000}"/>
    <cellStyle name="Normal 12 2 3" xfId="6" xr:uid="{00000000-0005-0000-0000-00001C000000}"/>
    <cellStyle name="Normal 12 4" xfId="7" xr:uid="{00000000-0005-0000-0000-00001D000000}"/>
    <cellStyle name="Normal 14 2 4" xfId="17" xr:uid="{00000000-0005-0000-0000-00001E000000}"/>
    <cellStyle name="Normal 15" xfId="4" xr:uid="{00000000-0005-0000-0000-00001F000000}"/>
    <cellStyle name="Normal 18" xfId="10" xr:uid="{00000000-0005-0000-0000-000020000000}"/>
    <cellStyle name="Normal 18 2" xfId="21" xr:uid="{00000000-0005-0000-0000-000021000000}"/>
    <cellStyle name="Normal 2" xfId="39" xr:uid="{00000000-0005-0000-0000-000022000000}"/>
    <cellStyle name="Normal 2 2" xfId="11" xr:uid="{00000000-0005-0000-0000-000023000000}"/>
    <cellStyle name="Normal 3" xfId="40" xr:uid="{00000000-0005-0000-0000-000024000000}"/>
    <cellStyle name="Normal_CONSOLIDADO  EVALUACIÓN LP 53 OBRA ADECUACIÓN Y MANTENIMIENTO DEL TEATRO LIDO" xfId="3" xr:uid="{00000000-0005-0000-0000-000025000000}"/>
    <cellStyle name="Porcentaje" xfId="2" builtinId="5"/>
    <cellStyle name="Porcentaje 2" xfId="15" xr:uid="{00000000-0005-0000-0000-000027000000}"/>
    <cellStyle name="Porcentaje 6" xfId="16" xr:uid="{00000000-0005-0000-0000-000028000000}"/>
    <cellStyle name="Porcentual 2 2 2" xfId="20" xr:uid="{00000000-0005-0000-0000-000029000000}"/>
  </cellStyles>
  <dxfs count="7079">
    <dxf>
      <fill>
        <patternFill>
          <bgColor rgb="FFFF0000"/>
        </patternFill>
      </fill>
    </dxf>
    <dxf>
      <fill>
        <patternFill>
          <bgColor rgb="FFFFFF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rgb="FF92D050"/>
        </patternFill>
      </fill>
    </dxf>
    <dxf>
      <font>
        <color theme="1"/>
      </font>
      <fill>
        <patternFill>
          <bgColor rgb="FFFF00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92D05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00FF00"/>
        </patternFill>
      </fill>
    </dxf>
    <dxf>
      <fill>
        <patternFill>
          <bgColor rgb="FFFF0000"/>
        </patternFill>
      </fill>
    </dxf>
    <dxf>
      <fill>
        <patternFill>
          <bgColor rgb="FF00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ont>
        <color theme="1"/>
      </font>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ont>
        <color theme="1"/>
      </font>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ont>
        <color theme="1"/>
      </font>
      <fill>
        <patternFill>
          <bgColor rgb="FFFF0000"/>
        </patternFill>
      </fill>
    </dxf>
    <dxf>
      <font>
        <color theme="1"/>
      </font>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66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9" tint="-0.24994659260841701"/>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patternType="solid">
          <fgColor auto="1"/>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FF00"/>
        </patternFill>
      </fill>
    </dxf>
    <dxf>
      <fill>
        <patternFill>
          <bgColor theme="5" tint="-0.24994659260841701"/>
        </patternFill>
      </fill>
    </dxf>
    <dxf>
      <fill>
        <patternFill>
          <bgColor theme="9" tint="0.79998168889431442"/>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0000"/>
        </patternFill>
      </fill>
    </dxf>
    <dxf>
      <fill>
        <patternFill>
          <bgColor rgb="FFFFFF00"/>
        </patternFill>
      </fill>
    </dxf>
    <dxf>
      <fill>
        <patternFill>
          <bgColor theme="9" tint="0.59996337778862885"/>
        </patternFill>
      </fill>
    </dxf>
    <dxf>
      <fill>
        <patternFill>
          <bgColor rgb="FFFFFF00"/>
        </patternFill>
      </fill>
    </dxf>
    <dxf>
      <fill>
        <patternFill>
          <bgColor rgb="FFFF0000"/>
        </patternFill>
      </fill>
    </dxf>
    <dxf>
      <fill>
        <patternFill>
          <bgColor theme="9" tint="-0.24994659260841701"/>
        </patternFill>
      </fill>
    </dxf>
    <dxf>
      <fill>
        <patternFill>
          <bgColor theme="5" tint="-0.24994659260841701"/>
        </patternFill>
      </fill>
    </dxf>
    <dxf>
      <fill>
        <patternFill>
          <bgColor rgb="FFFFFF00"/>
        </patternFill>
      </fill>
    </dxf>
    <dxf>
      <fill>
        <patternFill>
          <bgColor rgb="FFFF0000"/>
        </patternFill>
      </fill>
    </dxf>
    <dxf>
      <fill>
        <patternFill>
          <bgColor theme="5" tint="-0.24994659260841701"/>
        </patternFill>
      </fill>
    </dxf>
    <dxf>
      <fill>
        <patternFill>
          <bgColor theme="5" tint="-0.24994659260841701"/>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theme="9" tint="0.59996337778862885"/>
        </patternFill>
      </fill>
    </dxf>
    <dxf>
      <fill>
        <patternFill>
          <bgColor rgb="FFFFFF00"/>
        </patternFill>
      </fill>
    </dxf>
    <dxf>
      <fill>
        <patternFill>
          <bgColor theme="5" tint="-0.24994659260841701"/>
        </patternFill>
      </fill>
    </dxf>
    <dxf>
      <fill>
        <patternFill>
          <bgColor rgb="FFFFFF00"/>
        </patternFill>
      </fill>
    </dxf>
    <dxf>
      <fill>
        <patternFill>
          <bgColor rgb="FFFF0000"/>
        </patternFill>
      </fill>
    </dxf>
    <dxf>
      <fill>
        <patternFill>
          <bgColor rgb="FFFFFF00"/>
        </patternFill>
      </fill>
    </dxf>
    <dxf>
      <fill>
        <patternFill>
          <bgColor theme="5" tint="-0.24994659260841701"/>
        </patternFill>
      </fill>
    </dxf>
    <dxf>
      <fill>
        <patternFill>
          <bgColor theme="9" tint="0.79998168889431442"/>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00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patternType="solid">
          <fgColor auto="1"/>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66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66675</xdr:rowOff>
    </xdr:from>
    <xdr:to>
      <xdr:col>1</xdr:col>
      <xdr:colOff>429629</xdr:colOff>
      <xdr:row>2</xdr:row>
      <xdr:rowOff>133350</xdr:rowOff>
    </xdr:to>
    <xdr:pic>
      <xdr:nvPicPr>
        <xdr:cNvPr id="2" name="3 Imagen" descr="log-udea2.GIF">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66675"/>
          <a:ext cx="734429"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52916</xdr:colOff>
      <xdr:row>0</xdr:row>
      <xdr:rowOff>66675</xdr:rowOff>
    </xdr:from>
    <xdr:to>
      <xdr:col>1</xdr:col>
      <xdr:colOff>172746</xdr:colOff>
      <xdr:row>2</xdr:row>
      <xdr:rowOff>68550</xdr:rowOff>
    </xdr:to>
    <xdr:pic>
      <xdr:nvPicPr>
        <xdr:cNvPr id="2" name="3 Imagen" descr="log-udea2.GIF">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2916" y="66675"/>
          <a:ext cx="556249" cy="84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917863</xdr:colOff>
      <xdr:row>4</xdr:row>
      <xdr:rowOff>34636</xdr:rowOff>
    </xdr:from>
    <xdr:to>
      <xdr:col>16</xdr:col>
      <xdr:colOff>3531177</xdr:colOff>
      <xdr:row>7</xdr:row>
      <xdr:rowOff>1073726</xdr:rowOff>
    </xdr:to>
    <xdr:pic>
      <xdr:nvPicPr>
        <xdr:cNvPr id="4" name="Imagen 3">
          <a:extLst>
            <a:ext uri="{FF2B5EF4-FFF2-40B4-BE49-F238E27FC236}">
              <a16:creationId xmlns:a16="http://schemas.microsoft.com/office/drawing/2014/main" id="{00000000-0008-0000-08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9475545" y="1177636"/>
          <a:ext cx="3635087" cy="1766454"/>
        </a:xfrm>
        <a:prstGeom prst="rect">
          <a:avLst/>
        </a:prstGeom>
      </xdr:spPr>
    </xdr:pic>
    <xdr:clientData/>
  </xdr:twoCellAnchor>
  <xdr:twoCellAnchor editAs="oneCell">
    <xdr:from>
      <xdr:col>85</xdr:col>
      <xdr:colOff>1021773</xdr:colOff>
      <xdr:row>3</xdr:row>
      <xdr:rowOff>398318</xdr:rowOff>
    </xdr:from>
    <xdr:to>
      <xdr:col>85</xdr:col>
      <xdr:colOff>3948546</xdr:colOff>
      <xdr:row>7</xdr:row>
      <xdr:rowOff>1298864</xdr:rowOff>
    </xdr:to>
    <xdr:pic>
      <xdr:nvPicPr>
        <xdr:cNvPr id="7" name="image1.jpeg">
          <a:extLst>
            <a:ext uri="{FF2B5EF4-FFF2-40B4-BE49-F238E27FC236}">
              <a16:creationId xmlns:a16="http://schemas.microsoft.com/office/drawing/2014/main" id="{00000000-0008-0000-0800-000007000000}"/>
            </a:ext>
          </a:extLst>
        </xdr:cNvPr>
        <xdr:cNvPicPr/>
      </xdr:nvPicPr>
      <xdr:blipFill>
        <a:blip xmlns:r="http://schemas.openxmlformats.org/officeDocument/2006/relationships" r:embed="rId2" cstate="print"/>
        <a:stretch>
          <a:fillRect/>
        </a:stretch>
      </xdr:blipFill>
      <xdr:spPr>
        <a:xfrm>
          <a:off x="139480637" y="1056409"/>
          <a:ext cx="2926773" cy="211281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oneCellAnchor>
    <xdr:from>
      <xdr:col>1</xdr:col>
      <xdr:colOff>107749</xdr:colOff>
      <xdr:row>1</xdr:row>
      <xdr:rowOff>31654</xdr:rowOff>
    </xdr:from>
    <xdr:ext cx="664715" cy="819993"/>
    <xdr:pic>
      <xdr:nvPicPr>
        <xdr:cNvPr id="2" name="3 Imagen" descr="log-udea2.GIF">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024" y="231679"/>
          <a:ext cx="664715" cy="8199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9</xdr:col>
      <xdr:colOff>238125</xdr:colOff>
      <xdr:row>34</xdr:row>
      <xdr:rowOff>21780</xdr:rowOff>
    </xdr:from>
    <xdr:to>
      <xdr:col>14</xdr:col>
      <xdr:colOff>294577</xdr:colOff>
      <xdr:row>59</xdr:row>
      <xdr:rowOff>199586</xdr:rowOff>
    </xdr:to>
    <xdr:pic>
      <xdr:nvPicPr>
        <xdr:cNvPr id="3" name="Imagen 2">
          <a:extLst>
            <a:ext uri="{FF2B5EF4-FFF2-40B4-BE49-F238E27FC236}">
              <a16:creationId xmlns:a16="http://schemas.microsoft.com/office/drawing/2014/main" id="{00000000-0008-0000-0C00-000003000000}"/>
            </a:ext>
          </a:extLst>
        </xdr:cNvPr>
        <xdr:cNvPicPr>
          <a:picLocks noChangeAspect="1"/>
        </xdr:cNvPicPr>
      </xdr:nvPicPr>
      <xdr:blipFill>
        <a:blip xmlns:r="http://schemas.openxmlformats.org/officeDocument/2006/relationships" r:embed="rId2"/>
        <a:stretch>
          <a:fillRect/>
        </a:stretch>
      </xdr:blipFill>
      <xdr:spPr>
        <a:xfrm>
          <a:off x="8086725" y="7289355"/>
          <a:ext cx="4666552" cy="293053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ortcut-targets-by-id/1PKPUJ5BnUlpZyHn7OIph8Kc17b7qiSjm/4_GADMIN/1_REGIS/0_Invitaciones/2_MedianaC/VA_036_2021_Interventoria_Robledo/Gestion/3_Evaluacion/2_Evaluacion%20VA-036-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TELETRABAJO_2020\11_PROCESO%20VA-013-2020\PROPUESTAS\2_Evaluacion%20VA-013-20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TELETRABAJO_2020\APOYOS\Evaluaci&#243;n%20VA-119-2019_DEFINITIVO%20Abril%2021%20d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2_APERTURA DE SOBRES"/>
      <sheetName val="6.2.1. REQUISITOS JURÍDICOS"/>
      <sheetName val="6.2.2.1. EXPERIENCIA GRAL"/>
      <sheetName val="6.2.2.2. EXPERIENCIA_ESPECIF "/>
      <sheetName val="6.2.3.2 PROFESIONALES"/>
      <sheetName val="6.2.4 CAP FINANCIERA"/>
      <sheetName val="6.2.5 REQUISITOS COMERCIALES"/>
      <sheetName val="PRESUPUESTO"/>
      <sheetName val="14.3 EXPERIENCIA_OCT"/>
      <sheetName val="Cálculo Pt2"/>
      <sheetName val="RESUMEN"/>
      <sheetName val="10. EVALUACIÓN"/>
    </sheetNames>
    <sheetDataSet>
      <sheetData sheetId="0">
        <row r="8">
          <cell r="A8">
            <v>1</v>
          </cell>
        </row>
      </sheetData>
      <sheetData sheetId="1"/>
      <sheetData sheetId="2"/>
      <sheetData sheetId="3">
        <row r="12">
          <cell r="W12">
            <v>1</v>
          </cell>
          <cell r="X12" t="str">
            <v>KER INGENIERIA S.A.S.</v>
          </cell>
          <cell r="Y12" t="str">
            <v>NO CUMPLE</v>
          </cell>
          <cell r="Z12" t="str">
            <v>NH</v>
          </cell>
          <cell r="AD12" t="str">
            <v>KER INGENIERIA S.A.S.</v>
          </cell>
          <cell r="AE12" t="str">
            <v>NO CUMPLE</v>
          </cell>
        </row>
        <row r="13">
          <cell r="W13">
            <v>2</v>
          </cell>
          <cell r="X13" t="str">
            <v>UNIÓN TEMPORAL SUPERVISOR 2021</v>
          </cell>
          <cell r="Y13" t="str">
            <v>NO CUMPLE</v>
          </cell>
          <cell r="Z13" t="str">
            <v>NH</v>
          </cell>
          <cell r="AD13" t="str">
            <v>UNIÓN TEMPORAL SUPERVISOR 2021</v>
          </cell>
          <cell r="AE13" t="str">
            <v>NO CUMPLE</v>
          </cell>
        </row>
        <row r="14">
          <cell r="W14">
            <v>3</v>
          </cell>
          <cell r="X14" t="str">
            <v>PreVeo S.A.S.</v>
          </cell>
          <cell r="Y14" t="str">
            <v>CUMPLE</v>
          </cell>
          <cell r="Z14" t="str">
            <v>H</v>
          </cell>
          <cell r="AD14" t="str">
            <v>PreVeo S.A.S.</v>
          </cell>
          <cell r="AE14" t="str">
            <v>CUMPLE</v>
          </cell>
        </row>
        <row r="15">
          <cell r="W15">
            <v>4</v>
          </cell>
          <cell r="X15" t="str">
            <v>INTERVE S.A.S.</v>
          </cell>
          <cell r="Y15" t="str">
            <v>CUMPLE</v>
          </cell>
          <cell r="Z15" t="str">
            <v>H</v>
          </cell>
          <cell r="AD15" t="str">
            <v>INTERVE S.A.S.</v>
          </cell>
          <cell r="AE15" t="str">
            <v>CUMPLE</v>
          </cell>
        </row>
        <row r="16">
          <cell r="W16">
            <v>5</v>
          </cell>
          <cell r="X16">
            <v>0</v>
          </cell>
          <cell r="Y16" t="str">
            <v>NO CUMPLE</v>
          </cell>
          <cell r="Z16" t="str">
            <v>NH</v>
          </cell>
          <cell r="AD16">
            <v>0</v>
          </cell>
          <cell r="AE16" t="str">
            <v>NO CUMPLE</v>
          </cell>
        </row>
        <row r="17">
          <cell r="W17">
            <v>6</v>
          </cell>
          <cell r="X17">
            <v>0</v>
          </cell>
          <cell r="Y17" t="str">
            <v>NO CUMPLE</v>
          </cell>
          <cell r="Z17" t="str">
            <v>NH</v>
          </cell>
          <cell r="AD17">
            <v>0</v>
          </cell>
          <cell r="AE17" t="str">
            <v>NO CUMPLE</v>
          </cell>
        </row>
        <row r="18">
          <cell r="W18">
            <v>7</v>
          </cell>
          <cell r="X18">
            <v>0</v>
          </cell>
          <cell r="Y18" t="str">
            <v>NO CUMPLE</v>
          </cell>
          <cell r="Z18" t="str">
            <v>NH</v>
          </cell>
          <cell r="AD18">
            <v>0</v>
          </cell>
          <cell r="AE18" t="str">
            <v>NO CUMPLE</v>
          </cell>
        </row>
        <row r="19">
          <cell r="W19">
            <v>8</v>
          </cell>
          <cell r="X19">
            <v>0</v>
          </cell>
          <cell r="Y19" t="str">
            <v>NO CUMPLE</v>
          </cell>
          <cell r="Z19" t="str">
            <v>NH</v>
          </cell>
          <cell r="AD19">
            <v>0</v>
          </cell>
          <cell r="AE19" t="str">
            <v>NO CUMPLE</v>
          </cell>
        </row>
        <row r="20">
          <cell r="W20">
            <v>9</v>
          </cell>
          <cell r="X20">
            <v>0</v>
          </cell>
          <cell r="Y20" t="str">
            <v>NO CUMPLE</v>
          </cell>
          <cell r="Z20" t="str">
            <v>NH</v>
          </cell>
          <cell r="AD20">
            <v>0</v>
          </cell>
          <cell r="AE20" t="str">
            <v>CUMPLE</v>
          </cell>
        </row>
        <row r="21">
          <cell r="W21">
            <v>10</v>
          </cell>
          <cell r="X21">
            <v>0</v>
          </cell>
          <cell r="Y21" t="str">
            <v>NO CUMPLE</v>
          </cell>
          <cell r="Z21" t="str">
            <v>NH</v>
          </cell>
          <cell r="AD21">
            <v>0</v>
          </cell>
          <cell r="AE21" t="str">
            <v>NO CUMPLE</v>
          </cell>
        </row>
        <row r="22">
          <cell r="W22">
            <v>11</v>
          </cell>
          <cell r="X22">
            <v>0</v>
          </cell>
          <cell r="Y22" t="str">
            <v>NO CUMPLE</v>
          </cell>
          <cell r="Z22" t="str">
            <v>NH</v>
          </cell>
          <cell r="AD22">
            <v>0</v>
          </cell>
          <cell r="AE22" t="str">
            <v>NO CUMPLE</v>
          </cell>
        </row>
        <row r="23">
          <cell r="W23">
            <v>12</v>
          </cell>
          <cell r="X23">
            <v>0</v>
          </cell>
          <cell r="Y23" t="str">
            <v>NO CUMPLE</v>
          </cell>
          <cell r="Z23" t="str">
            <v>NH</v>
          </cell>
          <cell r="AD23">
            <v>0</v>
          </cell>
          <cell r="AE23" t="str">
            <v>NO CUMPLE</v>
          </cell>
        </row>
        <row r="24">
          <cell r="W24">
            <v>13</v>
          </cell>
          <cell r="X24">
            <v>0</v>
          </cell>
          <cell r="Y24" t="str">
            <v>NO CUMPLE</v>
          </cell>
          <cell r="Z24" t="str">
            <v>NH</v>
          </cell>
          <cell r="AD24">
            <v>0</v>
          </cell>
          <cell r="AE24" t="str">
            <v>NO CUMPLE</v>
          </cell>
        </row>
        <row r="25">
          <cell r="W25">
            <v>14</v>
          </cell>
          <cell r="X25">
            <v>0</v>
          </cell>
          <cell r="Y25" t="str">
            <v>NO CUMPLE</v>
          </cell>
          <cell r="Z25" t="str">
            <v>NH</v>
          </cell>
          <cell r="AD25">
            <v>0</v>
          </cell>
          <cell r="AE25" t="str">
            <v>NO CUMPLE</v>
          </cell>
        </row>
        <row r="26">
          <cell r="W26">
            <v>15</v>
          </cell>
          <cell r="X26">
            <v>0</v>
          </cell>
          <cell r="Y26" t="str">
            <v>NO CUMPLE</v>
          </cell>
          <cell r="Z26" t="str">
            <v>NH</v>
          </cell>
          <cell r="AD26">
            <v>0</v>
          </cell>
          <cell r="AE26">
            <v>0</v>
          </cell>
        </row>
        <row r="27">
          <cell r="W27">
            <v>16</v>
          </cell>
          <cell r="X27">
            <v>0</v>
          </cell>
          <cell r="Y27" t="str">
            <v>NO CUMPLE</v>
          </cell>
          <cell r="Z27" t="str">
            <v>NH</v>
          </cell>
          <cell r="AD27">
            <v>0</v>
          </cell>
          <cell r="AE27">
            <v>0</v>
          </cell>
        </row>
        <row r="28">
          <cell r="W28">
            <v>17</v>
          </cell>
          <cell r="X28">
            <v>0</v>
          </cell>
          <cell r="Y28" t="str">
            <v>NO CUMPLE</v>
          </cell>
          <cell r="Z28" t="str">
            <v>NH</v>
          </cell>
          <cell r="AD28">
            <v>0</v>
          </cell>
          <cell r="AE28">
            <v>0</v>
          </cell>
        </row>
      </sheetData>
      <sheetData sheetId="4"/>
      <sheetData sheetId="5"/>
      <sheetData sheetId="6">
        <row r="6">
          <cell r="Q6">
            <v>1</v>
          </cell>
          <cell r="R6" t="str">
            <v>KER INGENIERIA S.A.S.</v>
          </cell>
          <cell r="S6" t="str">
            <v>NH</v>
          </cell>
        </row>
        <row r="7">
          <cell r="Q7">
            <v>2</v>
          </cell>
          <cell r="R7" t="str">
            <v>UNIÓN TEMPORAL SUPERVISOR 2021</v>
          </cell>
          <cell r="S7" t="str">
            <v>NH</v>
          </cell>
        </row>
        <row r="8">
          <cell r="Q8">
            <v>3</v>
          </cell>
          <cell r="R8" t="str">
            <v>PreVeo S.A.S.</v>
          </cell>
          <cell r="S8" t="str">
            <v>H</v>
          </cell>
        </row>
        <row r="9">
          <cell r="Q9">
            <v>4</v>
          </cell>
          <cell r="R9" t="str">
            <v>INTERVE S.A.S.</v>
          </cell>
          <cell r="S9" t="str">
            <v>H</v>
          </cell>
        </row>
        <row r="10">
          <cell r="Q10">
            <v>5</v>
          </cell>
          <cell r="R10">
            <v>0</v>
          </cell>
          <cell r="S10" t="str">
            <v>NH</v>
          </cell>
        </row>
        <row r="11">
          <cell r="Q11">
            <v>6</v>
          </cell>
          <cell r="R11">
            <v>0</v>
          </cell>
          <cell r="S11" t="str">
            <v>NH</v>
          </cell>
        </row>
        <row r="12">
          <cell r="Q12">
            <v>7</v>
          </cell>
          <cell r="R12">
            <v>0</v>
          </cell>
          <cell r="S12" t="str">
            <v>NH</v>
          </cell>
        </row>
        <row r="13">
          <cell r="Q13">
            <v>8</v>
          </cell>
          <cell r="R13">
            <v>0</v>
          </cell>
          <cell r="S13" t="str">
            <v>NH</v>
          </cell>
        </row>
        <row r="14">
          <cell r="Q14">
            <v>9</v>
          </cell>
          <cell r="R14">
            <v>0</v>
          </cell>
          <cell r="S14" t="str">
            <v>NH</v>
          </cell>
        </row>
        <row r="15">
          <cell r="Q15">
            <v>10</v>
          </cell>
          <cell r="R15">
            <v>0</v>
          </cell>
          <cell r="S15" t="str">
            <v>NH</v>
          </cell>
        </row>
        <row r="16">
          <cell r="Q16">
            <v>11</v>
          </cell>
          <cell r="R16">
            <v>0</v>
          </cell>
          <cell r="S16" t="str">
            <v>NH</v>
          </cell>
        </row>
        <row r="17">
          <cell r="Q17">
            <v>12</v>
          </cell>
          <cell r="R17">
            <v>0</v>
          </cell>
          <cell r="S17" t="str">
            <v>NH</v>
          </cell>
        </row>
        <row r="18">
          <cell r="Q18">
            <v>13</v>
          </cell>
          <cell r="R18">
            <v>0</v>
          </cell>
          <cell r="S18" t="str">
            <v>NH</v>
          </cell>
        </row>
        <row r="19">
          <cell r="Q19">
            <v>14</v>
          </cell>
          <cell r="R19">
            <v>0</v>
          </cell>
          <cell r="S19" t="str">
            <v>NH</v>
          </cell>
        </row>
      </sheetData>
      <sheetData sheetId="7">
        <row r="4">
          <cell r="K4">
            <v>1</v>
          </cell>
          <cell r="L4" t="str">
            <v>KER INGENIERIA S.A.S.</v>
          </cell>
          <cell r="M4" t="str">
            <v xml:space="preserve"> </v>
          </cell>
        </row>
        <row r="5">
          <cell r="K5">
            <v>2</v>
          </cell>
          <cell r="L5" t="str">
            <v>UNIÓN TEMPORAL SUPERVISOR 2021</v>
          </cell>
          <cell r="M5" t="str">
            <v xml:space="preserve"> </v>
          </cell>
        </row>
        <row r="6">
          <cell r="K6">
            <v>3</v>
          </cell>
          <cell r="L6" t="str">
            <v>PreVeo S.A.S.</v>
          </cell>
          <cell r="M6" t="str">
            <v xml:space="preserve"> </v>
          </cell>
        </row>
        <row r="7">
          <cell r="K7">
            <v>4</v>
          </cell>
          <cell r="L7" t="str">
            <v>INTERVE S.A.S.</v>
          </cell>
          <cell r="M7" t="str">
            <v xml:space="preserve"> </v>
          </cell>
        </row>
        <row r="8">
          <cell r="K8">
            <v>5</v>
          </cell>
          <cell r="L8">
            <v>0</v>
          </cell>
          <cell r="M8" t="str">
            <v xml:space="preserve"> </v>
          </cell>
        </row>
        <row r="9">
          <cell r="K9">
            <v>6</v>
          </cell>
          <cell r="L9">
            <v>0</v>
          </cell>
          <cell r="M9" t="str">
            <v xml:space="preserve"> </v>
          </cell>
        </row>
        <row r="10">
          <cell r="K10">
            <v>7</v>
          </cell>
          <cell r="L10">
            <v>0</v>
          </cell>
          <cell r="M10" t="str">
            <v xml:space="preserve"> </v>
          </cell>
        </row>
        <row r="11">
          <cell r="K11">
            <v>8</v>
          </cell>
          <cell r="L11">
            <v>0</v>
          </cell>
          <cell r="M11" t="str">
            <v xml:space="preserve"> </v>
          </cell>
        </row>
        <row r="12">
          <cell r="K12">
            <v>9</v>
          </cell>
          <cell r="L12">
            <v>0</v>
          </cell>
          <cell r="M12" t="str">
            <v xml:space="preserve"> </v>
          </cell>
        </row>
        <row r="13">
          <cell r="K13">
            <v>10</v>
          </cell>
          <cell r="L13">
            <v>0</v>
          </cell>
          <cell r="M13" t="str">
            <v xml:space="preserve"> </v>
          </cell>
        </row>
        <row r="14">
          <cell r="K14">
            <v>11</v>
          </cell>
          <cell r="L14">
            <v>0</v>
          </cell>
          <cell r="M14" t="str">
            <v xml:space="preserve"> </v>
          </cell>
        </row>
        <row r="15">
          <cell r="K15">
            <v>12</v>
          </cell>
          <cell r="L15">
            <v>0</v>
          </cell>
          <cell r="M15" t="str">
            <v xml:space="preserve"> </v>
          </cell>
        </row>
        <row r="16">
          <cell r="K16">
            <v>13</v>
          </cell>
          <cell r="L16">
            <v>0</v>
          </cell>
          <cell r="M16" t="str">
            <v xml:space="preserve"> </v>
          </cell>
        </row>
        <row r="17">
          <cell r="K17">
            <v>14</v>
          </cell>
          <cell r="L17">
            <v>0</v>
          </cell>
          <cell r="M17" t="str">
            <v xml:space="preserve"> </v>
          </cell>
        </row>
      </sheetData>
      <sheetData sheetId="8">
        <row r="9">
          <cell r="B9" t="str">
            <v>Item</v>
          </cell>
          <cell r="D9" t="str">
            <v>CARGO/OFICIO</v>
          </cell>
          <cell r="E9" t="str">
            <v>CANTIDAD</v>
          </cell>
          <cell r="F9" t="str">
            <v>SUELDO Y/O TARIFA 2021</v>
          </cell>
          <cell r="G9" t="str">
            <v>SUELDO Y/O TARIFA 2022
 (Ipc 3,5%)</v>
          </cell>
          <cell r="H9" t="str">
            <v>DEDICACIÓN MENSUAL</v>
          </cell>
          <cell r="I9" t="str">
            <v>DURACIÓN 2021
(2 meses)</v>
          </cell>
          <cell r="J9" t="str">
            <v>DURACIÓN 2022
(9 meses)</v>
          </cell>
          <cell r="K9" t="str">
            <v>VALOR PARCIAL ($)</v>
          </cell>
        </row>
        <row r="10">
          <cell r="B10" t="str">
            <v>1.0</v>
          </cell>
          <cell r="C10" t="str">
            <v>R/NR</v>
          </cell>
          <cell r="D10" t="str">
            <v>COSTOS DIRECTOS DE PERSONAL ROBLEDO</v>
          </cell>
        </row>
        <row r="11">
          <cell r="B11" t="str">
            <v>1.1</v>
          </cell>
          <cell r="C11" t="str">
            <v xml:space="preserve">R </v>
          </cell>
          <cell r="D11" t="str">
            <v>Coordinador interventoría (Ingeniero Civil o Arquitecto o Arquitecto Constructor especializado, con experiencia en coordinación de proyectos, dirección de interventoría, construcción, costos y presupuestos)
Experiencia requerida: mayor a 10 años de experiencia contados a partir de la expedición de la matrícula profesional.</v>
          </cell>
          <cell r="E11">
            <v>1</v>
          </cell>
          <cell r="F11">
            <v>0</v>
          </cell>
          <cell r="G11">
            <v>0</v>
          </cell>
          <cell r="H11">
            <v>0.25</v>
          </cell>
          <cell r="I11">
            <v>2</v>
          </cell>
          <cell r="J11">
            <v>9</v>
          </cell>
          <cell r="K11">
            <v>0</v>
          </cell>
        </row>
        <row r="12">
          <cell r="B12">
            <v>1.2</v>
          </cell>
          <cell r="C12" t="str">
            <v xml:space="preserve">R </v>
          </cell>
          <cell r="D12" t="str">
            <v>Residente de Obra, Nivel 2 (Profesional Nivel 2, profesiones afines, Ingeniero Civil, Arquitecto, Arquitecto Constructor, Ingeniero Constructor)
Experiencia requerida Residente de Obra Nivel 2: mayor a 4 años de experiencia contados a partir de la expedición de la matrícula profesional</v>
          </cell>
          <cell r="E12">
            <v>1</v>
          </cell>
          <cell r="F12">
            <v>0</v>
          </cell>
          <cell r="G12">
            <v>0</v>
          </cell>
          <cell r="H12">
            <v>1</v>
          </cell>
          <cell r="I12">
            <v>2</v>
          </cell>
          <cell r="J12">
            <v>9</v>
          </cell>
          <cell r="K12">
            <v>0</v>
          </cell>
        </row>
        <row r="13">
          <cell r="B13">
            <v>1.3</v>
          </cell>
          <cell r="C13" t="str">
            <v>NR</v>
          </cell>
          <cell r="D13" t="str">
            <v>Residente de Interventoria Electrico, Nivel 2 (Profesional Nivel 2, profesiones Ingeniero electricista)
Experiencia requerida Residente de Obra Nivel 2: mayor a 4 años de experiencia contados a partir de la expedición de la matrícula profesional</v>
          </cell>
          <cell r="E13">
            <v>1</v>
          </cell>
          <cell r="F13">
            <v>0</v>
          </cell>
          <cell r="G13">
            <v>0</v>
          </cell>
          <cell r="H13">
            <v>0.3</v>
          </cell>
          <cell r="I13">
            <v>2</v>
          </cell>
          <cell r="J13">
            <v>3</v>
          </cell>
          <cell r="K13">
            <v>0</v>
          </cell>
        </row>
        <row r="14">
          <cell r="B14">
            <v>1.4</v>
          </cell>
          <cell r="C14" t="str">
            <v>NR</v>
          </cell>
          <cell r="D14" t="str">
            <v>Residente Interventoria  Ingeniero Mecánico (Profesional Nivel 2, profesiones Ingeniero Mecánico)
Experiencia requerida Residente de Obra Nivel 2: mayor a 4 años de experiencia contados a partir de la expedición de la matrícula profesional</v>
          </cell>
          <cell r="E14">
            <v>1</v>
          </cell>
          <cell r="F14">
            <v>0</v>
          </cell>
          <cell r="G14">
            <v>0</v>
          </cell>
          <cell r="H14">
            <v>0.1</v>
          </cell>
          <cell r="I14">
            <v>2</v>
          </cell>
          <cell r="J14">
            <v>4</v>
          </cell>
          <cell r="K14">
            <v>0</v>
          </cell>
        </row>
        <row r="15">
          <cell r="B15" t="str">
            <v>1.5</v>
          </cell>
          <cell r="C15" t="str">
            <v>R</v>
          </cell>
          <cell r="D15" t="str">
            <v>Residente desarrollador BIM Profesional Nivel 2, profesiones afines,  Ingeniero Civil, Arquitecto, Arquitecto Constructor, Ingeniero Constructor)
Experiencia requerida Residente de Obra Nivel 2: mayor a 4 años de experiencia contados a partir de la expedición de la matrícula profesional</v>
          </cell>
          <cell r="E15">
            <v>1</v>
          </cell>
          <cell r="F15">
            <v>0</v>
          </cell>
          <cell r="G15">
            <v>0</v>
          </cell>
          <cell r="H15">
            <v>0.5</v>
          </cell>
          <cell r="I15">
            <v>2</v>
          </cell>
          <cell r="J15">
            <v>8</v>
          </cell>
          <cell r="K15">
            <v>0</v>
          </cell>
        </row>
        <row r="16">
          <cell r="B16">
            <v>1.6</v>
          </cell>
          <cell r="C16" t="str">
            <v>R</v>
          </cell>
          <cell r="D16" t="str">
            <v>Tecnologo(a) en seguridad e higiene ocupacional o afínes para INTERVENTORÍA  (Nivel 1). Experiencia requerida: mayor a 1.5 años de experiencia contados a partir de la expedición de la Licencia en salud ocupacional</v>
          </cell>
          <cell r="E16">
            <v>1</v>
          </cell>
          <cell r="F16">
            <v>0</v>
          </cell>
          <cell r="G16">
            <v>0</v>
          </cell>
          <cell r="H16">
            <v>1</v>
          </cell>
          <cell r="I16">
            <v>2</v>
          </cell>
          <cell r="J16">
            <v>8</v>
          </cell>
          <cell r="K16">
            <v>0</v>
          </cell>
        </row>
        <row r="17">
          <cell r="B17">
            <v>1.7</v>
          </cell>
          <cell r="C17" t="str">
            <v>R</v>
          </cell>
          <cell r="D17" t="str">
            <v>Residente AMBIENTAL (Ingeniero ambiental)
Experiencia requerida Residente de Obra Nivel 2: mayor a 4 años de experiencia contados a partir de la expedición de la matrícula profesional</v>
          </cell>
          <cell r="E17">
            <v>1</v>
          </cell>
          <cell r="F17">
            <v>0</v>
          </cell>
          <cell r="G17">
            <v>0</v>
          </cell>
          <cell r="H17">
            <v>1</v>
          </cell>
          <cell r="I17">
            <v>2</v>
          </cell>
          <cell r="J17">
            <v>8</v>
          </cell>
          <cell r="K17">
            <v>0</v>
          </cell>
        </row>
        <row r="18">
          <cell r="D18" t="str">
            <v>SUPERVISION TECNICA INDEPENDIENTE (decreto 945 de junio 5 de 2017)</v>
          </cell>
        </row>
        <row r="19">
          <cell r="B19">
            <v>1.8</v>
          </cell>
          <cell r="C19" t="str">
            <v>NR</v>
          </cell>
          <cell r="D19" t="str">
            <v>Supervisor lider estructural(Elementos Estructurales y no estructurales) , profesiones (Ingeniero Civil con matricula profesionalvigente, con postgrado en el area de estructuras)
Experiencia requerida : mayor a 10 años de experiencia en el area de estructuras, contados a partir del postgrados en el area estructuras y con matricula profesional vigente.</v>
          </cell>
          <cell r="E19">
            <v>1</v>
          </cell>
          <cell r="F19">
            <v>0</v>
          </cell>
          <cell r="G19">
            <v>0</v>
          </cell>
          <cell r="H19">
            <v>0.1</v>
          </cell>
          <cell r="I19">
            <v>2</v>
          </cell>
          <cell r="J19">
            <v>8</v>
          </cell>
          <cell r="K19">
            <v>0</v>
          </cell>
        </row>
        <row r="20">
          <cell r="B20">
            <v>1.9</v>
          </cell>
          <cell r="C20" t="str">
            <v>NR</v>
          </cell>
          <cell r="D20" t="str">
            <v>Supervisor Lider Geotecnico:  profesiones (Ingeniero Civil con matricula profesionalvigente, con postgrado en el area de geotecnia)
Experiencia requerida : mayor a 10 años de experiencia en el area de estructuras, contados a partir del postgrados en el area geotecnia  y con matricula profesional vigente.</v>
          </cell>
          <cell r="E20">
            <v>1</v>
          </cell>
          <cell r="F20">
            <v>0</v>
          </cell>
          <cell r="G20">
            <v>0</v>
          </cell>
          <cell r="H20">
            <v>0.1</v>
          </cell>
          <cell r="I20">
            <v>2</v>
          </cell>
          <cell r="K20">
            <v>0</v>
          </cell>
        </row>
        <row r="21">
          <cell r="B21" t="str">
            <v>1.10</v>
          </cell>
          <cell r="C21" t="str">
            <v>R</v>
          </cell>
          <cell r="D21" t="str">
            <v xml:space="preserve">Supervisor independiente Residente de estructuras:  ngeniero civil, Arquitecto Constructor en arquitectura e ingeniería, Experiencia mayor de cinco (5) años en diseño estructural, construcción, interventoría o supervisión técnica (Nota: la Ley no contempla estudios de postgrado en este caso), contados a partir de la expedición de la matricula profesional vigente. 
</v>
          </cell>
          <cell r="E21">
            <v>1</v>
          </cell>
          <cell r="F21">
            <v>0</v>
          </cell>
          <cell r="G21">
            <v>0</v>
          </cell>
          <cell r="H21">
            <v>1</v>
          </cell>
          <cell r="I21">
            <v>2</v>
          </cell>
          <cell r="J21">
            <v>8</v>
          </cell>
          <cell r="K21">
            <v>0</v>
          </cell>
        </row>
        <row r="22">
          <cell r="B22" t="str">
            <v>SUBTOTAL ROBLEDO</v>
          </cell>
          <cell r="K22">
            <v>0</v>
          </cell>
        </row>
        <row r="24">
          <cell r="D24" t="str">
            <v>Subtotal Costos Directos de Personal</v>
          </cell>
          <cell r="K24">
            <v>0</v>
          </cell>
        </row>
        <row r="25">
          <cell r="H25" t="str">
            <v>Factor Multiplicador</v>
          </cell>
          <cell r="K25">
            <v>0</v>
          </cell>
        </row>
        <row r="26">
          <cell r="D26" t="str">
            <v>Total Costos Directos de Personal incluido Factor Multiplicador (A)</v>
          </cell>
          <cell r="K26">
            <v>0</v>
          </cell>
        </row>
        <row r="28">
          <cell r="B28" t="str">
            <v>Item</v>
          </cell>
          <cell r="D28" t="str">
            <v>DESCRIPCION</v>
          </cell>
          <cell r="E28" t="str">
            <v>UNIDAD</v>
          </cell>
          <cell r="F28" t="str">
            <v>CANTIDAD</v>
          </cell>
          <cell r="H28" t="str">
            <v>VALOR</v>
          </cell>
          <cell r="I28" t="str">
            <v>DURACIÓN
 (Meses)</v>
          </cell>
          <cell r="K28" t="str">
            <v>VALOR PARCIAL
 ($)</v>
          </cell>
        </row>
        <row r="29">
          <cell r="B29" t="str">
            <v>B</v>
          </cell>
          <cell r="D29" t="str">
            <v>OTROS COSTOS DIRECTOS (Reembolsables)</v>
          </cell>
        </row>
        <row r="30">
          <cell r="B30" t="str">
            <v>2.1</v>
          </cell>
          <cell r="D30" t="str">
            <v>Ensayos de Laboratorio (para verificación en caso de requerirse)</v>
          </cell>
          <cell r="E30" t="str">
            <v>global</v>
          </cell>
          <cell r="F30">
            <v>1</v>
          </cell>
          <cell r="H30">
            <v>3600000</v>
          </cell>
          <cell r="K30">
            <v>3600000</v>
          </cell>
        </row>
        <row r="31">
          <cell r="B31">
            <v>2.2000000000000002</v>
          </cell>
          <cell r="D31" t="str">
            <v>Edición de informes de interventoria</v>
          </cell>
          <cell r="E31" t="str">
            <v>Unidad</v>
          </cell>
          <cell r="F31">
            <v>20</v>
          </cell>
          <cell r="H31">
            <v>100000</v>
          </cell>
          <cell r="K31">
            <v>2000000</v>
          </cell>
        </row>
        <row r="32">
          <cell r="B32">
            <v>2.2999999999999998</v>
          </cell>
          <cell r="D32" t="str">
            <v>Asesorias especializadas: requeridas en obra, todas las anteriores previa aprobación de la entidad contratante</v>
          </cell>
          <cell r="E32" t="str">
            <v>hr</v>
          </cell>
          <cell r="F32">
            <v>10</v>
          </cell>
          <cell r="H32">
            <v>120000</v>
          </cell>
          <cell r="K32">
            <v>1200000</v>
          </cell>
        </row>
        <row r="33">
          <cell r="D33" t="str">
            <v>Subtotal Otros Costos Directos (B)</v>
          </cell>
          <cell r="K33">
            <v>6800000</v>
          </cell>
        </row>
        <row r="35">
          <cell r="B35" t="str">
            <v>C</v>
          </cell>
          <cell r="D35" t="str">
            <v>TOTAL COSTOS DIRECTOS DE PERSONAL + OTROS COSTOS DIRECTOS (A+B)</v>
          </cell>
          <cell r="K35">
            <v>6800000</v>
          </cell>
        </row>
        <row r="36">
          <cell r="D36" t="str">
            <v>IVA (19%)</v>
          </cell>
          <cell r="K36">
            <v>1292000</v>
          </cell>
        </row>
        <row r="37">
          <cell r="D37" t="str">
            <v>VALOR TOTAL</v>
          </cell>
          <cell r="K37">
            <v>8092000</v>
          </cell>
        </row>
        <row r="39">
          <cell r="D39" t="str">
            <v>VALOR TOTAL</v>
          </cell>
          <cell r="K39">
            <v>8092000</v>
          </cell>
        </row>
        <row r="40">
          <cell r="O40" t="str">
            <v>VALOR TOTAL INTERVENTORIA</v>
          </cell>
          <cell r="V40">
            <v>531229328</v>
          </cell>
        </row>
        <row r="43">
          <cell r="M43" t="str">
            <v>NO HABILITADO</v>
          </cell>
          <cell r="X43">
            <v>0</v>
          </cell>
          <cell r="Z43">
            <v>1</v>
          </cell>
          <cell r="AC43">
            <v>0</v>
          </cell>
          <cell r="AE43">
            <v>1</v>
          </cell>
        </row>
        <row r="50">
          <cell r="N50">
            <v>1</v>
          </cell>
          <cell r="O50" t="str">
            <v>KER INGENIERIA S.A.S.</v>
          </cell>
          <cell r="P50" t="e">
            <v>#N/A</v>
          </cell>
        </row>
        <row r="51">
          <cell r="N51">
            <v>2</v>
          </cell>
          <cell r="O51" t="str">
            <v>UNIÓN TEMPORAL SUPERVISOR 2021</v>
          </cell>
          <cell r="P51" t="e">
            <v>#N/A</v>
          </cell>
        </row>
        <row r="52">
          <cell r="N52">
            <v>3</v>
          </cell>
          <cell r="O52" t="str">
            <v>PreVeo S.A.S.</v>
          </cell>
          <cell r="P52" t="e">
            <v>#N/A</v>
          </cell>
        </row>
        <row r="53">
          <cell r="N53">
            <v>4</v>
          </cell>
          <cell r="O53" t="str">
            <v>INTERVE S.A.S.</v>
          </cell>
          <cell r="P53" t="e">
            <v>#N/A</v>
          </cell>
        </row>
        <row r="54">
          <cell r="N54">
            <v>5</v>
          </cell>
          <cell r="O54">
            <v>0</v>
          </cell>
          <cell r="P54" t="e">
            <v>#N/A</v>
          </cell>
        </row>
        <row r="55">
          <cell r="N55">
            <v>6</v>
          </cell>
          <cell r="O55">
            <v>0</v>
          </cell>
          <cell r="P55" t="e">
            <v>#N/A</v>
          </cell>
        </row>
        <row r="56">
          <cell r="N56">
            <v>7</v>
          </cell>
          <cell r="O56">
            <v>0</v>
          </cell>
          <cell r="P56" t="e">
            <v>#N/A</v>
          </cell>
        </row>
        <row r="57">
          <cell r="N57">
            <v>8</v>
          </cell>
          <cell r="O57">
            <v>0</v>
          </cell>
          <cell r="P57" t="e">
            <v>#N/A</v>
          </cell>
        </row>
        <row r="58">
          <cell r="N58">
            <v>9</v>
          </cell>
          <cell r="O58">
            <v>0</v>
          </cell>
          <cell r="P58" t="e">
            <v>#N/A</v>
          </cell>
        </row>
        <row r="59">
          <cell r="N59">
            <v>10</v>
          </cell>
          <cell r="O59">
            <v>0</v>
          </cell>
          <cell r="P59" t="e">
            <v>#N/A</v>
          </cell>
        </row>
        <row r="60">
          <cell r="N60">
            <v>11</v>
          </cell>
          <cell r="O60">
            <v>0</v>
          </cell>
          <cell r="P60" t="e">
            <v>#N/A</v>
          </cell>
        </row>
        <row r="61">
          <cell r="N61">
            <v>12</v>
          </cell>
          <cell r="O61">
            <v>0</v>
          </cell>
          <cell r="P61" t="e">
            <v>#N/A</v>
          </cell>
        </row>
        <row r="62">
          <cell r="N62">
            <v>13</v>
          </cell>
          <cell r="O62">
            <v>0</v>
          </cell>
          <cell r="P62" t="e">
            <v>#N/A</v>
          </cell>
        </row>
        <row r="63">
          <cell r="N63">
            <v>14</v>
          </cell>
          <cell r="O63">
            <v>0</v>
          </cell>
          <cell r="P63" t="e">
            <v>#N/A</v>
          </cell>
        </row>
        <row r="64">
          <cell r="N64">
            <v>15</v>
          </cell>
          <cell r="O64">
            <v>0</v>
          </cell>
          <cell r="P64" t="e">
            <v>#N/A</v>
          </cell>
        </row>
        <row r="65">
          <cell r="N65">
            <v>16</v>
          </cell>
          <cell r="O65">
            <v>0</v>
          </cell>
          <cell r="P65" t="e">
            <v>#N/A</v>
          </cell>
        </row>
        <row r="66">
          <cell r="N66">
            <v>17</v>
          </cell>
          <cell r="O66">
            <v>0</v>
          </cell>
          <cell r="P66" t="e">
            <v>#N/A</v>
          </cell>
        </row>
        <row r="76">
          <cell r="C76">
            <v>1</v>
          </cell>
          <cell r="D76">
            <v>0</v>
          </cell>
        </row>
        <row r="77">
          <cell r="C77">
            <v>2</v>
          </cell>
          <cell r="D77">
            <v>0</v>
          </cell>
        </row>
        <row r="78">
          <cell r="C78">
            <v>3</v>
          </cell>
          <cell r="D78">
            <v>0</v>
          </cell>
        </row>
        <row r="79">
          <cell r="C79">
            <v>4</v>
          </cell>
          <cell r="D79">
            <v>0</v>
          </cell>
        </row>
        <row r="80">
          <cell r="C80">
            <v>5</v>
          </cell>
          <cell r="D80">
            <v>0</v>
          </cell>
        </row>
        <row r="81">
          <cell r="C81">
            <v>6</v>
          </cell>
          <cell r="D81">
            <v>0</v>
          </cell>
        </row>
        <row r="82">
          <cell r="C82">
            <v>7</v>
          </cell>
          <cell r="D82">
            <v>0</v>
          </cell>
        </row>
        <row r="83">
          <cell r="C83">
            <v>8</v>
          </cell>
          <cell r="D83">
            <v>0</v>
          </cell>
        </row>
        <row r="84">
          <cell r="C84">
            <v>9</v>
          </cell>
          <cell r="D84">
            <v>0</v>
          </cell>
        </row>
        <row r="85">
          <cell r="C85">
            <v>10</v>
          </cell>
          <cell r="D85">
            <v>0</v>
          </cell>
        </row>
        <row r="86">
          <cell r="C86">
            <v>11</v>
          </cell>
          <cell r="D86">
            <v>0</v>
          </cell>
        </row>
        <row r="87">
          <cell r="C87">
            <v>12</v>
          </cell>
          <cell r="D87">
            <v>0</v>
          </cell>
        </row>
        <row r="88">
          <cell r="C88">
            <v>13</v>
          </cell>
          <cell r="D88">
            <v>0</v>
          </cell>
        </row>
        <row r="89">
          <cell r="C89">
            <v>14</v>
          </cell>
          <cell r="D89">
            <v>0</v>
          </cell>
        </row>
      </sheetData>
      <sheetData sheetId="9"/>
      <sheetData sheetId="10">
        <row r="7">
          <cell r="C7">
            <v>1</v>
          </cell>
          <cell r="E7">
            <v>2</v>
          </cell>
          <cell r="G7">
            <v>3</v>
          </cell>
          <cell r="I7">
            <v>4</v>
          </cell>
          <cell r="K7">
            <v>5</v>
          </cell>
          <cell r="M7">
            <v>6</v>
          </cell>
          <cell r="O7">
            <v>7</v>
          </cell>
          <cell r="Q7">
            <v>8</v>
          </cell>
          <cell r="S7">
            <v>9</v>
          </cell>
          <cell r="U7">
            <v>10</v>
          </cell>
          <cell r="W7">
            <v>11</v>
          </cell>
          <cell r="Y7">
            <v>12</v>
          </cell>
          <cell r="AA7">
            <v>13</v>
          </cell>
          <cell r="AC7">
            <v>14</v>
          </cell>
          <cell r="AE7">
            <v>15</v>
          </cell>
          <cell r="AG7">
            <v>16</v>
          </cell>
          <cell r="AI7">
            <v>17</v>
          </cell>
        </row>
        <row r="8">
          <cell r="C8" t="str">
            <v>No habilitado</v>
          </cell>
          <cell r="E8" t="str">
            <v>No habilitado</v>
          </cell>
          <cell r="G8" t="str">
            <v>No habilitado</v>
          </cell>
          <cell r="I8" t="str">
            <v>No habilitado</v>
          </cell>
          <cell r="K8" t="str">
            <v>No habilitado</v>
          </cell>
          <cell r="M8" t="str">
            <v>No habilitado</v>
          </cell>
          <cell r="O8" t="str">
            <v>No habilitado</v>
          </cell>
          <cell r="Q8" t="str">
            <v>No habilitado</v>
          </cell>
          <cell r="S8" t="str">
            <v>No habilitado</v>
          </cell>
          <cell r="U8" t="str">
            <v>No habilitado</v>
          </cell>
          <cell r="W8" t="str">
            <v>No habilitado</v>
          </cell>
          <cell r="Y8" t="str">
            <v>No habilitado</v>
          </cell>
          <cell r="AA8" t="str">
            <v>No habilitado</v>
          </cell>
          <cell r="AC8" t="str">
            <v>No habilitado</v>
          </cell>
          <cell r="AE8" t="str">
            <v>No habilitado</v>
          </cell>
          <cell r="AG8" t="str">
            <v>No habilitado</v>
          </cell>
          <cell r="AI8" t="str">
            <v>No habilitado</v>
          </cell>
        </row>
        <row r="9">
          <cell r="C9" t="str">
            <v/>
          </cell>
          <cell r="E9" t="str">
            <v/>
          </cell>
          <cell r="G9" t="str">
            <v/>
          </cell>
          <cell r="I9" t="str">
            <v/>
          </cell>
          <cell r="K9" t="str">
            <v/>
          </cell>
          <cell r="M9" t="str">
            <v/>
          </cell>
          <cell r="O9" t="str">
            <v/>
          </cell>
          <cell r="Q9" t="str">
            <v/>
          </cell>
          <cell r="S9" t="str">
            <v/>
          </cell>
          <cell r="U9" t="str">
            <v/>
          </cell>
          <cell r="W9" t="str">
            <v/>
          </cell>
          <cell r="Y9" t="str">
            <v/>
          </cell>
          <cell r="AA9" t="str">
            <v/>
          </cell>
          <cell r="AC9" t="str">
            <v/>
          </cell>
          <cell r="AE9" t="str">
            <v/>
          </cell>
          <cell r="AG9" t="str">
            <v/>
          </cell>
          <cell r="AI9" t="str">
            <v/>
          </cell>
        </row>
        <row r="10">
          <cell r="C10" t="str">
            <v/>
          </cell>
          <cell r="E10" t="str">
            <v/>
          </cell>
          <cell r="G10" t="str">
            <v/>
          </cell>
          <cell r="I10" t="str">
            <v/>
          </cell>
          <cell r="K10" t="str">
            <v/>
          </cell>
          <cell r="M10" t="str">
            <v/>
          </cell>
          <cell r="O10" t="str">
            <v/>
          </cell>
          <cell r="Q10" t="str">
            <v/>
          </cell>
          <cell r="S10" t="str">
            <v/>
          </cell>
          <cell r="U10" t="str">
            <v/>
          </cell>
          <cell r="W10" t="str">
            <v/>
          </cell>
          <cell r="Y10" t="str">
            <v/>
          </cell>
          <cell r="AA10" t="str">
            <v/>
          </cell>
          <cell r="AC10" t="str">
            <v/>
          </cell>
          <cell r="AE10" t="str">
            <v/>
          </cell>
          <cell r="AG10" t="str">
            <v/>
          </cell>
          <cell r="AI10" t="str">
            <v/>
          </cell>
        </row>
        <row r="11">
          <cell r="C11" t="str">
            <v/>
          </cell>
          <cell r="E11" t="str">
            <v/>
          </cell>
          <cell r="G11" t="str">
            <v/>
          </cell>
          <cell r="I11" t="str">
            <v/>
          </cell>
          <cell r="K11" t="str">
            <v/>
          </cell>
          <cell r="M11" t="str">
            <v/>
          </cell>
          <cell r="O11" t="str">
            <v/>
          </cell>
          <cell r="Q11" t="str">
            <v/>
          </cell>
          <cell r="S11" t="str">
            <v/>
          </cell>
          <cell r="U11" t="str">
            <v/>
          </cell>
          <cell r="W11" t="str">
            <v/>
          </cell>
          <cell r="Y11" t="str">
            <v/>
          </cell>
          <cell r="AA11" t="str">
            <v/>
          </cell>
          <cell r="AC11" t="str">
            <v/>
          </cell>
          <cell r="AE11" t="str">
            <v/>
          </cell>
          <cell r="AG11" t="str">
            <v/>
          </cell>
          <cell r="AI11" t="str">
            <v/>
          </cell>
        </row>
      </sheetData>
      <sheetData sheetId="11">
        <row r="5">
          <cell r="A5">
            <v>1</v>
          </cell>
        </row>
      </sheetData>
      <sheetData sheetId="12">
        <row r="14">
          <cell r="B14">
            <v>1</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GUIA"/>
      <sheetName val="2_APERTURA DE SOBRES"/>
      <sheetName val="5,1. REQUISITOS JURÍDICOS"/>
      <sheetName val="5.2.1 EXPERIENCIA GRAL"/>
      <sheetName val="5.3 CAP FINANCIERA"/>
      <sheetName val="5.5 REQUISITOS COMERCIALES"/>
      <sheetName val="PRESUPUESTO"/>
      <sheetName val="VALORES UNITARIOS"/>
      <sheetName val="RESUMEN"/>
      <sheetName val="Cálculo Pt2"/>
      <sheetName val="10. EVALUACIÓN"/>
    </sheetNames>
    <sheetDataSet>
      <sheetData sheetId="0" refreshError="1">
        <row r="2">
          <cell r="A2" t="str">
            <v>Invitación Pública N° VA-013-2020</v>
          </cell>
        </row>
        <row r="8">
          <cell r="A8">
            <v>1</v>
          </cell>
        </row>
        <row r="9">
          <cell r="A9">
            <v>2</v>
          </cell>
        </row>
        <row r="10">
          <cell r="A10">
            <v>3</v>
          </cell>
        </row>
        <row r="11">
          <cell r="A11">
            <v>4</v>
          </cell>
        </row>
        <row r="12">
          <cell r="A12">
            <v>5</v>
          </cell>
        </row>
        <row r="13">
          <cell r="A13">
            <v>6</v>
          </cell>
        </row>
        <row r="14">
          <cell r="A14">
            <v>7</v>
          </cell>
        </row>
        <row r="15">
          <cell r="A15">
            <v>8</v>
          </cell>
        </row>
        <row r="16">
          <cell r="A16">
            <v>9</v>
          </cell>
        </row>
        <row r="17">
          <cell r="A17">
            <v>10</v>
          </cell>
        </row>
        <row r="18">
          <cell r="A18">
            <v>11</v>
          </cell>
        </row>
        <row r="19">
          <cell r="A19">
            <v>12</v>
          </cell>
        </row>
        <row r="20">
          <cell r="A20">
            <v>13</v>
          </cell>
        </row>
        <row r="21">
          <cell r="A21">
            <v>14</v>
          </cell>
        </row>
        <row r="22">
          <cell r="A22">
            <v>15</v>
          </cell>
        </row>
        <row r="23">
          <cell r="A23">
            <v>16</v>
          </cell>
        </row>
        <row r="24">
          <cell r="A24">
            <v>17</v>
          </cell>
        </row>
      </sheetData>
      <sheetData sheetId="1" refreshError="1"/>
      <sheetData sheetId="2" refreshError="1"/>
      <sheetData sheetId="3" refreshError="1"/>
      <sheetData sheetId="4" refreshError="1"/>
      <sheetData sheetId="5" refreshError="1"/>
      <sheetData sheetId="6" refreshError="1"/>
      <sheetData sheetId="7" refreshError="1">
        <row r="116">
          <cell r="G116">
            <v>1</v>
          </cell>
          <cell r="H116">
            <v>0</v>
          </cell>
        </row>
        <row r="117">
          <cell r="G117">
            <v>2</v>
          </cell>
          <cell r="H117">
            <v>0</v>
          </cell>
        </row>
        <row r="118">
          <cell r="G118">
            <v>3</v>
          </cell>
          <cell r="H118">
            <v>0</v>
          </cell>
        </row>
        <row r="119">
          <cell r="G119">
            <v>4</v>
          </cell>
          <cell r="H119">
            <v>0</v>
          </cell>
        </row>
        <row r="120">
          <cell r="G120">
            <v>5</v>
          </cell>
          <cell r="H120">
            <v>0</v>
          </cell>
        </row>
        <row r="121">
          <cell r="G121">
            <v>6</v>
          </cell>
          <cell r="H121">
            <v>0</v>
          </cell>
        </row>
        <row r="122">
          <cell r="G122">
            <v>7</v>
          </cell>
          <cell r="H122">
            <v>0</v>
          </cell>
        </row>
        <row r="123">
          <cell r="G123">
            <v>8</v>
          </cell>
          <cell r="H123">
            <v>0</v>
          </cell>
        </row>
        <row r="124">
          <cell r="G124">
            <v>9</v>
          </cell>
          <cell r="H124">
            <v>0</v>
          </cell>
        </row>
        <row r="125">
          <cell r="G125">
            <v>10</v>
          </cell>
          <cell r="H125">
            <v>0</v>
          </cell>
        </row>
        <row r="126">
          <cell r="G126">
            <v>11</v>
          </cell>
          <cell r="H126">
            <v>0</v>
          </cell>
        </row>
        <row r="127">
          <cell r="G127">
            <v>12</v>
          </cell>
          <cell r="H127">
            <v>0</v>
          </cell>
        </row>
        <row r="128">
          <cell r="G128">
            <v>13</v>
          </cell>
          <cell r="H128">
            <v>0</v>
          </cell>
        </row>
        <row r="129">
          <cell r="G129">
            <v>14</v>
          </cell>
          <cell r="H129">
            <v>0</v>
          </cell>
        </row>
        <row r="130">
          <cell r="G130">
            <v>15</v>
          </cell>
          <cell r="H130">
            <v>0</v>
          </cell>
        </row>
        <row r="131">
          <cell r="G131">
            <v>16</v>
          </cell>
          <cell r="H131">
            <v>0</v>
          </cell>
        </row>
        <row r="132">
          <cell r="G132">
            <v>17</v>
          </cell>
          <cell r="H132">
            <v>0</v>
          </cell>
        </row>
        <row r="133">
          <cell r="G133">
            <v>18</v>
          </cell>
          <cell r="H133">
            <v>0</v>
          </cell>
        </row>
        <row r="134">
          <cell r="G134">
            <v>19</v>
          </cell>
          <cell r="H134">
            <v>0</v>
          </cell>
        </row>
        <row r="135">
          <cell r="G135">
            <v>20</v>
          </cell>
          <cell r="H135">
            <v>0</v>
          </cell>
        </row>
        <row r="136">
          <cell r="G136">
            <v>21</v>
          </cell>
          <cell r="H136">
            <v>0</v>
          </cell>
        </row>
        <row r="137">
          <cell r="G137">
            <v>22</v>
          </cell>
          <cell r="H137">
            <v>0</v>
          </cell>
        </row>
        <row r="138">
          <cell r="G138">
            <v>23</v>
          </cell>
          <cell r="H138">
            <v>0</v>
          </cell>
        </row>
        <row r="139">
          <cell r="G139">
            <v>24</v>
          </cell>
          <cell r="H139">
            <v>0</v>
          </cell>
        </row>
        <row r="140">
          <cell r="G140">
            <v>25</v>
          </cell>
          <cell r="H140">
            <v>0</v>
          </cell>
        </row>
        <row r="141">
          <cell r="G141">
            <v>26</v>
          </cell>
          <cell r="H141">
            <v>0</v>
          </cell>
        </row>
        <row r="142">
          <cell r="G142">
            <v>27</v>
          </cell>
          <cell r="H142">
            <v>0</v>
          </cell>
        </row>
        <row r="143">
          <cell r="G143">
            <v>28</v>
          </cell>
          <cell r="H143">
            <v>0</v>
          </cell>
        </row>
        <row r="144">
          <cell r="G144">
            <v>29</v>
          </cell>
          <cell r="H144">
            <v>0</v>
          </cell>
        </row>
        <row r="145">
          <cell r="G145">
            <v>30</v>
          </cell>
          <cell r="H145">
            <v>0</v>
          </cell>
        </row>
      </sheetData>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ENTREGA"/>
      <sheetName val="2_APERTURA DE SOBRES"/>
      <sheetName val="5,1. REQUISITOS JURÍDICOS"/>
      <sheetName val="5.2.1 EXPERIENCIA GRAL"/>
      <sheetName val="5.3 CAP FINANCIERA"/>
      <sheetName val="5.4 REQUISITOS COMERCIALES"/>
      <sheetName val="V_UNITARIOS"/>
      <sheetName val="PRESUPUESTO"/>
      <sheetName val="RESUMEN"/>
      <sheetName val="Cálculo Pt2"/>
      <sheetName val="10. EVALUACIÓN"/>
    </sheetNames>
    <sheetDataSet>
      <sheetData sheetId="0"/>
      <sheetData sheetId="1"/>
      <sheetData sheetId="2"/>
      <sheetData sheetId="3"/>
      <sheetData sheetId="4"/>
      <sheetData sheetId="5"/>
      <sheetData sheetId="6">
        <row r="12">
          <cell r="KM12" t="str">
            <v>1</v>
          </cell>
          <cell r="KN12" t="str">
            <v xml:space="preserve">PINTURAS ACRÍLICAS </v>
          </cell>
          <cell r="KO12">
            <v>0</v>
          </cell>
          <cell r="KP12">
            <v>0</v>
          </cell>
          <cell r="KQ12">
            <v>0</v>
          </cell>
          <cell r="KR12">
            <v>0</v>
          </cell>
          <cell r="LD12" t="str">
            <v>1</v>
          </cell>
          <cell r="LE12" t="str">
            <v xml:space="preserve">PINTURAS ACRÍLICAS </v>
          </cell>
          <cell r="LF12">
            <v>0</v>
          </cell>
          <cell r="LG12">
            <v>0</v>
          </cell>
          <cell r="LH12">
            <v>0</v>
          </cell>
          <cell r="LI12">
            <v>0</v>
          </cell>
        </row>
        <row r="13">
          <cell r="KM13">
            <v>1.1000000000000001</v>
          </cell>
          <cell r="KN13" t="str">
            <v>Aplicación de PINTURA ACRÍLICA tipo KORAZA o equivalente para exteriores (hidrorepelente) de primera calidad que cumpla con la Norma NTC 1335, para ser aplicada sobre muros y techos, en superficies con revoque, estucadas, Drywall, Superboard, incluye: Suministro,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KO13" t="str">
            <v>m2</v>
          </cell>
          <cell r="KP13">
            <v>1</v>
          </cell>
          <cell r="KQ13">
            <v>10786.8</v>
          </cell>
          <cell r="KR13">
            <v>10786.8</v>
          </cell>
          <cell r="LD13">
            <v>1.1000000000000001</v>
          </cell>
          <cell r="LE13" t="str">
            <v>Aplicación de PINTURA ACRÍLICA tipo KORAZA o equivalente para exteriores (hidrorepelente) de primera calidad que cumpla con la Norma NTC 1335, para ser aplicada sobre muros y techos, en superficies con revoque, estucadas, Drywall, Superboard, incluye: Suministro,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LF13" t="str">
            <v>m2</v>
          </cell>
          <cell r="LG13">
            <v>1</v>
          </cell>
          <cell r="LH13">
            <v>18000</v>
          </cell>
          <cell r="LI13">
            <v>18000</v>
          </cell>
        </row>
        <row r="14">
          <cell r="KM14">
            <v>1.2</v>
          </cell>
          <cell r="KN14" t="str">
            <v>Aplicación de PINTURA ACRILICA, tipo Koraza para muros en ladrillo a la vista, incluye: Suministro, mano de obra, transporte horizontal y vertical, preparación de superficie, pintura acrílica sobre el  ladrillo, pintura acrílica color gris basalto para la pega de mortero, resanes, emporada, disolvente,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KO14" t="str">
            <v>m2</v>
          </cell>
          <cell r="KP14">
            <v>1</v>
          </cell>
          <cell r="KQ14">
            <v>11423.1</v>
          </cell>
          <cell r="KR14">
            <v>11423.1</v>
          </cell>
          <cell r="LD14">
            <v>1.2</v>
          </cell>
          <cell r="LE14" t="str">
            <v>Aplicación de PINTURA ACRILICA, tipo Koraza para muros en ladrillo a la vista, incluye: Suministro, mano de obra, transporte horizontal y vertical, preparación de superficie, pintura acrílica sobre el  ladrillo, pintura acrílica color gris basalto para la pega de mortero, resanes, emporada, disolvente,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LF14" t="str">
            <v>m2</v>
          </cell>
          <cell r="LG14">
            <v>1</v>
          </cell>
          <cell r="LH14">
            <v>19000</v>
          </cell>
          <cell r="LI14">
            <v>19000</v>
          </cell>
        </row>
        <row r="15">
          <cell r="KM15">
            <v>1.3</v>
          </cell>
          <cell r="KN15" t="str">
            <v>Aplicación de pintura acrílica para VIGAS Y COLUMNAS, tipo Koraza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5" t="str">
            <v>m2</v>
          </cell>
          <cell r="KP15">
            <v>1</v>
          </cell>
          <cell r="KQ15">
            <v>10504</v>
          </cell>
          <cell r="KR15">
            <v>10504</v>
          </cell>
          <cell r="LD15">
            <v>1.3</v>
          </cell>
          <cell r="LE15" t="str">
            <v>Aplicación de pintura acrílica para VIGAS Y COLUMNAS, tipo Koraza  incluye: Suministro, mano de obra, transporte horizontal y vertical, preparación de superficie, resanes, emporada,  pintura acrílica color gris basalto,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5" t="str">
            <v>m2</v>
          </cell>
          <cell r="LG15">
            <v>1</v>
          </cell>
          <cell r="LH15">
            <v>23000</v>
          </cell>
          <cell r="LI15">
            <v>23000</v>
          </cell>
        </row>
        <row r="16">
          <cell r="KM16">
            <v>1.4</v>
          </cell>
          <cell r="KN16" t="str">
            <v>Aplicación de pintura acrílica para CALADOS A LA VISTA, tipo Koraza incluye: Suministro, mano de obra, transporte horizontal y vertical,  preparación de superficie, pintura acrílica color gris basalto,  resanes, emporada,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6" t="str">
            <v>m2</v>
          </cell>
          <cell r="KP16">
            <v>1</v>
          </cell>
          <cell r="KQ16">
            <v>10726.2</v>
          </cell>
          <cell r="KR16">
            <v>10726.2</v>
          </cell>
          <cell r="LD16">
            <v>1.4</v>
          </cell>
          <cell r="LE16" t="str">
            <v>Aplicación de pintura acrílica para CALADOS A LA VISTA, tipo Koraza incluye: Suministro, mano de obra, transporte horizontal y vertical,  preparación de superficie, pintura acrílica color gris basalto,  resanes, emporada,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6" t="str">
            <v>m2</v>
          </cell>
          <cell r="LG16">
            <v>1</v>
          </cell>
          <cell r="LH16">
            <v>18000</v>
          </cell>
          <cell r="LI16">
            <v>18000</v>
          </cell>
        </row>
        <row r="17">
          <cell r="KM17">
            <v>1.5</v>
          </cell>
          <cell r="KN17" t="str">
            <v>Aplicación de Pintura a base de aceite para PASAMANOS REDONDOS con diámetros entre 5cm y 8cm, tipo Pintulux. Incluye: Suministro, mano de obra, transporte horizontal y vertical, preparación de la superficie, pintura acrílica,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17" t="str">
            <v>m</v>
          </cell>
          <cell r="KP17">
            <v>1</v>
          </cell>
          <cell r="KQ17">
            <v>5878.2</v>
          </cell>
          <cell r="KR17">
            <v>5878.2</v>
          </cell>
          <cell r="LD17">
            <v>1.5</v>
          </cell>
          <cell r="LE17" t="str">
            <v>Aplicación de Pintura a base de aceite para PASAMANOS REDONDOS con diámetros entre 5cm y 8cm, tipo Pintulux. Incluye: Suministro, mano de obra, transporte horizontal y vertical, preparación de la superficie, pintura acrílica, disolvente,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17" t="str">
            <v>m</v>
          </cell>
          <cell r="LG17">
            <v>1</v>
          </cell>
          <cell r="LH17">
            <v>22000</v>
          </cell>
          <cell r="LI17">
            <v>22000</v>
          </cell>
        </row>
        <row r="18">
          <cell r="KM18">
            <v>1.6</v>
          </cell>
          <cell r="KN18" t="str">
            <v>Aplicación de RECUBRIMIENTO PROTECTOR DE POLIURETANO (dos componentes relación A:B= 4:1) tipo Sikauretano o equivalente, sobre muros de bloque de concreto para protección antigrafiti, dos manos o las necesarias para lograr una buena protección a la intemperie a satisfacción de la interventoría, color transparente semi mate.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KO18" t="str">
            <v>m2</v>
          </cell>
          <cell r="KP18">
            <v>1</v>
          </cell>
          <cell r="KQ18">
            <v>12120</v>
          </cell>
          <cell r="KR18">
            <v>12120</v>
          </cell>
          <cell r="LD18">
            <v>1.6</v>
          </cell>
          <cell r="LE18" t="str">
            <v>Aplicación de RECUBRIMIENTO PROTECTOR DE POLIURETANO (dos componentes relación A:B= 4:1) tipo Sikauretano o equivalente, sobre muros de bloque de concreto para protección antigrafiti, dos manos o las necesarias para lograr una buena protección a la intemperie a satisfacción de la interventoría, color transparente semi mate.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LF18" t="str">
            <v>m2</v>
          </cell>
          <cell r="LG18">
            <v>1</v>
          </cell>
          <cell r="LH18">
            <v>30000</v>
          </cell>
          <cell r="LI18">
            <v>30000</v>
          </cell>
        </row>
        <row r="19">
          <cell r="KM19">
            <v>1.7</v>
          </cell>
          <cell r="KN19" t="str">
            <v>Pintura IMPERMEABILIZANTE de corona ref: 407251001, apta para resistir presión negativa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KO19" t="str">
            <v>m2</v>
          </cell>
          <cell r="KP19">
            <v>1</v>
          </cell>
          <cell r="KQ19">
            <v>14443</v>
          </cell>
          <cell r="KR19">
            <v>14443</v>
          </cell>
          <cell r="LD19">
            <v>1.7</v>
          </cell>
          <cell r="LE19" t="str">
            <v>Pintura IMPERMEABILIZANTE de corona ref: 407251001, apta para resistir presión negativa Incluye: suministro y transporte de los materiales, preparación de la superficie y todos los elementos necesarios para su correcta aplicación y funcionamiento. Se aplicará en zonas exteriores y de alcance directo al publico o donde indique la interventoría. Se deben seguir todas las especificaciones y recomendaciones del fabricante.</v>
          </cell>
          <cell r="LF19" t="str">
            <v>m2</v>
          </cell>
          <cell r="LG19">
            <v>1</v>
          </cell>
          <cell r="LH19">
            <v>40000</v>
          </cell>
          <cell r="LI19">
            <v>40000</v>
          </cell>
        </row>
        <row r="20">
          <cell r="KM20" t="str">
            <v>2</v>
          </cell>
          <cell r="KN20" t="str">
            <v>PINTURAS VINÍLICAS</v>
          </cell>
          <cell r="KO20">
            <v>0</v>
          </cell>
          <cell r="KP20">
            <v>0</v>
          </cell>
          <cell r="KQ20">
            <v>0</v>
          </cell>
          <cell r="KR20">
            <v>0</v>
          </cell>
          <cell r="LD20" t="str">
            <v>2</v>
          </cell>
          <cell r="LE20" t="str">
            <v>PINTURAS VINÍLICAS</v>
          </cell>
          <cell r="LF20">
            <v>0</v>
          </cell>
          <cell r="LG20">
            <v>0</v>
          </cell>
          <cell r="LH20">
            <v>0</v>
          </cell>
          <cell r="LI20">
            <v>0</v>
          </cell>
        </row>
        <row r="21">
          <cell r="KM21">
            <v>2.1</v>
          </cell>
          <cell r="KN21" t="str">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v>
          </cell>
          <cell r="KO21" t="str">
            <v>m2</v>
          </cell>
          <cell r="KP21">
            <v>1</v>
          </cell>
          <cell r="KQ21">
            <v>10908</v>
          </cell>
          <cell r="KR21">
            <v>10908</v>
          </cell>
          <cell r="LD21">
            <v>2.1</v>
          </cell>
          <cell r="LE21" t="str">
            <v>Aplicación de PINTURA A BASE DE AGUA EN MUROS, CON VINILO TIPO 1 de primera calidad sobre MUROS revocados y/o estucados, tres manos o las necesarias hasta obtener una superficie pareja y homogénea. Incluye suministro y transporte de los materiales, resanes, tapa poros en estuco plástico tipo plastestuco o equivalente diluido en agua proporción 1:2, adecuación de la superficie a intervenir hasta obtener una superficie pareja y homogénea, color a definir según aprobación de la interventoría.</v>
          </cell>
          <cell r="LF21" t="str">
            <v>m2</v>
          </cell>
          <cell r="LG21">
            <v>1</v>
          </cell>
          <cell r="LH21">
            <v>17000</v>
          </cell>
          <cell r="LI21">
            <v>17000</v>
          </cell>
        </row>
        <row r="22">
          <cell r="KM22">
            <v>2.2000000000000002</v>
          </cell>
          <cell r="KN22" t="str">
            <v>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v>
          </cell>
          <cell r="KO22" t="str">
            <v>m2</v>
          </cell>
          <cell r="KP22">
            <v>1</v>
          </cell>
          <cell r="KQ22">
            <v>11514</v>
          </cell>
          <cell r="KR22">
            <v>11514</v>
          </cell>
          <cell r="LD22">
            <v>2.2000000000000002</v>
          </cell>
          <cell r="LE22" t="str">
            <v>Aplicación de PINTURA A BASE DE AGUA EN CIELOS, CON VINILO TIPO 1 de primera calidad sobre CIELOS revocados y/o estucados, tres manos o las necesarias hasta obtener una superficie pareja y homogénea, incluye resanes, tapa poros en estuco plástico tipo plastestuco o similar diluido en agua proporción 1:2, adecuación de la superficie a intervenir hasta obtener una superficie pareja y homogénea, color a definir según aprobación de la interventoría.</v>
          </cell>
          <cell r="LF22" t="str">
            <v>m2</v>
          </cell>
          <cell r="LG22">
            <v>1</v>
          </cell>
          <cell r="LH22">
            <v>16000</v>
          </cell>
          <cell r="LI22">
            <v>16000</v>
          </cell>
        </row>
        <row r="23">
          <cell r="KM23">
            <v>2.2999999999999998</v>
          </cell>
          <cell r="KN23" t="str">
            <v>Aplicación de PINTURA VINILICA tipo 1, para MUROS EN LADRILLO RANURADO A LA VISTA, incluye: Suministro, mano de obra, transporte horizontal y vertical, preparación de superficie, pintura vinílica tipo 1 sobre el  ladrillo, resanes, emporada,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KO23" t="str">
            <v>m2</v>
          </cell>
          <cell r="KP23">
            <v>1</v>
          </cell>
          <cell r="KQ23">
            <v>11312</v>
          </cell>
          <cell r="KR23">
            <v>11312</v>
          </cell>
          <cell r="LD23">
            <v>2.2999999999999998</v>
          </cell>
          <cell r="LE23" t="str">
            <v>Aplicación de PINTURA VINILICA tipo 1, para MUROS EN LADRILLO RANURADO A LA VISTA, incluye: Suministro, mano de obra, transporte horizontal y vertical, preparación de superficie, pintura vinílica tipo 1 sobre el  ladrillo, resanes, emporada, retiro de pintura existente de ser necesario, aplicación de manos necesarias que garanticen el cubrimiento tota del área, elementos de trabajo en altura, herramienta, equipo, retiro y reinstalación de cuadros, carteleras, clavos y todos los elementos necesarios para su correcta aplicación. Nota: La pintura se debe entonar hasta alcanzar el color existente o el color indicado por la interventoría</v>
          </cell>
          <cell r="LF23" t="str">
            <v>m2</v>
          </cell>
          <cell r="LG23">
            <v>1</v>
          </cell>
          <cell r="LH23">
            <v>16000</v>
          </cell>
          <cell r="LI23">
            <v>16000</v>
          </cell>
        </row>
        <row r="24">
          <cell r="KM24">
            <v>2.4</v>
          </cell>
          <cell r="KN24" t="str">
            <v>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24" t="str">
            <v>m</v>
          </cell>
          <cell r="KP24">
            <v>1</v>
          </cell>
          <cell r="KQ24">
            <v>10302</v>
          </cell>
          <cell r="KR24">
            <v>10302</v>
          </cell>
          <cell r="LD24">
            <v>2.4</v>
          </cell>
          <cell r="LE24" t="str">
            <v>Aplicación de PINTURA VINILICA tipo 1 color GRIS BASALTO para VIGAS Y COLUMNAS, ancho entre 0.20 - 0.40 m, incluye: Suministro, mano de obra, transporte horizontal y vertical, preparación de superficie,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24" t="str">
            <v>m</v>
          </cell>
          <cell r="LG24">
            <v>1</v>
          </cell>
          <cell r="LH24">
            <v>8500</v>
          </cell>
          <cell r="LI24">
            <v>8500</v>
          </cell>
        </row>
        <row r="25">
          <cell r="KM25">
            <v>2.5</v>
          </cell>
          <cell r="KN25" t="str">
            <v>Aplicación de PINTURA VINILICA tipo 1 para CALADOS A LA VISTA,  incluye: Suministro, mano de obra, transporte horizontal y vertical,  preparación de superficie, pintura vinílica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25" t="str">
            <v>m2</v>
          </cell>
          <cell r="KP25">
            <v>1</v>
          </cell>
          <cell r="KQ25">
            <v>9292</v>
          </cell>
          <cell r="KR25">
            <v>9292</v>
          </cell>
          <cell r="LD25">
            <v>2.5</v>
          </cell>
          <cell r="LE25" t="str">
            <v>Aplicación de PINTURA VINILICA tipo 1 para CALADOS A LA VISTA,  incluye: Suministro, mano de obra, transporte horizontal y vertical,  preparación de superficie, pintura vinílica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25" t="str">
            <v>m2</v>
          </cell>
          <cell r="LG25">
            <v>1</v>
          </cell>
          <cell r="LH25">
            <v>14000</v>
          </cell>
          <cell r="LI25">
            <v>14000</v>
          </cell>
        </row>
        <row r="26">
          <cell r="KM26">
            <v>2.6</v>
          </cell>
          <cell r="KN26" t="str">
            <v>Pintura a base de CAL APAGADA para ser aplicada en edificios patrimoniales sobre CIELOS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6" t="str">
            <v>m2</v>
          </cell>
          <cell r="KP26">
            <v>1</v>
          </cell>
          <cell r="KQ26">
            <v>7575</v>
          </cell>
          <cell r="KR26">
            <v>7575</v>
          </cell>
          <cell r="LD26">
            <v>2.6</v>
          </cell>
          <cell r="LE26" t="str">
            <v>Pintura a base de CAL APAGADA para ser aplicada en edificios patrimoniales sobre CIELOS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6" t="str">
            <v>m2</v>
          </cell>
          <cell r="LG26">
            <v>1</v>
          </cell>
          <cell r="LH26">
            <v>12000</v>
          </cell>
          <cell r="LI26">
            <v>12000</v>
          </cell>
        </row>
        <row r="27">
          <cell r="KM27">
            <v>2.7</v>
          </cell>
          <cell r="KN27" t="str">
            <v>Pintura a base de CAL APAGADA para ser aplicada en edificios patrimoniales sobre MUROS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7" t="str">
            <v>m2</v>
          </cell>
          <cell r="KP27">
            <v>1</v>
          </cell>
          <cell r="KQ27">
            <v>75770.2</v>
          </cell>
          <cell r="KR27">
            <v>75770.2</v>
          </cell>
          <cell r="LD27">
            <v>2.7</v>
          </cell>
          <cell r="LE27" t="str">
            <v>Pintura a base de CAL APAGADA para ser aplicada en edificios patrimoniales sobre MUROS en tapia y pañete, Incluye: Suministro de los materiales,mano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7" t="str">
            <v>m2</v>
          </cell>
          <cell r="LG27">
            <v>1</v>
          </cell>
          <cell r="LH27">
            <v>11000</v>
          </cell>
          <cell r="LI27">
            <v>11000</v>
          </cell>
        </row>
        <row r="28">
          <cell r="KM28">
            <v>2.8</v>
          </cell>
          <cell r="KN28" t="str">
            <v>Pintura a base de CAL APAGADA para ser aplicada en edificios patrimoniales sobre cielos y muros (CENEFAS ENTRE 10cm y 15cm)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8" t="str">
            <v>m</v>
          </cell>
          <cell r="KP28">
            <v>1</v>
          </cell>
          <cell r="KQ28">
            <v>5282.3</v>
          </cell>
          <cell r="KR28">
            <v>5282.3</v>
          </cell>
          <cell r="LD28">
            <v>2.8</v>
          </cell>
          <cell r="LE28" t="str">
            <v>Pintura a base de CAL APAGADA para ser aplicada en edificios patrimoniales sobre cielos y muros (CENEFAS ENTRE 10cm y 15cm)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8" t="str">
            <v>m</v>
          </cell>
          <cell r="LG28">
            <v>1</v>
          </cell>
          <cell r="LH28">
            <v>6000</v>
          </cell>
          <cell r="LI28">
            <v>6000</v>
          </cell>
        </row>
        <row r="29">
          <cell r="KM29">
            <v>2.9</v>
          </cell>
          <cell r="KN29" t="str">
            <v>Pintura a base de CAL APAGADA para ser aplicada en edificios patrimoniales sobre cielos y muros (LÍNEAS EN CENEFA)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KO29" t="str">
            <v>m</v>
          </cell>
          <cell r="KP29">
            <v>1</v>
          </cell>
          <cell r="KQ29">
            <v>6363</v>
          </cell>
          <cell r="KR29">
            <v>6363</v>
          </cell>
          <cell r="LD29">
            <v>2.9</v>
          </cell>
          <cell r="LE29" t="str">
            <v>Pintura a base de CAL APAGADA para ser aplicada en edificios patrimoniales sobre cielos y muros (LÍNEAS EN CENEFA)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  Ver especificación técnica.</v>
          </cell>
          <cell r="LF29" t="str">
            <v>m</v>
          </cell>
          <cell r="LG29">
            <v>1</v>
          </cell>
          <cell r="LH29">
            <v>6000</v>
          </cell>
          <cell r="LI29">
            <v>6000</v>
          </cell>
        </row>
        <row r="30">
          <cell r="KM30">
            <v>2.1</v>
          </cell>
          <cell r="KN30" t="str">
            <v>Pintura tipo ESMALTE transparente semi brillante aplicada en edificios patrimoniales sobre muros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v>
          </cell>
          <cell r="KO30" t="str">
            <v>m2</v>
          </cell>
          <cell r="KP30">
            <v>1</v>
          </cell>
          <cell r="KQ30">
            <v>12221</v>
          </cell>
          <cell r="KR30">
            <v>12221</v>
          </cell>
          <cell r="LD30">
            <v>2.1</v>
          </cell>
          <cell r="LE30" t="str">
            <v>Pintura tipo ESMALTE transparente semi brillante aplicada en edificios patrimoniales sobre muros en tapia y pañete, Incluye: Suministro de los materiales, mano de obra, transporte interno y externo, preparación de la pintura, resanes, emporada, aplicación de manos necesarias que paranticen cubrimiento total de la superficie, herramienta y equipo  y todos los elementos necesarios para su correcta aplicación. Nota: La pintura se debe entonar hasta alcanzar el color existente o el color indicado por la interventoría.</v>
          </cell>
          <cell r="LF30" t="str">
            <v>m2</v>
          </cell>
          <cell r="LG30">
            <v>1</v>
          </cell>
          <cell r="LH30">
            <v>22000</v>
          </cell>
          <cell r="LI30">
            <v>22000</v>
          </cell>
        </row>
        <row r="31">
          <cell r="KM31">
            <v>2.11</v>
          </cell>
          <cell r="KN31" t="str">
            <v>Aplicación de PINTURA VINÍLICA PARA GUARDAESCOBA e=10cm, incluye: Suministro, mano de obra, transporte horizontal y vertical, peparación de sperficie, pintura vinilica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KO31" t="str">
            <v>m</v>
          </cell>
          <cell r="KP31">
            <v>1</v>
          </cell>
          <cell r="KQ31">
            <v>3232</v>
          </cell>
          <cell r="KR31">
            <v>3232</v>
          </cell>
          <cell r="LD31">
            <v>2.11</v>
          </cell>
          <cell r="LE31" t="str">
            <v>Aplicación de PINTURA VINÍLICA PARA GUARDAESCOBA e=10cm, incluye: Suministro, mano de obra, transporte horizontal y vertical, peparación de sperficie, pintura vinilica color gris basalto, resanes, emporada, aplicación de manos necesarias que garanticen cubrimiento total del elemento, herramienta, equipo y todos los elementos necesarios para su correcta aplicación. NOTA: La pintura se debe entonar hasta alcanzar el color existente o el color indicado por la interventoría</v>
          </cell>
          <cell r="LF31" t="str">
            <v>m</v>
          </cell>
          <cell r="LG31">
            <v>1</v>
          </cell>
          <cell r="LH31">
            <v>6000</v>
          </cell>
          <cell r="LI31">
            <v>6000</v>
          </cell>
        </row>
        <row r="32">
          <cell r="KM32">
            <v>2.12</v>
          </cell>
          <cell r="KN32" t="str">
            <v>Aplicación de PINTURA VINÍLICA TIPO 1 para interiores 1 MANO, muros y cielos tipo viniltex o similar aplicada sobre superficies de revoque estucadas y superficies de Drywall y Superboard. Incluye: Suministro, mano de obra, transporte horizontal y vertical, preparación de superficie hasta garantizar un buen puente de adherencia, emporad, resanes, retiro de pintura existente de ser necesario, herramienta, equipo, retiro y reinstalación de cuadros, carteleras, clavos y todos los elementos necesarios para su correcta aplicación.  NO INCLUYE ANDAMIOS</v>
          </cell>
          <cell r="KO32" t="str">
            <v>m2</v>
          </cell>
          <cell r="KP32">
            <v>1</v>
          </cell>
          <cell r="KQ32">
            <v>7676</v>
          </cell>
          <cell r="KR32">
            <v>7676</v>
          </cell>
          <cell r="LD32">
            <v>2.12</v>
          </cell>
          <cell r="LE32" t="str">
            <v>Aplicación de PINTURA VINÍLICA TIPO 1 para interiores 1 MANO, muros y cielos tipo viniltex o similar aplicada sobre superficies de revoque estucadas y superficies de Drywall y Superboard. Incluye: Suministro, mano de obra, transporte horizontal y vertical, preparación de superficie hasta garantizar un buen puente de adherencia, emporad, resanes, retiro de pintura existente de ser necesario, herramienta, equipo, retiro y reinstalación de cuadros, carteleras, clavos y todos los elementos necesarios para su correcta aplicación.  NO INCLUYE ANDAMIOS</v>
          </cell>
          <cell r="LF32" t="str">
            <v>m2</v>
          </cell>
          <cell r="LG32">
            <v>1</v>
          </cell>
          <cell r="LH32">
            <v>13000</v>
          </cell>
          <cell r="LI32">
            <v>13000</v>
          </cell>
        </row>
        <row r="33">
          <cell r="KM33" t="str">
            <v>2.13</v>
          </cell>
          <cell r="KN33" t="str">
            <v>Suministro de MANO DE OBRA para aplicación de Pintura VINÍLICA a 2 manos en MUROS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KO33" t="str">
            <v>m2</v>
          </cell>
          <cell r="KP33">
            <v>1</v>
          </cell>
          <cell r="KQ33">
            <v>5151</v>
          </cell>
          <cell r="KR33">
            <v>5151</v>
          </cell>
          <cell r="LD33" t="str">
            <v>2.13</v>
          </cell>
          <cell r="LE33" t="str">
            <v>Suministro de MANO DE OBRA para aplicación de Pintura VINÍLICA a 2 manos en MUROS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LF33" t="str">
            <v>m2</v>
          </cell>
          <cell r="LG33">
            <v>1</v>
          </cell>
          <cell r="LH33">
            <v>12000</v>
          </cell>
          <cell r="LI33">
            <v>12000</v>
          </cell>
        </row>
        <row r="34">
          <cell r="KM34" t="str">
            <v>3</v>
          </cell>
          <cell r="KN34" t="str">
            <v>PINTURAS TIPO TRÁFICO  Y PINTURA PARA CANCHAS</v>
          </cell>
          <cell r="KO34">
            <v>0</v>
          </cell>
          <cell r="KP34">
            <v>0</v>
          </cell>
          <cell r="KQ34">
            <v>0</v>
          </cell>
          <cell r="KR34">
            <v>0</v>
          </cell>
          <cell r="LD34" t="str">
            <v>3</v>
          </cell>
          <cell r="LE34" t="str">
            <v>PINTURAS TIPO TRÁFICO  Y PINTURA PARA CANCHAS</v>
          </cell>
          <cell r="LF34">
            <v>0</v>
          </cell>
          <cell r="LG34">
            <v>0</v>
          </cell>
          <cell r="LH34">
            <v>0</v>
          </cell>
          <cell r="LI34">
            <v>0</v>
          </cell>
        </row>
        <row r="35">
          <cell r="KM35">
            <v>3.1</v>
          </cell>
          <cell r="KN35" t="str">
            <v>Aplicación de Pintura tipo TRÁFICO ACRÍLICA de pintuco o equivalente aplicada sobre superfices de CONCRETO,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de Pintuco o similar, marcaciónes necesarias según norma o especifiaciones de la interventoría, herramienta, equipo, retiro y reinstalación de cuadros, carteleras, clavos y todos los elementos necesarios para su correcta ejecución y funcionamiento.</v>
          </cell>
          <cell r="KO35" t="str">
            <v>m2</v>
          </cell>
          <cell r="KP35">
            <v>1</v>
          </cell>
          <cell r="KQ35">
            <v>35552</v>
          </cell>
          <cell r="KR35">
            <v>35552</v>
          </cell>
          <cell r="LD35">
            <v>3.1</v>
          </cell>
          <cell r="LE35" t="str">
            <v>Aplicación de Pintura tipo TRÁFICO ACRÍLICA de pintuco o equivalente aplicada sobre superfices de CONCRETO,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de Pintuco o similar, marcaciónes necesarias según norma o especifiaciones de la interventoría, herramienta, equipo, retiro y reinstalación de cuadros, carteleras, clavos y todos los elementos necesarios para su correcta ejecución y funcionamiento.</v>
          </cell>
          <cell r="LF35" t="str">
            <v>m2</v>
          </cell>
          <cell r="LG35">
            <v>1</v>
          </cell>
          <cell r="LH35">
            <v>38000</v>
          </cell>
          <cell r="LI35">
            <v>38000</v>
          </cell>
        </row>
        <row r="36">
          <cell r="KM36">
            <v>3.2</v>
          </cell>
          <cell r="KN36" t="str">
            <v>Aplicación de Pintura tipo TRÁFICO ACRÍLICA aplicada sobre superfices de ASFALTO,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Pintuco o similar, marcaciónes necesarias según norma o especifiaciones de la interventoría, herramienta, equipo y todos los elementos necesarios para su correcta ejecución y funcionamiento.</v>
          </cell>
          <cell r="KO36" t="str">
            <v>m2</v>
          </cell>
          <cell r="KP36">
            <v>1</v>
          </cell>
          <cell r="KQ36">
            <v>17675</v>
          </cell>
          <cell r="KR36">
            <v>17675</v>
          </cell>
          <cell r="LD36">
            <v>3.2</v>
          </cell>
          <cell r="LE36" t="str">
            <v>Aplicación de Pintura tipo TRÁFICO ACRÍLICA aplicada sobre superfices de ASFALTO, incluye: mano de obra, transporte horizontal y vertical, preparación de la superficie hasta lograr un buen  puente de adherencia, lavada de superficie con hidrolavadora o aire a presión, escoba manual o mecánica, jabón neutro o equivalente, Pintura tipo tráfico de referencias 13754 - 13757 Pintuco o similar, marcaciónes necesarias según norma o especifiaciones de la interventoría, herramienta, equipo y todos los elementos necesarios para su correcta ejecución y funcionamiento.</v>
          </cell>
          <cell r="LF36" t="str">
            <v>m2</v>
          </cell>
          <cell r="LG36">
            <v>1</v>
          </cell>
          <cell r="LH36">
            <v>38000</v>
          </cell>
          <cell r="LI36">
            <v>38000</v>
          </cell>
        </row>
        <row r="37">
          <cell r="KM37">
            <v>3.3</v>
          </cell>
          <cell r="KN37" t="str">
            <v>Aplicación de Pintura tipo TRÁFICO ACRÍLICA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7" t="str">
            <v>un</v>
          </cell>
          <cell r="KP37">
            <v>1</v>
          </cell>
          <cell r="KQ37">
            <v>353500</v>
          </cell>
          <cell r="KR37">
            <v>353500</v>
          </cell>
          <cell r="LD37">
            <v>3.3</v>
          </cell>
          <cell r="LE37" t="str">
            <v>Aplicación de Pintura tipo TRÁFICO ACRÍLICA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7" t="str">
            <v>un</v>
          </cell>
          <cell r="LG37">
            <v>1</v>
          </cell>
          <cell r="LH37">
            <v>420000</v>
          </cell>
          <cell r="LI37">
            <v>420000</v>
          </cell>
        </row>
        <row r="38">
          <cell r="KM38">
            <v>3.4</v>
          </cell>
          <cell r="KN38" t="str">
            <v>Aplicación de Pintura tipo TRÁFICO ACRÍLICA en elementos de señalización para PERSONAS CON MOVILIDAD REDUCIDA con medidas de 1,00m*1,00m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8" t="str">
            <v>un</v>
          </cell>
          <cell r="KP38">
            <v>1</v>
          </cell>
          <cell r="KQ38">
            <v>17372</v>
          </cell>
          <cell r="KR38">
            <v>17372</v>
          </cell>
          <cell r="LD38">
            <v>3.4</v>
          </cell>
          <cell r="LE38" t="str">
            <v>Aplicación de Pintura tipo TRÁFICO ACRÍLICA en elementos de señalización para PERSONAS CON MOVILIDAD REDUCIDA con medidas de 1,00m*1,00m Incluye: Suministro, mano de obra, transporte horizontal y vertical, base sobre pavimento, preparación de la superficie hasta lograr un buen  puente de adherencia, fondo azul,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8" t="str">
            <v>un</v>
          </cell>
          <cell r="LG38">
            <v>1</v>
          </cell>
          <cell r="LH38">
            <v>75000</v>
          </cell>
          <cell r="LI38">
            <v>75000</v>
          </cell>
        </row>
        <row r="39">
          <cell r="KM39">
            <v>3.5</v>
          </cell>
          <cell r="KN39" t="str">
            <v>Aplicación de Pintura tipo TRÁFICO ACRÍLICA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KO39" t="str">
            <v>un</v>
          </cell>
          <cell r="KP39">
            <v>1</v>
          </cell>
          <cell r="KQ39">
            <v>454500</v>
          </cell>
          <cell r="KR39">
            <v>454500</v>
          </cell>
          <cell r="LD39">
            <v>3.5</v>
          </cell>
          <cell r="LE39" t="str">
            <v>Aplicación de Pintura tipo TRÁFICO ACRÍLICA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tráfico de referencias 13754 - 13757 Pintuco o similar, marcaciónes necesarias según norma o especifiaciones de la interventoría, herramienta, equipo y todos los elementos necesarios para su correcta ejecución y funcionamiento.</v>
          </cell>
          <cell r="LF39" t="str">
            <v>un</v>
          </cell>
          <cell r="LG39">
            <v>1</v>
          </cell>
          <cell r="LH39">
            <v>650000</v>
          </cell>
          <cell r="LI39">
            <v>650000</v>
          </cell>
        </row>
        <row r="40">
          <cell r="KM40">
            <v>3.6</v>
          </cell>
          <cell r="KN40" t="str">
            <v>Aplicación de Pintura tipo TRÁFICO ACRÍLICA para demarcación de CELDAS DE PARQUEADERO. Incluye: Suministro, mano de obra, transporte horizontal y vertical, base sobre pavimento, Pintura tipo tráfico de referencias 13754 - 13757 Pintuco o similar,  preparación de la superficie hasta lograr un buen  puente de adherencia, herramienta, equipo y todos los elementos necesarios para su correcta ejecución y funcionamiento.</v>
          </cell>
          <cell r="KO40" t="str">
            <v>m</v>
          </cell>
          <cell r="KP40">
            <v>1</v>
          </cell>
          <cell r="KQ40">
            <v>2121</v>
          </cell>
          <cell r="KR40">
            <v>2121</v>
          </cell>
          <cell r="LD40">
            <v>3.6</v>
          </cell>
          <cell r="LE40" t="str">
            <v>Aplicación de Pintura tipo TRÁFICO ACRÍLICA para demarcación de CELDAS DE PARQUEADERO. Incluye: Suministro, mano de obra, transporte horizontal y vertical, base sobre pavimento, Pintura tipo tráfico de referencias 13754 - 13757 Pintuco o similar,  preparación de la superficie hasta lograr un buen  puente de adherencia, herramienta, equipo y todos los elementos necesarios para su correcta ejecución y funcionamiento.</v>
          </cell>
          <cell r="LF40" t="str">
            <v>m</v>
          </cell>
          <cell r="LG40">
            <v>1</v>
          </cell>
          <cell r="LH40">
            <v>5000</v>
          </cell>
          <cell r="LI40">
            <v>5000</v>
          </cell>
        </row>
        <row r="41">
          <cell r="KM41">
            <v>3.7</v>
          </cell>
          <cell r="KN41" t="str">
            <v>Aplicación de Pintura Acrílica para CANCHAS ANTIDESLIZANTE antiderrapante para concreto no esmaltado, incluye: suministro,mano de obra, transporte horizontal y vertical, preparación de la superficie hasta lograr un buen  puente de adherencia, lavada de superficie con jabón neutro o equivalente, Imprimante o base para aplicación de pintura, aplicación de tres manos de pintura para canchas, marcaciónes necesarias según norma o especifiaciones de la interventoría, herramienta, equipo y todos los elementos necesarios para su correcta ejecución y funcionamiento.</v>
          </cell>
          <cell r="KO41" t="str">
            <v>m2</v>
          </cell>
          <cell r="KP41">
            <v>1</v>
          </cell>
          <cell r="KQ41">
            <v>32522</v>
          </cell>
          <cell r="KR41">
            <v>32522</v>
          </cell>
          <cell r="LD41">
            <v>3.7</v>
          </cell>
          <cell r="LE41" t="str">
            <v>Aplicación de Pintura Acrílica para CANCHAS ANTIDESLIZANTE antiderrapante para concreto no esmaltado, incluye: suministro,mano de obra, transporte horizontal y vertical, preparación de la superficie hasta lograr un buen  puente de adherencia, lavada de superficie con jabón neutro o equivalente, Imprimante o base para aplicación de pintura, aplicación de tres manos de pintura para canchas, marcaciónes necesarias según norma o especifiaciones de la interventoría, herramienta, equipo y todos los elementos necesarios para su correcta ejecución y funcionamiento.</v>
          </cell>
          <cell r="LF41" t="str">
            <v>m2</v>
          </cell>
          <cell r="LG41">
            <v>1</v>
          </cell>
          <cell r="LH41">
            <v>45000</v>
          </cell>
          <cell r="LI41">
            <v>45000</v>
          </cell>
        </row>
        <row r="42">
          <cell r="KM42">
            <v>3.8</v>
          </cell>
          <cell r="KN42" t="str">
            <v>Aplicación de Pintura tipo TRÁFICO PLÁSTICO EN FRÍO en elementos de señalización para FLECHAS EN UN SENTIDO de circulación de 5m de lontigud. Incluye: Suministro, mano de obra, transporte horizontal y vertical, base sobre pavimento, preparación de la superficie hasta lograr un buen  puente de adherencia, fondo blanco, logo, líneas de separación, Pintura tipo pintutráfico plástico en frío con llana de referencias 13760 Pintuco o similar, marcaciones necesarias según norma o especifiaciones de la interventoría, herramienta, equipo y todos los elementos necesarios para su correcta ejecución y funcionamiento.</v>
          </cell>
          <cell r="KO42" t="str">
            <v>un</v>
          </cell>
          <cell r="KP42">
            <v>1</v>
          </cell>
          <cell r="KQ42">
            <v>79790</v>
          </cell>
          <cell r="KR42">
            <v>79790</v>
          </cell>
          <cell r="LD42">
            <v>3.8</v>
          </cell>
          <cell r="LE42" t="str">
            <v>Aplicación de Pintura tipo TRÁFICO PLÁSTICO EN FRÍO en elementos de señalización para FLECHAS EN UN SENTIDO de circulación de 5m de lontigud. Incluye: Suministro, mano de obra, transporte horizontal y vertical, base sobre pavimento, preparación de la superficie hasta lograr un buen  puente de adherencia, fondo blanco, logo, líneas de separación, Pintura tipo pintutráfico plástico en frío con llana de referencias 13760 Pintuco o similar, marcaciones necesarias según norma o especifiaciones de la interventoría, herramienta, equipo y todos los elementos necesarios para su correcta ejecución y funcionamiento.</v>
          </cell>
          <cell r="LF42" t="str">
            <v>un</v>
          </cell>
          <cell r="LG42">
            <v>1</v>
          </cell>
          <cell r="LH42">
            <v>45000</v>
          </cell>
          <cell r="LI42">
            <v>45000</v>
          </cell>
        </row>
        <row r="43">
          <cell r="KM43">
            <v>3.9</v>
          </cell>
          <cell r="KN43" t="str">
            <v>Aplicación de Pintura TRÁFICO PLÁSTICO EN FRÍO en llana para demarcación de PASOS PEATONALES a = 0,40m , lineas de pare en porterias . Incluye: Suministro, mano de obra, transporte horizontal y vertical, base sobre pavimento, pintura tipo pintutráfico plástico en frío con llana de referencia 13760 Pintuco o equivalente, preparación de la superficie hasta lograr un buen puente de adherencia, herramienta, equipo y todos los elementos necesarios para su correcta ejecución y funcionamiento.</v>
          </cell>
          <cell r="KO43" t="str">
            <v>m</v>
          </cell>
          <cell r="KP43">
            <v>1</v>
          </cell>
          <cell r="KQ43">
            <v>42420</v>
          </cell>
          <cell r="KR43">
            <v>42420</v>
          </cell>
          <cell r="LD43">
            <v>3.9</v>
          </cell>
          <cell r="LE43" t="str">
            <v>Aplicación de Pintura TRÁFICO PLÁSTICO EN FRÍO en llana para demarcación de PASOS PEATONALES a = 0,40m , lineas de pare en porterias . Incluye: Suministro, mano de obra, transporte horizontal y vertical, base sobre pavimento, pintura tipo pintutráfico plástico en frío con llana de referencia 13760 Pintuco o equivalente, preparación de la superficie hasta lograr un buen puente de adherencia, herramienta, equipo y todos los elementos necesarios para su correcta ejecución y funcionamiento.</v>
          </cell>
          <cell r="LF43" t="str">
            <v>m</v>
          </cell>
          <cell r="LG43">
            <v>1</v>
          </cell>
          <cell r="LH43">
            <v>18000</v>
          </cell>
          <cell r="LI43">
            <v>18000</v>
          </cell>
        </row>
        <row r="44">
          <cell r="KM44">
            <v>3.1</v>
          </cell>
          <cell r="KN44" t="str">
            <v>Aplicacióon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v>
          </cell>
          <cell r="KO44" t="str">
            <v>un</v>
          </cell>
          <cell r="KP44">
            <v>1</v>
          </cell>
          <cell r="KQ44">
            <v>1111000</v>
          </cell>
          <cell r="KR44">
            <v>1111000</v>
          </cell>
          <cell r="LD44">
            <v>3.1</v>
          </cell>
          <cell r="LE44" t="str">
            <v>Aplicacióon de Pintura tipo TRÁFICO PLÁSTICO EN FRÍO en elementos de señalización para ZONA DE BICICLETAS con medidas 5,80m*4,50m. Incluye: Suministro, mano de obra, transporte horizontal y vertical, base sobre pavimento, preparación de la superficie hasta lograr un buen  puente de adherencia, fondo blanco, logo, líneas de separación, Pintura tipo pintutráfico plástico en frío con llana  de referencias 13754-13757-13760 Pintuco o similar, marcaciones necesarias según norma o especifiaciones de la interventoría, herramienta, equipo y todos los elementos necesarios para su correcta ejecución y funcionamiento.</v>
          </cell>
          <cell r="LF44" t="str">
            <v>un</v>
          </cell>
          <cell r="LG44">
            <v>1</v>
          </cell>
          <cell r="LH44">
            <v>650000</v>
          </cell>
          <cell r="LI44">
            <v>650000</v>
          </cell>
        </row>
        <row r="45">
          <cell r="KM45">
            <v>3.11</v>
          </cell>
          <cell r="KN45" t="str">
            <v>Aplicación de Pintura tipo TRÁFICO PLÁSTICO EN FRÍO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Pintutráfico plástica en frío con llana de referencias 13760 Pintuco o similar, marcaciones necesarias según norma o especifiaciones de la interventoría, herramienta, equipo y todos los elementos necesarios para su correcta ejecución y funcionamiento.</v>
          </cell>
          <cell r="KO45" t="str">
            <v>un</v>
          </cell>
          <cell r="KP45">
            <v>1</v>
          </cell>
          <cell r="KQ45">
            <v>911020</v>
          </cell>
          <cell r="KR45">
            <v>911020</v>
          </cell>
          <cell r="LD45">
            <v>3.11</v>
          </cell>
          <cell r="LE45" t="str">
            <v>Aplicación de Pintura tipo TRÁFICO PLÁSTICO EN FRÍO en elementos de señalización para PERSONAS CON MOVILIDAD REDUCIDA con medidas de 5,00m de largo y entre 3,00m y 3,50m de ancho Incluye: Suministro, mano de obra, transporte horizontal y vertical, base sobre pavimento, preparación de la superficie hasta lograr un buen  puente de adherencia, fondo azul, logo, líneas de separación, Pintutráfico plástica en frío con llana de referencias 13760 Pintuco o similar, marcaciones necesarias según norma o especifiaciones de la interventoría, herramienta, equipo y todos los elementos necesarios para su correcta ejecución y funcionamiento.</v>
          </cell>
          <cell r="LF45" t="str">
            <v>un</v>
          </cell>
          <cell r="LG45">
            <v>1</v>
          </cell>
          <cell r="LH45">
            <v>535000</v>
          </cell>
          <cell r="LI45">
            <v>535000</v>
          </cell>
        </row>
        <row r="46">
          <cell r="KM46">
            <v>3.12</v>
          </cell>
          <cell r="KN46" t="str">
            <v>Aplición de Pintura tipo TRÁFICO PLÁSTICO EN FRÍO en elementos de señalización para PERSONAS CON MOVIIDAD REDUCIDA con medidas de 1,00m de largo y entre 1,10 de ancho Incluye: Suministro, mano de obra, transporte horizontal y vertical, base sobre pavimento, preparación de la superficie hasta lograr un buen  puente de adherencia, fondo azul, logo, líneas de separación, Pintura tipo pintutráfico plástico en frío con llana  de referencias 13754-13757-13760 Pintuco o similar, marcaciónes necesarias según norma o especifiaciones de la interventoría, herramienta, equipo y todos los elementos necesarios para su correcta ejecución y funcionamiento.</v>
          </cell>
          <cell r="KO46" t="str">
            <v>und</v>
          </cell>
          <cell r="KP46">
            <v>1</v>
          </cell>
          <cell r="KQ46">
            <v>90122.3</v>
          </cell>
          <cell r="KR46">
            <v>90122.3</v>
          </cell>
          <cell r="LD46">
            <v>3.12</v>
          </cell>
          <cell r="LE46" t="str">
            <v>Aplición de Pintura tipo TRÁFICO PLÁSTICO EN FRÍO en elementos de señalización para PERSONAS CON MOVIIDAD REDUCIDA con medidas de 1,00m de largo y entre 1,10 de ancho Incluye: Suministro, mano de obra, transporte horizontal y vertical, base sobre pavimento, preparación de la superficie hasta lograr un buen  puente de adherencia, fondo azul, logo, líneas de separación, Pintura tipo pintutráfico plástico en frío con llana  de referencias 13754-13757-13760 Pintuco o similar, marcaciónes necesarias según norma o especifiaciones de la interventoría, herramienta, equipo y todos los elementos necesarios para su correcta ejecución y funcionamiento.</v>
          </cell>
          <cell r="LF46" t="str">
            <v>und</v>
          </cell>
          <cell r="LG46">
            <v>1</v>
          </cell>
          <cell r="LH46">
            <v>49500.000000000007</v>
          </cell>
          <cell r="LI46">
            <v>49500.000000000007</v>
          </cell>
        </row>
        <row r="47">
          <cell r="KM47">
            <v>3.13</v>
          </cell>
          <cell r="KN47" t="str">
            <v>Aplicación de Pintura tipo TRÁFICO PLÁSTICO EN FRÍO en elementos de señalización para ZONA DE PARQUEO PROHIBIDA. Incluye: Suministro, mano de obra, transporte horizontal y vertical, base sobre pavimento, preparación de la superficie hasta lograr un buen  puente de adherencia, fondo blanco, logo, líneas de separación, Pintura tipo pintutráfico plástico en frío en llana de referencias 113760 Pintuco o similar, marcaciones necesarias según norma o especifiaciones de la interventoría, herramienta, equipo y todos los elementos necesarios para su correcta ejecución y funcionamiento.</v>
          </cell>
          <cell r="KO47" t="str">
            <v>un</v>
          </cell>
          <cell r="KP47">
            <v>1</v>
          </cell>
          <cell r="KQ47">
            <v>186850</v>
          </cell>
          <cell r="KR47">
            <v>186850</v>
          </cell>
          <cell r="LD47">
            <v>3.13</v>
          </cell>
          <cell r="LE47" t="str">
            <v>Aplicación de Pintura tipo TRÁFICO PLÁSTICO EN FRÍO en elementos de señalización para ZONA DE PARQUEO PROHIBIDA. Incluye: Suministro, mano de obra, transporte horizontal y vertical, base sobre pavimento, preparación de la superficie hasta lograr un buen  puente de adherencia, fondo blanco, logo, líneas de separación, Pintura tipo pintutráfico plástico en frío en llana de referencias 113760 Pintuco o similar, marcaciones necesarias según norma o especifiaciones de la interventoría, herramienta, equipo y todos los elementos necesarios para su correcta ejecución y funcionamiento.</v>
          </cell>
          <cell r="LF47" t="str">
            <v>un</v>
          </cell>
          <cell r="LG47">
            <v>1</v>
          </cell>
          <cell r="LH47">
            <v>560000</v>
          </cell>
          <cell r="LI47">
            <v>560000</v>
          </cell>
        </row>
        <row r="48">
          <cell r="KM48">
            <v>3.14</v>
          </cell>
          <cell r="KN48" t="str">
            <v>Aplicación de Pintura tipo TRÁFICO PLÁSTICO EN FRÍO  para demarcación de CELDAS DE PARQUEADERO Y LÍNEAD DE TROTE, 10 cm de ancho. Incluye: Suministro, mano de obra, transporte horizontal y vertical, base sobre pavimento, pintura tipo pintutráfico plástico en frío en llana de referencia 13760 Pintuco, preparación de la superficie hasta lograr un buen puente de adherencia, herramienta, equipo y todos los elementos necesarios para su correcta ejecución y funcionamiento.</v>
          </cell>
          <cell r="KO48" t="str">
            <v>m</v>
          </cell>
          <cell r="KP48">
            <v>1</v>
          </cell>
          <cell r="KQ48">
            <v>21715</v>
          </cell>
          <cell r="KR48">
            <v>21715</v>
          </cell>
          <cell r="LD48">
            <v>3.14</v>
          </cell>
          <cell r="LE48" t="str">
            <v>Aplicación de Pintura tipo TRÁFICO PLÁSTICO EN FRÍO  para demarcación de CELDAS DE PARQUEADERO Y LÍNEAD DE TROTE, 10 cm de ancho. Incluye: Suministro, mano de obra, transporte horizontal y vertical, base sobre pavimento, pintura tipo pintutráfico plástico en frío en llana de referencia 13760 Pintuco, preparación de la superficie hasta lograr un buen puente de adherencia, herramienta, equipo y todos los elementos necesarios para su correcta ejecución y funcionamiento.</v>
          </cell>
          <cell r="LF48" t="str">
            <v>m</v>
          </cell>
          <cell r="LG48">
            <v>1</v>
          </cell>
          <cell r="LH48">
            <v>7000</v>
          </cell>
          <cell r="LI48">
            <v>7000</v>
          </cell>
        </row>
        <row r="49">
          <cell r="KM49" t="str">
            <v>4</v>
          </cell>
          <cell r="KN49" t="str">
            <v>PINTURAS EPÓXICAS Y ANTIHUMEDAD</v>
          </cell>
          <cell r="KO49">
            <v>0</v>
          </cell>
          <cell r="KP49">
            <v>0</v>
          </cell>
          <cell r="KQ49">
            <v>0</v>
          </cell>
          <cell r="KR49">
            <v>0</v>
          </cell>
          <cell r="LD49" t="str">
            <v>4</v>
          </cell>
          <cell r="LE49" t="str">
            <v>PINTURAS EPÓXICAS Y ANTIHUMEDAD</v>
          </cell>
          <cell r="LF49">
            <v>0</v>
          </cell>
          <cell r="LG49">
            <v>0</v>
          </cell>
          <cell r="LH49">
            <v>0</v>
          </cell>
          <cell r="LI49">
            <v>0</v>
          </cell>
        </row>
        <row r="50">
          <cell r="KM50">
            <v>4.0999999999999996</v>
          </cell>
          <cell r="KN50" t="str">
            <v>Aplicación de PINTURA EPÓXICA EN MUROS (dos componentes proporción 1:3, no tóxica) tipo epoxiconstrucción de pintuco o equivalente, de primera calidad, semimate, sobre estuco plástico, 2 a 3 manos o las necesarias para lograr una superficie pareja a satisfacción de la interventoría, color blanco.</v>
          </cell>
          <cell r="KO50" t="str">
            <v>m2</v>
          </cell>
          <cell r="KP50">
            <v>1</v>
          </cell>
          <cell r="KQ50">
            <v>26260</v>
          </cell>
          <cell r="KR50">
            <v>26260</v>
          </cell>
          <cell r="LD50">
            <v>4.0999999999999996</v>
          </cell>
          <cell r="LE50" t="str">
            <v>Aplicación de PINTURA EPÓXICA EN MUROS (dos componentes proporción 1:3, no tóxica) tipo epoxiconstrucción de pintuco o equivalente, de primera calidad, semimate, sobre estuco plástico, 2 a 3 manos o las necesarias para lograr una superficie pareja a satisfacción de la interventoría, color blanco.</v>
          </cell>
          <cell r="LF50" t="str">
            <v>m2</v>
          </cell>
          <cell r="LG50">
            <v>1</v>
          </cell>
          <cell r="LH50">
            <v>48000</v>
          </cell>
          <cell r="LI50">
            <v>48000</v>
          </cell>
        </row>
        <row r="51">
          <cell r="KM51">
            <v>4.2</v>
          </cell>
          <cell r="KN51" t="str">
            <v>Aplicación de PINTURA EPÓXICA EN CIELOS (dos componentes proporción 1:3, no tóxica) tipo epoxiconstrucción de pintuco o equivalente, semimate, sobre estuco plástico, 2 a 3 manos o las necesarias para lograr una superficie pareja a satisfacción de la interventoría, color blanco.</v>
          </cell>
          <cell r="KO51" t="str">
            <v>m2</v>
          </cell>
          <cell r="KP51">
            <v>1</v>
          </cell>
          <cell r="KQ51">
            <v>28280</v>
          </cell>
          <cell r="KR51">
            <v>28280</v>
          </cell>
          <cell r="LD51">
            <v>4.2</v>
          </cell>
          <cell r="LE51" t="str">
            <v>Aplicación de PINTURA EPÓXICA EN CIELOS (dos componentes proporción 1:3, no tóxica) tipo epoxiconstrucción de pintuco o equivalente, semimate, sobre estuco plástico, 2 a 3 manos o las necesarias para lograr una superficie pareja a satisfacción de la interventoría, color blanco.</v>
          </cell>
          <cell r="LF51" t="str">
            <v>m2</v>
          </cell>
          <cell r="LG51">
            <v>1</v>
          </cell>
          <cell r="LH51">
            <v>53000</v>
          </cell>
          <cell r="LI51">
            <v>53000</v>
          </cell>
        </row>
        <row r="52">
          <cell r="KM52">
            <v>4.3</v>
          </cell>
          <cell r="KN52" t="str">
            <v>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KO52" t="str">
            <v>m2</v>
          </cell>
          <cell r="KP52">
            <v>1</v>
          </cell>
          <cell r="KQ52">
            <v>11312</v>
          </cell>
          <cell r="KR52">
            <v>11312</v>
          </cell>
          <cell r="LD52">
            <v>4.3</v>
          </cell>
          <cell r="LE52" t="str">
            <v>Aplicación de Pintura tipo ANTIHUMEDAD, para muros,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LF52" t="str">
            <v>m2</v>
          </cell>
          <cell r="LG52">
            <v>1</v>
          </cell>
          <cell r="LH52">
            <v>20000</v>
          </cell>
          <cell r="LI52">
            <v>20000</v>
          </cell>
        </row>
        <row r="53">
          <cell r="KM53">
            <v>4.4000000000000004</v>
          </cell>
          <cell r="KN53" t="str">
            <v>Aplicación de Pintura tipo ANTIHUMEDAD,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KO53" t="str">
            <v>m2</v>
          </cell>
          <cell r="KP53">
            <v>1</v>
          </cell>
          <cell r="KQ53">
            <v>12322</v>
          </cell>
          <cell r="KR53">
            <v>12322</v>
          </cell>
          <cell r="LD53">
            <v>4.4000000000000004</v>
          </cell>
          <cell r="LE53" t="str">
            <v>Aplicación de Pintura tipo ANTIHUMEDAD, para cielos, incluye: Suministro, mano de obra, transporte horizontal y vertical, preparación de la superficie hasta lograr un buen  puente de adherencia, resanes, aplicación de manos necesarias que garanticen cubrimiento total del área, herramienta, equipo,  elementos de trabajo en altura, retiro y reinstalación de cuadros, carteleras, clavos y todos los elementos necesarios para su correcta aplicación.</v>
          </cell>
          <cell r="LF53" t="str">
            <v>m2</v>
          </cell>
          <cell r="LG53">
            <v>1</v>
          </cell>
          <cell r="LH53">
            <v>22000</v>
          </cell>
          <cell r="LI53">
            <v>22000</v>
          </cell>
        </row>
        <row r="54">
          <cell r="KM54" t="str">
            <v>4.5</v>
          </cell>
          <cell r="KN54" t="str">
            <v>Suministro de MANO DE OBRA para aplicación de Pintura EPÓXICA a 2 manos en MUOS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KO54" t="str">
            <v>m2</v>
          </cell>
          <cell r="KP54">
            <v>1</v>
          </cell>
          <cell r="KQ54">
            <v>9039.5</v>
          </cell>
          <cell r="KR54">
            <v>9039.5</v>
          </cell>
          <cell r="LD54" t="str">
            <v>4.5</v>
          </cell>
          <cell r="LE54" t="str">
            <v>Suministro de MANO DE OBRA para aplicación de Pintura EPÓXICA a 2 manos en MUOS Y CIELOS sobre supericies de revoque estucadas y superficies de Drywall y Superboard  incluye: Suministro, mano de obra,  transporte horizontal y vertical, preparación de superficie hasta garantizar un buen puente de adherencia, emporada, resanes, retiro de pintura existente de ser necesario, aplicación de manos necesarias que garanticen cubrimiento total del área, herramienta, equipo, retiro y reinstalación de cuadros, carteleras, clavos  y todos los elementos necesarios para su correcta aplicación. Nota: La pintura e insumos necesarios para la aplicación son suministrados por la Universidad.</v>
          </cell>
          <cell r="LF54" t="str">
            <v>m2</v>
          </cell>
          <cell r="LG54">
            <v>1</v>
          </cell>
          <cell r="LH54">
            <v>45000</v>
          </cell>
          <cell r="LI54">
            <v>45000</v>
          </cell>
        </row>
        <row r="55">
          <cell r="KM55" t="str">
            <v>5</v>
          </cell>
          <cell r="KN55" t="str">
            <v>PINTURAS ESMALTE</v>
          </cell>
          <cell r="KO55">
            <v>0</v>
          </cell>
          <cell r="KP55">
            <v>0</v>
          </cell>
          <cell r="KQ55">
            <v>0</v>
          </cell>
          <cell r="KR55">
            <v>0</v>
          </cell>
          <cell r="LD55" t="str">
            <v>5</v>
          </cell>
          <cell r="LE55" t="str">
            <v>PINTURAS ESMALTE</v>
          </cell>
          <cell r="LF55">
            <v>0</v>
          </cell>
          <cell r="LG55">
            <v>0</v>
          </cell>
          <cell r="LH55">
            <v>0</v>
          </cell>
          <cell r="LI55">
            <v>0</v>
          </cell>
        </row>
        <row r="56">
          <cell r="KM56" t="str">
            <v>5,1</v>
          </cell>
          <cell r="KN56" t="str">
            <v>Aplicación de ESMALTE A BASE DE ACEITE, sobre PUERTAS EN MADERA Y MARCOS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KO56" t="str">
            <v>m2</v>
          </cell>
          <cell r="KP56">
            <v>1</v>
          </cell>
          <cell r="KQ56">
            <v>8059.8</v>
          </cell>
          <cell r="KR56">
            <v>8059.8</v>
          </cell>
          <cell r="LD56" t="str">
            <v>5,1</v>
          </cell>
          <cell r="LE56" t="str">
            <v>Aplicación de ESMALTE A BASE DE ACEITE, sobre PUERTAS EN MADERA Y MARCOS METÁLICOS,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LF56" t="str">
            <v>m2</v>
          </cell>
          <cell r="LG56">
            <v>1</v>
          </cell>
          <cell r="LH56">
            <v>40000</v>
          </cell>
          <cell r="LI56">
            <v>40000</v>
          </cell>
        </row>
        <row r="57">
          <cell r="KM57">
            <v>5.2</v>
          </cell>
          <cell r="KN57" t="str">
            <v>Aplicación de ESMALTE A BASE DE ACEITE, sobre CORTINAS ENROLLABLES METÁLICASs,  Incluye suministro,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v>
          </cell>
          <cell r="KO57" t="str">
            <v>m2</v>
          </cell>
          <cell r="KP57">
            <v>1</v>
          </cell>
          <cell r="KQ57">
            <v>10201</v>
          </cell>
          <cell r="KR57">
            <v>10201</v>
          </cell>
          <cell r="LD57">
            <v>5.2</v>
          </cell>
          <cell r="LE57" t="str">
            <v>Aplicación de ESMALTE A BASE DE ACEITE, sobre CORTINAS ENROLLABLES METÁLICASs,  Incluye suministro, mano de obra, transporte horizontal y vertical, acondicionador de superficies metálicas Tipo Wash Primer o equivelente, pistola para la aplicación de la pintura, disolvente para pinturas a base de aceite, herrramienta, equipo, manos necesarias hasta obtener una superficie pareja y homogénea, color a definir según aprobación de la interventoría y todos los demás elementos necesarios para su correcta aplicación.</v>
          </cell>
          <cell r="LF57" t="str">
            <v>m2</v>
          </cell>
          <cell r="LG57">
            <v>1</v>
          </cell>
          <cell r="LH57">
            <v>45000</v>
          </cell>
          <cell r="LI57">
            <v>45000</v>
          </cell>
        </row>
        <row r="58">
          <cell r="KM58">
            <v>5.3</v>
          </cell>
          <cell r="KN58" t="str">
            <v>Aplicación de ESMALTE A BASE DE ACEITE, sobre REJAS METÁLICAS,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KO58" t="str">
            <v>m2</v>
          </cell>
          <cell r="KP58">
            <v>1</v>
          </cell>
          <cell r="KQ58">
            <v>7563.89</v>
          </cell>
          <cell r="KR58">
            <v>7563.89</v>
          </cell>
          <cell r="LD58">
            <v>5.3</v>
          </cell>
          <cell r="LE58" t="str">
            <v>Aplicación de ESMALTE A BASE DE ACEITE, sobre REJAS METÁLICAS, dos manos o las necesarias hasta obtener una superficie pareja y homogénea. Incluye suministro y transporte de los materiales, disolvente para pinturas a base de aceite, adecuación de la superficie a intervenir hasta obtener una superficie pareja y homogénea, color a definir según aprobación de la interventoría.</v>
          </cell>
          <cell r="LF58" t="str">
            <v>m2</v>
          </cell>
          <cell r="LG58">
            <v>1</v>
          </cell>
          <cell r="LH58">
            <v>33000</v>
          </cell>
          <cell r="LI58">
            <v>33000</v>
          </cell>
        </row>
        <row r="59">
          <cell r="KM59">
            <v>5.4</v>
          </cell>
          <cell r="KN59" t="str">
            <v>Aplicación de PINTURA TIPO ESMALTE para bajantes de aguas lluvias Incluye: Suministro, mano de obra, transporte horizontal y vertical, preparación de la superficie, pintura acrílica, disolvente, aplicación de manos encesarias que garanticen cubrimiento total del elemento, elementos de trabajo en alturas y todos los ementos necesarios para su correcta aplicación. Nota: La pintura se debe entonar hasta alcanzar el color existente o el color indicado por la interventoría</v>
          </cell>
          <cell r="KO59" t="str">
            <v>m</v>
          </cell>
          <cell r="KP59">
            <v>1</v>
          </cell>
          <cell r="KQ59">
            <v>7230.59</v>
          </cell>
          <cell r="KR59">
            <v>7230.59</v>
          </cell>
          <cell r="LD59">
            <v>5.4</v>
          </cell>
          <cell r="LE59" t="str">
            <v>Aplicación de PINTURA TIPO ESMALTE para bajantes de aguas lluvias Incluye: Suministro, mano de obra, transporte horizontal y vertical, preparación de la superficie, pintura acrílica, disolvente, aplicación de manos encesarias que garanticen cubrimiento total del elemento, elementos de trabajo en alturas y todos los ementos necesarios para su correcta aplicación. Nota: La pintura se debe entonar hasta alcanzar el color existente o el color indicado por la interventoría</v>
          </cell>
          <cell r="LF59" t="str">
            <v>m</v>
          </cell>
          <cell r="LG59">
            <v>1</v>
          </cell>
          <cell r="LH59">
            <v>5000</v>
          </cell>
          <cell r="LI59">
            <v>5000</v>
          </cell>
        </row>
        <row r="60">
          <cell r="KM60">
            <v>5.5</v>
          </cell>
          <cell r="KN60" t="str">
            <v>Aplicación de ESMALTE A BASE DE ACEITE sobre muros y techos en superficies  de revoque estucadas y superficies de Drywall y Superboard. Incluye: Suministro de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KO60" t="str">
            <v>m2</v>
          </cell>
          <cell r="KP60">
            <v>1</v>
          </cell>
          <cell r="KQ60">
            <v>12423</v>
          </cell>
          <cell r="KR60">
            <v>12423</v>
          </cell>
          <cell r="LD60">
            <v>5.5</v>
          </cell>
          <cell r="LE60" t="str">
            <v>Aplicación de ESMALTE A BASE DE ACEITE sobre muros y techos en superficies  de revoque estucadas y superficies de Drywall y Superboard. Incluye: Suministro de mano de obra, transporte horizontal y vertical, equipo, preparación de superficie, emporada, resanes, disolvente, retiro de pintura existente de ser necesario, aplicación de manos necesarias que garanticen cubrimiento total del área, herramienta, retiro y reinstalación de cuadros, carteleras, clavos y todos los elementos necesarios para su correcta aplicación. Nota: La pintura se debe entonar hasta alcanzar el color existente o el color indicado por la Interventoría.</v>
          </cell>
          <cell r="LF60" t="str">
            <v>m2</v>
          </cell>
          <cell r="LG60">
            <v>1</v>
          </cell>
          <cell r="LH60">
            <v>23000</v>
          </cell>
          <cell r="LI60">
            <v>23000</v>
          </cell>
        </row>
        <row r="61">
          <cell r="KM61" t="str">
            <v>6</v>
          </cell>
          <cell r="KN61" t="str">
            <v>PINTURA PARA PISOS Y TECHOS EN MADERA</v>
          </cell>
          <cell r="KO61">
            <v>0</v>
          </cell>
          <cell r="KP61">
            <v>0</v>
          </cell>
          <cell r="KQ61">
            <v>0</v>
          </cell>
          <cell r="KR61">
            <v>0</v>
          </cell>
          <cell r="LD61" t="str">
            <v>6</v>
          </cell>
          <cell r="LE61" t="str">
            <v>PINTURA PARA PISOS Y TECHOS EN MADERA</v>
          </cell>
          <cell r="LF61">
            <v>0</v>
          </cell>
          <cell r="LG61">
            <v>0</v>
          </cell>
          <cell r="LH61">
            <v>0</v>
          </cell>
          <cell r="LI61">
            <v>0</v>
          </cell>
        </row>
        <row r="62">
          <cell r="KM62" t="str">
            <v>6,1</v>
          </cell>
          <cell r="KN62" t="str">
            <v>Aplicación de Pintura para TECHOS de acabado tipo Impra Profilan Plus o equivalente (color teka nogal o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KO62" t="str">
            <v>m2</v>
          </cell>
          <cell r="KP62">
            <v>1</v>
          </cell>
          <cell r="KQ62">
            <v>14220.8</v>
          </cell>
          <cell r="KR62">
            <v>14220.8</v>
          </cell>
          <cell r="LD62" t="str">
            <v>6,1</v>
          </cell>
          <cell r="LE62" t="str">
            <v>Aplicación de Pintura para TECHOS de acabado tipo Impra Profilan Plus o equivalente (color teka nogal o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LF62" t="str">
            <v>m2</v>
          </cell>
          <cell r="LG62">
            <v>1</v>
          </cell>
          <cell r="LH62">
            <v>40000</v>
          </cell>
          <cell r="LI62">
            <v>40000</v>
          </cell>
        </row>
        <row r="63">
          <cell r="KM63" t="str">
            <v>6,2</v>
          </cell>
          <cell r="KN63" t="str">
            <v>Aplicación de Pintura para PISOS EN MADERA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KO63" t="str">
            <v>m2</v>
          </cell>
          <cell r="KP63">
            <v>1</v>
          </cell>
          <cell r="KQ63">
            <v>9615.2000000000007</v>
          </cell>
          <cell r="KR63">
            <v>9615.2000000000007</v>
          </cell>
          <cell r="LD63" t="str">
            <v>6,2</v>
          </cell>
          <cell r="LE63" t="str">
            <v>Aplicación de Pintura para PISOS EN MADERA (color necesario para entonar el área intervenida) Incluye: Suministro, mano de obra, transporte horizonta y vertical, lijada, preparación de la superficie para garantizar adherencia, manos de pintura necesarias para garantizar cubrimiento total del área, herramienta, equipo y todos los demás elementos necesarios para su correcta aplicación.</v>
          </cell>
          <cell r="LF63" t="str">
            <v>m2</v>
          </cell>
          <cell r="LG63">
            <v>1</v>
          </cell>
          <cell r="LH63">
            <v>32000</v>
          </cell>
          <cell r="LI63">
            <v>32000</v>
          </cell>
        </row>
        <row r="64">
          <cell r="KM64" t="str">
            <v>7</v>
          </cell>
          <cell r="KN64" t="str">
            <v>OBRAS VARIAS</v>
          </cell>
          <cell r="KO64">
            <v>0</v>
          </cell>
          <cell r="KP64">
            <v>0</v>
          </cell>
          <cell r="KQ64">
            <v>0</v>
          </cell>
          <cell r="KR64">
            <v>0</v>
          </cell>
          <cell r="LD64" t="str">
            <v>7</v>
          </cell>
          <cell r="LE64" t="str">
            <v>OBRAS VARIAS</v>
          </cell>
          <cell r="LF64">
            <v>0</v>
          </cell>
          <cell r="LG64">
            <v>0</v>
          </cell>
          <cell r="LH64">
            <v>0</v>
          </cell>
          <cell r="LI64">
            <v>0</v>
          </cell>
        </row>
        <row r="65">
          <cell r="KM65">
            <v>7.1</v>
          </cell>
          <cell r="KN65" t="str">
            <v>Colocación de ESTUCO PLÁSTICO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v>
          </cell>
          <cell r="KO65" t="str">
            <v>m2</v>
          </cell>
          <cell r="KP65">
            <v>1</v>
          </cell>
          <cell r="KQ65">
            <v>9090</v>
          </cell>
          <cell r="KR65">
            <v>9090</v>
          </cell>
          <cell r="LD65">
            <v>7.1</v>
          </cell>
          <cell r="LE65" t="str">
            <v>Colocación de ESTUCO PLÁSTICO  PROFESIONAL, SOBRE MUROS REVOCADOS, 3 manos mínimo, o las que sean necesarias para obtener una superficie pareja y homogénea. Incluye suministro y transporte de los materiales, ranuras, filetes, dilataciones y todos los elementos necesarios para su correcta aplicación y funcionamiento.</v>
          </cell>
          <cell r="LF65" t="str">
            <v>m2</v>
          </cell>
          <cell r="LG65">
            <v>1</v>
          </cell>
          <cell r="LH65">
            <v>18000</v>
          </cell>
          <cell r="LI65">
            <v>18000</v>
          </cell>
        </row>
        <row r="66">
          <cell r="KM66">
            <v>7.2</v>
          </cell>
          <cell r="KN66" t="str">
            <v>Adecuacion de superficie con ARGAMASA ( arena estuco y cemento) para muros y cielos  : Suministro, mano de obra, transporte horizontal y vertical,  manos necesarias que garanticen cubrimiento total del elemento, retiro y reinstalación de cuadros, carteleras, clavos y todos los elementos necesarios para su correcta aplicación</v>
          </cell>
          <cell r="KO66" t="str">
            <v>m3</v>
          </cell>
          <cell r="KP66">
            <v>1</v>
          </cell>
          <cell r="KQ66">
            <v>16968</v>
          </cell>
          <cell r="KR66">
            <v>16968</v>
          </cell>
          <cell r="LD66">
            <v>7.2</v>
          </cell>
          <cell r="LE66" t="str">
            <v>Adecuacion de superficie con ARGAMASA ( arena estuco y cemento) para muros y cielos  : Suministro, mano de obra, transporte horizontal y vertical,  manos necesarias que garanticen cubrimiento total del elemento, retiro y reinstalación de cuadros, carteleras, clavos y todos los elementos necesarios para su correcta aplicación</v>
          </cell>
          <cell r="LF66" t="str">
            <v>m3</v>
          </cell>
          <cell r="LG66">
            <v>1</v>
          </cell>
          <cell r="LH66">
            <v>14000</v>
          </cell>
          <cell r="LI66">
            <v>14000</v>
          </cell>
        </row>
        <row r="67">
          <cell r="KM67">
            <v>7.3</v>
          </cell>
          <cell r="KN67" t="str">
            <v>Aplicación de REMOVEDOR PINTUCO 1020 o equivalente de primera calidad para eliminar pinturas o barnices  en cualquier estado en muros, la aplicación debe ser sin dilución, 3 manos o las que sean necesarias para obtener una superficie pareja y homogénea logrando la eliminación total de de residuos, retiro de pintura con espátula, a satisfacción de la interventoría, lavado de la superficie con agua para eliminar residuos. Incluye suministro y transporte de los materiales, preparada y adecuación de la superficie a intervenir.</v>
          </cell>
          <cell r="KO67" t="str">
            <v>m2</v>
          </cell>
          <cell r="KP67">
            <v>1</v>
          </cell>
          <cell r="KQ67">
            <v>7979</v>
          </cell>
          <cell r="KR67">
            <v>7979</v>
          </cell>
          <cell r="LD67">
            <v>7.3</v>
          </cell>
          <cell r="LE67" t="str">
            <v>Aplicación de REMOVEDOR PINTUCO 1020 o equivalente de primera calidad para eliminar pinturas o barnices  en cualquier estado en muros, la aplicación debe ser sin dilución, 3 manos o las que sean necesarias para obtener una superficie pareja y homogénea logrando la eliminación total de de residuos, retiro de pintura con espátula, a satisfacción de la interventoría, lavado de la superficie con agua para eliminar residuos. Incluye suministro y transporte de los materiales, preparada y adecuación de la superficie a intervenir.</v>
          </cell>
          <cell r="LF67" t="str">
            <v>m2</v>
          </cell>
          <cell r="LG67">
            <v>1</v>
          </cell>
          <cell r="LH67">
            <v>35000</v>
          </cell>
          <cell r="LI67">
            <v>35000</v>
          </cell>
        </row>
        <row r="68">
          <cell r="KM68">
            <v>7.4</v>
          </cell>
          <cell r="KN68" t="str">
            <v>RETIRO DE PINTURA en mampostería, muros en concreto, fachadas con acabado en piedra maní empleando HIDROLAVADORA de agua fría o agua caliente a presión necesaria para retirar la pintura (Previa revision y autorización de interventoría). Incluye: Herramienta y equipo necesario para desarrollar la actividad, suministro y transporte del removedor, mano de obra, hidrolavadora, lavado de la superficie intervenida, careta especial para éste tipo de trabajo, guantes y todos los demás elementos necesarios para desarrollar la actividad.</v>
          </cell>
          <cell r="KO68" t="str">
            <v>m2</v>
          </cell>
          <cell r="KP68">
            <v>1</v>
          </cell>
          <cell r="KQ68">
            <v>6565</v>
          </cell>
          <cell r="KR68">
            <v>6565</v>
          </cell>
          <cell r="LD68">
            <v>7.4</v>
          </cell>
          <cell r="LE68" t="str">
            <v>RETIRO DE PINTURA en mampostería, muros en concreto, fachadas con acabado en piedra maní empleando HIDROLAVADORA de agua fría o agua caliente a presión necesaria para retirar la pintura (Previa revision y autorización de interventoría). Incluye: Herramienta y equipo necesario para desarrollar la actividad, suministro y transporte del removedor, mano de obra, hidrolavadora, lavado de la superficie intervenida, careta especial para éste tipo de trabajo, guantes y todos los demás elementos necesarios para desarrollar la actividad.</v>
          </cell>
          <cell r="LF68" t="str">
            <v>m2</v>
          </cell>
          <cell r="LG68">
            <v>1</v>
          </cell>
          <cell r="LH68">
            <v>8000</v>
          </cell>
          <cell r="LI68">
            <v>8000</v>
          </cell>
        </row>
        <row r="69">
          <cell r="KM69">
            <v>7.5</v>
          </cell>
          <cell r="KN69" t="str">
            <v>Suministro, transporte y alquiler de ANDAMIO MULTIDIRECCIONAL (TORRE MULTIDIRECCIONAL) para 2m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69" t="str">
            <v>día</v>
          </cell>
          <cell r="KP69">
            <v>1</v>
          </cell>
          <cell r="KQ69">
            <v>31108</v>
          </cell>
          <cell r="KR69">
            <v>31108</v>
          </cell>
          <cell r="LD69">
            <v>7.5</v>
          </cell>
          <cell r="LE69" t="str">
            <v>Suministro, transporte y alquiler de ANDAMIO MULTIDIRECCIONAL (TORRE MULTIDIRECCIONAL) para 2m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69" t="str">
            <v>día</v>
          </cell>
          <cell r="LG69">
            <v>1</v>
          </cell>
          <cell r="LH69">
            <v>15000</v>
          </cell>
          <cell r="LI69">
            <v>15000</v>
          </cell>
        </row>
        <row r="70">
          <cell r="KM70">
            <v>7.6</v>
          </cell>
          <cell r="KN70" t="str">
            <v>Suministro, transporte y alquiler de ANDAMIO MULTIDIRECCIONAL (TORRE MULTIDIRECCIONAL) para 4m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0" t="str">
            <v>día</v>
          </cell>
          <cell r="KP70">
            <v>1</v>
          </cell>
          <cell r="KQ70">
            <v>70000</v>
          </cell>
          <cell r="KR70">
            <v>70000</v>
          </cell>
          <cell r="LD70">
            <v>7.6</v>
          </cell>
          <cell r="LE70" t="str">
            <v>Suministro, transporte y alquiler de ANDAMIO MULTIDIRECCIONAL (TORRE MULTIDIRECCIONAL) para 4m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0" t="str">
            <v>día</v>
          </cell>
          <cell r="LG70">
            <v>1</v>
          </cell>
          <cell r="LH70">
            <v>30000</v>
          </cell>
          <cell r="LI70">
            <v>30000</v>
          </cell>
        </row>
        <row r="71">
          <cell r="KM71">
            <v>7.7</v>
          </cell>
          <cell r="KN71" t="str">
            <v>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1" t="str">
            <v>día</v>
          </cell>
          <cell r="KP71">
            <v>1</v>
          </cell>
          <cell r="KQ71">
            <v>68680</v>
          </cell>
          <cell r="KR71">
            <v>68680</v>
          </cell>
          <cell r="LD71">
            <v>7.7</v>
          </cell>
          <cell r="LE71" t="str">
            <v>Suministro, transporte y alquiler de ANDAMIO MULTIDIRECCIONAL (TORRE MULTIDIRECCIONAL) para 6m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1" t="str">
            <v>día</v>
          </cell>
          <cell r="LG71">
            <v>1</v>
          </cell>
          <cell r="LH71">
            <v>60000</v>
          </cell>
          <cell r="LI71">
            <v>60000</v>
          </cell>
        </row>
        <row r="72">
          <cell r="KM72">
            <v>7.8</v>
          </cell>
          <cell r="KN72" t="str">
            <v>Suministro, transporte y alquiler de ANDAMIO MULTIDIRECCIONAL (TORRE MULTIDIRECCIONAL) para 8m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2" t="str">
            <v>día</v>
          </cell>
          <cell r="KP72">
            <v>1</v>
          </cell>
          <cell r="KQ72">
            <v>99485</v>
          </cell>
          <cell r="KR72">
            <v>99485</v>
          </cell>
          <cell r="LD72">
            <v>7.8</v>
          </cell>
          <cell r="LE72" t="str">
            <v>Suministro, transporte y alquiler de ANDAMIO MULTIDIRECCIONAL (TORRE MULTIDIRECCIONAL) para 8m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2" t="str">
            <v>día</v>
          </cell>
          <cell r="LG72">
            <v>1</v>
          </cell>
          <cell r="LH72">
            <v>75000</v>
          </cell>
          <cell r="LI72">
            <v>75000</v>
          </cell>
        </row>
        <row r="73">
          <cell r="KM73">
            <v>7.9</v>
          </cell>
          <cell r="KN73" t="str">
            <v>Suministro, transporte y alquiler de ANDAMIO MULTIDIRECCIONAL (TORRE MULTIDIRECCIONAL) para 10m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3" t="str">
            <v>día</v>
          </cell>
          <cell r="KP73">
            <v>1</v>
          </cell>
          <cell r="KQ73">
            <v>11110</v>
          </cell>
          <cell r="KR73">
            <v>11110</v>
          </cell>
          <cell r="LD73">
            <v>7.9</v>
          </cell>
          <cell r="LE73" t="str">
            <v>Suministro, transporte y alquiler de ANDAMIO MULTIDIRECCIONAL (TORRE MULTIDIRECCIONAL) para 10m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3" t="str">
            <v>día</v>
          </cell>
          <cell r="LG73">
            <v>1</v>
          </cell>
          <cell r="LH73">
            <v>90000</v>
          </cell>
          <cell r="LI73">
            <v>90000</v>
          </cell>
        </row>
        <row r="74">
          <cell r="KM74">
            <v>7.1</v>
          </cell>
          <cell r="KN74" t="str">
            <v>Suministro, transporte y alquiler de ANDAMIO MULTIDIRECCIONAL (TORRE MULTIDIRECCIONAL) para 13m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4" t="str">
            <v>día</v>
          </cell>
          <cell r="KP74">
            <v>1</v>
          </cell>
          <cell r="KQ74">
            <v>160000</v>
          </cell>
          <cell r="KR74">
            <v>160000</v>
          </cell>
          <cell r="LD74">
            <v>7.1</v>
          </cell>
          <cell r="LE74" t="str">
            <v>Suministro, transporte y alquiler de ANDAMIO MULTIDIRECCIONAL (TORRE MULTIDIRECCIONAL) para 13m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4" t="str">
            <v>día</v>
          </cell>
          <cell r="LG74">
            <v>1</v>
          </cell>
          <cell r="LH74">
            <v>110000</v>
          </cell>
          <cell r="LI74">
            <v>110000</v>
          </cell>
        </row>
        <row r="75">
          <cell r="KM75">
            <v>7.11</v>
          </cell>
          <cell r="KN75" t="str">
            <v>Suministro, transporte y alquiler de ANDAMIO MULTIDIRECCIONAL (TORRE MULTIDIRECCIONAL) para 15m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KO75" t="str">
            <v>día</v>
          </cell>
          <cell r="KP75">
            <v>1</v>
          </cell>
          <cell r="KQ75">
            <v>190000</v>
          </cell>
          <cell r="KR75">
            <v>190000</v>
          </cell>
          <cell r="LD75">
            <v>7.11</v>
          </cell>
          <cell r="LE75" t="str">
            <v>Suministro, transporte y alquiler de ANDAMIO MULTIDIRECCIONAL (TORRE MULTIDIRECCIONAL) para 15m de altura con base de 3,0 x 3,0m, con escalera, ruedas, tornillos niveladores y plataforma. Incluye acarreo de remisión, acarreo de devolución, instalación y desarmado de sistema modular con personal certificado, elementos de acople para plataforma, acoples para barandas internas, barandas para escaleras, base collar, chapolas, diagonales, escaleras, ganchos horizontales, horizontales, plataformas, tornillos ch, tornillos niveladores, verticales con y sin espigo, plataformas de seguridad de dimensiones 3,0 x 0,32m y todo lo necesario para su correcta instalación y montaje.</v>
          </cell>
          <cell r="LF75" t="str">
            <v>día</v>
          </cell>
          <cell r="LG75">
            <v>1</v>
          </cell>
          <cell r="LH75">
            <v>125000</v>
          </cell>
          <cell r="LI75">
            <v>125000</v>
          </cell>
        </row>
        <row r="76">
          <cell r="KM76">
            <v>7.12</v>
          </cell>
          <cell r="KN76" t="str">
            <v>Aplicación de BARNIZ PARA MADERA EN MUROS Y PISOS TIPO BARNEX. Incluye suministro de mano de obra, catalizador, masillado, lijado, tintilla, color que indique la Interventoría, sellado de poros y todo lo necesario para su correcto acabado que indique la Interventoría</v>
          </cell>
          <cell r="KO76" t="str">
            <v>m2</v>
          </cell>
          <cell r="KP76">
            <v>1</v>
          </cell>
          <cell r="KQ76">
            <v>8080</v>
          </cell>
          <cell r="KR76">
            <v>8080</v>
          </cell>
          <cell r="LD76">
            <v>7.12</v>
          </cell>
          <cell r="LE76" t="str">
            <v>Aplicación de BARNIZ PARA MADERA EN MUROS Y PISOS TIPO BARNEX. Incluye suministro de mano de obra, catalizador, masillado, lijado, tintilla, color que indique la Interventoría, sellado de poros y todo lo necesario para su correcto acabado que indique la Interventoría</v>
          </cell>
          <cell r="LF76" t="str">
            <v>m2</v>
          </cell>
          <cell r="LG76">
            <v>1</v>
          </cell>
          <cell r="LH76">
            <v>28000</v>
          </cell>
          <cell r="LI76">
            <v>28000</v>
          </cell>
        </row>
      </sheetData>
      <sheetData sheetId="7"/>
      <sheetData sheetId="8"/>
      <sheetData sheetId="9"/>
      <sheetData sheetId="10">
        <row r="11">
          <cell r="I11">
            <v>120</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27"/>
  <sheetViews>
    <sheetView workbookViewId="0">
      <selection activeCell="B7" sqref="B7"/>
    </sheetView>
  </sheetViews>
  <sheetFormatPr baseColWidth="10" defaultColWidth="11.42578125" defaultRowHeight="15"/>
  <cols>
    <col min="1" max="1" width="5.85546875" style="1" bestFit="1" customWidth="1"/>
    <col min="2" max="2" width="83.85546875" style="1" customWidth="1"/>
    <col min="3" max="16384" width="11.42578125" style="1"/>
  </cols>
  <sheetData>
    <row r="1" spans="1:2" ht="37.5" customHeight="1">
      <c r="A1" s="731" t="s">
        <v>0</v>
      </c>
      <c r="B1" s="732"/>
    </row>
    <row r="2" spans="1:2" ht="51" customHeight="1">
      <c r="A2" s="733" t="s">
        <v>438</v>
      </c>
      <c r="B2" s="734"/>
    </row>
    <row r="3" spans="1:2" ht="18">
      <c r="A3" s="733" t="s">
        <v>1</v>
      </c>
      <c r="B3" s="734"/>
    </row>
    <row r="4" spans="1:2" ht="80.25" customHeight="1">
      <c r="A4" s="735" t="s">
        <v>235</v>
      </c>
      <c r="B4" s="736"/>
    </row>
    <row r="5" spans="1:2" ht="9" customHeight="1">
      <c r="A5" s="737"/>
      <c r="B5" s="738"/>
    </row>
    <row r="6" spans="1:2" ht="15.75">
      <c r="A6" s="2"/>
      <c r="B6" s="2"/>
    </row>
    <row r="7" spans="1:2" ht="29.25" customHeight="1">
      <c r="A7" s="3" t="s">
        <v>2</v>
      </c>
      <c r="B7" s="4" t="s">
        <v>3</v>
      </c>
    </row>
    <row r="8" spans="1:2" ht="22.5" customHeight="1">
      <c r="A8" s="5">
        <v>1</v>
      </c>
      <c r="B8" s="190" t="s">
        <v>434</v>
      </c>
    </row>
    <row r="9" spans="1:2" ht="22.5" customHeight="1">
      <c r="A9" s="5">
        <v>2</v>
      </c>
      <c r="B9" s="190" t="s">
        <v>237</v>
      </c>
    </row>
    <row r="10" spans="1:2" ht="22.5" customHeight="1">
      <c r="A10" s="5">
        <v>3</v>
      </c>
      <c r="B10" s="190" t="s">
        <v>435</v>
      </c>
    </row>
    <row r="11" spans="1:2" ht="22.5" customHeight="1">
      <c r="A11" s="5">
        <v>4</v>
      </c>
      <c r="B11" s="190" t="s">
        <v>436</v>
      </c>
    </row>
    <row r="12" spans="1:2" ht="22.5" hidden="1" customHeight="1">
      <c r="A12" s="5">
        <v>5</v>
      </c>
      <c r="B12" s="190"/>
    </row>
    <row r="13" spans="1:2" ht="22.5" hidden="1" customHeight="1">
      <c r="A13" s="5">
        <v>6</v>
      </c>
      <c r="B13" s="190"/>
    </row>
    <row r="14" spans="1:2" ht="22.5" hidden="1" customHeight="1">
      <c r="A14" s="5">
        <v>7</v>
      </c>
      <c r="B14" s="190"/>
    </row>
    <row r="15" spans="1:2" ht="22.5" hidden="1" customHeight="1">
      <c r="A15" s="5">
        <v>8</v>
      </c>
      <c r="B15" s="190"/>
    </row>
    <row r="16" spans="1:2" ht="22.5" hidden="1" customHeight="1">
      <c r="A16" s="5">
        <v>9</v>
      </c>
      <c r="B16" s="190"/>
    </row>
    <row r="17" spans="1:2" ht="22.5" hidden="1" customHeight="1">
      <c r="A17" s="5">
        <v>10</v>
      </c>
      <c r="B17" s="190"/>
    </row>
    <row r="18" spans="1:2" ht="22.5" hidden="1" customHeight="1">
      <c r="A18" s="5">
        <v>11</v>
      </c>
      <c r="B18" s="190"/>
    </row>
    <row r="19" spans="1:2" ht="22.5" hidden="1" customHeight="1">
      <c r="A19" s="5">
        <v>12</v>
      </c>
      <c r="B19" s="190"/>
    </row>
    <row r="20" spans="1:2" ht="22.5" hidden="1" customHeight="1">
      <c r="A20" s="5">
        <v>13</v>
      </c>
      <c r="B20" s="190"/>
    </row>
    <row r="21" spans="1:2" ht="22.5" hidden="1" customHeight="1">
      <c r="A21" s="5">
        <v>14</v>
      </c>
      <c r="B21" s="190"/>
    </row>
    <row r="22" spans="1:2" ht="22.5" hidden="1" customHeight="1">
      <c r="A22" s="5">
        <v>15</v>
      </c>
      <c r="B22" s="149"/>
    </row>
    <row r="23" spans="1:2" ht="22.5" hidden="1" customHeight="1">
      <c r="A23" s="5">
        <v>16</v>
      </c>
      <c r="B23" s="148"/>
    </row>
    <row r="24" spans="1:2" ht="22.5" hidden="1" customHeight="1">
      <c r="A24" s="5">
        <v>17</v>
      </c>
      <c r="B24" s="148"/>
    </row>
    <row r="25" spans="1:2" ht="22.5" customHeight="1">
      <c r="A25" s="6"/>
      <c r="B25" s="7"/>
    </row>
    <row r="26" spans="1:2" ht="12.75" customHeight="1">
      <c r="A26" s="730" t="s">
        <v>4</v>
      </c>
      <c r="B26" s="730"/>
    </row>
    <row r="27" spans="1:2" ht="70.5" customHeight="1">
      <c r="A27" s="730" t="s">
        <v>437</v>
      </c>
      <c r="B27" s="730"/>
    </row>
  </sheetData>
  <sheetProtection algorithmName="SHA-512" hashValue="VoWZiM9/SKW1lwoUFZcWD21hDeS5sZBNzkMdrIRJ+TQaqBSBPFZzFqqKN/mTGVl1+S8aZJRHcNmkWCEJBoW48Q==" saltValue="QdZ0HKX5c2Uu4AOf2kFL/A==" spinCount="100000" sheet="1" objects="1" scenarios="1"/>
  <mergeCells count="7">
    <mergeCell ref="A27:B27"/>
    <mergeCell ref="A1:B1"/>
    <mergeCell ref="A2:B2"/>
    <mergeCell ref="A3:B3"/>
    <mergeCell ref="A4:B4"/>
    <mergeCell ref="A5:B5"/>
    <mergeCell ref="A26:B26"/>
  </mergeCells>
  <pageMargins left="0.7" right="0.7" top="0.75" bottom="0.75" header="0.3" footer="0.3"/>
  <pageSetup paperSize="9" orientation="portrait" horizontalDpi="4294967292"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3:K19"/>
  <sheetViews>
    <sheetView zoomScale="70" zoomScaleNormal="70" workbookViewId="0">
      <selection activeCell="K5" sqref="K5"/>
    </sheetView>
  </sheetViews>
  <sheetFormatPr baseColWidth="10" defaultColWidth="11.42578125" defaultRowHeight="15"/>
  <cols>
    <col min="1" max="1" width="11.42578125" style="70"/>
    <col min="2" max="2" width="77.42578125" style="70" customWidth="1"/>
    <col min="3" max="3" width="25.42578125" style="70" hidden="1" customWidth="1"/>
    <col min="4" max="5" width="23.42578125" style="129" hidden="1" customWidth="1"/>
    <col min="6" max="6" width="26.7109375" style="129" hidden="1" customWidth="1"/>
    <col min="7" max="7" width="20.7109375" style="129" hidden="1" customWidth="1"/>
    <col min="8" max="8" width="24" style="130" hidden="1" customWidth="1"/>
    <col min="9" max="9" width="26.28515625" style="130" hidden="1" customWidth="1"/>
    <col min="10" max="10" width="20.7109375" style="70" customWidth="1"/>
    <col min="11" max="11" width="80.5703125" style="70" customWidth="1"/>
    <col min="12" max="34" width="20.7109375" style="70" customWidth="1"/>
    <col min="35" max="16384" width="11.42578125" style="70"/>
  </cols>
  <sheetData>
    <row r="3" spans="1:11" ht="27.75">
      <c r="A3" s="1102" t="s">
        <v>105</v>
      </c>
      <c r="B3" s="1103"/>
      <c r="C3" s="1103"/>
      <c r="D3" s="1103"/>
      <c r="E3" s="1103"/>
      <c r="F3" s="1103"/>
      <c r="G3" s="1103"/>
      <c r="H3" s="1103"/>
      <c r="I3" s="1103"/>
      <c r="J3" s="1103"/>
      <c r="K3" s="1104"/>
    </row>
    <row r="4" spans="1:11" ht="60.75">
      <c r="A4" s="726" t="s">
        <v>2</v>
      </c>
      <c r="B4" s="727" t="s">
        <v>3</v>
      </c>
      <c r="C4" s="726" t="s">
        <v>108</v>
      </c>
      <c r="D4" s="726" t="s">
        <v>385</v>
      </c>
      <c r="E4" s="726" t="s">
        <v>386</v>
      </c>
      <c r="F4" s="726" t="s">
        <v>387</v>
      </c>
      <c r="G4" s="726" t="s">
        <v>106</v>
      </c>
      <c r="H4" s="726" t="s">
        <v>107</v>
      </c>
      <c r="I4" s="726" t="s">
        <v>130</v>
      </c>
      <c r="J4" s="728" t="s">
        <v>109</v>
      </c>
      <c r="K4" s="726" t="s">
        <v>110</v>
      </c>
    </row>
    <row r="5" spans="1:11" ht="384.75">
      <c r="A5" s="125">
        <v>1</v>
      </c>
      <c r="B5" s="126" t="str">
        <f t="shared" ref="B5:B11" si="0">VLOOKUP(A5,LISTA_OFERENTES,2,FALSE)</f>
        <v>INTERVE S.A.S.</v>
      </c>
      <c r="C5" s="262" t="s">
        <v>389</v>
      </c>
      <c r="D5" s="262" t="s">
        <v>388</v>
      </c>
      <c r="E5" s="262" t="s">
        <v>389</v>
      </c>
      <c r="F5" s="262" t="s">
        <v>389</v>
      </c>
      <c r="G5" s="262" t="s">
        <v>388</v>
      </c>
      <c r="H5" s="262" t="s">
        <v>388</v>
      </c>
      <c r="I5" s="262" t="s">
        <v>389</v>
      </c>
      <c r="J5" s="128" t="s">
        <v>389</v>
      </c>
      <c r="K5" s="260" t="s">
        <v>444</v>
      </c>
    </row>
    <row r="6" spans="1:11" ht="33.75" customHeight="1">
      <c r="A6" s="125">
        <v>2</v>
      </c>
      <c r="B6" s="126" t="str">
        <f t="shared" si="0"/>
        <v>CONSORCIO VALCO - ACI</v>
      </c>
      <c r="C6" s="262" t="s">
        <v>388</v>
      </c>
      <c r="D6" s="262" t="s">
        <v>388</v>
      </c>
      <c r="E6" s="262" t="s">
        <v>388</v>
      </c>
      <c r="F6" s="262" t="s">
        <v>388</v>
      </c>
      <c r="G6" s="262" t="s">
        <v>388</v>
      </c>
      <c r="H6" s="262" t="s">
        <v>388</v>
      </c>
      <c r="I6" s="262" t="s">
        <v>388</v>
      </c>
      <c r="J6" s="128" t="s">
        <v>388</v>
      </c>
      <c r="K6" s="179" t="s">
        <v>433</v>
      </c>
    </row>
    <row r="7" spans="1:11" ht="26.25" customHeight="1">
      <c r="A7" s="125">
        <v>3</v>
      </c>
      <c r="B7" s="126" t="str">
        <f t="shared" si="0"/>
        <v>ARQ S.A.S.</v>
      </c>
      <c r="C7" s="262" t="s">
        <v>388</v>
      </c>
      <c r="D7" s="262" t="s">
        <v>388</v>
      </c>
      <c r="E7" s="262" t="s">
        <v>388</v>
      </c>
      <c r="F7" s="262" t="s">
        <v>388</v>
      </c>
      <c r="G7" s="262" t="s">
        <v>388</v>
      </c>
      <c r="H7" s="262" t="s">
        <v>388</v>
      </c>
      <c r="I7" s="262" t="s">
        <v>388</v>
      </c>
      <c r="J7" s="128" t="s">
        <v>388</v>
      </c>
      <c r="K7" s="179" t="s">
        <v>433</v>
      </c>
    </row>
    <row r="8" spans="1:11" ht="28.5" customHeight="1">
      <c r="A8" s="125">
        <v>4</v>
      </c>
      <c r="B8" s="126" t="str">
        <f t="shared" si="0"/>
        <v>PREVEO S.A.S.</v>
      </c>
      <c r="C8" s="262" t="s">
        <v>388</v>
      </c>
      <c r="D8" s="262" t="s">
        <v>388</v>
      </c>
      <c r="E8" s="262" t="s">
        <v>388</v>
      </c>
      <c r="F8" s="262" t="s">
        <v>388</v>
      </c>
      <c r="G8" s="262" t="s">
        <v>388</v>
      </c>
      <c r="H8" s="262" t="s">
        <v>388</v>
      </c>
      <c r="I8" s="262" t="s">
        <v>388</v>
      </c>
      <c r="J8" s="128" t="s">
        <v>388</v>
      </c>
      <c r="K8" s="179" t="s">
        <v>433</v>
      </c>
    </row>
    <row r="9" spans="1:11" ht="23.25" hidden="1">
      <c r="A9" s="125">
        <v>5</v>
      </c>
      <c r="B9" s="126">
        <f t="shared" si="0"/>
        <v>0</v>
      </c>
      <c r="C9" s="127"/>
      <c r="D9" s="127" t="str">
        <f t="shared" ref="D9:D18" ca="1" si="1">VLOOKUP(A9,EXPERIENCIA,4,FALSE)</f>
        <v>NH</v>
      </c>
      <c r="E9" s="127"/>
      <c r="F9" s="127"/>
      <c r="G9" s="127" t="str">
        <f t="shared" ref="G9:G18" si="2">VLOOKUP(A9,C_FINANCIERA,3,FALSE)</f>
        <v>NH</v>
      </c>
      <c r="H9" s="127" t="str">
        <f t="shared" ref="H9:H11" si="3">VLOOKUP(A9,R_COMERCIALES,3,FALSE)</f>
        <v xml:space="preserve"> </v>
      </c>
      <c r="I9" s="127" t="e">
        <f t="shared" ref="I9:I18" si="4">VLOOKUP(A9,EST_UNI,3,FALSE)</f>
        <v>#N/A</v>
      </c>
      <c r="J9" s="128" t="e">
        <f t="shared" ref="J9:J18" ca="1" si="5">IF(AND(C9="H",D9="H",G9="H",H9="H",I9="H"),"H","NH")</f>
        <v>#N/A</v>
      </c>
      <c r="K9" s="179"/>
    </row>
    <row r="10" spans="1:11" ht="23.25" hidden="1">
      <c r="A10" s="125">
        <v>6</v>
      </c>
      <c r="B10" s="126">
        <f t="shared" si="0"/>
        <v>0</v>
      </c>
      <c r="C10" s="127"/>
      <c r="D10" s="127" t="str">
        <f t="shared" ca="1" si="1"/>
        <v>NH</v>
      </c>
      <c r="E10" s="127"/>
      <c r="F10" s="127"/>
      <c r="G10" s="127" t="str">
        <f t="shared" si="2"/>
        <v>NH</v>
      </c>
      <c r="H10" s="127" t="str">
        <f t="shared" si="3"/>
        <v xml:space="preserve"> </v>
      </c>
      <c r="I10" s="127" t="e">
        <f t="shared" si="4"/>
        <v>#N/A</v>
      </c>
      <c r="J10" s="128" t="e">
        <f t="shared" ca="1" si="5"/>
        <v>#N/A</v>
      </c>
      <c r="K10" s="179"/>
    </row>
    <row r="11" spans="1:11" ht="23.25" hidden="1">
      <c r="A11" s="125">
        <v>7</v>
      </c>
      <c r="B11" s="126">
        <f t="shared" si="0"/>
        <v>0</v>
      </c>
      <c r="C11" s="262"/>
      <c r="D11" s="262" t="str">
        <f t="shared" ca="1" si="1"/>
        <v>NH</v>
      </c>
      <c r="E11" s="262"/>
      <c r="F11" s="262"/>
      <c r="G11" s="262" t="str">
        <f t="shared" si="2"/>
        <v>NH</v>
      </c>
      <c r="H11" s="262" t="str">
        <f t="shared" si="3"/>
        <v xml:space="preserve"> </v>
      </c>
      <c r="I11" s="262" t="e">
        <f t="shared" si="4"/>
        <v>#N/A</v>
      </c>
      <c r="J11" s="128" t="e">
        <f t="shared" ca="1" si="5"/>
        <v>#N/A</v>
      </c>
      <c r="K11" s="261"/>
    </row>
    <row r="12" spans="1:11" ht="23.25" hidden="1">
      <c r="A12" s="125">
        <v>8</v>
      </c>
      <c r="B12" s="126">
        <f t="shared" ref="B12:B14" si="6">VLOOKUP(A12,LISTA_OFERENTES,2,FALSE)</f>
        <v>0</v>
      </c>
      <c r="C12" s="127"/>
      <c r="D12" s="127" t="str">
        <f t="shared" ca="1" si="1"/>
        <v>NH</v>
      </c>
      <c r="E12" s="127"/>
      <c r="F12" s="127"/>
      <c r="G12" s="127" t="str">
        <f t="shared" si="2"/>
        <v>NH</v>
      </c>
      <c r="H12" s="127" t="str">
        <f t="shared" ref="H12:H14" si="7">VLOOKUP(A12,R_COMERCIALES,3,FALSE)</f>
        <v xml:space="preserve"> </v>
      </c>
      <c r="I12" s="127" t="e">
        <f t="shared" si="4"/>
        <v>#N/A</v>
      </c>
      <c r="J12" s="128" t="e">
        <f t="shared" ca="1" si="5"/>
        <v>#N/A</v>
      </c>
      <c r="K12" s="179"/>
    </row>
    <row r="13" spans="1:11" ht="23.25" hidden="1">
      <c r="A13" s="125">
        <v>9</v>
      </c>
      <c r="B13" s="126">
        <f t="shared" si="6"/>
        <v>0</v>
      </c>
      <c r="C13" s="127"/>
      <c r="D13" s="127" t="str">
        <f t="shared" ca="1" si="1"/>
        <v>NH</v>
      </c>
      <c r="E13" s="127"/>
      <c r="F13" s="127"/>
      <c r="G13" s="127" t="str">
        <f t="shared" si="2"/>
        <v>NH</v>
      </c>
      <c r="H13" s="127" t="str">
        <f t="shared" si="7"/>
        <v xml:space="preserve"> </v>
      </c>
      <c r="I13" s="127" t="e">
        <f t="shared" si="4"/>
        <v>#N/A</v>
      </c>
      <c r="J13" s="128" t="e">
        <f t="shared" ca="1" si="5"/>
        <v>#N/A</v>
      </c>
      <c r="K13" s="179"/>
    </row>
    <row r="14" spans="1:11" ht="23.25" hidden="1">
      <c r="A14" s="125">
        <v>10</v>
      </c>
      <c r="B14" s="126">
        <f t="shared" si="6"/>
        <v>0</v>
      </c>
      <c r="C14" s="127"/>
      <c r="D14" s="127" t="str">
        <f t="shared" ca="1" si="1"/>
        <v>NH</v>
      </c>
      <c r="E14" s="127"/>
      <c r="F14" s="127"/>
      <c r="G14" s="127" t="str">
        <f t="shared" si="2"/>
        <v>NH</v>
      </c>
      <c r="H14" s="127" t="str">
        <f t="shared" si="7"/>
        <v xml:space="preserve"> </v>
      </c>
      <c r="I14" s="127" t="e">
        <f t="shared" si="4"/>
        <v>#N/A</v>
      </c>
      <c r="J14" s="128" t="e">
        <f t="shared" ca="1" si="5"/>
        <v>#N/A</v>
      </c>
      <c r="K14" s="179"/>
    </row>
    <row r="15" spans="1:11" ht="23.25" hidden="1">
      <c r="A15" s="125">
        <v>11</v>
      </c>
      <c r="B15" s="126">
        <f t="shared" ref="B15:B18" si="8">VLOOKUP(A15,LISTA_OFERENTES,2,FALSE)</f>
        <v>0</v>
      </c>
      <c r="C15" s="127"/>
      <c r="D15" s="127" t="str">
        <f t="shared" ca="1" si="1"/>
        <v>NH</v>
      </c>
      <c r="E15" s="127"/>
      <c r="F15" s="127"/>
      <c r="G15" s="127" t="str">
        <f t="shared" si="2"/>
        <v>NH</v>
      </c>
      <c r="H15" s="127" t="str">
        <f t="shared" ref="H15:H18" si="9">VLOOKUP(A15,R_COMERCIALES,3,FALSE)</f>
        <v xml:space="preserve"> </v>
      </c>
      <c r="I15" s="127" t="e">
        <f t="shared" si="4"/>
        <v>#N/A</v>
      </c>
      <c r="J15" s="128" t="e">
        <f t="shared" ca="1" si="5"/>
        <v>#N/A</v>
      </c>
      <c r="K15" s="179"/>
    </row>
    <row r="16" spans="1:11" ht="23.25" hidden="1">
      <c r="A16" s="125">
        <v>12</v>
      </c>
      <c r="B16" s="126">
        <f t="shared" si="8"/>
        <v>0</v>
      </c>
      <c r="C16" s="127"/>
      <c r="D16" s="127" t="str">
        <f t="shared" ca="1" si="1"/>
        <v>NH</v>
      </c>
      <c r="E16" s="127"/>
      <c r="F16" s="127"/>
      <c r="G16" s="127" t="str">
        <f t="shared" si="2"/>
        <v>NH</v>
      </c>
      <c r="H16" s="127" t="str">
        <f t="shared" si="9"/>
        <v xml:space="preserve"> </v>
      </c>
      <c r="I16" s="127" t="e">
        <f t="shared" si="4"/>
        <v>#N/A</v>
      </c>
      <c r="J16" s="128" t="e">
        <f t="shared" ca="1" si="5"/>
        <v>#N/A</v>
      </c>
      <c r="K16" s="179"/>
    </row>
    <row r="17" spans="1:11" ht="23.25" hidden="1">
      <c r="A17" s="125">
        <v>13</v>
      </c>
      <c r="B17" s="126">
        <f t="shared" si="8"/>
        <v>0</v>
      </c>
      <c r="C17" s="262"/>
      <c r="D17" s="262" t="str">
        <f t="shared" ca="1" si="1"/>
        <v>NH</v>
      </c>
      <c r="E17" s="262"/>
      <c r="F17" s="262"/>
      <c r="G17" s="262" t="str">
        <f t="shared" si="2"/>
        <v>NH</v>
      </c>
      <c r="H17" s="262" t="str">
        <f t="shared" si="9"/>
        <v xml:space="preserve"> </v>
      </c>
      <c r="I17" s="262" t="e">
        <f t="shared" si="4"/>
        <v>#N/A</v>
      </c>
      <c r="J17" s="128" t="e">
        <f t="shared" ca="1" si="5"/>
        <v>#N/A</v>
      </c>
      <c r="K17" s="260"/>
    </row>
    <row r="18" spans="1:11" ht="23.25" hidden="1">
      <c r="A18" s="125">
        <v>14</v>
      </c>
      <c r="B18" s="126">
        <f t="shared" si="8"/>
        <v>0</v>
      </c>
      <c r="C18" s="127"/>
      <c r="D18" s="127" t="str">
        <f t="shared" ca="1" si="1"/>
        <v>NH</v>
      </c>
      <c r="E18" s="127"/>
      <c r="F18" s="127"/>
      <c r="G18" s="127" t="str">
        <f t="shared" si="2"/>
        <v>NH</v>
      </c>
      <c r="H18" s="127" t="str">
        <f t="shared" si="9"/>
        <v xml:space="preserve"> </v>
      </c>
      <c r="I18" s="127" t="e">
        <f t="shared" si="4"/>
        <v>#N/A</v>
      </c>
      <c r="J18" s="128" t="e">
        <f t="shared" ca="1" si="5"/>
        <v>#N/A</v>
      </c>
      <c r="K18" s="179"/>
    </row>
    <row r="19" spans="1:11" ht="20.25">
      <c r="D19" s="127"/>
      <c r="E19" s="684"/>
      <c r="F19" s="684"/>
    </row>
  </sheetData>
  <sheetProtection algorithmName="SHA-512" hashValue="ZbuhUkRNeDzDIzU6TkVL6sxleSSmUFaTN8qo8F+RsIYAd1eiRXX2CJlGxI858L+E2sfysPs1aV7g1VBYJS2Qsw==" saltValue="yqId6iOvEQygmCPmc2SL8A==" spinCount="100000" sheet="1" objects="1" scenarios="1"/>
  <mergeCells count="1">
    <mergeCell ref="A3:K3"/>
  </mergeCells>
  <conditionalFormatting sqref="J5:J18">
    <cfRule type="cellIs" dxfId="28" priority="27" operator="equal">
      <formula>"NH"</formula>
    </cfRule>
    <cfRule type="cellIs" dxfId="27" priority="28" operator="equal">
      <formula>"H"</formula>
    </cfRule>
  </conditionalFormatting>
  <conditionalFormatting sqref="G6:G18">
    <cfRule type="cellIs" dxfId="26" priority="26" operator="equal">
      <formula>"NH"</formula>
    </cfRule>
  </conditionalFormatting>
  <conditionalFormatting sqref="I6:I18">
    <cfRule type="cellIs" dxfId="25" priority="24" operator="equal">
      <formula>"NH"</formula>
    </cfRule>
  </conditionalFormatting>
  <conditionalFormatting sqref="H9:H14">
    <cfRule type="cellIs" dxfId="24" priority="21" operator="equal">
      <formula>"NH"</formula>
    </cfRule>
  </conditionalFormatting>
  <conditionalFormatting sqref="H15:H18">
    <cfRule type="cellIs" dxfId="23" priority="15" operator="equal">
      <formula>"NH"</formula>
    </cfRule>
  </conditionalFormatting>
  <conditionalFormatting sqref="C5:C18">
    <cfRule type="cellIs" dxfId="22" priority="9" operator="equal">
      <formula>"NH"</formula>
    </cfRule>
  </conditionalFormatting>
  <conditionalFormatting sqref="D6:F19">
    <cfRule type="cellIs" dxfId="21" priority="8" operator="equal">
      <formula>"NH"</formula>
    </cfRule>
  </conditionalFormatting>
  <conditionalFormatting sqref="G5">
    <cfRule type="cellIs" dxfId="20" priority="6" operator="equal">
      <formula>"NH"</formula>
    </cfRule>
  </conditionalFormatting>
  <conditionalFormatting sqref="I5">
    <cfRule type="cellIs" dxfId="19" priority="5" operator="equal">
      <formula>"NH"</formula>
    </cfRule>
  </conditionalFormatting>
  <conditionalFormatting sqref="D5:F5">
    <cfRule type="cellIs" dxfId="18" priority="3" operator="equal">
      <formula>"NH"</formula>
    </cfRule>
  </conditionalFormatting>
  <conditionalFormatting sqref="H6:H8">
    <cfRule type="cellIs" dxfId="17" priority="2" operator="equal">
      <formula>"NH"</formula>
    </cfRule>
  </conditionalFormatting>
  <conditionalFormatting sqref="H5">
    <cfRule type="cellIs" dxfId="16" priority="1" operator="equal">
      <formula>"NH"</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H13"/>
  <sheetViews>
    <sheetView zoomScale="118" workbookViewId="0">
      <selection activeCell="F17" sqref="F17"/>
    </sheetView>
  </sheetViews>
  <sheetFormatPr baseColWidth="10" defaultRowHeight="15"/>
  <cols>
    <col min="1" max="1" width="4.5703125" customWidth="1"/>
    <col min="2" max="2" width="6.42578125" bestFit="1" customWidth="1"/>
    <col min="3" max="3" width="27" customWidth="1"/>
    <col min="4" max="4" width="12.7109375" customWidth="1"/>
    <col min="5" max="5" width="19" customWidth="1"/>
    <col min="6" max="6" width="18.85546875" customWidth="1"/>
    <col min="7" max="7" width="21.140625" customWidth="1"/>
  </cols>
  <sheetData>
    <row r="1" spans="2:8" ht="15.75" thickBot="1"/>
    <row r="2" spans="2:8" ht="15" customHeight="1">
      <c r="B2" s="1112" t="s">
        <v>169</v>
      </c>
      <c r="C2" s="1113"/>
      <c r="D2" s="1113"/>
      <c r="E2" s="1113"/>
      <c r="F2" s="1113"/>
      <c r="G2" s="1114"/>
    </row>
    <row r="3" spans="2:8" ht="18" customHeight="1">
      <c r="B3" s="1115"/>
      <c r="C3" s="1116"/>
      <c r="D3" s="1116"/>
      <c r="E3" s="1116"/>
      <c r="F3" s="1116"/>
      <c r="G3" s="1117"/>
    </row>
    <row r="4" spans="2:8" ht="23.25" customHeight="1" thickBot="1">
      <c r="B4" s="1118"/>
      <c r="C4" s="1119"/>
      <c r="D4" s="1119"/>
      <c r="E4" s="1119"/>
      <c r="F4" s="1119"/>
      <c r="G4" s="1120"/>
    </row>
    <row r="6" spans="2:8" ht="15.75" thickBot="1"/>
    <row r="7" spans="2:8" ht="16.5" thickBot="1">
      <c r="B7" s="962" t="s">
        <v>2</v>
      </c>
      <c r="C7" s="1106" t="s">
        <v>48</v>
      </c>
      <c r="D7" s="1109" t="s">
        <v>168</v>
      </c>
      <c r="E7" s="1110"/>
      <c r="F7" s="1110"/>
      <c r="G7" s="1111"/>
      <c r="H7" s="1105" t="s">
        <v>382</v>
      </c>
    </row>
    <row r="8" spans="2:8" ht="23.25">
      <c r="B8" s="963"/>
      <c r="C8" s="1107"/>
      <c r="D8" s="281" t="s">
        <v>143</v>
      </c>
      <c r="E8" s="282" t="s">
        <v>171</v>
      </c>
      <c r="F8" s="283" t="s">
        <v>172</v>
      </c>
      <c r="G8" s="1121" t="s">
        <v>173</v>
      </c>
      <c r="H8" s="1105"/>
    </row>
    <row r="9" spans="2:8" ht="15.75" thickBot="1">
      <c r="B9" s="964"/>
      <c r="C9" s="1108"/>
      <c r="D9" s="284" t="s">
        <v>170</v>
      </c>
      <c r="E9" s="285" t="s">
        <v>170</v>
      </c>
      <c r="F9" s="286" t="s">
        <v>170</v>
      </c>
      <c r="G9" s="1122"/>
      <c r="H9" s="1105"/>
    </row>
    <row r="10" spans="2:8" ht="15.75" thickBot="1">
      <c r="B10" s="242">
        <v>1</v>
      </c>
      <c r="C10" s="67" t="str">
        <f t="shared" ref="C10:C13" si="0">IF(B10="","",VLOOKUP(B10,LISTA_OFERENTES,2,FALSE))</f>
        <v>INTERVE S.A.S.</v>
      </c>
      <c r="D10" s="279" t="s">
        <v>147</v>
      </c>
      <c r="E10" s="279" t="s">
        <v>231</v>
      </c>
      <c r="F10" s="280" t="s">
        <v>383</v>
      </c>
      <c r="G10" s="247" t="s">
        <v>228</v>
      </c>
      <c r="H10" s="347">
        <v>0</v>
      </c>
    </row>
    <row r="11" spans="2:8" ht="15.75" thickBot="1">
      <c r="B11" s="243">
        <v>2</v>
      </c>
      <c r="C11" s="67" t="str">
        <f t="shared" si="0"/>
        <v>CONSORCIO VALCO - ACI</v>
      </c>
      <c r="D11" s="173" t="s">
        <v>371</v>
      </c>
      <c r="E11" s="173" t="s">
        <v>371</v>
      </c>
      <c r="F11" s="54" t="s">
        <v>371</v>
      </c>
      <c r="G11" s="247" t="s">
        <v>139</v>
      </c>
      <c r="H11" s="347">
        <v>100</v>
      </c>
    </row>
    <row r="12" spans="2:8" ht="15.75" thickBot="1">
      <c r="B12" s="243">
        <v>3</v>
      </c>
      <c r="C12" s="67" t="str">
        <f t="shared" si="0"/>
        <v>ARQ S.A.S.</v>
      </c>
      <c r="D12" s="173" t="s">
        <v>231</v>
      </c>
      <c r="E12" s="173" t="s">
        <v>231</v>
      </c>
      <c r="F12" s="280" t="s">
        <v>383</v>
      </c>
      <c r="G12" s="247" t="s">
        <v>228</v>
      </c>
      <c r="H12" s="347">
        <v>0</v>
      </c>
    </row>
    <row r="13" spans="2:8">
      <c r="B13" s="243">
        <v>4</v>
      </c>
      <c r="C13" s="67" t="str">
        <f t="shared" si="0"/>
        <v>PREVEO S.A.S.</v>
      </c>
      <c r="D13" s="173" t="s">
        <v>147</v>
      </c>
      <c r="E13" s="173" t="s">
        <v>231</v>
      </c>
      <c r="F13" s="54" t="s">
        <v>383</v>
      </c>
      <c r="G13" s="247" t="s">
        <v>228</v>
      </c>
      <c r="H13" s="347">
        <v>0</v>
      </c>
    </row>
  </sheetData>
  <sheetProtection algorithmName="SHA-512" hashValue="aWNHiLTd83o01XP1guHr03w9nYgzgzyU/GlohgJy7Zhe1QISboa5qGNekS481jwxe8riXCmJI0JajkYJdJ2zuQ==" saltValue="YgxYdh93T8U4U1SpKs8UJg==" spinCount="100000" sheet="1" objects="1" scenarios="1"/>
  <mergeCells count="6">
    <mergeCell ref="H7:H9"/>
    <mergeCell ref="B7:B9"/>
    <mergeCell ref="C7:C9"/>
    <mergeCell ref="D7:G7"/>
    <mergeCell ref="B2:G4"/>
    <mergeCell ref="G8:G9"/>
  </mergeCells>
  <conditionalFormatting sqref="G10:G13">
    <cfRule type="cellIs" dxfId="15" priority="1" operator="equal">
      <formula>"NO CUMPLE"</formula>
    </cfRule>
  </conditionalFormatting>
  <dataValidations count="1">
    <dataValidation type="list" allowBlank="1" showInputMessage="1" showErrorMessage="1" sqref="G10:G13" xr:uid="{00000000-0002-0000-0A00-000000000000}">
      <formula1>"CUMPLE, NO CUMPLE"</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O140"/>
  <sheetViews>
    <sheetView zoomScale="85" zoomScaleNormal="85" workbookViewId="0">
      <selection activeCell="I15" sqref="I15"/>
    </sheetView>
  </sheetViews>
  <sheetFormatPr baseColWidth="10" defaultColWidth="11.42578125" defaultRowHeight="15" outlineLevelRow="1"/>
  <cols>
    <col min="1" max="1" width="9.85546875" style="70" customWidth="1"/>
    <col min="2" max="2" width="13.7109375" style="70" bestFit="1" customWidth="1"/>
    <col min="3" max="3" width="19.7109375" style="70" customWidth="1"/>
    <col min="4" max="4" width="9.28515625" style="70" customWidth="1"/>
    <col min="5" max="5" width="13.7109375" style="70" bestFit="1" customWidth="1"/>
    <col min="6" max="6" width="6.7109375" style="70" customWidth="1"/>
    <col min="7" max="7" width="13.7109375" style="70" bestFit="1" customWidth="1"/>
    <col min="8" max="8" width="6.7109375" style="70" customWidth="1"/>
    <col min="9" max="9" width="13.7109375" style="70" bestFit="1" customWidth="1"/>
    <col min="10" max="10" width="6.7109375" style="70" customWidth="1"/>
    <col min="11" max="11" width="18.28515625" style="70" hidden="1" customWidth="1"/>
    <col min="12" max="12" width="6.7109375" style="70" hidden="1" customWidth="1"/>
    <col min="13" max="13" width="20.42578125" style="70" hidden="1" customWidth="1"/>
    <col min="14" max="14" width="6.7109375" style="70" hidden="1" customWidth="1"/>
    <col min="15" max="15" width="16.42578125" style="70" hidden="1" customWidth="1"/>
    <col min="16" max="16" width="6.7109375" style="70" hidden="1" customWidth="1"/>
    <col min="17" max="17" width="17" style="70" hidden="1" customWidth="1"/>
    <col min="18" max="18" width="6.7109375" style="70" hidden="1" customWidth="1"/>
    <col min="19" max="19" width="17" style="70" hidden="1" customWidth="1"/>
    <col min="20" max="20" width="6.7109375" style="70" hidden="1" customWidth="1"/>
    <col min="21" max="21" width="17" style="70" hidden="1" customWidth="1"/>
    <col min="22" max="22" width="6.7109375" style="70" hidden="1" customWidth="1"/>
    <col min="23" max="23" width="17" style="70" hidden="1" customWidth="1"/>
    <col min="24" max="24" width="6.7109375" style="70" hidden="1" customWidth="1"/>
    <col min="25" max="25" width="17" style="70" hidden="1" customWidth="1"/>
    <col min="26" max="26" width="6.7109375" style="70" hidden="1" customWidth="1"/>
    <col min="27" max="27" width="14.85546875" style="70" hidden="1" customWidth="1"/>
    <col min="28" max="28" width="6.7109375" style="70" hidden="1" customWidth="1"/>
    <col min="29" max="29" width="17" style="70" hidden="1" customWidth="1"/>
    <col min="30" max="30" width="6.7109375" style="70" hidden="1" customWidth="1"/>
    <col min="31" max="31" width="14.85546875" style="70" hidden="1" customWidth="1"/>
    <col min="32" max="32" width="6.7109375" style="70" hidden="1" customWidth="1"/>
    <col min="33" max="33" width="14.85546875" style="70" hidden="1" customWidth="1"/>
    <col min="34" max="34" width="6.7109375" style="70" hidden="1" customWidth="1"/>
    <col min="35" max="35" width="14.85546875" style="70" hidden="1" customWidth="1"/>
    <col min="36" max="36" width="6.7109375" style="70" hidden="1" customWidth="1"/>
    <col min="37" max="37" width="4.7109375" style="70" hidden="1" customWidth="1"/>
    <col min="38" max="38" width="27.42578125" style="70" hidden="1" customWidth="1"/>
    <col min="39" max="40" width="13.42578125" style="70" hidden="1" customWidth="1"/>
    <col min="41" max="41" width="16.85546875" style="70" hidden="1" customWidth="1"/>
    <col min="42" max="16384" width="11.42578125" style="70"/>
  </cols>
  <sheetData>
    <row r="1" spans="1:41" s="132" customFormat="1" ht="24.75" customHeight="1">
      <c r="A1" s="1134" t="s">
        <v>111</v>
      </c>
      <c r="B1" s="1135"/>
      <c r="C1" s="1135"/>
      <c r="D1" s="1135"/>
      <c r="E1" s="1135"/>
      <c r="F1" s="1135"/>
      <c r="G1" s="1135"/>
      <c r="H1" s="1135"/>
      <c r="I1" s="1135"/>
      <c r="J1" s="1135"/>
      <c r="K1" s="1135"/>
      <c r="L1" s="1135"/>
      <c r="M1" s="1135"/>
      <c r="N1" s="1135"/>
      <c r="O1" s="1135"/>
      <c r="P1" s="1135"/>
      <c r="Q1" s="1135"/>
      <c r="R1" s="1135"/>
      <c r="S1" s="1135"/>
      <c r="T1" s="1135"/>
      <c r="U1" s="1135"/>
      <c r="V1" s="1135"/>
      <c r="W1" s="1135"/>
      <c r="X1" s="1135"/>
      <c r="Y1" s="1135"/>
      <c r="Z1" s="1135"/>
      <c r="AA1" s="131"/>
      <c r="AB1" s="131"/>
      <c r="AC1" s="131"/>
      <c r="AD1" s="131"/>
      <c r="AE1" s="131"/>
      <c r="AF1" s="131"/>
      <c r="AG1" s="131"/>
      <c r="AH1" s="131"/>
      <c r="AI1" s="131"/>
      <c r="AJ1" s="131"/>
    </row>
    <row r="3" spans="1:41">
      <c r="A3" s="1136" t="s">
        <v>112</v>
      </c>
      <c r="B3" s="1136"/>
      <c r="E3" s="1137" t="s">
        <v>113</v>
      </c>
      <c r="F3" s="1137"/>
      <c r="G3" s="1137"/>
      <c r="H3" s="1137"/>
      <c r="K3" s="1138" t="s">
        <v>114</v>
      </c>
      <c r="L3" s="1138"/>
      <c r="M3" s="1138"/>
    </row>
    <row r="4" spans="1:41" s="133" customFormat="1" ht="30.75" customHeight="1">
      <c r="A4" s="146" t="s">
        <v>115</v>
      </c>
      <c r="B4" s="180">
        <v>7</v>
      </c>
      <c r="E4" s="1136" t="s">
        <v>116</v>
      </c>
      <c r="F4" s="1136"/>
      <c r="G4" s="1136" t="s">
        <v>117</v>
      </c>
      <c r="H4" s="1136"/>
      <c r="K4" s="1139" t="str">
        <f>+'10. EVALUACIÓN'!I8</f>
        <v>Media aritmética</v>
      </c>
      <c r="L4" s="1140"/>
      <c r="M4" s="1141"/>
    </row>
    <row r="5" spans="1:41" ht="30.75" customHeight="1">
      <c r="A5" s="147" t="s">
        <v>118</v>
      </c>
      <c r="B5" s="180">
        <v>4</v>
      </c>
      <c r="E5" s="1145">
        <v>120</v>
      </c>
      <c r="F5" s="1146"/>
      <c r="G5" s="1145">
        <v>80</v>
      </c>
      <c r="H5" s="1146"/>
      <c r="K5" s="1142"/>
      <c r="L5" s="1143"/>
      <c r="M5" s="1144"/>
    </row>
    <row r="6" spans="1:41">
      <c r="A6" s="118"/>
      <c r="B6" s="118"/>
      <c r="D6" s="134"/>
    </row>
    <row r="7" spans="1:41" s="135" customFormat="1" ht="21" customHeight="1">
      <c r="A7" s="1128" t="s">
        <v>90</v>
      </c>
      <c r="B7" s="146" t="s">
        <v>119</v>
      </c>
      <c r="C7" s="1131">
        <v>1</v>
      </c>
      <c r="D7" s="1132"/>
      <c r="E7" s="1133">
        <v>2</v>
      </c>
      <c r="F7" s="1133"/>
      <c r="G7" s="1133">
        <v>3</v>
      </c>
      <c r="H7" s="1133"/>
      <c r="I7" s="1133">
        <v>4</v>
      </c>
      <c r="J7" s="1133"/>
      <c r="K7" s="1133">
        <v>5</v>
      </c>
      <c r="L7" s="1133"/>
      <c r="M7" s="1133">
        <v>6</v>
      </c>
      <c r="N7" s="1133"/>
      <c r="O7" s="1133">
        <v>7</v>
      </c>
      <c r="P7" s="1133"/>
      <c r="Q7" s="1133">
        <v>8</v>
      </c>
      <c r="R7" s="1133"/>
      <c r="S7" s="1133">
        <v>9</v>
      </c>
      <c r="T7" s="1133"/>
      <c r="U7" s="1133">
        <v>10</v>
      </c>
      <c r="V7" s="1133"/>
      <c r="W7" s="1133">
        <v>11</v>
      </c>
      <c r="X7" s="1133"/>
      <c r="Y7" s="1133">
        <v>12</v>
      </c>
      <c r="Z7" s="1133"/>
      <c r="AA7" s="1133">
        <v>13</v>
      </c>
      <c r="AB7" s="1133"/>
      <c r="AC7" s="1133">
        <v>14</v>
      </c>
      <c r="AD7" s="1133"/>
      <c r="AE7" s="1133">
        <v>15</v>
      </c>
      <c r="AF7" s="1133"/>
      <c r="AG7" s="1133">
        <v>16</v>
      </c>
      <c r="AH7" s="1133"/>
      <c r="AI7" s="1133">
        <v>17</v>
      </c>
      <c r="AJ7" s="1133"/>
    </row>
    <row r="8" spans="1:41" s="133" customFormat="1" ht="35.25" customHeight="1">
      <c r="A8" s="1128"/>
      <c r="B8" s="136" t="s">
        <v>120</v>
      </c>
      <c r="C8" s="1129" t="str">
        <f>IF(C7="","",IF(VLOOKUP(C7,EVALUACION,5,FALSE)="H","Habilitado","No habilitado"))</f>
        <v>No habilitado</v>
      </c>
      <c r="D8" s="1130"/>
      <c r="E8" s="1129" t="str">
        <f>IF(E7="","",IF(VLOOKUP(E7,EVALUACION,5,FALSE)="H","Habilitado","No habilitado"))</f>
        <v>Habilitado</v>
      </c>
      <c r="F8" s="1130"/>
      <c r="G8" s="1129" t="str">
        <f>IF(G7="","",IF(VLOOKUP(G7,EVALUACION,5,FALSE)="H","Habilitado","No habilitado"))</f>
        <v>Habilitado</v>
      </c>
      <c r="H8" s="1130"/>
      <c r="I8" s="1129" t="str">
        <f>IF(I7="","",IF(VLOOKUP(I7,EVALUACION,5,FALSE)="H","Habilitado","No habilitado"))</f>
        <v>Habilitado</v>
      </c>
      <c r="J8" s="1130"/>
      <c r="K8" s="1129" t="str">
        <f ca="1">IF(K7="","",IF(VLOOKUP(K7,EVALUACION,5,FALSE)="H","Habilitado","No habilitado"))</f>
        <v>No habilitado</v>
      </c>
      <c r="L8" s="1130"/>
      <c r="M8" s="1129" t="str">
        <f ca="1">IF(M7="","",IF(VLOOKUP(M7,EVALUACION,5,FALSE)="H","Habilitado","No habilitado"))</f>
        <v>No habilitado</v>
      </c>
      <c r="N8" s="1130"/>
      <c r="O8" s="1129" t="str">
        <f ca="1">IF(O7="","",IF(VLOOKUP(O7,EVALUACION,5,FALSE)="H","Habilitado","No habilitado"))</f>
        <v>No habilitado</v>
      </c>
      <c r="P8" s="1130"/>
      <c r="Q8" s="1129" t="str">
        <f ca="1">IF(Q7="","",IF(VLOOKUP(Q7,EVALUACION,5,FALSE)="H","Habilitado","No habilitado"))</f>
        <v>No habilitado</v>
      </c>
      <c r="R8" s="1130"/>
      <c r="S8" s="1129" t="str">
        <f ca="1">IF(S7="","",IF(VLOOKUP(S7,EVALUACION,5,FALSE)="H","Habilitado","No habilitado"))</f>
        <v>No habilitado</v>
      </c>
      <c r="T8" s="1130"/>
      <c r="U8" s="1129" t="str">
        <f ca="1">IF(U7="","",IF(VLOOKUP(U7,EVALUACION,5,FALSE)="H","Habilitado","No habilitado"))</f>
        <v>No habilitado</v>
      </c>
      <c r="V8" s="1130"/>
      <c r="W8" s="1129" t="str">
        <f ca="1">IF(W7="","",IF(VLOOKUP(W7,EVALUACION,5,FALSE)="H","Habilitado","No habilitado"))</f>
        <v>No habilitado</v>
      </c>
      <c r="X8" s="1130"/>
      <c r="Y8" s="1129" t="str">
        <f ca="1">IF(Y7="","",IF(VLOOKUP(Y7,EVALUACION,5,FALSE)="H","Habilitado","No habilitado"))</f>
        <v>No habilitado</v>
      </c>
      <c r="Z8" s="1130"/>
      <c r="AA8" s="1129" t="str">
        <f ca="1">IF(AA7="","",IF(VLOOKUP(AA7,EVALUACION,5,FALSE)="H","Habilitado","No habilitado"))</f>
        <v>No habilitado</v>
      </c>
      <c r="AB8" s="1130"/>
      <c r="AC8" s="1129" t="str">
        <f ca="1">IF(AC7="","",IF(VLOOKUP(AC7,EVALUACION,5,FALSE)="H","Habilitado","No habilitado"))</f>
        <v>No habilitado</v>
      </c>
      <c r="AD8" s="1130"/>
      <c r="AE8" s="1129" t="str">
        <f>IF(AE7="","",IF(VLOOKUP(AE7,EVALUACION,5,FALSE)="H","Habilitado","No habilitado"))</f>
        <v>No habilitado</v>
      </c>
      <c r="AF8" s="1130"/>
      <c r="AG8" s="1129" t="str">
        <f>IF(AG7="","",IF(VLOOKUP(AG7,EVALUACION,5,FALSE)="H","Habilitado","No habilitado"))</f>
        <v>No habilitado</v>
      </c>
      <c r="AH8" s="1130"/>
      <c r="AI8" s="1129" t="str">
        <f>IF(AI7="","",IF(VLOOKUP(AI7,EVALUACION,5,FALSE)="H","Habilitado","No habilitado"))</f>
        <v>No habilitado</v>
      </c>
      <c r="AJ8" s="1130"/>
    </row>
    <row r="9" spans="1:41" s="133" customFormat="1" ht="23.25" customHeight="1">
      <c r="A9" s="1128" t="s">
        <v>121</v>
      </c>
      <c r="B9" s="1128"/>
      <c r="C9" s="1123" t="str">
        <f>IF(C14="","",SUM(D14:D101))</f>
        <v/>
      </c>
      <c r="D9" s="1124"/>
      <c r="E9" s="1123">
        <f ca="1">IF(E14="","",SUM(F14:F101))</f>
        <v>68.571428571428569</v>
      </c>
      <c r="F9" s="1124"/>
      <c r="G9" s="1123">
        <f ca="1">IF(G14="","",SUM(H14:H101))</f>
        <v>34.285714285714285</v>
      </c>
      <c r="H9" s="1124"/>
      <c r="I9" s="1123">
        <f ca="1">IF(I14="","",SUM(J14:J101))</f>
        <v>85.714285714285708</v>
      </c>
      <c r="J9" s="1124"/>
      <c r="K9" s="1123" t="str">
        <f t="shared" ref="K9" ca="1" si="0">IF(K14="","",SUM(L14:L101))</f>
        <v/>
      </c>
      <c r="L9" s="1124"/>
      <c r="M9" s="1123" t="str">
        <f t="shared" ref="M9" ca="1" si="1">IF(M14="","",SUM(N14:N101))</f>
        <v/>
      </c>
      <c r="N9" s="1124"/>
      <c r="O9" s="1123" t="str">
        <f t="shared" ref="O9" ca="1" si="2">IF(O14="","",SUM(P14:P101))</f>
        <v/>
      </c>
      <c r="P9" s="1124"/>
      <c r="Q9" s="1123" t="str">
        <f t="shared" ref="Q9" ca="1" si="3">IF(Q14="","",SUM(R14:R101))</f>
        <v/>
      </c>
      <c r="R9" s="1124"/>
      <c r="S9" s="1123" t="str">
        <f t="shared" ref="S9" ca="1" si="4">IF(S14="","",SUM(T14:T101))</f>
        <v/>
      </c>
      <c r="T9" s="1124"/>
      <c r="U9" s="1123" t="str">
        <f t="shared" ref="U9" ca="1" si="5">IF(U14="","",SUM(V14:V101))</f>
        <v/>
      </c>
      <c r="V9" s="1124"/>
      <c r="W9" s="1123" t="str">
        <f t="shared" ref="W9" ca="1" si="6">IF(W14="","",SUM(X14:X101))</f>
        <v/>
      </c>
      <c r="X9" s="1124"/>
      <c r="Y9" s="1123" t="str">
        <f t="shared" ref="Y9" ca="1" si="7">IF(Y14="","",SUM(Z14:Z101))</f>
        <v/>
      </c>
      <c r="Z9" s="1124"/>
      <c r="AA9" s="1123" t="str">
        <f t="shared" ref="AA9" ca="1" si="8">IF(AA14="","",SUM(AB14:AB101))</f>
        <v/>
      </c>
      <c r="AB9" s="1124"/>
      <c r="AC9" s="1123" t="str">
        <f t="shared" ref="AC9" ca="1" si="9">IF(AC14="","",SUM(AD14:AD101))</f>
        <v/>
      </c>
      <c r="AD9" s="1124"/>
      <c r="AE9" s="1123" t="str">
        <f>IF(AE77="","",SUM(AF77:AF101))</f>
        <v/>
      </c>
      <c r="AF9" s="1124"/>
      <c r="AG9" s="1123" t="str">
        <f>IF(AG77="","",SUM(AH77:AH101))</f>
        <v/>
      </c>
      <c r="AH9" s="1124"/>
      <c r="AI9" s="1123" t="str">
        <f>IF(AI77="","",SUM(AJ77:AJ101))</f>
        <v/>
      </c>
      <c r="AJ9" s="1124"/>
    </row>
    <row r="10" spans="1:41" s="133" customFormat="1" ht="23.25" customHeight="1">
      <c r="A10" s="1128" t="s">
        <v>122</v>
      </c>
      <c r="B10" s="1128"/>
      <c r="C10" s="1123" t="str">
        <f>IF(C104="","",SUM(D104:D140))</f>
        <v/>
      </c>
      <c r="D10" s="1124"/>
      <c r="E10" s="1123">
        <f ca="1">IF(E104="","",SUM(F104:F140))</f>
        <v>40</v>
      </c>
      <c r="F10" s="1124"/>
      <c r="G10" s="1123">
        <f ca="1">IF(G104="","",SUM(H104:H140))</f>
        <v>40</v>
      </c>
      <c r="H10" s="1124"/>
      <c r="I10" s="1123">
        <f ca="1">IF(I104="","",SUM(J104:J140))</f>
        <v>40</v>
      </c>
      <c r="J10" s="1124"/>
      <c r="K10" s="1123" t="str">
        <f t="shared" ref="K10" ca="1" si="10">IF(K104="","",SUM(L104:L140))</f>
        <v/>
      </c>
      <c r="L10" s="1124"/>
      <c r="M10" s="1123" t="str">
        <f t="shared" ref="M10" ca="1" si="11">IF(M104="","",SUM(N104:N140))</f>
        <v/>
      </c>
      <c r="N10" s="1124"/>
      <c r="O10" s="1123" t="str">
        <f t="shared" ref="O10" ca="1" si="12">IF(O104="","",SUM(P104:P140))</f>
        <v/>
      </c>
      <c r="P10" s="1124"/>
      <c r="Q10" s="1123" t="str">
        <f t="shared" ref="Q10" ca="1" si="13">IF(Q104="","",SUM(R104:R140))</f>
        <v/>
      </c>
      <c r="R10" s="1124"/>
      <c r="S10" s="1123" t="str">
        <f t="shared" ref="S10" ca="1" si="14">IF(S104="","",SUM(T104:T140))</f>
        <v/>
      </c>
      <c r="T10" s="1124"/>
      <c r="U10" s="1123" t="str">
        <f t="shared" ref="U10" ca="1" si="15">IF(U104="","",SUM(V104:V140))</f>
        <v/>
      </c>
      <c r="V10" s="1124"/>
      <c r="W10" s="1123" t="str">
        <f t="shared" ref="W10" ca="1" si="16">IF(W104="","",SUM(X104:X140))</f>
        <v/>
      </c>
      <c r="X10" s="1124"/>
      <c r="Y10" s="1123" t="str">
        <f t="shared" ref="Y10" ca="1" si="17">IF(Y104="","",SUM(Z104:Z140))</f>
        <v/>
      </c>
      <c r="Z10" s="1124"/>
      <c r="AA10" s="1123" t="str">
        <f ca="1">IF(AA104="","",SUM(AB104:AB140))</f>
        <v/>
      </c>
      <c r="AB10" s="1124"/>
      <c r="AC10" s="1123" t="str">
        <f t="shared" ref="AC10" ca="1" si="18">IF(AC104="","",SUM(AD104:AD140))</f>
        <v/>
      </c>
      <c r="AD10" s="1124"/>
      <c r="AE10" s="1123" t="str">
        <f>IF(AE104="","",SUM(AF104:AF135))</f>
        <v/>
      </c>
      <c r="AF10" s="1124"/>
      <c r="AG10" s="1123" t="str">
        <f>IF(AG104="","",SUM(AH104:AH135))</f>
        <v/>
      </c>
      <c r="AH10" s="1124"/>
      <c r="AI10" s="1123" t="str">
        <f>IF(AI104="","",SUM(AJ104:AJ135))</f>
        <v/>
      </c>
      <c r="AJ10" s="1124"/>
    </row>
    <row r="11" spans="1:41" s="133" customFormat="1" ht="23.25" customHeight="1">
      <c r="A11" s="1128" t="s">
        <v>123</v>
      </c>
      <c r="B11" s="1128"/>
      <c r="C11" s="1123" t="str">
        <f>IF(C7="","",IF(C8="No habilitado","",C9+C10))</f>
        <v/>
      </c>
      <c r="D11" s="1124"/>
      <c r="E11" s="1123">
        <f ca="1">IF(E7="","",IF(E8="No habilitado","",E9+E10))</f>
        <v>108.57142857142857</v>
      </c>
      <c r="F11" s="1124"/>
      <c r="G11" s="1123">
        <f t="shared" ref="G11" ca="1" si="19">IF(G7="","",IF(G8="No habilitado","",G9+G10))</f>
        <v>74.285714285714278</v>
      </c>
      <c r="H11" s="1124"/>
      <c r="I11" s="1123">
        <f t="shared" ref="I11" ca="1" si="20">IF(I7="","",IF(I8="No habilitado","",I9+I10))</f>
        <v>125.71428571428571</v>
      </c>
      <c r="J11" s="1124"/>
      <c r="K11" s="1123" t="str">
        <f t="shared" ref="K11" ca="1" si="21">IF(K7="","",IF(K8="No habilitado","",K9+K10))</f>
        <v/>
      </c>
      <c r="L11" s="1124"/>
      <c r="M11" s="1123" t="str">
        <f t="shared" ref="M11" ca="1" si="22">IF(M7="","",IF(M8="No habilitado","",M9+M10))</f>
        <v/>
      </c>
      <c r="N11" s="1124"/>
      <c r="O11" s="1123" t="str">
        <f t="shared" ref="O11" ca="1" si="23">IF(O7="","",IF(O8="No habilitado","",O9+O10))</f>
        <v/>
      </c>
      <c r="P11" s="1124"/>
      <c r="Q11" s="1123" t="str">
        <f t="shared" ref="Q11" ca="1" si="24">IF(Q7="","",IF(Q8="No habilitado","",Q9+Q10))</f>
        <v/>
      </c>
      <c r="R11" s="1124"/>
      <c r="S11" s="1123" t="str">
        <f t="shared" ref="S11" ca="1" si="25">IF(S7="","",IF(S8="No habilitado","",S9+S10))</f>
        <v/>
      </c>
      <c r="T11" s="1124"/>
      <c r="U11" s="1123" t="str">
        <f t="shared" ref="U11" ca="1" si="26">IF(U7="","",IF(U8="No habilitado","",U9+U10))</f>
        <v/>
      </c>
      <c r="V11" s="1124"/>
      <c r="W11" s="1123" t="str">
        <f t="shared" ref="W11" ca="1" si="27">IF(W7="","",IF(W8="No habilitado","",W9+W10))</f>
        <v/>
      </c>
      <c r="X11" s="1124"/>
      <c r="Y11" s="1123" t="str">
        <f t="shared" ref="Y11" ca="1" si="28">IF(Y7="","",IF(Y8="No habilitado","",Y9+Y10))</f>
        <v/>
      </c>
      <c r="Z11" s="1124"/>
      <c r="AA11" s="1123" t="str">
        <f t="shared" ref="AA11" ca="1" si="29">IF(AA7="","",IF(AA8="No habilitado","",AA9+AA10))</f>
        <v/>
      </c>
      <c r="AB11" s="1124"/>
      <c r="AC11" s="1123" t="str">
        <f t="shared" ref="AC11" ca="1" si="30">IF(AC7="","",IF(AC8="No habilitado","",AC9+AC10))</f>
        <v/>
      </c>
      <c r="AD11" s="1124"/>
      <c r="AE11" s="1123" t="str">
        <f t="shared" ref="AE11" si="31">IF(AE7="","",IF(AE8="No habilitado","",AE9+AE10))</f>
        <v/>
      </c>
      <c r="AF11" s="1124"/>
      <c r="AG11" s="1123" t="str">
        <f t="shared" ref="AG11" si="32">IF(AG7="","",IF(AG8="No habilitado","",AG9+AG10))</f>
        <v/>
      </c>
      <c r="AH11" s="1124"/>
      <c r="AI11" s="1123" t="str">
        <f t="shared" ref="AI11" si="33">IF(AI7="","",IF(AI8="No habilitado","",AI9+AI10))</f>
        <v/>
      </c>
      <c r="AJ11" s="1124"/>
    </row>
    <row r="12" spans="1:41" ht="21" customHeight="1"/>
    <row r="13" spans="1:41" ht="21.75" customHeight="1">
      <c r="A13" s="137" t="s">
        <v>124</v>
      </c>
      <c r="B13" s="137"/>
      <c r="C13" s="137"/>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7"/>
      <c r="AJ13" s="137"/>
      <c r="AN13" s="70" t="s">
        <v>140</v>
      </c>
      <c r="AO13" s="70" t="s">
        <v>141</v>
      </c>
    </row>
    <row r="14" spans="1:41" ht="21.75" customHeight="1" outlineLevel="1">
      <c r="A14" s="253" t="s">
        <v>184</v>
      </c>
      <c r="B14" s="139">
        <f ca="1">IF(A14="","",IF($K$4="Media aritmética",ROUND(AVERAGE(C14,E14,G14,I14,K14,M14,O14,Q14,S14,U14,W14,Y14,AA14,AC14,AE14,AG14,AI14),2),ROUND(_xlfn.STDEV.P(C14,E14,G14,I14,K14,M14,O14,Q14,S14,U14,W14,Y14,AA14,AC14,AE14,AG14,AI14),2)))</f>
        <v>43411589.670000002</v>
      </c>
      <c r="C14" s="140" t="str">
        <f t="shared" ref="C14:C45" si="34">IF($C$8="Habilitado",IF($A14="","",ROUND(VLOOKUP($A14,OFERENTE_1,20,FALSE),2)),"")</f>
        <v/>
      </c>
      <c r="D14" s="141" t="str">
        <f t="shared" ref="D14:D45" si="35">IF($A14="","",IF(C14="","",IF($K$4="Media aritmética",(C14&lt;=$B14)*($E$5/$B$4)+(C14&gt;$B14)*0,IF(AND(ROUND(AVERAGE($C14,$E14,$G14,$I14,$K14,$M14,$O14,$Q14,$S14,$U14,$W14,$Y14,$AA14,$AC14,$AE14,$AG14,$AI14),2)-$B14/2&lt;=C14,(ROUND(AVERAGE($C14,$E14,$G14,$I14,$K14,$M14,$O14,$Q14,$S14,$U14,$W14,$Y14,$AA14,$AC14,$AE14,$AG14,$AI14),2)+$B14/2&gt;=C14)),($E$5/$B$4),0))))</f>
        <v/>
      </c>
      <c r="E14" s="140">
        <f t="shared" ref="E14:E45" si="36">IF($E$8="Habilitado",IF($A14="","",ROUND(VLOOKUP($A14,OFERENTE_2,20,FALSE),2)),"")</f>
        <v>42246281</v>
      </c>
      <c r="F14" s="141">
        <f t="shared" ref="F14:F45" ca="1" si="37">IF($A14="","",IF(E14="","",IF($K$4="Media aritmética",(E14&lt;=$B14)*($E$5/$B$4)+(E14&gt;$B14)*0,IF(AND(ROUND(AVERAGE($C14,$E14,$G14,$I14,$K14,$M14,$O14,$Q14,$S14,$U14,$W14,$Y14,$AA14,$AC14,$AE14,$AG14,$AI14),2)-$B14/2&lt;=E14,(ROUND(AVERAGE($C14,$E14,$G14,$I14,$K14,$M14,$O14,$Q14,$S14,$U14,$W14,$Y14,$AA14,$AC14,$AE14,$AG14,$AI14),2)+$B14/2&gt;=E14)),($E$5/$B$4),0))))</f>
        <v>17.142857142857142</v>
      </c>
      <c r="G14" s="140">
        <f t="shared" ref="G14:G45" si="38">IF($G$8="Habilitado",IF($A14="","",ROUND(VLOOKUP($A14,OFERENTE_3,20,FALSE),2)),"")</f>
        <v>45721083</v>
      </c>
      <c r="H14" s="141">
        <f t="shared" ref="H14:H45" ca="1" si="39">IF($A14="","",IF(G14="","",IF($K$4="Media aritmética",(G14&lt;=$B14)*($E$5/$B$4)+(G14&gt;$B14)*0,IF(AND(ROUND(AVERAGE($C14,$E14,$G14,$I14,$K14,$M14,$O14,$Q14,$S14,$U14,$W14,$Y14,$AA14,$AC14,$AE14,$AG14,$AI14),2)-$B14/2&lt;=G14,(ROUND(AVERAGE($C14,$E14,$G14,$I14,$K14,$M14,$O14,$Q14,$S14,$U14,$W14,$Y14,$AA14,$AC14,$AE14,$AG14,$AI14),2)+$B14/2&gt;=G14)),($E$5/$B$4),0))))</f>
        <v>0</v>
      </c>
      <c r="I14" s="140">
        <f t="shared" ref="I14:I45" si="40">IF($I$8="Habilitado",IF($A14="","",ROUND(VLOOKUP($A14,OFERENTE_4,20,FALSE),2)),"")</f>
        <v>42267405</v>
      </c>
      <c r="J14" s="141">
        <f t="shared" ref="J14:J45" ca="1" si="41">IF($A14="","",IF(I14="","",IF($K$4="Media aritmética",(I14&lt;=$B14)*($E$5/$B$4)+(I14&gt;$B14)*0,IF(AND(ROUND(AVERAGE($C14,$E14,$G14,$I14,$K14,$M14,$O14,$Q14,$S14,$U14,$W14,$Y14,$AA14,$AC14,$AE14,$AG14,$AI14),2)-$B14/2&lt;=I14,(ROUND(AVERAGE($C14,$E14,$G14,$I14,$K14,$M14,$O14,$Q14,$S14,$U14,$W14,$Y14,$AA14,$AC14,$AE14,$AG14,$AI14),2)+$B14/2&gt;=I14)),($E$5/$B$4),0))))</f>
        <v>17.142857142857142</v>
      </c>
      <c r="K14" s="140" t="str">
        <f t="shared" ref="K14:K45" ca="1" si="42">IF($K$8="Habilitado",IF($A14="","",ROUND(VLOOKUP($A14,OFERENTE_5,15,FALSE),2)),"")</f>
        <v/>
      </c>
      <c r="L14" s="141" t="str">
        <f t="shared" ref="L14:L45" ca="1" si="43">IF($A14="","",IF(K14="","",IF($K$4="Media aritmética",(K14&lt;=$B14)*($E$5/$B$4)+(K14&gt;$B14)*0,IF(AND(ROUND(AVERAGE($C14,$E14,$G14,$I14,$K14,$M14,$O14,$Q14,$S14,$U14,$W14,$Y14,$AA14,$AC14,$AE14,$AG14,$AI14),2)-$B14/2&lt;=K14,(ROUND(AVERAGE($C14,$E14,$G14,$I14,$K14,$M14,$O14,$Q14,$S14,$U14,$W14,$Y14,$AA14,$AC14,$AE14,$AG14,$AI14),2)+$B14/2&gt;=K14)),($E$5/$B$4),0))))</f>
        <v/>
      </c>
      <c r="M14" s="140" t="str">
        <f t="shared" ref="M14:M77" ca="1" si="44">IF($M$8="Habilitado",IF($A14="","",ROUND(VLOOKUP($A14,OFERENTE_6,15,FALSE),2)),"")</f>
        <v/>
      </c>
      <c r="N14" s="141" t="str">
        <f t="shared" ref="N14:N45" ca="1" si="45">IF($A14="","",IF(M14="","",IF($K$4="Media aritmética",(M14&lt;=$B14)*($E$5/$B$4)+(M14&gt;$B14)*0,IF(AND(ROUND(AVERAGE($C14,$E14,$G14,$I14,$K14,$M14,$O14,$Q14,$S14,$U14,$W14,$Y14,$AA14,$AC14,$AE14,$AG14,$AI14),2)-$B14/2&lt;=M14,(ROUND(AVERAGE($C14,$E14,$G14,$I14,$K14,$M14,$O14,$Q14,$S14,$U14,$W14,$Y14,$AA14,$AC14,$AE14,$AG14,$AI14),2)+$B14/2&gt;=M14)),($E$5/$B$4),0))))</f>
        <v/>
      </c>
      <c r="O14" s="140" t="str">
        <f t="shared" ref="O14:O45" ca="1" si="46">IF($O$8="Habilitado",IF($A14="","",ROUND(VLOOKUP($A14,OFERENTE_7,15,FALSE),2)),"")</f>
        <v/>
      </c>
      <c r="P14" s="141" t="str">
        <f t="shared" ref="P14:P45" ca="1" si="47">IF($A14="","",IF(O14="","",IF($K$4="Media aritmética",(O14&lt;=$B14)*($E$5/$B$4)+(O14&gt;$B14)*0,IF(AND(ROUND(AVERAGE($C14,$E14,$G14,$I14,$K14,$M14,$O14,$Q14,$S14,$U14,$W14,$Y14,$AA14,$AC14,$AE14,$AG14,$AI14),2)-$B14/2&lt;=O14,(ROUND(AVERAGE($C14,$E14,$G14,$I14,$K14,$M14,$O14,$Q14,$S14,$U14,$W14,$Y14,$AA14,$AC14,$AE14,$AG14,$AI14),2)+$B14/2&gt;=O14)),($E$5/$B$4),0))))</f>
        <v/>
      </c>
      <c r="Q14" s="140" t="str">
        <f t="shared" ref="Q14:Q45" ca="1" si="48">IF($Q$8="Habilitado",IF($A14="","",ROUND(VLOOKUP($A14,OFERENTE_8,15,FALSE),2)),"")</f>
        <v/>
      </c>
      <c r="R14" s="141" t="str">
        <f t="shared" ref="R14:R45" ca="1" si="49">IF($A14="","",IF(Q14="","",IF($K$4="Media aritmética",(Q14&lt;=$B14)*($E$5/$B$4)+(Q14&gt;$B14)*0,IF(AND(ROUND(AVERAGE($C14,$E14,$G14,$I14,$K14,$M14,$O14,$Q14,$S14,$U14,$W14,$Y14,$AA14,$AC14,$AE14,$AG14,$AI14),2)-$B14/2&lt;=Q14,(ROUND(AVERAGE($C14,$E14,$G14,$I14,$K14,$M14,$O14,$Q14,$S14,$U14,$W14,$Y14,$AA14,$AC14,$AE14,$AG14,$AI14),2)+$B14/2&gt;=Q14)),($E$5/$B$4),0))))</f>
        <v/>
      </c>
      <c r="S14" s="140" t="str">
        <f t="shared" ref="S14:S45" ca="1" si="50">IF($S$8="Habilitado",IF($A14="","",ROUND(VLOOKUP($A14,OFERENTE_9,15,FALSE),2)),"")</f>
        <v/>
      </c>
      <c r="T14" s="141" t="str">
        <f t="shared" ref="T14:T45" ca="1" si="51">IF($A14="","",IF(S14="","",IF($K$4="Media aritmética",(S14&lt;=$B14)*($E$5/$B$4)+(S14&gt;$B14)*0,IF(AND(ROUND(AVERAGE($C14,$E14,$G14,$I14,$K14,$M14,$O14,$Q14,$S14,$U14,$W14,$Y14,$AA14,$AC14,$AE14,$AG14,$AI14),2)-$B14/2&lt;=S14,(ROUND(AVERAGE($C14,$E14,$G14,$I14,$K14,$M14,$O14,$Q14,$S14,$U14,$W14,$Y14,$AA14,$AC14,$AE14,$AG14,$AI14),2)+$B14/2&gt;=S14)),($E$5/$B$4),0))))</f>
        <v/>
      </c>
      <c r="U14" s="140" t="str">
        <f t="shared" ref="U14:U45" ca="1" si="52">IF($U$8="Habilitado",IF($A14="","",ROUND(VLOOKUP($A14,OFERENTE_10,15,FALSE),2)),"")</f>
        <v/>
      </c>
      <c r="V14" s="141" t="str">
        <f t="shared" ref="V14:V45" ca="1" si="53">IF($A14="","",IF(U14="","",IF($K$4="Media aritmética",(U14&lt;=$B14)*($E$5/$B$4)+(U14&gt;$B14)*0,IF(AND(ROUND(AVERAGE($C14,$E14,$G14,$I14,$K14,$M14,$O14,$Q14,$S14,$U14,$W14,$Y14,$AA14,$AC14,$AE14,$AG14,$AI14),2)-$B14/2&lt;=U14,(ROUND(AVERAGE($C14,$E14,$G14,$I14,$K14,$M14,$O14,$Q14,$S14,$U14,$W14,$Y14,$AA14,$AC14,$AE14,$AG14,$AI14),2)+$B14/2&gt;=U14)),($E$5/$B$4),0))))</f>
        <v/>
      </c>
      <c r="W14" s="140" t="str">
        <f t="shared" ref="W14:W45" ca="1" si="54">IF($W$8="Habilitado",IF($A14="","",ROUND(VLOOKUP($A14,OFERENTE_11,15,FALSE),2)),"")</f>
        <v/>
      </c>
      <c r="X14" s="141" t="str">
        <f t="shared" ref="X14:X45" ca="1" si="55">IF($A14="","",IF(W14="","",IF($K$4="Media aritmética",(W14&lt;=$B14)*($E$5/$B$4)+(W14&gt;$B14)*0,IF(AND(ROUND(AVERAGE($C14,$E14,$G14,$I14,$K14,$M14,$O14,$Q14,$S14,$U14,$W14,$Y14,$AA14,$AC14,$AE14,$AG14,$AI14),2)-$B14/2&lt;=W14,(ROUND(AVERAGE($C14,$E14,$G14,$I14,$K14,$M14,$O14,$Q14,$S14,$U14,$W14,$Y14,$AA14,$AC14,$AE14,$AG14,$AI14),2)+$B14/2&gt;=W14)),($E$5/$B$4),0))))</f>
        <v/>
      </c>
      <c r="Y14" s="140" t="str">
        <f t="shared" ref="Y14:Y45" ca="1" si="56">IF($Y$8="Habilitado",IF($A14="","",ROUND(VLOOKUP($A14,OFERENTE_12,15,FALSE),2)),"")</f>
        <v/>
      </c>
      <c r="Z14" s="141" t="str">
        <f t="shared" ref="Z14:Z45" ca="1" si="57">IF($A14="","",IF(Y14="","",IF($K$4="Media aritmética",(Y14&lt;=$B14)*($E$5/$B$4)+(Y14&gt;$B14)*0,IF(AND(ROUND(AVERAGE($C14,$E14,$G14,$I14,$K14,$M14,$O14,$Q14,$S14,$U14,$W14,$Y14,$AA14,$AC14,$AE14,$AG14,$AI14),2)-$B14/2&lt;=Y14,(ROUND(AVERAGE($C14,$E14,$G14,$I14,$K14,$M14,$O14,$Q14,$S14,$U14,$W14,$Y14,$AA14,$AC14,$AE14,$AG14,$AI14),2)+$B14/2&gt;=Y14)),($E$5/$B$4),0))))</f>
        <v/>
      </c>
      <c r="AA14" s="140" t="str">
        <f t="shared" ref="AA14:AA45" ca="1" si="58">IF($AA$8="Habilitado",IF($A14="","",ROUND(VLOOKUP($A14,OFERENTE_13,15,FALSE),2)),"")</f>
        <v/>
      </c>
      <c r="AB14" s="141" t="str">
        <f t="shared" ref="AB14:AB45" ca="1" si="59">IF($A14="","",IF(AA14="","",IF($K$4="Media aritmética",(AA14&lt;=$B14)*($E$5/$B$4)+(AA14&gt;$B14)*0,IF(AND(ROUND(AVERAGE($C14,$E14,$G14,$I14,$K14,$M14,$O14,$Q14,$S14,$U14,$W14,$Y14,$AA14,$AC14,$AE14,$AG14,$AI14),2)-$B14/2&lt;=AA14,(ROUND(AVERAGE($C14,$E14,$G14,$I14,$K14,$M14,$O14,$Q14,$S14,$U14,$W14,$Y14,$AA14,$AC14,$AE14,$AG14,$AI14),2)+$B14/2&gt;=AA14)),($E$5/$B$4),0))))</f>
        <v/>
      </c>
      <c r="AC14" s="140" t="str">
        <f t="shared" ref="AC14:AC45" ca="1" si="60">IF($AC$8="Habilitado",IF($A14="","",ROUND(VLOOKUP($A14,OFERENTE_14,15,FALSE),2)),"")</f>
        <v/>
      </c>
      <c r="AD14" s="141" t="str">
        <f t="shared" ref="AD14:AD45" ca="1" si="61">IF($A14="","",IF(AC14="","",IF($K$4="Media aritmética",(AC14&lt;=$B14)*($E$5/$B$4)+(AC14&gt;$B14)*0,IF(AND(ROUND(AVERAGE($C14,$E14,$G14,$I14,$K14,$M14,$O14,$Q14,$S14,$U14,$W14,$Y14,$AA14,$AC14,$AE14,$AG14,$AI14),2)-$B14/2&lt;=AC14,(ROUND(AVERAGE($C14,$E14,$G14,$I14,$K14,$M14,$O14,$Q14,$S14,$U14,$W14,$Y14,$AA14,$AC14,$AE14,$AG14,$AI14),2)+$B14/2&gt;=AC14)),($E$5/$B$4),0))))</f>
        <v/>
      </c>
      <c r="AE14" s="137"/>
      <c r="AF14" s="137"/>
      <c r="AG14" s="137"/>
      <c r="AH14" s="137"/>
      <c r="AI14" s="137"/>
      <c r="AJ14" s="137"/>
      <c r="AL14" s="196">
        <f ca="1">AVERAGE(C14,E14,G14,I14,K14,M14,O14,Q14,S14,U14,W14,Y14,AC14)</f>
        <v>43411589.666666664</v>
      </c>
      <c r="AM14" s="70">
        <f ca="1">_xlfn.STDEV.P(C14,E14,G14,I14,K14,M14,O14,Q14,S14,U14,W14,Y14,AC14)</f>
        <v>1633081.1672780451</v>
      </c>
      <c r="AN14" s="256">
        <f ca="1">AL14+(AM14/2)</f>
        <v>44228130.25030569</v>
      </c>
      <c r="AO14" s="256">
        <f ca="1">AL14-(AM14/2)</f>
        <v>42595049.083027638</v>
      </c>
    </row>
    <row r="15" spans="1:41" ht="21.75" customHeight="1" outlineLevel="1">
      <c r="A15" s="253" t="s">
        <v>331</v>
      </c>
      <c r="B15" s="139">
        <f t="shared" ref="B15:B68" ca="1" si="62">IF(A15="","",IF($K$4="Media aritmética",ROUND(AVERAGE(C15,E15,G15,I15,K15,M15,O15,Q15,S15,U15,W15,Y15,AA15,AC15,AE15,AG15,AI15),2),ROUND(_xlfn.STDEV.P(C15,E15,G15,I15,K15,M15,O15,Q15,S15,U15,W15,Y15,AA15,AC15,AE15,AG15,AI15),2)))</f>
        <v>32003364.670000002</v>
      </c>
      <c r="C15" s="140" t="str">
        <f t="shared" si="34"/>
        <v/>
      </c>
      <c r="D15" s="141" t="str">
        <f t="shared" si="35"/>
        <v/>
      </c>
      <c r="E15" s="140">
        <f t="shared" si="36"/>
        <v>39694700</v>
      </c>
      <c r="F15" s="141">
        <f t="shared" ca="1" si="37"/>
        <v>0</v>
      </c>
      <c r="G15" s="140">
        <f t="shared" si="38"/>
        <v>26742371</v>
      </c>
      <c r="H15" s="141">
        <f t="shared" ca="1" si="39"/>
        <v>17.142857142857142</v>
      </c>
      <c r="I15" s="140">
        <f t="shared" si="40"/>
        <v>29573023</v>
      </c>
      <c r="J15" s="141">
        <f t="shared" ca="1" si="41"/>
        <v>17.142857142857142</v>
      </c>
      <c r="K15" s="140" t="str">
        <f t="shared" ca="1" si="42"/>
        <v/>
      </c>
      <c r="L15" s="141" t="str">
        <f t="shared" ca="1" si="43"/>
        <v/>
      </c>
      <c r="M15" s="140" t="str">
        <f t="shared" ca="1" si="44"/>
        <v/>
      </c>
      <c r="N15" s="141" t="str">
        <f t="shared" ca="1" si="45"/>
        <v/>
      </c>
      <c r="O15" s="140" t="str">
        <f t="shared" ca="1" si="46"/>
        <v/>
      </c>
      <c r="P15" s="141" t="str">
        <f t="shared" ca="1" si="47"/>
        <v/>
      </c>
      <c r="Q15" s="140" t="str">
        <f t="shared" ca="1" si="48"/>
        <v/>
      </c>
      <c r="R15" s="141" t="str">
        <f t="shared" ca="1" si="49"/>
        <v/>
      </c>
      <c r="S15" s="140" t="str">
        <f t="shared" ca="1" si="50"/>
        <v/>
      </c>
      <c r="T15" s="141" t="str">
        <f t="shared" ca="1" si="51"/>
        <v/>
      </c>
      <c r="U15" s="140" t="str">
        <f t="shared" ca="1" si="52"/>
        <v/>
      </c>
      <c r="V15" s="141" t="str">
        <f t="shared" ca="1" si="53"/>
        <v/>
      </c>
      <c r="W15" s="140" t="str">
        <f t="shared" ca="1" si="54"/>
        <v/>
      </c>
      <c r="X15" s="141" t="str">
        <f t="shared" ca="1" si="55"/>
        <v/>
      </c>
      <c r="Y15" s="140" t="str">
        <f t="shared" ca="1" si="56"/>
        <v/>
      </c>
      <c r="Z15" s="141" t="str">
        <f t="shared" ca="1" si="57"/>
        <v/>
      </c>
      <c r="AA15" s="140" t="str">
        <f t="shared" ca="1" si="58"/>
        <v/>
      </c>
      <c r="AB15" s="141" t="str">
        <f t="shared" ca="1" si="59"/>
        <v/>
      </c>
      <c r="AC15" s="140" t="str">
        <f t="shared" ca="1" si="60"/>
        <v/>
      </c>
      <c r="AD15" s="141" t="str">
        <f t="shared" ca="1" si="61"/>
        <v/>
      </c>
      <c r="AE15" s="137"/>
      <c r="AF15" s="137"/>
      <c r="AG15" s="137"/>
      <c r="AH15" s="137"/>
      <c r="AI15" s="137"/>
      <c r="AJ15" s="137"/>
      <c r="AL15" s="196">
        <f t="shared" ref="AL15:AL78" ca="1" si="63">AVERAGE(C15,E15,G15,I15,K15,M15,O15,Q15,S15,U15,W15,Y15,AC15)</f>
        <v>32003364.666666668</v>
      </c>
      <c r="AM15" s="70">
        <f t="shared" ref="AM15:AM78" ca="1" si="64">_xlfn.STDEV.P(C15,E15,G15,I15,K15,M15,O15,Q15,S15,U15,W15,Y15,AC15)</f>
        <v>5560013.6147082904</v>
      </c>
      <c r="AN15" s="256">
        <f t="shared" ref="AN15:AN78" ca="1" si="65">AL15+(AM15/2)</f>
        <v>34783371.474020816</v>
      </c>
      <c r="AO15" s="256">
        <f t="shared" ref="AO15:AO78" ca="1" si="66">AL15-(AM15/2)</f>
        <v>29223357.859312523</v>
      </c>
    </row>
    <row r="16" spans="1:41" ht="21.75" customHeight="1" outlineLevel="1">
      <c r="A16" s="253" t="s">
        <v>333</v>
      </c>
      <c r="B16" s="139">
        <f t="shared" ca="1" si="62"/>
        <v>73993579.329999998</v>
      </c>
      <c r="C16" s="140" t="str">
        <f t="shared" si="34"/>
        <v/>
      </c>
      <c r="D16" s="141" t="str">
        <f t="shared" si="35"/>
        <v/>
      </c>
      <c r="E16" s="140">
        <f t="shared" si="36"/>
        <v>75104500</v>
      </c>
      <c r="F16" s="141">
        <f t="shared" ca="1" si="37"/>
        <v>0</v>
      </c>
      <c r="G16" s="140">
        <f t="shared" si="38"/>
        <v>78859725</v>
      </c>
      <c r="H16" s="141">
        <f t="shared" ca="1" si="39"/>
        <v>0</v>
      </c>
      <c r="I16" s="140">
        <f t="shared" si="40"/>
        <v>68016513</v>
      </c>
      <c r="J16" s="141">
        <f t="shared" ca="1" si="41"/>
        <v>17.142857142857142</v>
      </c>
      <c r="K16" s="140" t="str">
        <f t="shared" ca="1" si="42"/>
        <v/>
      </c>
      <c r="L16" s="141" t="str">
        <f t="shared" ca="1" si="43"/>
        <v/>
      </c>
      <c r="M16" s="140" t="str">
        <f t="shared" ca="1" si="44"/>
        <v/>
      </c>
      <c r="N16" s="141" t="str">
        <f t="shared" ca="1" si="45"/>
        <v/>
      </c>
      <c r="O16" s="140" t="str">
        <f t="shared" ca="1" si="46"/>
        <v/>
      </c>
      <c r="P16" s="141" t="str">
        <f t="shared" ca="1" si="47"/>
        <v/>
      </c>
      <c r="Q16" s="140" t="str">
        <f t="shared" ca="1" si="48"/>
        <v/>
      </c>
      <c r="R16" s="141" t="str">
        <f t="shared" ca="1" si="49"/>
        <v/>
      </c>
      <c r="S16" s="140" t="str">
        <f t="shared" ca="1" si="50"/>
        <v/>
      </c>
      <c r="T16" s="141" t="str">
        <f t="shared" ca="1" si="51"/>
        <v/>
      </c>
      <c r="U16" s="140" t="str">
        <f t="shared" ca="1" si="52"/>
        <v/>
      </c>
      <c r="V16" s="141" t="str">
        <f t="shared" ca="1" si="53"/>
        <v/>
      </c>
      <c r="W16" s="140" t="str">
        <f t="shared" ca="1" si="54"/>
        <v/>
      </c>
      <c r="X16" s="141" t="str">
        <f t="shared" ca="1" si="55"/>
        <v/>
      </c>
      <c r="Y16" s="140" t="str">
        <f t="shared" ca="1" si="56"/>
        <v/>
      </c>
      <c r="Z16" s="141" t="str">
        <f t="shared" ca="1" si="57"/>
        <v/>
      </c>
      <c r="AA16" s="140" t="str">
        <f t="shared" ca="1" si="58"/>
        <v/>
      </c>
      <c r="AB16" s="141" t="str">
        <f t="shared" ca="1" si="59"/>
        <v/>
      </c>
      <c r="AC16" s="140" t="str">
        <f t="shared" ca="1" si="60"/>
        <v/>
      </c>
      <c r="AD16" s="141" t="str">
        <f t="shared" ca="1" si="61"/>
        <v/>
      </c>
      <c r="AE16" s="137"/>
      <c r="AF16" s="137"/>
      <c r="AG16" s="137"/>
      <c r="AH16" s="137"/>
      <c r="AI16" s="137"/>
      <c r="AJ16" s="137"/>
      <c r="AL16" s="196">
        <f t="shared" ca="1" si="63"/>
        <v>73993579.333333328</v>
      </c>
      <c r="AM16" s="70">
        <f t="shared" ca="1" si="64"/>
        <v>4495881.0901354533</v>
      </c>
      <c r="AN16" s="256">
        <f t="shared" ca="1" si="65"/>
        <v>76241519.878401056</v>
      </c>
      <c r="AO16" s="256">
        <f t="shared" ca="1" si="66"/>
        <v>71745638.788265601</v>
      </c>
    </row>
    <row r="17" spans="1:41" ht="21.75" customHeight="1" outlineLevel="1">
      <c r="A17" s="254" t="s">
        <v>335</v>
      </c>
      <c r="B17" s="139">
        <f t="shared" ca="1" si="62"/>
        <v>36370918.670000002</v>
      </c>
      <c r="C17" s="140" t="str">
        <f t="shared" si="34"/>
        <v/>
      </c>
      <c r="D17" s="141" t="str">
        <f t="shared" si="35"/>
        <v/>
      </c>
      <c r="E17" s="140">
        <f t="shared" si="36"/>
        <v>37552250</v>
      </c>
      <c r="F17" s="141">
        <f t="shared" ca="1" si="37"/>
        <v>0</v>
      </c>
      <c r="G17" s="140">
        <f t="shared" si="38"/>
        <v>37552250</v>
      </c>
      <c r="H17" s="141">
        <f t="shared" ca="1" si="39"/>
        <v>0</v>
      </c>
      <c r="I17" s="140">
        <f t="shared" si="40"/>
        <v>34008256</v>
      </c>
      <c r="J17" s="141">
        <f t="shared" ca="1" si="41"/>
        <v>17.142857142857142</v>
      </c>
      <c r="K17" s="140" t="str">
        <f t="shared" ca="1" si="42"/>
        <v/>
      </c>
      <c r="L17" s="141" t="str">
        <f t="shared" ca="1" si="43"/>
        <v/>
      </c>
      <c r="M17" s="140" t="str">
        <f t="shared" ca="1" si="44"/>
        <v/>
      </c>
      <c r="N17" s="141" t="str">
        <f t="shared" ca="1" si="45"/>
        <v/>
      </c>
      <c r="O17" s="140" t="str">
        <f t="shared" ca="1" si="46"/>
        <v/>
      </c>
      <c r="P17" s="141" t="str">
        <f t="shared" ca="1" si="47"/>
        <v/>
      </c>
      <c r="Q17" s="140" t="str">
        <f t="shared" ca="1" si="48"/>
        <v/>
      </c>
      <c r="R17" s="141" t="str">
        <f t="shared" ca="1" si="49"/>
        <v/>
      </c>
      <c r="S17" s="140" t="str">
        <f t="shared" ca="1" si="50"/>
        <v/>
      </c>
      <c r="T17" s="141" t="str">
        <f t="shared" ca="1" si="51"/>
        <v/>
      </c>
      <c r="U17" s="140" t="str">
        <f t="shared" ca="1" si="52"/>
        <v/>
      </c>
      <c r="V17" s="141" t="str">
        <f t="shared" ca="1" si="53"/>
        <v/>
      </c>
      <c r="W17" s="140" t="str">
        <f t="shared" ca="1" si="54"/>
        <v/>
      </c>
      <c r="X17" s="141" t="str">
        <f t="shared" ca="1" si="55"/>
        <v/>
      </c>
      <c r="Y17" s="140" t="str">
        <f t="shared" ca="1" si="56"/>
        <v/>
      </c>
      <c r="Z17" s="141" t="str">
        <f t="shared" ca="1" si="57"/>
        <v/>
      </c>
      <c r="AA17" s="140" t="str">
        <f t="shared" ca="1" si="58"/>
        <v/>
      </c>
      <c r="AB17" s="141" t="str">
        <f t="shared" ca="1" si="59"/>
        <v/>
      </c>
      <c r="AC17" s="140" t="str">
        <f t="shared" ca="1" si="60"/>
        <v/>
      </c>
      <c r="AD17" s="141" t="str">
        <f t="shared" ca="1" si="61"/>
        <v/>
      </c>
      <c r="AE17" s="137"/>
      <c r="AF17" s="137"/>
      <c r="AG17" s="137"/>
      <c r="AH17" s="137"/>
      <c r="AI17" s="137"/>
      <c r="AJ17" s="137"/>
      <c r="AL17" s="196">
        <f t="shared" ca="1" si="63"/>
        <v>36370918.666666664</v>
      </c>
      <c r="AM17" s="70">
        <f t="shared" ca="1" si="64"/>
        <v>1670654.7932562914</v>
      </c>
      <c r="AN17" s="256">
        <f t="shared" ca="1" si="65"/>
        <v>37206246.063294813</v>
      </c>
      <c r="AO17" s="256">
        <f t="shared" ca="1" si="66"/>
        <v>35535591.270038515</v>
      </c>
    </row>
    <row r="18" spans="1:41" ht="21.75" customHeight="1" outlineLevel="1">
      <c r="A18" s="253" t="s">
        <v>336</v>
      </c>
      <c r="B18" s="139">
        <f t="shared" ca="1" si="62"/>
        <v>43922199</v>
      </c>
      <c r="C18" s="140" t="str">
        <f t="shared" si="34"/>
        <v/>
      </c>
      <c r="D18" s="141" t="str">
        <f t="shared" si="35"/>
        <v/>
      </c>
      <c r="E18" s="140">
        <f t="shared" si="36"/>
        <v>37552250</v>
      </c>
      <c r="F18" s="141">
        <f t="shared" ca="1" si="37"/>
        <v>17.142857142857142</v>
      </c>
      <c r="G18" s="140">
        <f t="shared" si="38"/>
        <v>45062700</v>
      </c>
      <c r="H18" s="141">
        <f t="shared" ca="1" si="39"/>
        <v>0</v>
      </c>
      <c r="I18" s="140">
        <f t="shared" si="40"/>
        <v>49151647</v>
      </c>
      <c r="J18" s="141">
        <f t="shared" ca="1" si="41"/>
        <v>0</v>
      </c>
      <c r="K18" s="140" t="str">
        <f t="shared" ca="1" si="42"/>
        <v/>
      </c>
      <c r="L18" s="141" t="str">
        <f t="shared" ca="1" si="43"/>
        <v/>
      </c>
      <c r="M18" s="140" t="str">
        <f t="shared" ca="1" si="44"/>
        <v/>
      </c>
      <c r="N18" s="141" t="str">
        <f t="shared" ca="1" si="45"/>
        <v/>
      </c>
      <c r="O18" s="140" t="str">
        <f t="shared" ca="1" si="46"/>
        <v/>
      </c>
      <c r="P18" s="141" t="str">
        <f t="shared" ca="1" si="47"/>
        <v/>
      </c>
      <c r="Q18" s="140" t="str">
        <f t="shared" ca="1" si="48"/>
        <v/>
      </c>
      <c r="R18" s="141" t="str">
        <f t="shared" ca="1" si="49"/>
        <v/>
      </c>
      <c r="S18" s="140" t="str">
        <f t="shared" ca="1" si="50"/>
        <v/>
      </c>
      <c r="T18" s="141" t="str">
        <f t="shared" ca="1" si="51"/>
        <v/>
      </c>
      <c r="U18" s="140" t="str">
        <f t="shared" ca="1" si="52"/>
        <v/>
      </c>
      <c r="V18" s="141" t="str">
        <f t="shared" ca="1" si="53"/>
        <v/>
      </c>
      <c r="W18" s="140" t="str">
        <f t="shared" ca="1" si="54"/>
        <v/>
      </c>
      <c r="X18" s="141" t="str">
        <f t="shared" ca="1" si="55"/>
        <v/>
      </c>
      <c r="Y18" s="140" t="str">
        <f t="shared" ca="1" si="56"/>
        <v/>
      </c>
      <c r="Z18" s="141" t="str">
        <f t="shared" ca="1" si="57"/>
        <v/>
      </c>
      <c r="AA18" s="140" t="str">
        <f t="shared" ca="1" si="58"/>
        <v/>
      </c>
      <c r="AB18" s="141" t="str">
        <f t="shared" ca="1" si="59"/>
        <v/>
      </c>
      <c r="AC18" s="140" t="str">
        <f t="shared" ca="1" si="60"/>
        <v/>
      </c>
      <c r="AD18" s="141" t="str">
        <f t="shared" ca="1" si="61"/>
        <v/>
      </c>
      <c r="AE18" s="137"/>
      <c r="AF18" s="137"/>
      <c r="AG18" s="137"/>
      <c r="AH18" s="137"/>
      <c r="AI18" s="137"/>
      <c r="AJ18" s="137"/>
      <c r="AL18" s="196">
        <f t="shared" ca="1" si="63"/>
        <v>43922199</v>
      </c>
      <c r="AM18" s="70">
        <f t="shared" ca="1" si="64"/>
        <v>4803613.8888100581</v>
      </c>
      <c r="AN18" s="256">
        <f t="shared" ca="1" si="65"/>
        <v>46324005.944405027</v>
      </c>
      <c r="AO18" s="256">
        <f t="shared" ca="1" si="66"/>
        <v>41520392.055594973</v>
      </c>
    </row>
    <row r="19" spans="1:41" ht="21.75" customHeight="1" outlineLevel="1">
      <c r="A19" s="253" t="s">
        <v>338</v>
      </c>
      <c r="B19" s="139">
        <f t="shared" ca="1" si="62"/>
        <v>66483129.670000002</v>
      </c>
      <c r="C19" s="140" t="str">
        <f t="shared" si="34"/>
        <v/>
      </c>
      <c r="D19" s="141" t="str">
        <f t="shared" si="35"/>
        <v/>
      </c>
      <c r="E19" s="140">
        <f t="shared" si="36"/>
        <v>65716438</v>
      </c>
      <c r="F19" s="141">
        <f t="shared" ca="1" si="37"/>
        <v>17.142857142857142</v>
      </c>
      <c r="G19" s="140">
        <f t="shared" si="38"/>
        <v>65716438</v>
      </c>
      <c r="H19" s="141">
        <f t="shared" ca="1" si="39"/>
        <v>17.142857142857142</v>
      </c>
      <c r="I19" s="140">
        <f t="shared" si="40"/>
        <v>68016513</v>
      </c>
      <c r="J19" s="141">
        <f t="shared" ca="1" si="41"/>
        <v>0</v>
      </c>
      <c r="K19" s="140" t="str">
        <f t="shared" ca="1" si="42"/>
        <v/>
      </c>
      <c r="L19" s="141" t="str">
        <f t="shared" ca="1" si="43"/>
        <v/>
      </c>
      <c r="M19" s="140" t="str">
        <f t="shared" ca="1" si="44"/>
        <v/>
      </c>
      <c r="N19" s="141" t="str">
        <f t="shared" ca="1" si="45"/>
        <v/>
      </c>
      <c r="O19" s="140" t="str">
        <f t="shared" ca="1" si="46"/>
        <v/>
      </c>
      <c r="P19" s="141" t="str">
        <f t="shared" ca="1" si="47"/>
        <v/>
      </c>
      <c r="Q19" s="140" t="str">
        <f t="shared" ca="1" si="48"/>
        <v/>
      </c>
      <c r="R19" s="141" t="str">
        <f t="shared" ca="1" si="49"/>
        <v/>
      </c>
      <c r="S19" s="140" t="str">
        <f t="shared" ca="1" si="50"/>
        <v/>
      </c>
      <c r="T19" s="141" t="str">
        <f t="shared" ca="1" si="51"/>
        <v/>
      </c>
      <c r="U19" s="140" t="str">
        <f t="shared" ca="1" si="52"/>
        <v/>
      </c>
      <c r="V19" s="141" t="str">
        <f t="shared" ca="1" si="53"/>
        <v/>
      </c>
      <c r="W19" s="140" t="str">
        <f t="shared" ca="1" si="54"/>
        <v/>
      </c>
      <c r="X19" s="141" t="str">
        <f t="shared" ca="1" si="55"/>
        <v/>
      </c>
      <c r="Y19" s="140" t="str">
        <f t="shared" ca="1" si="56"/>
        <v/>
      </c>
      <c r="Z19" s="141" t="str">
        <f t="shared" ca="1" si="57"/>
        <v/>
      </c>
      <c r="AA19" s="140" t="str">
        <f t="shared" ca="1" si="58"/>
        <v/>
      </c>
      <c r="AB19" s="141" t="str">
        <f t="shared" ca="1" si="59"/>
        <v/>
      </c>
      <c r="AC19" s="140" t="str">
        <f t="shared" ca="1" si="60"/>
        <v/>
      </c>
      <c r="AD19" s="141" t="str">
        <f t="shared" ca="1" si="61"/>
        <v/>
      </c>
      <c r="AE19" s="137"/>
      <c r="AF19" s="137"/>
      <c r="AG19" s="137"/>
      <c r="AH19" s="137"/>
      <c r="AI19" s="137"/>
      <c r="AJ19" s="137"/>
      <c r="AL19" s="196">
        <f t="shared" ca="1" si="63"/>
        <v>66483129.666666664</v>
      </c>
      <c r="AM19" s="70">
        <f t="shared" ca="1" si="64"/>
        <v>1084265.7531584322</v>
      </c>
      <c r="AN19" s="256">
        <f t="shared" ca="1" si="65"/>
        <v>67025262.543245882</v>
      </c>
      <c r="AO19" s="256">
        <f t="shared" ca="1" si="66"/>
        <v>65940996.790087447</v>
      </c>
    </row>
    <row r="20" spans="1:41" ht="21.75" customHeight="1" outlineLevel="1">
      <c r="A20" s="253" t="s">
        <v>342</v>
      </c>
      <c r="B20" s="139">
        <f t="shared" ca="1" si="62"/>
        <v>85484510.329999998</v>
      </c>
      <c r="C20" s="140" t="str">
        <f t="shared" si="34"/>
        <v/>
      </c>
      <c r="D20" s="141" t="str">
        <f t="shared" si="35"/>
        <v/>
      </c>
      <c r="E20" s="140">
        <f t="shared" si="36"/>
        <v>83423854</v>
      </c>
      <c r="F20" s="141">
        <f t="shared" ca="1" si="37"/>
        <v>17.142857142857142</v>
      </c>
      <c r="G20" s="140">
        <f t="shared" si="38"/>
        <v>89783520</v>
      </c>
      <c r="H20" s="141">
        <f t="shared" ca="1" si="39"/>
        <v>0</v>
      </c>
      <c r="I20" s="140">
        <f t="shared" si="40"/>
        <v>83246157</v>
      </c>
      <c r="J20" s="141">
        <f t="shared" ca="1" si="41"/>
        <v>17.142857142857142</v>
      </c>
      <c r="K20" s="140" t="str">
        <f t="shared" ca="1" si="42"/>
        <v/>
      </c>
      <c r="L20" s="141" t="str">
        <f t="shared" ca="1" si="43"/>
        <v/>
      </c>
      <c r="M20" s="140" t="str">
        <f t="shared" ca="1" si="44"/>
        <v/>
      </c>
      <c r="N20" s="141" t="str">
        <f t="shared" ca="1" si="45"/>
        <v/>
      </c>
      <c r="O20" s="140" t="str">
        <f t="shared" ca="1" si="46"/>
        <v/>
      </c>
      <c r="P20" s="141" t="str">
        <f t="shared" ca="1" si="47"/>
        <v/>
      </c>
      <c r="Q20" s="140" t="str">
        <f t="shared" ca="1" si="48"/>
        <v/>
      </c>
      <c r="R20" s="141" t="str">
        <f t="shared" ca="1" si="49"/>
        <v/>
      </c>
      <c r="S20" s="140" t="str">
        <f t="shared" ca="1" si="50"/>
        <v/>
      </c>
      <c r="T20" s="141" t="str">
        <f t="shared" ca="1" si="51"/>
        <v/>
      </c>
      <c r="U20" s="140" t="str">
        <f t="shared" ca="1" si="52"/>
        <v/>
      </c>
      <c r="V20" s="141" t="str">
        <f t="shared" ca="1" si="53"/>
        <v/>
      </c>
      <c r="W20" s="140" t="str">
        <f t="shared" ca="1" si="54"/>
        <v/>
      </c>
      <c r="X20" s="141" t="str">
        <f t="shared" ca="1" si="55"/>
        <v/>
      </c>
      <c r="Y20" s="140" t="str">
        <f t="shared" ca="1" si="56"/>
        <v/>
      </c>
      <c r="Z20" s="141" t="str">
        <f t="shared" ca="1" si="57"/>
        <v/>
      </c>
      <c r="AA20" s="140" t="str">
        <f t="shared" ca="1" si="58"/>
        <v/>
      </c>
      <c r="AB20" s="141" t="str">
        <f t="shared" ca="1" si="59"/>
        <v/>
      </c>
      <c r="AC20" s="140" t="str">
        <f t="shared" ca="1" si="60"/>
        <v/>
      </c>
      <c r="AD20" s="141" t="str">
        <f t="shared" ca="1" si="61"/>
        <v/>
      </c>
      <c r="AE20" s="137"/>
      <c r="AF20" s="137"/>
      <c r="AG20" s="137"/>
      <c r="AH20" s="137"/>
      <c r="AI20" s="137"/>
      <c r="AJ20" s="137"/>
      <c r="AL20" s="196">
        <f t="shared" ca="1" si="63"/>
        <v>85484510.333333328</v>
      </c>
      <c r="AM20" s="70">
        <f t="shared" ca="1" si="64"/>
        <v>3040724.3809682732</v>
      </c>
      <c r="AN20" s="256">
        <f t="shared" ca="1" si="65"/>
        <v>87004872.523817465</v>
      </c>
      <c r="AO20" s="256">
        <f t="shared" ca="1" si="66"/>
        <v>83964148.142849192</v>
      </c>
    </row>
    <row r="21" spans="1:41" ht="21.75" hidden="1" customHeight="1" outlineLevel="1">
      <c r="A21" s="253"/>
      <c r="B21" s="139" t="str">
        <f t="shared" si="62"/>
        <v/>
      </c>
      <c r="C21" s="140" t="str">
        <f t="shared" si="34"/>
        <v/>
      </c>
      <c r="D21" s="141" t="str">
        <f t="shared" si="35"/>
        <v/>
      </c>
      <c r="E21" s="140" t="str">
        <f t="shared" si="36"/>
        <v/>
      </c>
      <c r="F21" s="141" t="str">
        <f t="shared" si="37"/>
        <v/>
      </c>
      <c r="G21" s="140" t="str">
        <f t="shared" si="38"/>
        <v/>
      </c>
      <c r="H21" s="141" t="str">
        <f t="shared" si="39"/>
        <v/>
      </c>
      <c r="I21" s="140" t="str">
        <f t="shared" si="40"/>
        <v/>
      </c>
      <c r="J21" s="141" t="str">
        <f t="shared" si="41"/>
        <v/>
      </c>
      <c r="K21" s="140" t="str">
        <f t="shared" ca="1" si="42"/>
        <v/>
      </c>
      <c r="L21" s="141" t="str">
        <f t="shared" si="43"/>
        <v/>
      </c>
      <c r="M21" s="140" t="str">
        <f t="shared" ca="1" si="44"/>
        <v/>
      </c>
      <c r="N21" s="141" t="str">
        <f t="shared" si="45"/>
        <v/>
      </c>
      <c r="O21" s="140" t="str">
        <f t="shared" ca="1" si="46"/>
        <v/>
      </c>
      <c r="P21" s="141" t="str">
        <f t="shared" si="47"/>
        <v/>
      </c>
      <c r="Q21" s="140" t="str">
        <f t="shared" ca="1" si="48"/>
        <v/>
      </c>
      <c r="R21" s="141" t="str">
        <f t="shared" si="49"/>
        <v/>
      </c>
      <c r="S21" s="140" t="str">
        <f t="shared" ca="1" si="50"/>
        <v/>
      </c>
      <c r="T21" s="141" t="str">
        <f t="shared" si="51"/>
        <v/>
      </c>
      <c r="U21" s="140" t="str">
        <f t="shared" ca="1" si="52"/>
        <v/>
      </c>
      <c r="V21" s="141" t="str">
        <f t="shared" si="53"/>
        <v/>
      </c>
      <c r="W21" s="140" t="str">
        <f t="shared" ca="1" si="54"/>
        <v/>
      </c>
      <c r="X21" s="141" t="str">
        <f t="shared" si="55"/>
        <v/>
      </c>
      <c r="Y21" s="140" t="str">
        <f t="shared" ca="1" si="56"/>
        <v/>
      </c>
      <c r="Z21" s="141" t="str">
        <f t="shared" si="57"/>
        <v/>
      </c>
      <c r="AA21" s="140" t="str">
        <f t="shared" ca="1" si="58"/>
        <v/>
      </c>
      <c r="AB21" s="141" t="str">
        <f t="shared" si="59"/>
        <v/>
      </c>
      <c r="AC21" s="140" t="str">
        <f t="shared" ca="1" si="60"/>
        <v/>
      </c>
      <c r="AD21" s="141" t="str">
        <f t="shared" si="61"/>
        <v/>
      </c>
      <c r="AE21" s="137"/>
      <c r="AF21" s="137"/>
      <c r="AG21" s="137"/>
      <c r="AH21" s="137"/>
      <c r="AI21" s="137"/>
      <c r="AJ21" s="137"/>
      <c r="AL21" s="196" t="e">
        <f t="shared" ca="1" si="63"/>
        <v>#DIV/0!</v>
      </c>
      <c r="AM21" s="70" t="e">
        <f t="shared" ca="1" si="64"/>
        <v>#DIV/0!</v>
      </c>
      <c r="AN21" s="256" t="e">
        <f t="shared" ca="1" si="65"/>
        <v>#DIV/0!</v>
      </c>
      <c r="AO21" s="256" t="e">
        <f t="shared" ca="1" si="66"/>
        <v>#DIV/0!</v>
      </c>
    </row>
    <row r="22" spans="1:41" ht="21.75" hidden="1" customHeight="1" outlineLevel="1">
      <c r="A22" s="255"/>
      <c r="B22" s="139" t="str">
        <f t="shared" si="62"/>
        <v/>
      </c>
      <c r="C22" s="140" t="str">
        <f t="shared" si="34"/>
        <v/>
      </c>
      <c r="D22" s="141" t="str">
        <f t="shared" si="35"/>
        <v/>
      </c>
      <c r="E22" s="140" t="str">
        <f t="shared" si="36"/>
        <v/>
      </c>
      <c r="F22" s="141" t="str">
        <f t="shared" si="37"/>
        <v/>
      </c>
      <c r="G22" s="140" t="str">
        <f t="shared" si="38"/>
        <v/>
      </c>
      <c r="H22" s="141" t="str">
        <f t="shared" si="39"/>
        <v/>
      </c>
      <c r="I22" s="140" t="str">
        <f t="shared" si="40"/>
        <v/>
      </c>
      <c r="J22" s="141" t="str">
        <f t="shared" si="41"/>
        <v/>
      </c>
      <c r="K22" s="140" t="str">
        <f t="shared" ca="1" si="42"/>
        <v/>
      </c>
      <c r="L22" s="141" t="str">
        <f t="shared" si="43"/>
        <v/>
      </c>
      <c r="M22" s="140" t="str">
        <f t="shared" ca="1" si="44"/>
        <v/>
      </c>
      <c r="N22" s="141" t="str">
        <f t="shared" si="45"/>
        <v/>
      </c>
      <c r="O22" s="140" t="str">
        <f t="shared" ca="1" si="46"/>
        <v/>
      </c>
      <c r="P22" s="141" t="str">
        <f t="shared" si="47"/>
        <v/>
      </c>
      <c r="Q22" s="140" t="str">
        <f t="shared" ca="1" si="48"/>
        <v/>
      </c>
      <c r="R22" s="141" t="str">
        <f t="shared" si="49"/>
        <v/>
      </c>
      <c r="S22" s="140" t="str">
        <f t="shared" ca="1" si="50"/>
        <v/>
      </c>
      <c r="T22" s="141" t="str">
        <f t="shared" si="51"/>
        <v/>
      </c>
      <c r="U22" s="140" t="str">
        <f t="shared" ca="1" si="52"/>
        <v/>
      </c>
      <c r="V22" s="141" t="str">
        <f t="shared" si="53"/>
        <v/>
      </c>
      <c r="W22" s="140" t="str">
        <f t="shared" ca="1" si="54"/>
        <v/>
      </c>
      <c r="X22" s="141" t="str">
        <f t="shared" si="55"/>
        <v/>
      </c>
      <c r="Y22" s="140" t="str">
        <f t="shared" ca="1" si="56"/>
        <v/>
      </c>
      <c r="Z22" s="141" t="str">
        <f t="shared" si="57"/>
        <v/>
      </c>
      <c r="AA22" s="140" t="str">
        <f t="shared" ca="1" si="58"/>
        <v/>
      </c>
      <c r="AB22" s="141" t="str">
        <f t="shared" si="59"/>
        <v/>
      </c>
      <c r="AC22" s="140" t="str">
        <f t="shared" ca="1" si="60"/>
        <v/>
      </c>
      <c r="AD22" s="141" t="str">
        <f t="shared" si="61"/>
        <v/>
      </c>
      <c r="AE22" s="137"/>
      <c r="AF22" s="137"/>
      <c r="AG22" s="137"/>
      <c r="AH22" s="137"/>
      <c r="AI22" s="137"/>
      <c r="AJ22" s="137"/>
      <c r="AL22" s="196" t="e">
        <f t="shared" ca="1" si="63"/>
        <v>#DIV/0!</v>
      </c>
      <c r="AM22" s="70" t="e">
        <f t="shared" ca="1" si="64"/>
        <v>#DIV/0!</v>
      </c>
      <c r="AN22" s="256" t="e">
        <f t="shared" ca="1" si="65"/>
        <v>#DIV/0!</v>
      </c>
      <c r="AO22" s="256" t="e">
        <f t="shared" ca="1" si="66"/>
        <v>#DIV/0!</v>
      </c>
    </row>
    <row r="23" spans="1:41" ht="21.75" hidden="1" customHeight="1" outlineLevel="1">
      <c r="A23" s="255"/>
      <c r="B23" s="139" t="str">
        <f t="shared" si="62"/>
        <v/>
      </c>
      <c r="C23" s="140" t="str">
        <f t="shared" si="34"/>
        <v/>
      </c>
      <c r="D23" s="141" t="str">
        <f t="shared" si="35"/>
        <v/>
      </c>
      <c r="E23" s="140" t="str">
        <f t="shared" si="36"/>
        <v/>
      </c>
      <c r="F23" s="141" t="str">
        <f t="shared" si="37"/>
        <v/>
      </c>
      <c r="G23" s="140" t="str">
        <f t="shared" si="38"/>
        <v/>
      </c>
      <c r="H23" s="141" t="str">
        <f t="shared" si="39"/>
        <v/>
      </c>
      <c r="I23" s="140" t="str">
        <f t="shared" si="40"/>
        <v/>
      </c>
      <c r="J23" s="141" t="str">
        <f t="shared" si="41"/>
        <v/>
      </c>
      <c r="K23" s="140" t="str">
        <f t="shared" ca="1" si="42"/>
        <v/>
      </c>
      <c r="L23" s="141" t="str">
        <f t="shared" si="43"/>
        <v/>
      </c>
      <c r="M23" s="140" t="str">
        <f t="shared" ca="1" si="44"/>
        <v/>
      </c>
      <c r="N23" s="141" t="str">
        <f t="shared" si="45"/>
        <v/>
      </c>
      <c r="O23" s="140" t="str">
        <f t="shared" ca="1" si="46"/>
        <v/>
      </c>
      <c r="P23" s="141" t="str">
        <f t="shared" si="47"/>
        <v/>
      </c>
      <c r="Q23" s="140" t="str">
        <f t="shared" ca="1" si="48"/>
        <v/>
      </c>
      <c r="R23" s="141" t="str">
        <f t="shared" si="49"/>
        <v/>
      </c>
      <c r="S23" s="140" t="str">
        <f t="shared" ca="1" si="50"/>
        <v/>
      </c>
      <c r="T23" s="141" t="str">
        <f t="shared" si="51"/>
        <v/>
      </c>
      <c r="U23" s="140" t="str">
        <f t="shared" ca="1" si="52"/>
        <v/>
      </c>
      <c r="V23" s="141" t="str">
        <f t="shared" si="53"/>
        <v/>
      </c>
      <c r="W23" s="140" t="str">
        <f t="shared" ca="1" si="54"/>
        <v/>
      </c>
      <c r="X23" s="141" t="str">
        <f t="shared" si="55"/>
        <v/>
      </c>
      <c r="Y23" s="140" t="str">
        <f t="shared" ca="1" si="56"/>
        <v/>
      </c>
      <c r="Z23" s="141" t="str">
        <f t="shared" si="57"/>
        <v/>
      </c>
      <c r="AA23" s="140" t="str">
        <f t="shared" ca="1" si="58"/>
        <v/>
      </c>
      <c r="AB23" s="141" t="str">
        <f t="shared" si="59"/>
        <v/>
      </c>
      <c r="AC23" s="140" t="str">
        <f t="shared" ca="1" si="60"/>
        <v/>
      </c>
      <c r="AD23" s="141" t="str">
        <f t="shared" si="61"/>
        <v/>
      </c>
      <c r="AE23" s="137"/>
      <c r="AF23" s="137"/>
      <c r="AG23" s="137"/>
      <c r="AH23" s="137"/>
      <c r="AI23" s="137"/>
      <c r="AJ23" s="137"/>
      <c r="AL23" s="196" t="e">
        <f t="shared" ca="1" si="63"/>
        <v>#DIV/0!</v>
      </c>
      <c r="AM23" s="70" t="e">
        <f t="shared" ca="1" si="64"/>
        <v>#DIV/0!</v>
      </c>
      <c r="AN23" s="256" t="e">
        <f t="shared" ca="1" si="65"/>
        <v>#DIV/0!</v>
      </c>
      <c r="AO23" s="256" t="e">
        <f t="shared" ca="1" si="66"/>
        <v>#DIV/0!</v>
      </c>
    </row>
    <row r="24" spans="1:41" ht="21.75" hidden="1" customHeight="1" outlineLevel="1">
      <c r="A24" s="254"/>
      <c r="B24" s="139" t="str">
        <f t="shared" si="62"/>
        <v/>
      </c>
      <c r="C24" s="140" t="str">
        <f t="shared" si="34"/>
        <v/>
      </c>
      <c r="D24" s="141" t="str">
        <f t="shared" si="35"/>
        <v/>
      </c>
      <c r="E24" s="140" t="str">
        <f t="shared" si="36"/>
        <v/>
      </c>
      <c r="F24" s="141" t="str">
        <f t="shared" si="37"/>
        <v/>
      </c>
      <c r="G24" s="140" t="str">
        <f t="shared" si="38"/>
        <v/>
      </c>
      <c r="H24" s="141" t="str">
        <f t="shared" si="39"/>
        <v/>
      </c>
      <c r="I24" s="140" t="str">
        <f t="shared" si="40"/>
        <v/>
      </c>
      <c r="J24" s="141" t="str">
        <f t="shared" si="41"/>
        <v/>
      </c>
      <c r="K24" s="140" t="str">
        <f t="shared" ca="1" si="42"/>
        <v/>
      </c>
      <c r="L24" s="141" t="str">
        <f t="shared" si="43"/>
        <v/>
      </c>
      <c r="M24" s="140" t="str">
        <f t="shared" ca="1" si="44"/>
        <v/>
      </c>
      <c r="N24" s="141" t="str">
        <f t="shared" si="45"/>
        <v/>
      </c>
      <c r="O24" s="140" t="str">
        <f t="shared" ca="1" si="46"/>
        <v/>
      </c>
      <c r="P24" s="141" t="str">
        <f t="shared" si="47"/>
        <v/>
      </c>
      <c r="Q24" s="140" t="str">
        <f t="shared" ca="1" si="48"/>
        <v/>
      </c>
      <c r="R24" s="141" t="str">
        <f t="shared" si="49"/>
        <v/>
      </c>
      <c r="S24" s="140" t="str">
        <f t="shared" ca="1" si="50"/>
        <v/>
      </c>
      <c r="T24" s="141" t="str">
        <f t="shared" si="51"/>
        <v/>
      </c>
      <c r="U24" s="140" t="str">
        <f t="shared" ca="1" si="52"/>
        <v/>
      </c>
      <c r="V24" s="141" t="str">
        <f t="shared" si="53"/>
        <v/>
      </c>
      <c r="W24" s="140" t="str">
        <f t="shared" ca="1" si="54"/>
        <v/>
      </c>
      <c r="X24" s="141" t="str">
        <f t="shared" si="55"/>
        <v/>
      </c>
      <c r="Y24" s="140" t="str">
        <f t="shared" ca="1" si="56"/>
        <v/>
      </c>
      <c r="Z24" s="141" t="str">
        <f t="shared" si="57"/>
        <v/>
      </c>
      <c r="AA24" s="140" t="str">
        <f t="shared" ca="1" si="58"/>
        <v/>
      </c>
      <c r="AB24" s="141" t="str">
        <f t="shared" si="59"/>
        <v/>
      </c>
      <c r="AC24" s="140" t="str">
        <f t="shared" ca="1" si="60"/>
        <v/>
      </c>
      <c r="AD24" s="141" t="str">
        <f t="shared" si="61"/>
        <v/>
      </c>
      <c r="AE24" s="137"/>
      <c r="AF24" s="137"/>
      <c r="AG24" s="137"/>
      <c r="AH24" s="137"/>
      <c r="AI24" s="137"/>
      <c r="AJ24" s="137"/>
      <c r="AL24" s="196" t="e">
        <f t="shared" ca="1" si="63"/>
        <v>#DIV/0!</v>
      </c>
      <c r="AM24" s="70" t="e">
        <f t="shared" ca="1" si="64"/>
        <v>#DIV/0!</v>
      </c>
      <c r="AN24" s="256" t="e">
        <f t="shared" ca="1" si="65"/>
        <v>#DIV/0!</v>
      </c>
      <c r="AO24" s="256" t="e">
        <f t="shared" ca="1" si="66"/>
        <v>#DIV/0!</v>
      </c>
    </row>
    <row r="25" spans="1:41" ht="21.75" hidden="1" customHeight="1" outlineLevel="1">
      <c r="A25" s="253"/>
      <c r="B25" s="139" t="str">
        <f t="shared" si="62"/>
        <v/>
      </c>
      <c r="C25" s="140" t="str">
        <f t="shared" si="34"/>
        <v/>
      </c>
      <c r="D25" s="141" t="str">
        <f t="shared" si="35"/>
        <v/>
      </c>
      <c r="E25" s="140" t="str">
        <f t="shared" si="36"/>
        <v/>
      </c>
      <c r="F25" s="141" t="str">
        <f t="shared" si="37"/>
        <v/>
      </c>
      <c r="G25" s="140" t="str">
        <f t="shared" si="38"/>
        <v/>
      </c>
      <c r="H25" s="141" t="str">
        <f t="shared" si="39"/>
        <v/>
      </c>
      <c r="I25" s="140" t="str">
        <f t="shared" si="40"/>
        <v/>
      </c>
      <c r="J25" s="141" t="str">
        <f t="shared" si="41"/>
        <v/>
      </c>
      <c r="K25" s="140" t="str">
        <f t="shared" ca="1" si="42"/>
        <v/>
      </c>
      <c r="L25" s="141" t="str">
        <f t="shared" si="43"/>
        <v/>
      </c>
      <c r="M25" s="140" t="str">
        <f t="shared" ca="1" si="44"/>
        <v/>
      </c>
      <c r="N25" s="141" t="str">
        <f t="shared" si="45"/>
        <v/>
      </c>
      <c r="O25" s="140" t="str">
        <f t="shared" ca="1" si="46"/>
        <v/>
      </c>
      <c r="P25" s="141" t="str">
        <f t="shared" si="47"/>
        <v/>
      </c>
      <c r="Q25" s="140" t="str">
        <f t="shared" ca="1" si="48"/>
        <v/>
      </c>
      <c r="R25" s="141" t="str">
        <f t="shared" si="49"/>
        <v/>
      </c>
      <c r="S25" s="140" t="str">
        <f t="shared" ca="1" si="50"/>
        <v/>
      </c>
      <c r="T25" s="141" t="str">
        <f t="shared" si="51"/>
        <v/>
      </c>
      <c r="U25" s="140" t="str">
        <f t="shared" ca="1" si="52"/>
        <v/>
      </c>
      <c r="V25" s="141" t="str">
        <f t="shared" si="53"/>
        <v/>
      </c>
      <c r="W25" s="140" t="str">
        <f t="shared" ca="1" si="54"/>
        <v/>
      </c>
      <c r="X25" s="141" t="str">
        <f t="shared" si="55"/>
        <v/>
      </c>
      <c r="Y25" s="140" t="str">
        <f t="shared" ca="1" si="56"/>
        <v/>
      </c>
      <c r="Z25" s="141" t="str">
        <f t="shared" si="57"/>
        <v/>
      </c>
      <c r="AA25" s="140" t="str">
        <f t="shared" ca="1" si="58"/>
        <v/>
      </c>
      <c r="AB25" s="141" t="str">
        <f t="shared" si="59"/>
        <v/>
      </c>
      <c r="AC25" s="140" t="str">
        <f t="shared" ca="1" si="60"/>
        <v/>
      </c>
      <c r="AD25" s="141" t="str">
        <f t="shared" si="61"/>
        <v/>
      </c>
      <c r="AE25" s="137"/>
      <c r="AF25" s="137"/>
      <c r="AG25" s="137"/>
      <c r="AH25" s="137"/>
      <c r="AI25" s="137"/>
      <c r="AJ25" s="137"/>
      <c r="AL25" s="196" t="e">
        <f t="shared" ca="1" si="63"/>
        <v>#DIV/0!</v>
      </c>
      <c r="AM25" s="70" t="e">
        <f t="shared" ca="1" si="64"/>
        <v>#DIV/0!</v>
      </c>
      <c r="AN25" s="256" t="e">
        <f t="shared" ca="1" si="65"/>
        <v>#DIV/0!</v>
      </c>
      <c r="AO25" s="256" t="e">
        <f t="shared" ca="1" si="66"/>
        <v>#DIV/0!</v>
      </c>
    </row>
    <row r="26" spans="1:41" ht="21.75" hidden="1" customHeight="1" outlineLevel="1">
      <c r="A26" s="253"/>
      <c r="B26" s="139" t="str">
        <f t="shared" si="62"/>
        <v/>
      </c>
      <c r="C26" s="140" t="str">
        <f t="shared" si="34"/>
        <v/>
      </c>
      <c r="D26" s="141" t="str">
        <f t="shared" si="35"/>
        <v/>
      </c>
      <c r="E26" s="140" t="str">
        <f t="shared" si="36"/>
        <v/>
      </c>
      <c r="F26" s="141" t="str">
        <f t="shared" si="37"/>
        <v/>
      </c>
      <c r="G26" s="140" t="str">
        <f t="shared" si="38"/>
        <v/>
      </c>
      <c r="H26" s="141" t="str">
        <f t="shared" si="39"/>
        <v/>
      </c>
      <c r="I26" s="140" t="str">
        <f t="shared" si="40"/>
        <v/>
      </c>
      <c r="J26" s="141" t="str">
        <f t="shared" si="41"/>
        <v/>
      </c>
      <c r="K26" s="140" t="str">
        <f t="shared" ca="1" si="42"/>
        <v/>
      </c>
      <c r="L26" s="141" t="str">
        <f t="shared" si="43"/>
        <v/>
      </c>
      <c r="M26" s="140" t="str">
        <f t="shared" ca="1" si="44"/>
        <v/>
      </c>
      <c r="N26" s="141" t="str">
        <f t="shared" si="45"/>
        <v/>
      </c>
      <c r="O26" s="140" t="str">
        <f t="shared" ca="1" si="46"/>
        <v/>
      </c>
      <c r="P26" s="141" t="str">
        <f t="shared" si="47"/>
        <v/>
      </c>
      <c r="Q26" s="140" t="str">
        <f t="shared" ca="1" si="48"/>
        <v/>
      </c>
      <c r="R26" s="141" t="str">
        <f t="shared" si="49"/>
        <v/>
      </c>
      <c r="S26" s="140" t="str">
        <f t="shared" ca="1" si="50"/>
        <v/>
      </c>
      <c r="T26" s="141" t="str">
        <f t="shared" si="51"/>
        <v/>
      </c>
      <c r="U26" s="140" t="str">
        <f t="shared" ca="1" si="52"/>
        <v/>
      </c>
      <c r="V26" s="141" t="str">
        <f t="shared" si="53"/>
        <v/>
      </c>
      <c r="W26" s="140" t="str">
        <f t="shared" ca="1" si="54"/>
        <v/>
      </c>
      <c r="X26" s="141" t="str">
        <f t="shared" si="55"/>
        <v/>
      </c>
      <c r="Y26" s="140" t="str">
        <f t="shared" ca="1" si="56"/>
        <v/>
      </c>
      <c r="Z26" s="141" t="str">
        <f t="shared" si="57"/>
        <v/>
      </c>
      <c r="AA26" s="140" t="str">
        <f t="shared" ca="1" si="58"/>
        <v/>
      </c>
      <c r="AB26" s="141" t="str">
        <f t="shared" si="59"/>
        <v/>
      </c>
      <c r="AC26" s="140" t="str">
        <f t="shared" ca="1" si="60"/>
        <v/>
      </c>
      <c r="AD26" s="141" t="str">
        <f t="shared" si="61"/>
        <v/>
      </c>
      <c r="AE26" s="137"/>
      <c r="AF26" s="137"/>
      <c r="AG26" s="137"/>
      <c r="AH26" s="137"/>
      <c r="AI26" s="137"/>
      <c r="AJ26" s="137"/>
      <c r="AL26" s="196" t="e">
        <f t="shared" ca="1" si="63"/>
        <v>#DIV/0!</v>
      </c>
      <c r="AM26" s="70" t="e">
        <f t="shared" ca="1" si="64"/>
        <v>#DIV/0!</v>
      </c>
      <c r="AN26" s="256" t="e">
        <f t="shared" ca="1" si="65"/>
        <v>#DIV/0!</v>
      </c>
      <c r="AO26" s="256" t="e">
        <f t="shared" ca="1" si="66"/>
        <v>#DIV/0!</v>
      </c>
    </row>
    <row r="27" spans="1:41" ht="21.75" hidden="1" customHeight="1" outlineLevel="1">
      <c r="A27" s="253"/>
      <c r="B27" s="139" t="str">
        <f t="shared" si="62"/>
        <v/>
      </c>
      <c r="C27" s="140" t="str">
        <f t="shared" si="34"/>
        <v/>
      </c>
      <c r="D27" s="141" t="str">
        <f t="shared" si="35"/>
        <v/>
      </c>
      <c r="E27" s="140" t="str">
        <f t="shared" si="36"/>
        <v/>
      </c>
      <c r="F27" s="141" t="str">
        <f t="shared" si="37"/>
        <v/>
      </c>
      <c r="G27" s="140" t="str">
        <f t="shared" si="38"/>
        <v/>
      </c>
      <c r="H27" s="141" t="str">
        <f t="shared" si="39"/>
        <v/>
      </c>
      <c r="I27" s="140" t="str">
        <f t="shared" si="40"/>
        <v/>
      </c>
      <c r="J27" s="141" t="str">
        <f t="shared" si="41"/>
        <v/>
      </c>
      <c r="K27" s="140" t="str">
        <f t="shared" ca="1" si="42"/>
        <v/>
      </c>
      <c r="L27" s="141" t="str">
        <f t="shared" si="43"/>
        <v/>
      </c>
      <c r="M27" s="140" t="str">
        <f t="shared" ca="1" si="44"/>
        <v/>
      </c>
      <c r="N27" s="141" t="str">
        <f t="shared" si="45"/>
        <v/>
      </c>
      <c r="O27" s="140" t="str">
        <f t="shared" ca="1" si="46"/>
        <v/>
      </c>
      <c r="P27" s="141" t="str">
        <f t="shared" si="47"/>
        <v/>
      </c>
      <c r="Q27" s="140" t="str">
        <f t="shared" ca="1" si="48"/>
        <v/>
      </c>
      <c r="R27" s="141" t="str">
        <f t="shared" si="49"/>
        <v/>
      </c>
      <c r="S27" s="140" t="str">
        <f t="shared" ca="1" si="50"/>
        <v/>
      </c>
      <c r="T27" s="141" t="str">
        <f t="shared" si="51"/>
        <v/>
      </c>
      <c r="U27" s="140" t="str">
        <f t="shared" ca="1" si="52"/>
        <v/>
      </c>
      <c r="V27" s="141" t="str">
        <f t="shared" si="53"/>
        <v/>
      </c>
      <c r="W27" s="140" t="str">
        <f t="shared" ca="1" si="54"/>
        <v/>
      </c>
      <c r="X27" s="141" t="str">
        <f t="shared" si="55"/>
        <v/>
      </c>
      <c r="Y27" s="140" t="str">
        <f t="shared" ca="1" si="56"/>
        <v/>
      </c>
      <c r="Z27" s="141" t="str">
        <f t="shared" si="57"/>
        <v/>
      </c>
      <c r="AA27" s="140" t="str">
        <f t="shared" ca="1" si="58"/>
        <v/>
      </c>
      <c r="AB27" s="141" t="str">
        <f t="shared" si="59"/>
        <v/>
      </c>
      <c r="AC27" s="140" t="str">
        <f t="shared" ca="1" si="60"/>
        <v/>
      </c>
      <c r="AD27" s="141" t="str">
        <f t="shared" si="61"/>
        <v/>
      </c>
      <c r="AE27" s="137"/>
      <c r="AF27" s="137"/>
      <c r="AG27" s="137"/>
      <c r="AH27" s="137"/>
      <c r="AI27" s="137"/>
      <c r="AJ27" s="137"/>
      <c r="AL27" s="196" t="e">
        <f t="shared" ca="1" si="63"/>
        <v>#DIV/0!</v>
      </c>
      <c r="AM27" s="70" t="e">
        <f t="shared" ca="1" si="64"/>
        <v>#DIV/0!</v>
      </c>
      <c r="AN27" s="256" t="e">
        <f t="shared" ca="1" si="65"/>
        <v>#DIV/0!</v>
      </c>
      <c r="AO27" s="256" t="e">
        <f t="shared" ca="1" si="66"/>
        <v>#DIV/0!</v>
      </c>
    </row>
    <row r="28" spans="1:41" ht="21.75" hidden="1" customHeight="1" outlineLevel="1">
      <c r="A28" s="253"/>
      <c r="B28" s="139" t="str">
        <f t="shared" si="62"/>
        <v/>
      </c>
      <c r="C28" s="140" t="str">
        <f t="shared" si="34"/>
        <v/>
      </c>
      <c r="D28" s="141" t="str">
        <f t="shared" si="35"/>
        <v/>
      </c>
      <c r="E28" s="140" t="str">
        <f t="shared" si="36"/>
        <v/>
      </c>
      <c r="F28" s="141" t="str">
        <f t="shared" si="37"/>
        <v/>
      </c>
      <c r="G28" s="140" t="str">
        <f t="shared" si="38"/>
        <v/>
      </c>
      <c r="H28" s="141" t="str">
        <f t="shared" si="39"/>
        <v/>
      </c>
      <c r="I28" s="140" t="str">
        <f t="shared" si="40"/>
        <v/>
      </c>
      <c r="J28" s="141" t="str">
        <f t="shared" si="41"/>
        <v/>
      </c>
      <c r="K28" s="140" t="str">
        <f t="shared" ca="1" si="42"/>
        <v/>
      </c>
      <c r="L28" s="141" t="str">
        <f t="shared" si="43"/>
        <v/>
      </c>
      <c r="M28" s="140" t="str">
        <f t="shared" ca="1" si="44"/>
        <v/>
      </c>
      <c r="N28" s="141" t="str">
        <f t="shared" si="45"/>
        <v/>
      </c>
      <c r="O28" s="140" t="str">
        <f t="shared" ca="1" si="46"/>
        <v/>
      </c>
      <c r="P28" s="141" t="str">
        <f t="shared" si="47"/>
        <v/>
      </c>
      <c r="Q28" s="140" t="str">
        <f t="shared" ca="1" si="48"/>
        <v/>
      </c>
      <c r="R28" s="141" t="str">
        <f t="shared" si="49"/>
        <v/>
      </c>
      <c r="S28" s="140" t="str">
        <f t="shared" ca="1" si="50"/>
        <v/>
      </c>
      <c r="T28" s="141" t="str">
        <f t="shared" si="51"/>
        <v/>
      </c>
      <c r="U28" s="140" t="str">
        <f t="shared" ca="1" si="52"/>
        <v/>
      </c>
      <c r="V28" s="141" t="str">
        <f t="shared" si="53"/>
        <v/>
      </c>
      <c r="W28" s="140" t="str">
        <f t="shared" ca="1" si="54"/>
        <v/>
      </c>
      <c r="X28" s="141" t="str">
        <f t="shared" si="55"/>
        <v/>
      </c>
      <c r="Y28" s="140" t="str">
        <f t="shared" ca="1" si="56"/>
        <v/>
      </c>
      <c r="Z28" s="141" t="str">
        <f t="shared" si="57"/>
        <v/>
      </c>
      <c r="AA28" s="140" t="str">
        <f t="shared" ca="1" si="58"/>
        <v/>
      </c>
      <c r="AB28" s="141" t="str">
        <f t="shared" si="59"/>
        <v/>
      </c>
      <c r="AC28" s="140" t="str">
        <f t="shared" ca="1" si="60"/>
        <v/>
      </c>
      <c r="AD28" s="141" t="str">
        <f t="shared" si="61"/>
        <v/>
      </c>
      <c r="AE28" s="137"/>
      <c r="AF28" s="137"/>
      <c r="AG28" s="137"/>
      <c r="AH28" s="137"/>
      <c r="AI28" s="137"/>
      <c r="AJ28" s="137"/>
      <c r="AL28" s="196" t="e">
        <f t="shared" ca="1" si="63"/>
        <v>#DIV/0!</v>
      </c>
      <c r="AM28" s="70" t="e">
        <f t="shared" ca="1" si="64"/>
        <v>#DIV/0!</v>
      </c>
      <c r="AN28" s="256" t="e">
        <f t="shared" ca="1" si="65"/>
        <v>#DIV/0!</v>
      </c>
      <c r="AO28" s="256" t="e">
        <f t="shared" ca="1" si="66"/>
        <v>#DIV/0!</v>
      </c>
    </row>
    <row r="29" spans="1:41" ht="21.75" hidden="1" customHeight="1" outlineLevel="1">
      <c r="A29" s="253"/>
      <c r="B29" s="139" t="str">
        <f t="shared" si="62"/>
        <v/>
      </c>
      <c r="C29" s="140" t="str">
        <f t="shared" si="34"/>
        <v/>
      </c>
      <c r="D29" s="141" t="str">
        <f t="shared" si="35"/>
        <v/>
      </c>
      <c r="E29" s="140" t="str">
        <f t="shared" si="36"/>
        <v/>
      </c>
      <c r="F29" s="141" t="str">
        <f t="shared" si="37"/>
        <v/>
      </c>
      <c r="G29" s="140" t="str">
        <f t="shared" si="38"/>
        <v/>
      </c>
      <c r="H29" s="141" t="str">
        <f t="shared" si="39"/>
        <v/>
      </c>
      <c r="I29" s="140" t="str">
        <f t="shared" si="40"/>
        <v/>
      </c>
      <c r="J29" s="141" t="str">
        <f t="shared" si="41"/>
        <v/>
      </c>
      <c r="K29" s="140" t="str">
        <f t="shared" ca="1" si="42"/>
        <v/>
      </c>
      <c r="L29" s="141" t="str">
        <f t="shared" si="43"/>
        <v/>
      </c>
      <c r="M29" s="140" t="str">
        <f t="shared" ca="1" si="44"/>
        <v/>
      </c>
      <c r="N29" s="141" t="str">
        <f t="shared" si="45"/>
        <v/>
      </c>
      <c r="O29" s="140" t="str">
        <f t="shared" ca="1" si="46"/>
        <v/>
      </c>
      <c r="P29" s="141" t="str">
        <f t="shared" si="47"/>
        <v/>
      </c>
      <c r="Q29" s="140" t="str">
        <f t="shared" ca="1" si="48"/>
        <v/>
      </c>
      <c r="R29" s="141" t="str">
        <f t="shared" si="49"/>
        <v/>
      </c>
      <c r="S29" s="140" t="str">
        <f t="shared" ca="1" si="50"/>
        <v/>
      </c>
      <c r="T29" s="141" t="str">
        <f t="shared" si="51"/>
        <v/>
      </c>
      <c r="U29" s="140" t="str">
        <f t="shared" ca="1" si="52"/>
        <v/>
      </c>
      <c r="V29" s="141" t="str">
        <f t="shared" si="53"/>
        <v/>
      </c>
      <c r="W29" s="140" t="str">
        <f t="shared" ca="1" si="54"/>
        <v/>
      </c>
      <c r="X29" s="141" t="str">
        <f t="shared" si="55"/>
        <v/>
      </c>
      <c r="Y29" s="140" t="str">
        <f t="shared" ca="1" si="56"/>
        <v/>
      </c>
      <c r="Z29" s="141" t="str">
        <f t="shared" si="57"/>
        <v/>
      </c>
      <c r="AA29" s="140" t="str">
        <f t="shared" ca="1" si="58"/>
        <v/>
      </c>
      <c r="AB29" s="141" t="str">
        <f t="shared" si="59"/>
        <v/>
      </c>
      <c r="AC29" s="140" t="str">
        <f t="shared" ca="1" si="60"/>
        <v/>
      </c>
      <c r="AD29" s="141" t="str">
        <f t="shared" si="61"/>
        <v/>
      </c>
      <c r="AE29" s="137"/>
      <c r="AF29" s="137"/>
      <c r="AG29" s="137"/>
      <c r="AH29" s="137"/>
      <c r="AI29" s="137"/>
      <c r="AJ29" s="137"/>
      <c r="AL29" s="196" t="e">
        <f t="shared" ca="1" si="63"/>
        <v>#DIV/0!</v>
      </c>
      <c r="AM29" s="70" t="e">
        <f t="shared" ca="1" si="64"/>
        <v>#DIV/0!</v>
      </c>
      <c r="AN29" s="256" t="e">
        <f t="shared" ca="1" si="65"/>
        <v>#DIV/0!</v>
      </c>
      <c r="AO29" s="256" t="e">
        <f t="shared" ca="1" si="66"/>
        <v>#DIV/0!</v>
      </c>
    </row>
    <row r="30" spans="1:41" ht="21.75" hidden="1" customHeight="1" outlineLevel="1">
      <c r="A30" s="253"/>
      <c r="B30" s="139" t="str">
        <f t="shared" si="62"/>
        <v/>
      </c>
      <c r="C30" s="140" t="str">
        <f t="shared" si="34"/>
        <v/>
      </c>
      <c r="D30" s="141" t="str">
        <f t="shared" si="35"/>
        <v/>
      </c>
      <c r="E30" s="140" t="str">
        <f t="shared" si="36"/>
        <v/>
      </c>
      <c r="F30" s="141" t="str">
        <f t="shared" si="37"/>
        <v/>
      </c>
      <c r="G30" s="140" t="str">
        <f t="shared" si="38"/>
        <v/>
      </c>
      <c r="H30" s="141" t="str">
        <f t="shared" si="39"/>
        <v/>
      </c>
      <c r="I30" s="140" t="str">
        <f t="shared" si="40"/>
        <v/>
      </c>
      <c r="J30" s="141" t="str">
        <f t="shared" si="41"/>
        <v/>
      </c>
      <c r="K30" s="140" t="str">
        <f t="shared" ca="1" si="42"/>
        <v/>
      </c>
      <c r="L30" s="141" t="str">
        <f t="shared" si="43"/>
        <v/>
      </c>
      <c r="M30" s="140" t="str">
        <f t="shared" ca="1" si="44"/>
        <v/>
      </c>
      <c r="N30" s="141" t="str">
        <f t="shared" si="45"/>
        <v/>
      </c>
      <c r="O30" s="140" t="str">
        <f t="shared" ca="1" si="46"/>
        <v/>
      </c>
      <c r="P30" s="141" t="str">
        <f t="shared" si="47"/>
        <v/>
      </c>
      <c r="Q30" s="140" t="str">
        <f t="shared" ca="1" si="48"/>
        <v/>
      </c>
      <c r="R30" s="141" t="str">
        <f t="shared" si="49"/>
        <v/>
      </c>
      <c r="S30" s="140" t="str">
        <f t="shared" ca="1" si="50"/>
        <v/>
      </c>
      <c r="T30" s="141" t="str">
        <f t="shared" si="51"/>
        <v/>
      </c>
      <c r="U30" s="140" t="str">
        <f t="shared" ca="1" si="52"/>
        <v/>
      </c>
      <c r="V30" s="141" t="str">
        <f t="shared" si="53"/>
        <v/>
      </c>
      <c r="W30" s="140" t="str">
        <f t="shared" ca="1" si="54"/>
        <v/>
      </c>
      <c r="X30" s="141" t="str">
        <f t="shared" si="55"/>
        <v/>
      </c>
      <c r="Y30" s="140" t="str">
        <f t="shared" ca="1" si="56"/>
        <v/>
      </c>
      <c r="Z30" s="141" t="str">
        <f t="shared" si="57"/>
        <v/>
      </c>
      <c r="AA30" s="140" t="str">
        <f t="shared" ca="1" si="58"/>
        <v/>
      </c>
      <c r="AB30" s="141" t="str">
        <f t="shared" si="59"/>
        <v/>
      </c>
      <c r="AC30" s="140" t="str">
        <f t="shared" ca="1" si="60"/>
        <v/>
      </c>
      <c r="AD30" s="141" t="str">
        <f t="shared" si="61"/>
        <v/>
      </c>
      <c r="AE30" s="137"/>
      <c r="AF30" s="137"/>
      <c r="AG30" s="137"/>
      <c r="AH30" s="137"/>
      <c r="AI30" s="137"/>
      <c r="AJ30" s="137"/>
      <c r="AL30" s="196" t="e">
        <f t="shared" ca="1" si="63"/>
        <v>#DIV/0!</v>
      </c>
      <c r="AM30" s="70" t="e">
        <f t="shared" ca="1" si="64"/>
        <v>#DIV/0!</v>
      </c>
      <c r="AN30" s="256" t="e">
        <f t="shared" ca="1" si="65"/>
        <v>#DIV/0!</v>
      </c>
      <c r="AO30" s="256" t="e">
        <f t="shared" ca="1" si="66"/>
        <v>#DIV/0!</v>
      </c>
    </row>
    <row r="31" spans="1:41" ht="21.75" hidden="1" customHeight="1" outlineLevel="1">
      <c r="A31" s="253"/>
      <c r="B31" s="139" t="str">
        <f t="shared" si="62"/>
        <v/>
      </c>
      <c r="C31" s="140" t="str">
        <f t="shared" si="34"/>
        <v/>
      </c>
      <c r="D31" s="141" t="str">
        <f t="shared" si="35"/>
        <v/>
      </c>
      <c r="E31" s="140" t="str">
        <f t="shared" si="36"/>
        <v/>
      </c>
      <c r="F31" s="141" t="str">
        <f t="shared" si="37"/>
        <v/>
      </c>
      <c r="G31" s="140" t="str">
        <f t="shared" si="38"/>
        <v/>
      </c>
      <c r="H31" s="141" t="str">
        <f t="shared" si="39"/>
        <v/>
      </c>
      <c r="I31" s="140" t="str">
        <f t="shared" si="40"/>
        <v/>
      </c>
      <c r="J31" s="141" t="str">
        <f t="shared" si="41"/>
        <v/>
      </c>
      <c r="K31" s="140" t="str">
        <f t="shared" ca="1" si="42"/>
        <v/>
      </c>
      <c r="L31" s="141" t="str">
        <f t="shared" si="43"/>
        <v/>
      </c>
      <c r="M31" s="140" t="str">
        <f t="shared" ca="1" si="44"/>
        <v/>
      </c>
      <c r="N31" s="141" t="str">
        <f t="shared" si="45"/>
        <v/>
      </c>
      <c r="O31" s="140" t="str">
        <f t="shared" ca="1" si="46"/>
        <v/>
      </c>
      <c r="P31" s="141" t="str">
        <f t="shared" si="47"/>
        <v/>
      </c>
      <c r="Q31" s="140" t="str">
        <f t="shared" ca="1" si="48"/>
        <v/>
      </c>
      <c r="R31" s="141" t="str">
        <f t="shared" si="49"/>
        <v/>
      </c>
      <c r="S31" s="140" t="str">
        <f t="shared" ca="1" si="50"/>
        <v/>
      </c>
      <c r="T31" s="141" t="str">
        <f t="shared" si="51"/>
        <v/>
      </c>
      <c r="U31" s="140" t="str">
        <f t="shared" ca="1" si="52"/>
        <v/>
      </c>
      <c r="V31" s="141" t="str">
        <f t="shared" si="53"/>
        <v/>
      </c>
      <c r="W31" s="140" t="str">
        <f t="shared" ca="1" si="54"/>
        <v/>
      </c>
      <c r="X31" s="141" t="str">
        <f t="shared" si="55"/>
        <v/>
      </c>
      <c r="Y31" s="140" t="str">
        <f t="shared" ca="1" si="56"/>
        <v/>
      </c>
      <c r="Z31" s="141" t="str">
        <f t="shared" si="57"/>
        <v/>
      </c>
      <c r="AA31" s="140" t="str">
        <f t="shared" ca="1" si="58"/>
        <v/>
      </c>
      <c r="AB31" s="141" t="str">
        <f t="shared" si="59"/>
        <v/>
      </c>
      <c r="AC31" s="140" t="str">
        <f t="shared" ca="1" si="60"/>
        <v/>
      </c>
      <c r="AD31" s="141" t="str">
        <f t="shared" si="61"/>
        <v/>
      </c>
      <c r="AE31" s="137"/>
      <c r="AF31" s="137"/>
      <c r="AG31" s="137"/>
      <c r="AH31" s="137"/>
      <c r="AI31" s="137"/>
      <c r="AJ31" s="137"/>
      <c r="AL31" s="196" t="e">
        <f t="shared" ca="1" si="63"/>
        <v>#DIV/0!</v>
      </c>
      <c r="AM31" s="70" t="e">
        <f t="shared" ca="1" si="64"/>
        <v>#DIV/0!</v>
      </c>
      <c r="AN31" s="256" t="e">
        <f t="shared" ca="1" si="65"/>
        <v>#DIV/0!</v>
      </c>
      <c r="AO31" s="256" t="e">
        <f t="shared" ca="1" si="66"/>
        <v>#DIV/0!</v>
      </c>
    </row>
    <row r="32" spans="1:41" ht="21.75" hidden="1" customHeight="1" outlineLevel="1">
      <c r="A32" s="253"/>
      <c r="B32" s="139" t="str">
        <f t="shared" si="62"/>
        <v/>
      </c>
      <c r="C32" s="140" t="str">
        <f t="shared" si="34"/>
        <v/>
      </c>
      <c r="D32" s="141" t="str">
        <f t="shared" si="35"/>
        <v/>
      </c>
      <c r="E32" s="140" t="str">
        <f t="shared" si="36"/>
        <v/>
      </c>
      <c r="F32" s="141" t="str">
        <f t="shared" si="37"/>
        <v/>
      </c>
      <c r="G32" s="140" t="str">
        <f t="shared" si="38"/>
        <v/>
      </c>
      <c r="H32" s="141" t="str">
        <f t="shared" si="39"/>
        <v/>
      </c>
      <c r="I32" s="140" t="str">
        <f t="shared" si="40"/>
        <v/>
      </c>
      <c r="J32" s="141" t="str">
        <f t="shared" si="41"/>
        <v/>
      </c>
      <c r="K32" s="140" t="str">
        <f t="shared" ca="1" si="42"/>
        <v/>
      </c>
      <c r="L32" s="141" t="str">
        <f t="shared" si="43"/>
        <v/>
      </c>
      <c r="M32" s="140" t="str">
        <f t="shared" ca="1" si="44"/>
        <v/>
      </c>
      <c r="N32" s="141" t="str">
        <f t="shared" si="45"/>
        <v/>
      </c>
      <c r="O32" s="140" t="str">
        <f t="shared" ca="1" si="46"/>
        <v/>
      </c>
      <c r="P32" s="141" t="str">
        <f t="shared" si="47"/>
        <v/>
      </c>
      <c r="Q32" s="140" t="str">
        <f t="shared" ca="1" si="48"/>
        <v/>
      </c>
      <c r="R32" s="141" t="str">
        <f t="shared" si="49"/>
        <v/>
      </c>
      <c r="S32" s="140" t="str">
        <f t="shared" ca="1" si="50"/>
        <v/>
      </c>
      <c r="T32" s="141" t="str">
        <f t="shared" si="51"/>
        <v/>
      </c>
      <c r="U32" s="140" t="str">
        <f t="shared" ca="1" si="52"/>
        <v/>
      </c>
      <c r="V32" s="141" t="str">
        <f t="shared" si="53"/>
        <v/>
      </c>
      <c r="W32" s="140" t="str">
        <f t="shared" ca="1" si="54"/>
        <v/>
      </c>
      <c r="X32" s="141" t="str">
        <f t="shared" si="55"/>
        <v/>
      </c>
      <c r="Y32" s="140" t="str">
        <f t="shared" ca="1" si="56"/>
        <v/>
      </c>
      <c r="Z32" s="141" t="str">
        <f t="shared" si="57"/>
        <v/>
      </c>
      <c r="AA32" s="140" t="str">
        <f t="shared" ca="1" si="58"/>
        <v/>
      </c>
      <c r="AB32" s="141" t="str">
        <f t="shared" si="59"/>
        <v/>
      </c>
      <c r="AC32" s="140" t="str">
        <f t="shared" ca="1" si="60"/>
        <v/>
      </c>
      <c r="AD32" s="141" t="str">
        <f t="shared" si="61"/>
        <v/>
      </c>
      <c r="AE32" s="137"/>
      <c r="AF32" s="137"/>
      <c r="AG32" s="137"/>
      <c r="AH32" s="137"/>
      <c r="AI32" s="137"/>
      <c r="AJ32" s="137"/>
      <c r="AL32" s="196" t="e">
        <f t="shared" ca="1" si="63"/>
        <v>#DIV/0!</v>
      </c>
      <c r="AM32" s="70" t="e">
        <f t="shared" ca="1" si="64"/>
        <v>#DIV/0!</v>
      </c>
      <c r="AN32" s="256" t="e">
        <f t="shared" ca="1" si="65"/>
        <v>#DIV/0!</v>
      </c>
      <c r="AO32" s="256" t="e">
        <f t="shared" ca="1" si="66"/>
        <v>#DIV/0!</v>
      </c>
    </row>
    <row r="33" spans="1:41" ht="21.75" hidden="1" customHeight="1" outlineLevel="1">
      <c r="A33" s="253"/>
      <c r="B33" s="139" t="str">
        <f t="shared" si="62"/>
        <v/>
      </c>
      <c r="C33" s="140" t="str">
        <f t="shared" si="34"/>
        <v/>
      </c>
      <c r="D33" s="141" t="str">
        <f t="shared" si="35"/>
        <v/>
      </c>
      <c r="E33" s="140" t="str">
        <f t="shared" si="36"/>
        <v/>
      </c>
      <c r="F33" s="141" t="str">
        <f t="shared" si="37"/>
        <v/>
      </c>
      <c r="G33" s="140" t="str">
        <f t="shared" si="38"/>
        <v/>
      </c>
      <c r="H33" s="141" t="str">
        <f t="shared" si="39"/>
        <v/>
      </c>
      <c r="I33" s="140" t="str">
        <f t="shared" si="40"/>
        <v/>
      </c>
      <c r="J33" s="141" t="str">
        <f t="shared" si="41"/>
        <v/>
      </c>
      <c r="K33" s="140" t="str">
        <f t="shared" ca="1" si="42"/>
        <v/>
      </c>
      <c r="L33" s="141" t="str">
        <f t="shared" si="43"/>
        <v/>
      </c>
      <c r="M33" s="140" t="str">
        <f t="shared" ca="1" si="44"/>
        <v/>
      </c>
      <c r="N33" s="141" t="str">
        <f t="shared" si="45"/>
        <v/>
      </c>
      <c r="O33" s="140" t="str">
        <f t="shared" ca="1" si="46"/>
        <v/>
      </c>
      <c r="P33" s="141" t="str">
        <f t="shared" si="47"/>
        <v/>
      </c>
      <c r="Q33" s="140" t="str">
        <f t="shared" ca="1" si="48"/>
        <v/>
      </c>
      <c r="R33" s="141" t="str">
        <f t="shared" si="49"/>
        <v/>
      </c>
      <c r="S33" s="140" t="str">
        <f t="shared" ca="1" si="50"/>
        <v/>
      </c>
      <c r="T33" s="141" t="str">
        <f t="shared" si="51"/>
        <v/>
      </c>
      <c r="U33" s="140" t="str">
        <f t="shared" ca="1" si="52"/>
        <v/>
      </c>
      <c r="V33" s="141" t="str">
        <f t="shared" si="53"/>
        <v/>
      </c>
      <c r="W33" s="140" t="str">
        <f t="shared" ca="1" si="54"/>
        <v/>
      </c>
      <c r="X33" s="141" t="str">
        <f t="shared" si="55"/>
        <v/>
      </c>
      <c r="Y33" s="140" t="str">
        <f t="shared" ca="1" si="56"/>
        <v/>
      </c>
      <c r="Z33" s="141" t="str">
        <f t="shared" si="57"/>
        <v/>
      </c>
      <c r="AA33" s="140" t="str">
        <f t="shared" ca="1" si="58"/>
        <v/>
      </c>
      <c r="AB33" s="141" t="str">
        <f t="shared" si="59"/>
        <v/>
      </c>
      <c r="AC33" s="140" t="str">
        <f t="shared" ca="1" si="60"/>
        <v/>
      </c>
      <c r="AD33" s="141" t="str">
        <f t="shared" si="61"/>
        <v/>
      </c>
      <c r="AE33" s="137"/>
      <c r="AF33" s="137"/>
      <c r="AG33" s="137"/>
      <c r="AH33" s="137"/>
      <c r="AI33" s="137"/>
      <c r="AJ33" s="137"/>
      <c r="AL33" s="196" t="e">
        <f t="shared" ca="1" si="63"/>
        <v>#DIV/0!</v>
      </c>
      <c r="AM33" s="70" t="e">
        <f t="shared" ca="1" si="64"/>
        <v>#DIV/0!</v>
      </c>
      <c r="AN33" s="256" t="e">
        <f t="shared" ca="1" si="65"/>
        <v>#DIV/0!</v>
      </c>
      <c r="AO33" s="256" t="e">
        <f t="shared" ca="1" si="66"/>
        <v>#DIV/0!</v>
      </c>
    </row>
    <row r="34" spans="1:41" ht="21.75" hidden="1" customHeight="1" outlineLevel="1">
      <c r="A34" s="254"/>
      <c r="B34" s="139" t="str">
        <f t="shared" si="62"/>
        <v/>
      </c>
      <c r="C34" s="140" t="str">
        <f t="shared" si="34"/>
        <v/>
      </c>
      <c r="D34" s="141" t="str">
        <f t="shared" si="35"/>
        <v/>
      </c>
      <c r="E34" s="140" t="str">
        <f t="shared" si="36"/>
        <v/>
      </c>
      <c r="F34" s="141" t="str">
        <f t="shared" si="37"/>
        <v/>
      </c>
      <c r="G34" s="140" t="str">
        <f t="shared" si="38"/>
        <v/>
      </c>
      <c r="H34" s="141" t="str">
        <f t="shared" si="39"/>
        <v/>
      </c>
      <c r="I34" s="140" t="str">
        <f t="shared" si="40"/>
        <v/>
      </c>
      <c r="J34" s="141" t="str">
        <f t="shared" si="41"/>
        <v/>
      </c>
      <c r="K34" s="140" t="str">
        <f t="shared" ca="1" si="42"/>
        <v/>
      </c>
      <c r="L34" s="141" t="str">
        <f t="shared" si="43"/>
        <v/>
      </c>
      <c r="M34" s="140" t="str">
        <f t="shared" ca="1" si="44"/>
        <v/>
      </c>
      <c r="N34" s="141" t="str">
        <f t="shared" si="45"/>
        <v/>
      </c>
      <c r="O34" s="140" t="str">
        <f t="shared" ca="1" si="46"/>
        <v/>
      </c>
      <c r="P34" s="141" t="str">
        <f t="shared" si="47"/>
        <v/>
      </c>
      <c r="Q34" s="140" t="str">
        <f t="shared" ca="1" si="48"/>
        <v/>
      </c>
      <c r="R34" s="141" t="str">
        <f t="shared" si="49"/>
        <v/>
      </c>
      <c r="S34" s="140" t="str">
        <f t="shared" ca="1" si="50"/>
        <v/>
      </c>
      <c r="T34" s="141" t="str">
        <f t="shared" si="51"/>
        <v/>
      </c>
      <c r="U34" s="140" t="str">
        <f t="shared" ca="1" si="52"/>
        <v/>
      </c>
      <c r="V34" s="141" t="str">
        <f t="shared" si="53"/>
        <v/>
      </c>
      <c r="W34" s="140" t="str">
        <f t="shared" ca="1" si="54"/>
        <v/>
      </c>
      <c r="X34" s="141" t="str">
        <f t="shared" si="55"/>
        <v/>
      </c>
      <c r="Y34" s="140" t="str">
        <f t="shared" ca="1" si="56"/>
        <v/>
      </c>
      <c r="Z34" s="141" t="str">
        <f t="shared" si="57"/>
        <v/>
      </c>
      <c r="AA34" s="140" t="str">
        <f t="shared" ca="1" si="58"/>
        <v/>
      </c>
      <c r="AB34" s="141" t="str">
        <f t="shared" si="59"/>
        <v/>
      </c>
      <c r="AC34" s="140" t="str">
        <f t="shared" ca="1" si="60"/>
        <v/>
      </c>
      <c r="AD34" s="141" t="str">
        <f t="shared" si="61"/>
        <v/>
      </c>
      <c r="AE34" s="137"/>
      <c r="AF34" s="137"/>
      <c r="AG34" s="137"/>
      <c r="AH34" s="137"/>
      <c r="AI34" s="137"/>
      <c r="AJ34" s="137"/>
      <c r="AL34" s="196" t="e">
        <f t="shared" ca="1" si="63"/>
        <v>#DIV/0!</v>
      </c>
      <c r="AM34" s="70" t="e">
        <f t="shared" ca="1" si="64"/>
        <v>#DIV/0!</v>
      </c>
      <c r="AN34" s="256" t="e">
        <f t="shared" ca="1" si="65"/>
        <v>#DIV/0!</v>
      </c>
      <c r="AO34" s="256" t="e">
        <f t="shared" ca="1" si="66"/>
        <v>#DIV/0!</v>
      </c>
    </row>
    <row r="35" spans="1:41" ht="21.75" hidden="1" customHeight="1" outlineLevel="1">
      <c r="A35" s="253"/>
      <c r="B35" s="139" t="str">
        <f t="shared" si="62"/>
        <v/>
      </c>
      <c r="C35" s="140" t="str">
        <f t="shared" si="34"/>
        <v/>
      </c>
      <c r="D35" s="141" t="str">
        <f t="shared" si="35"/>
        <v/>
      </c>
      <c r="E35" s="140" t="str">
        <f t="shared" si="36"/>
        <v/>
      </c>
      <c r="F35" s="141" t="str">
        <f t="shared" si="37"/>
        <v/>
      </c>
      <c r="G35" s="140" t="str">
        <f t="shared" si="38"/>
        <v/>
      </c>
      <c r="H35" s="141" t="str">
        <f t="shared" si="39"/>
        <v/>
      </c>
      <c r="I35" s="140" t="str">
        <f t="shared" si="40"/>
        <v/>
      </c>
      <c r="J35" s="141" t="str">
        <f t="shared" si="41"/>
        <v/>
      </c>
      <c r="K35" s="140" t="str">
        <f t="shared" ca="1" si="42"/>
        <v/>
      </c>
      <c r="L35" s="141" t="str">
        <f t="shared" si="43"/>
        <v/>
      </c>
      <c r="M35" s="140" t="str">
        <f t="shared" ca="1" si="44"/>
        <v/>
      </c>
      <c r="N35" s="141" t="str">
        <f t="shared" si="45"/>
        <v/>
      </c>
      <c r="O35" s="140" t="str">
        <f t="shared" ca="1" si="46"/>
        <v/>
      </c>
      <c r="P35" s="141" t="str">
        <f t="shared" si="47"/>
        <v/>
      </c>
      <c r="Q35" s="140" t="str">
        <f t="shared" ca="1" si="48"/>
        <v/>
      </c>
      <c r="R35" s="141" t="str">
        <f t="shared" si="49"/>
        <v/>
      </c>
      <c r="S35" s="140" t="str">
        <f t="shared" ca="1" si="50"/>
        <v/>
      </c>
      <c r="T35" s="141" t="str">
        <f t="shared" si="51"/>
        <v/>
      </c>
      <c r="U35" s="140" t="str">
        <f t="shared" ca="1" si="52"/>
        <v/>
      </c>
      <c r="V35" s="141" t="str">
        <f t="shared" si="53"/>
        <v/>
      </c>
      <c r="W35" s="140" t="str">
        <f t="shared" ca="1" si="54"/>
        <v/>
      </c>
      <c r="X35" s="141" t="str">
        <f t="shared" si="55"/>
        <v/>
      </c>
      <c r="Y35" s="140" t="str">
        <f t="shared" ca="1" si="56"/>
        <v/>
      </c>
      <c r="Z35" s="141" t="str">
        <f t="shared" si="57"/>
        <v/>
      </c>
      <c r="AA35" s="140" t="str">
        <f t="shared" ca="1" si="58"/>
        <v/>
      </c>
      <c r="AB35" s="141" t="str">
        <f t="shared" si="59"/>
        <v/>
      </c>
      <c r="AC35" s="140" t="str">
        <f t="shared" ca="1" si="60"/>
        <v/>
      </c>
      <c r="AD35" s="141" t="str">
        <f t="shared" si="61"/>
        <v/>
      </c>
      <c r="AE35" s="137"/>
      <c r="AF35" s="137"/>
      <c r="AG35" s="137"/>
      <c r="AH35" s="137"/>
      <c r="AI35" s="137"/>
      <c r="AJ35" s="137"/>
      <c r="AL35" s="196" t="e">
        <f t="shared" ca="1" si="63"/>
        <v>#DIV/0!</v>
      </c>
      <c r="AM35" s="70" t="e">
        <f t="shared" ca="1" si="64"/>
        <v>#DIV/0!</v>
      </c>
      <c r="AN35" s="256" t="e">
        <f t="shared" ca="1" si="65"/>
        <v>#DIV/0!</v>
      </c>
      <c r="AO35" s="256" t="e">
        <f t="shared" ca="1" si="66"/>
        <v>#DIV/0!</v>
      </c>
    </row>
    <row r="36" spans="1:41" ht="21.75" hidden="1" customHeight="1" outlineLevel="1">
      <c r="A36" s="253"/>
      <c r="B36" s="139" t="str">
        <f t="shared" si="62"/>
        <v/>
      </c>
      <c r="C36" s="140" t="str">
        <f t="shared" si="34"/>
        <v/>
      </c>
      <c r="D36" s="141" t="str">
        <f t="shared" si="35"/>
        <v/>
      </c>
      <c r="E36" s="140" t="str">
        <f t="shared" si="36"/>
        <v/>
      </c>
      <c r="F36" s="141" t="str">
        <f t="shared" si="37"/>
        <v/>
      </c>
      <c r="G36" s="140" t="str">
        <f t="shared" si="38"/>
        <v/>
      </c>
      <c r="H36" s="141" t="str">
        <f t="shared" si="39"/>
        <v/>
      </c>
      <c r="I36" s="140" t="str">
        <f t="shared" si="40"/>
        <v/>
      </c>
      <c r="J36" s="141" t="str">
        <f t="shared" si="41"/>
        <v/>
      </c>
      <c r="K36" s="140" t="str">
        <f t="shared" ca="1" si="42"/>
        <v/>
      </c>
      <c r="L36" s="141" t="str">
        <f t="shared" si="43"/>
        <v/>
      </c>
      <c r="M36" s="140" t="str">
        <f t="shared" ca="1" si="44"/>
        <v/>
      </c>
      <c r="N36" s="141" t="str">
        <f t="shared" si="45"/>
        <v/>
      </c>
      <c r="O36" s="140" t="str">
        <f t="shared" ca="1" si="46"/>
        <v/>
      </c>
      <c r="P36" s="141" t="str">
        <f t="shared" si="47"/>
        <v/>
      </c>
      <c r="Q36" s="140" t="str">
        <f t="shared" ca="1" si="48"/>
        <v/>
      </c>
      <c r="R36" s="141" t="str">
        <f t="shared" si="49"/>
        <v/>
      </c>
      <c r="S36" s="140" t="str">
        <f t="shared" ca="1" si="50"/>
        <v/>
      </c>
      <c r="T36" s="141" t="str">
        <f t="shared" si="51"/>
        <v/>
      </c>
      <c r="U36" s="140" t="str">
        <f t="shared" ca="1" si="52"/>
        <v/>
      </c>
      <c r="V36" s="141" t="str">
        <f t="shared" si="53"/>
        <v/>
      </c>
      <c r="W36" s="140" t="str">
        <f t="shared" ca="1" si="54"/>
        <v/>
      </c>
      <c r="X36" s="141" t="str">
        <f t="shared" si="55"/>
        <v/>
      </c>
      <c r="Y36" s="140" t="str">
        <f t="shared" ca="1" si="56"/>
        <v/>
      </c>
      <c r="Z36" s="141" t="str">
        <f t="shared" si="57"/>
        <v/>
      </c>
      <c r="AA36" s="140" t="str">
        <f t="shared" ca="1" si="58"/>
        <v/>
      </c>
      <c r="AB36" s="141" t="str">
        <f t="shared" si="59"/>
        <v/>
      </c>
      <c r="AC36" s="140" t="str">
        <f t="shared" ca="1" si="60"/>
        <v/>
      </c>
      <c r="AD36" s="141" t="str">
        <f t="shared" si="61"/>
        <v/>
      </c>
      <c r="AE36" s="137"/>
      <c r="AF36" s="137"/>
      <c r="AG36" s="137"/>
      <c r="AH36" s="137"/>
      <c r="AI36" s="137"/>
      <c r="AJ36" s="137"/>
      <c r="AL36" s="196" t="e">
        <f t="shared" ca="1" si="63"/>
        <v>#DIV/0!</v>
      </c>
      <c r="AM36" s="70" t="e">
        <f t="shared" ca="1" si="64"/>
        <v>#DIV/0!</v>
      </c>
      <c r="AN36" s="256" t="e">
        <f t="shared" ca="1" si="65"/>
        <v>#DIV/0!</v>
      </c>
      <c r="AO36" s="256" t="e">
        <f t="shared" ca="1" si="66"/>
        <v>#DIV/0!</v>
      </c>
    </row>
    <row r="37" spans="1:41" ht="21.75" hidden="1" customHeight="1" outlineLevel="1">
      <c r="A37" s="253"/>
      <c r="B37" s="139" t="str">
        <f t="shared" si="62"/>
        <v/>
      </c>
      <c r="C37" s="140" t="str">
        <f t="shared" si="34"/>
        <v/>
      </c>
      <c r="D37" s="141" t="str">
        <f t="shared" si="35"/>
        <v/>
      </c>
      <c r="E37" s="140" t="str">
        <f t="shared" si="36"/>
        <v/>
      </c>
      <c r="F37" s="141" t="str">
        <f t="shared" si="37"/>
        <v/>
      </c>
      <c r="G37" s="140" t="str">
        <f t="shared" si="38"/>
        <v/>
      </c>
      <c r="H37" s="141" t="str">
        <f t="shared" si="39"/>
        <v/>
      </c>
      <c r="I37" s="140" t="str">
        <f t="shared" si="40"/>
        <v/>
      </c>
      <c r="J37" s="141" t="str">
        <f t="shared" si="41"/>
        <v/>
      </c>
      <c r="K37" s="140" t="str">
        <f t="shared" ca="1" si="42"/>
        <v/>
      </c>
      <c r="L37" s="141" t="str">
        <f t="shared" si="43"/>
        <v/>
      </c>
      <c r="M37" s="140" t="str">
        <f t="shared" ca="1" si="44"/>
        <v/>
      </c>
      <c r="N37" s="141" t="str">
        <f t="shared" si="45"/>
        <v/>
      </c>
      <c r="O37" s="140" t="str">
        <f t="shared" ca="1" si="46"/>
        <v/>
      </c>
      <c r="P37" s="141" t="str">
        <f t="shared" si="47"/>
        <v/>
      </c>
      <c r="Q37" s="140" t="str">
        <f t="shared" ca="1" si="48"/>
        <v/>
      </c>
      <c r="R37" s="141" t="str">
        <f t="shared" si="49"/>
        <v/>
      </c>
      <c r="S37" s="140" t="str">
        <f t="shared" ca="1" si="50"/>
        <v/>
      </c>
      <c r="T37" s="141" t="str">
        <f t="shared" si="51"/>
        <v/>
      </c>
      <c r="U37" s="140" t="str">
        <f t="shared" ca="1" si="52"/>
        <v/>
      </c>
      <c r="V37" s="141" t="str">
        <f t="shared" si="53"/>
        <v/>
      </c>
      <c r="W37" s="140" t="str">
        <f t="shared" ca="1" si="54"/>
        <v/>
      </c>
      <c r="X37" s="141" t="str">
        <f t="shared" si="55"/>
        <v/>
      </c>
      <c r="Y37" s="140" t="str">
        <f t="shared" ca="1" si="56"/>
        <v/>
      </c>
      <c r="Z37" s="141" t="str">
        <f t="shared" si="57"/>
        <v/>
      </c>
      <c r="AA37" s="140" t="str">
        <f t="shared" ca="1" si="58"/>
        <v/>
      </c>
      <c r="AB37" s="141" t="str">
        <f t="shared" si="59"/>
        <v/>
      </c>
      <c r="AC37" s="140" t="str">
        <f t="shared" ca="1" si="60"/>
        <v/>
      </c>
      <c r="AD37" s="141" t="str">
        <f t="shared" si="61"/>
        <v/>
      </c>
      <c r="AE37" s="137"/>
      <c r="AF37" s="137"/>
      <c r="AG37" s="137"/>
      <c r="AH37" s="137"/>
      <c r="AI37" s="137"/>
      <c r="AJ37" s="137"/>
      <c r="AL37" s="196" t="e">
        <f t="shared" ca="1" si="63"/>
        <v>#DIV/0!</v>
      </c>
      <c r="AM37" s="70" t="e">
        <f t="shared" ca="1" si="64"/>
        <v>#DIV/0!</v>
      </c>
      <c r="AN37" s="256" t="e">
        <f t="shared" ca="1" si="65"/>
        <v>#DIV/0!</v>
      </c>
      <c r="AO37" s="256" t="e">
        <f t="shared" ca="1" si="66"/>
        <v>#DIV/0!</v>
      </c>
    </row>
    <row r="38" spans="1:41" ht="21.75" hidden="1" customHeight="1" outlineLevel="1">
      <c r="A38" s="253"/>
      <c r="B38" s="139" t="str">
        <f t="shared" si="62"/>
        <v/>
      </c>
      <c r="C38" s="140" t="str">
        <f t="shared" si="34"/>
        <v/>
      </c>
      <c r="D38" s="141" t="str">
        <f t="shared" si="35"/>
        <v/>
      </c>
      <c r="E38" s="140" t="str">
        <f t="shared" si="36"/>
        <v/>
      </c>
      <c r="F38" s="141" t="str">
        <f t="shared" si="37"/>
        <v/>
      </c>
      <c r="G38" s="140" t="str">
        <f t="shared" si="38"/>
        <v/>
      </c>
      <c r="H38" s="141" t="str">
        <f t="shared" si="39"/>
        <v/>
      </c>
      <c r="I38" s="140" t="str">
        <f t="shared" si="40"/>
        <v/>
      </c>
      <c r="J38" s="141" t="str">
        <f t="shared" si="41"/>
        <v/>
      </c>
      <c r="K38" s="140" t="str">
        <f t="shared" ca="1" si="42"/>
        <v/>
      </c>
      <c r="L38" s="141" t="str">
        <f t="shared" si="43"/>
        <v/>
      </c>
      <c r="M38" s="140" t="str">
        <f t="shared" ca="1" si="44"/>
        <v/>
      </c>
      <c r="N38" s="141" t="str">
        <f t="shared" si="45"/>
        <v/>
      </c>
      <c r="O38" s="140" t="str">
        <f t="shared" ca="1" si="46"/>
        <v/>
      </c>
      <c r="P38" s="141" t="str">
        <f t="shared" si="47"/>
        <v/>
      </c>
      <c r="Q38" s="140" t="str">
        <f t="shared" ca="1" si="48"/>
        <v/>
      </c>
      <c r="R38" s="141" t="str">
        <f t="shared" si="49"/>
        <v/>
      </c>
      <c r="S38" s="140" t="str">
        <f t="shared" ca="1" si="50"/>
        <v/>
      </c>
      <c r="T38" s="141" t="str">
        <f t="shared" si="51"/>
        <v/>
      </c>
      <c r="U38" s="140" t="str">
        <f t="shared" ca="1" si="52"/>
        <v/>
      </c>
      <c r="V38" s="141" t="str">
        <f t="shared" si="53"/>
        <v/>
      </c>
      <c r="W38" s="140" t="str">
        <f t="shared" ca="1" si="54"/>
        <v/>
      </c>
      <c r="X38" s="141" t="str">
        <f t="shared" si="55"/>
        <v/>
      </c>
      <c r="Y38" s="140" t="str">
        <f t="shared" ca="1" si="56"/>
        <v/>
      </c>
      <c r="Z38" s="141" t="str">
        <f t="shared" si="57"/>
        <v/>
      </c>
      <c r="AA38" s="140" t="str">
        <f t="shared" ca="1" si="58"/>
        <v/>
      </c>
      <c r="AB38" s="141" t="str">
        <f t="shared" si="59"/>
        <v/>
      </c>
      <c r="AC38" s="140" t="str">
        <f t="shared" ca="1" si="60"/>
        <v/>
      </c>
      <c r="AD38" s="141" t="str">
        <f t="shared" si="61"/>
        <v/>
      </c>
      <c r="AE38" s="137"/>
      <c r="AF38" s="137"/>
      <c r="AG38" s="137"/>
      <c r="AH38" s="137"/>
      <c r="AI38" s="137"/>
      <c r="AJ38" s="137"/>
      <c r="AL38" s="196" t="e">
        <f t="shared" ca="1" si="63"/>
        <v>#DIV/0!</v>
      </c>
      <c r="AM38" s="70" t="e">
        <f t="shared" ca="1" si="64"/>
        <v>#DIV/0!</v>
      </c>
      <c r="AN38" s="256" t="e">
        <f t="shared" ca="1" si="65"/>
        <v>#DIV/0!</v>
      </c>
      <c r="AO38" s="256" t="e">
        <f t="shared" ca="1" si="66"/>
        <v>#DIV/0!</v>
      </c>
    </row>
    <row r="39" spans="1:41" ht="21.75" hidden="1" customHeight="1" outlineLevel="1">
      <c r="A39" s="253"/>
      <c r="B39" s="139" t="str">
        <f t="shared" si="62"/>
        <v/>
      </c>
      <c r="C39" s="140" t="str">
        <f t="shared" si="34"/>
        <v/>
      </c>
      <c r="D39" s="141" t="str">
        <f t="shared" si="35"/>
        <v/>
      </c>
      <c r="E39" s="140" t="str">
        <f t="shared" si="36"/>
        <v/>
      </c>
      <c r="F39" s="141" t="str">
        <f t="shared" si="37"/>
        <v/>
      </c>
      <c r="G39" s="140" t="str">
        <f t="shared" si="38"/>
        <v/>
      </c>
      <c r="H39" s="141" t="str">
        <f t="shared" si="39"/>
        <v/>
      </c>
      <c r="I39" s="140" t="str">
        <f t="shared" si="40"/>
        <v/>
      </c>
      <c r="J39" s="141" t="str">
        <f t="shared" si="41"/>
        <v/>
      </c>
      <c r="K39" s="140" t="str">
        <f t="shared" ca="1" si="42"/>
        <v/>
      </c>
      <c r="L39" s="141" t="str">
        <f t="shared" si="43"/>
        <v/>
      </c>
      <c r="M39" s="140" t="str">
        <f t="shared" ca="1" si="44"/>
        <v/>
      </c>
      <c r="N39" s="141" t="str">
        <f t="shared" si="45"/>
        <v/>
      </c>
      <c r="O39" s="140" t="str">
        <f t="shared" ca="1" si="46"/>
        <v/>
      </c>
      <c r="P39" s="141" t="str">
        <f t="shared" si="47"/>
        <v/>
      </c>
      <c r="Q39" s="140" t="str">
        <f t="shared" ca="1" si="48"/>
        <v/>
      </c>
      <c r="R39" s="141" t="str">
        <f t="shared" si="49"/>
        <v/>
      </c>
      <c r="S39" s="140" t="str">
        <f t="shared" ca="1" si="50"/>
        <v/>
      </c>
      <c r="T39" s="141" t="str">
        <f t="shared" si="51"/>
        <v/>
      </c>
      <c r="U39" s="140" t="str">
        <f t="shared" ca="1" si="52"/>
        <v/>
      </c>
      <c r="V39" s="141" t="str">
        <f t="shared" si="53"/>
        <v/>
      </c>
      <c r="W39" s="140" t="str">
        <f t="shared" ca="1" si="54"/>
        <v/>
      </c>
      <c r="X39" s="141" t="str">
        <f t="shared" si="55"/>
        <v/>
      </c>
      <c r="Y39" s="140" t="str">
        <f t="shared" ca="1" si="56"/>
        <v/>
      </c>
      <c r="Z39" s="141" t="str">
        <f t="shared" si="57"/>
        <v/>
      </c>
      <c r="AA39" s="140" t="str">
        <f t="shared" ca="1" si="58"/>
        <v/>
      </c>
      <c r="AB39" s="141" t="str">
        <f t="shared" si="59"/>
        <v/>
      </c>
      <c r="AC39" s="140" t="str">
        <f t="shared" ca="1" si="60"/>
        <v/>
      </c>
      <c r="AD39" s="141" t="str">
        <f t="shared" si="61"/>
        <v/>
      </c>
      <c r="AE39" s="137"/>
      <c r="AF39" s="137"/>
      <c r="AG39" s="137"/>
      <c r="AH39" s="137"/>
      <c r="AI39" s="137"/>
      <c r="AJ39" s="137"/>
      <c r="AL39" s="196" t="e">
        <f t="shared" ca="1" si="63"/>
        <v>#DIV/0!</v>
      </c>
      <c r="AM39" s="70" t="e">
        <f t="shared" ca="1" si="64"/>
        <v>#DIV/0!</v>
      </c>
      <c r="AN39" s="256" t="e">
        <f t="shared" ca="1" si="65"/>
        <v>#DIV/0!</v>
      </c>
      <c r="AO39" s="256" t="e">
        <f t="shared" ca="1" si="66"/>
        <v>#DIV/0!</v>
      </c>
    </row>
    <row r="40" spans="1:41" ht="21.75" hidden="1" customHeight="1">
      <c r="A40" s="253"/>
      <c r="B40" s="139" t="str">
        <f t="shared" si="62"/>
        <v/>
      </c>
      <c r="C40" s="140" t="str">
        <f t="shared" si="34"/>
        <v/>
      </c>
      <c r="D40" s="141" t="str">
        <f t="shared" si="35"/>
        <v/>
      </c>
      <c r="E40" s="140" t="str">
        <f t="shared" si="36"/>
        <v/>
      </c>
      <c r="F40" s="141" t="str">
        <f t="shared" si="37"/>
        <v/>
      </c>
      <c r="G40" s="140" t="str">
        <f t="shared" si="38"/>
        <v/>
      </c>
      <c r="H40" s="141" t="str">
        <f t="shared" si="39"/>
        <v/>
      </c>
      <c r="I40" s="140" t="str">
        <f t="shared" si="40"/>
        <v/>
      </c>
      <c r="J40" s="141" t="str">
        <f t="shared" si="41"/>
        <v/>
      </c>
      <c r="K40" s="140" t="str">
        <f t="shared" ca="1" si="42"/>
        <v/>
      </c>
      <c r="L40" s="141" t="str">
        <f t="shared" si="43"/>
        <v/>
      </c>
      <c r="M40" s="140" t="str">
        <f t="shared" ca="1" si="44"/>
        <v/>
      </c>
      <c r="N40" s="141" t="str">
        <f t="shared" si="45"/>
        <v/>
      </c>
      <c r="O40" s="140" t="str">
        <f t="shared" ca="1" si="46"/>
        <v/>
      </c>
      <c r="P40" s="141" t="str">
        <f t="shared" si="47"/>
        <v/>
      </c>
      <c r="Q40" s="140" t="str">
        <f t="shared" ca="1" si="48"/>
        <v/>
      </c>
      <c r="R40" s="141" t="str">
        <f t="shared" si="49"/>
        <v/>
      </c>
      <c r="S40" s="140" t="str">
        <f t="shared" ca="1" si="50"/>
        <v/>
      </c>
      <c r="T40" s="141" t="str">
        <f t="shared" si="51"/>
        <v/>
      </c>
      <c r="U40" s="140" t="str">
        <f t="shared" ca="1" si="52"/>
        <v/>
      </c>
      <c r="V40" s="141" t="str">
        <f t="shared" si="53"/>
        <v/>
      </c>
      <c r="W40" s="140" t="str">
        <f t="shared" ca="1" si="54"/>
        <v/>
      </c>
      <c r="X40" s="141" t="str">
        <f t="shared" si="55"/>
        <v/>
      </c>
      <c r="Y40" s="140" t="str">
        <f t="shared" ca="1" si="56"/>
        <v/>
      </c>
      <c r="Z40" s="141" t="str">
        <f t="shared" si="57"/>
        <v/>
      </c>
      <c r="AA40" s="140" t="str">
        <f t="shared" ca="1" si="58"/>
        <v/>
      </c>
      <c r="AB40" s="141" t="str">
        <f t="shared" si="59"/>
        <v/>
      </c>
      <c r="AC40" s="140" t="str">
        <f t="shared" ca="1" si="60"/>
        <v/>
      </c>
      <c r="AD40" s="141" t="str">
        <f t="shared" si="61"/>
        <v/>
      </c>
      <c r="AE40" s="137"/>
      <c r="AF40" s="137"/>
      <c r="AG40" s="137"/>
      <c r="AH40" s="137"/>
      <c r="AI40" s="137"/>
      <c r="AJ40" s="137"/>
      <c r="AL40" s="196" t="e">
        <f t="shared" ca="1" si="63"/>
        <v>#DIV/0!</v>
      </c>
      <c r="AM40" s="70" t="e">
        <f t="shared" ca="1" si="64"/>
        <v>#DIV/0!</v>
      </c>
      <c r="AN40" s="256" t="e">
        <f t="shared" ca="1" si="65"/>
        <v>#DIV/0!</v>
      </c>
      <c r="AO40" s="256" t="e">
        <f t="shared" ca="1" si="66"/>
        <v>#DIV/0!</v>
      </c>
    </row>
    <row r="41" spans="1:41" ht="21.75" hidden="1" customHeight="1">
      <c r="A41" s="138"/>
      <c r="B41" s="139" t="str">
        <f t="shared" si="62"/>
        <v/>
      </c>
      <c r="C41" s="140" t="str">
        <f t="shared" si="34"/>
        <v/>
      </c>
      <c r="D41" s="141" t="str">
        <f t="shared" si="35"/>
        <v/>
      </c>
      <c r="E41" s="140" t="str">
        <f t="shared" si="36"/>
        <v/>
      </c>
      <c r="F41" s="141" t="str">
        <f t="shared" si="37"/>
        <v/>
      </c>
      <c r="G41" s="140" t="str">
        <f t="shared" si="38"/>
        <v/>
      </c>
      <c r="H41" s="141" t="str">
        <f t="shared" si="39"/>
        <v/>
      </c>
      <c r="I41" s="140" t="str">
        <f t="shared" si="40"/>
        <v/>
      </c>
      <c r="J41" s="141" t="str">
        <f t="shared" si="41"/>
        <v/>
      </c>
      <c r="K41" s="140" t="str">
        <f t="shared" ca="1" si="42"/>
        <v/>
      </c>
      <c r="L41" s="141" t="str">
        <f t="shared" si="43"/>
        <v/>
      </c>
      <c r="M41" s="140" t="str">
        <f t="shared" ca="1" si="44"/>
        <v/>
      </c>
      <c r="N41" s="141" t="str">
        <f t="shared" si="45"/>
        <v/>
      </c>
      <c r="O41" s="140" t="str">
        <f t="shared" ca="1" si="46"/>
        <v/>
      </c>
      <c r="P41" s="141" t="str">
        <f t="shared" si="47"/>
        <v/>
      </c>
      <c r="Q41" s="140" t="str">
        <f t="shared" ca="1" si="48"/>
        <v/>
      </c>
      <c r="R41" s="141" t="str">
        <f t="shared" si="49"/>
        <v/>
      </c>
      <c r="S41" s="140" t="str">
        <f t="shared" ca="1" si="50"/>
        <v/>
      </c>
      <c r="T41" s="141" t="str">
        <f t="shared" si="51"/>
        <v/>
      </c>
      <c r="U41" s="140" t="str">
        <f t="shared" ca="1" si="52"/>
        <v/>
      </c>
      <c r="V41" s="141" t="str">
        <f t="shared" si="53"/>
        <v/>
      </c>
      <c r="W41" s="140" t="str">
        <f t="shared" ca="1" si="54"/>
        <v/>
      </c>
      <c r="X41" s="141" t="str">
        <f t="shared" si="55"/>
        <v/>
      </c>
      <c r="Y41" s="140" t="str">
        <f t="shared" ca="1" si="56"/>
        <v/>
      </c>
      <c r="Z41" s="141" t="str">
        <f t="shared" si="57"/>
        <v/>
      </c>
      <c r="AA41" s="140" t="str">
        <f t="shared" ca="1" si="58"/>
        <v/>
      </c>
      <c r="AB41" s="141" t="str">
        <f t="shared" si="59"/>
        <v/>
      </c>
      <c r="AC41" s="140" t="str">
        <f t="shared" ca="1" si="60"/>
        <v/>
      </c>
      <c r="AD41" s="141" t="str">
        <f t="shared" si="61"/>
        <v/>
      </c>
      <c r="AE41" s="137"/>
      <c r="AF41" s="137"/>
      <c r="AG41" s="137"/>
      <c r="AH41" s="137"/>
      <c r="AI41" s="137"/>
      <c r="AJ41" s="137"/>
      <c r="AL41" s="196" t="e">
        <f t="shared" ca="1" si="63"/>
        <v>#DIV/0!</v>
      </c>
      <c r="AM41" s="70" t="e">
        <f t="shared" ca="1" si="64"/>
        <v>#DIV/0!</v>
      </c>
      <c r="AN41" s="256" t="e">
        <f t="shared" ca="1" si="65"/>
        <v>#DIV/0!</v>
      </c>
      <c r="AO41" s="256" t="e">
        <f t="shared" ca="1" si="66"/>
        <v>#DIV/0!</v>
      </c>
    </row>
    <row r="42" spans="1:41" ht="21.75" hidden="1" customHeight="1">
      <c r="A42" s="138"/>
      <c r="B42" s="139" t="str">
        <f t="shared" si="62"/>
        <v/>
      </c>
      <c r="C42" s="140" t="str">
        <f t="shared" si="34"/>
        <v/>
      </c>
      <c r="D42" s="141" t="str">
        <f t="shared" si="35"/>
        <v/>
      </c>
      <c r="E42" s="140" t="str">
        <f t="shared" si="36"/>
        <v/>
      </c>
      <c r="F42" s="141" t="str">
        <f t="shared" si="37"/>
        <v/>
      </c>
      <c r="G42" s="140" t="str">
        <f t="shared" si="38"/>
        <v/>
      </c>
      <c r="H42" s="141" t="str">
        <f t="shared" si="39"/>
        <v/>
      </c>
      <c r="I42" s="140" t="str">
        <f t="shared" si="40"/>
        <v/>
      </c>
      <c r="J42" s="141" t="str">
        <f t="shared" si="41"/>
        <v/>
      </c>
      <c r="K42" s="140" t="str">
        <f t="shared" ca="1" si="42"/>
        <v/>
      </c>
      <c r="L42" s="141" t="str">
        <f t="shared" si="43"/>
        <v/>
      </c>
      <c r="M42" s="140" t="str">
        <f t="shared" ca="1" si="44"/>
        <v/>
      </c>
      <c r="N42" s="141" t="str">
        <f t="shared" si="45"/>
        <v/>
      </c>
      <c r="O42" s="140" t="str">
        <f t="shared" ca="1" si="46"/>
        <v/>
      </c>
      <c r="P42" s="141" t="str">
        <f t="shared" si="47"/>
        <v/>
      </c>
      <c r="Q42" s="140" t="str">
        <f t="shared" ca="1" si="48"/>
        <v/>
      </c>
      <c r="R42" s="141" t="str">
        <f t="shared" si="49"/>
        <v/>
      </c>
      <c r="S42" s="140" t="str">
        <f t="shared" ca="1" si="50"/>
        <v/>
      </c>
      <c r="T42" s="141" t="str">
        <f t="shared" si="51"/>
        <v/>
      </c>
      <c r="U42" s="140" t="str">
        <f t="shared" ca="1" si="52"/>
        <v/>
      </c>
      <c r="V42" s="141" t="str">
        <f t="shared" si="53"/>
        <v/>
      </c>
      <c r="W42" s="140" t="str">
        <f t="shared" ca="1" si="54"/>
        <v/>
      </c>
      <c r="X42" s="141" t="str">
        <f t="shared" si="55"/>
        <v/>
      </c>
      <c r="Y42" s="140" t="str">
        <f t="shared" ca="1" si="56"/>
        <v/>
      </c>
      <c r="Z42" s="141" t="str">
        <f t="shared" si="57"/>
        <v/>
      </c>
      <c r="AA42" s="140" t="str">
        <f t="shared" ca="1" si="58"/>
        <v/>
      </c>
      <c r="AB42" s="141" t="str">
        <f t="shared" si="59"/>
        <v/>
      </c>
      <c r="AC42" s="140" t="str">
        <f t="shared" ca="1" si="60"/>
        <v/>
      </c>
      <c r="AD42" s="141" t="str">
        <f t="shared" si="61"/>
        <v/>
      </c>
      <c r="AE42" s="137"/>
      <c r="AF42" s="137"/>
      <c r="AG42" s="137"/>
      <c r="AH42" s="137"/>
      <c r="AI42" s="137"/>
      <c r="AJ42" s="137"/>
      <c r="AL42" s="196" t="e">
        <f t="shared" ca="1" si="63"/>
        <v>#DIV/0!</v>
      </c>
      <c r="AM42" s="70" t="e">
        <f t="shared" ca="1" si="64"/>
        <v>#DIV/0!</v>
      </c>
      <c r="AN42" s="256" t="e">
        <f t="shared" ca="1" si="65"/>
        <v>#DIV/0!</v>
      </c>
      <c r="AO42" s="256" t="e">
        <f t="shared" ca="1" si="66"/>
        <v>#DIV/0!</v>
      </c>
    </row>
    <row r="43" spans="1:41" ht="21.75" hidden="1" customHeight="1">
      <c r="A43" s="138"/>
      <c r="B43" s="139" t="str">
        <f t="shared" si="62"/>
        <v/>
      </c>
      <c r="C43" s="140" t="str">
        <f t="shared" si="34"/>
        <v/>
      </c>
      <c r="D43" s="141" t="str">
        <f t="shared" si="35"/>
        <v/>
      </c>
      <c r="E43" s="140" t="str">
        <f t="shared" si="36"/>
        <v/>
      </c>
      <c r="F43" s="141" t="str">
        <f t="shared" si="37"/>
        <v/>
      </c>
      <c r="G43" s="140" t="str">
        <f t="shared" si="38"/>
        <v/>
      </c>
      <c r="H43" s="141" t="str">
        <f t="shared" si="39"/>
        <v/>
      </c>
      <c r="I43" s="140" t="str">
        <f t="shared" si="40"/>
        <v/>
      </c>
      <c r="J43" s="141" t="str">
        <f t="shared" si="41"/>
        <v/>
      </c>
      <c r="K43" s="140" t="str">
        <f t="shared" ca="1" si="42"/>
        <v/>
      </c>
      <c r="L43" s="141" t="str">
        <f t="shared" si="43"/>
        <v/>
      </c>
      <c r="M43" s="140" t="str">
        <f t="shared" ca="1" si="44"/>
        <v/>
      </c>
      <c r="N43" s="141" t="str">
        <f t="shared" si="45"/>
        <v/>
      </c>
      <c r="O43" s="140" t="str">
        <f t="shared" ca="1" si="46"/>
        <v/>
      </c>
      <c r="P43" s="141" t="str">
        <f t="shared" si="47"/>
        <v/>
      </c>
      <c r="Q43" s="140" t="str">
        <f t="shared" ca="1" si="48"/>
        <v/>
      </c>
      <c r="R43" s="141" t="str">
        <f t="shared" si="49"/>
        <v/>
      </c>
      <c r="S43" s="140" t="str">
        <f t="shared" ca="1" si="50"/>
        <v/>
      </c>
      <c r="T43" s="141" t="str">
        <f t="shared" si="51"/>
        <v/>
      </c>
      <c r="U43" s="140" t="str">
        <f t="shared" ca="1" si="52"/>
        <v/>
      </c>
      <c r="V43" s="141" t="str">
        <f t="shared" si="53"/>
        <v/>
      </c>
      <c r="W43" s="140" t="str">
        <f t="shared" ca="1" si="54"/>
        <v/>
      </c>
      <c r="X43" s="141" t="str">
        <f t="shared" si="55"/>
        <v/>
      </c>
      <c r="Y43" s="140" t="str">
        <f t="shared" ca="1" si="56"/>
        <v/>
      </c>
      <c r="Z43" s="141" t="str">
        <f t="shared" si="57"/>
        <v/>
      </c>
      <c r="AA43" s="140" t="str">
        <f t="shared" ca="1" si="58"/>
        <v/>
      </c>
      <c r="AB43" s="141" t="str">
        <f t="shared" si="59"/>
        <v/>
      </c>
      <c r="AC43" s="140" t="str">
        <f t="shared" ca="1" si="60"/>
        <v/>
      </c>
      <c r="AD43" s="141" t="str">
        <f t="shared" si="61"/>
        <v/>
      </c>
      <c r="AE43" s="137"/>
      <c r="AF43" s="137"/>
      <c r="AG43" s="137"/>
      <c r="AH43" s="137"/>
      <c r="AI43" s="137"/>
      <c r="AJ43" s="137"/>
      <c r="AL43" s="196" t="e">
        <f t="shared" ca="1" si="63"/>
        <v>#DIV/0!</v>
      </c>
      <c r="AM43" s="70" t="e">
        <f t="shared" ca="1" si="64"/>
        <v>#DIV/0!</v>
      </c>
      <c r="AN43" s="256" t="e">
        <f t="shared" ca="1" si="65"/>
        <v>#DIV/0!</v>
      </c>
      <c r="AO43" s="256" t="e">
        <f t="shared" ca="1" si="66"/>
        <v>#DIV/0!</v>
      </c>
    </row>
    <row r="44" spans="1:41" ht="21.75" hidden="1" customHeight="1">
      <c r="A44" s="138"/>
      <c r="B44" s="139" t="str">
        <f t="shared" si="62"/>
        <v/>
      </c>
      <c r="C44" s="140" t="str">
        <f t="shared" si="34"/>
        <v/>
      </c>
      <c r="D44" s="141" t="str">
        <f t="shared" si="35"/>
        <v/>
      </c>
      <c r="E44" s="140" t="str">
        <f t="shared" si="36"/>
        <v/>
      </c>
      <c r="F44" s="141" t="str">
        <f t="shared" si="37"/>
        <v/>
      </c>
      <c r="G44" s="140" t="str">
        <f t="shared" si="38"/>
        <v/>
      </c>
      <c r="H44" s="141" t="str">
        <f t="shared" si="39"/>
        <v/>
      </c>
      <c r="I44" s="140" t="str">
        <f t="shared" si="40"/>
        <v/>
      </c>
      <c r="J44" s="141" t="str">
        <f t="shared" si="41"/>
        <v/>
      </c>
      <c r="K44" s="140" t="str">
        <f t="shared" ca="1" si="42"/>
        <v/>
      </c>
      <c r="L44" s="141" t="str">
        <f t="shared" si="43"/>
        <v/>
      </c>
      <c r="M44" s="140" t="str">
        <f t="shared" ca="1" si="44"/>
        <v/>
      </c>
      <c r="N44" s="141" t="str">
        <f t="shared" si="45"/>
        <v/>
      </c>
      <c r="O44" s="140" t="str">
        <f t="shared" ca="1" si="46"/>
        <v/>
      </c>
      <c r="P44" s="141" t="str">
        <f t="shared" si="47"/>
        <v/>
      </c>
      <c r="Q44" s="140" t="str">
        <f t="shared" ca="1" si="48"/>
        <v/>
      </c>
      <c r="R44" s="141" t="str">
        <f t="shared" si="49"/>
        <v/>
      </c>
      <c r="S44" s="140" t="str">
        <f t="shared" ca="1" si="50"/>
        <v/>
      </c>
      <c r="T44" s="141" t="str">
        <f t="shared" si="51"/>
        <v/>
      </c>
      <c r="U44" s="140" t="str">
        <f t="shared" ca="1" si="52"/>
        <v/>
      </c>
      <c r="V44" s="141" t="str">
        <f t="shared" si="53"/>
        <v/>
      </c>
      <c r="W44" s="140" t="str">
        <f t="shared" ca="1" si="54"/>
        <v/>
      </c>
      <c r="X44" s="141" t="str">
        <f t="shared" si="55"/>
        <v/>
      </c>
      <c r="Y44" s="140" t="str">
        <f t="shared" ca="1" si="56"/>
        <v/>
      </c>
      <c r="Z44" s="141" t="str">
        <f t="shared" si="57"/>
        <v/>
      </c>
      <c r="AA44" s="140" t="str">
        <f t="shared" ca="1" si="58"/>
        <v/>
      </c>
      <c r="AB44" s="141" t="str">
        <f t="shared" si="59"/>
        <v/>
      </c>
      <c r="AC44" s="140" t="str">
        <f t="shared" ca="1" si="60"/>
        <v/>
      </c>
      <c r="AD44" s="141" t="str">
        <f t="shared" si="61"/>
        <v/>
      </c>
      <c r="AE44" s="137"/>
      <c r="AF44" s="137"/>
      <c r="AG44" s="137"/>
      <c r="AH44" s="137"/>
      <c r="AI44" s="137"/>
      <c r="AJ44" s="137"/>
      <c r="AL44" s="196" t="e">
        <f t="shared" ca="1" si="63"/>
        <v>#DIV/0!</v>
      </c>
      <c r="AM44" s="70" t="e">
        <f t="shared" ca="1" si="64"/>
        <v>#DIV/0!</v>
      </c>
      <c r="AN44" s="256" t="e">
        <f t="shared" ca="1" si="65"/>
        <v>#DIV/0!</v>
      </c>
      <c r="AO44" s="256" t="e">
        <f t="shared" ca="1" si="66"/>
        <v>#DIV/0!</v>
      </c>
    </row>
    <row r="45" spans="1:41" ht="21.75" hidden="1" customHeight="1">
      <c r="A45" s="138"/>
      <c r="B45" s="139" t="str">
        <f t="shared" si="62"/>
        <v/>
      </c>
      <c r="C45" s="140" t="str">
        <f t="shared" si="34"/>
        <v/>
      </c>
      <c r="D45" s="141" t="str">
        <f t="shared" si="35"/>
        <v/>
      </c>
      <c r="E45" s="140" t="str">
        <f t="shared" si="36"/>
        <v/>
      </c>
      <c r="F45" s="141" t="str">
        <f t="shared" si="37"/>
        <v/>
      </c>
      <c r="G45" s="140" t="str">
        <f t="shared" si="38"/>
        <v/>
      </c>
      <c r="H45" s="141" t="str">
        <f t="shared" si="39"/>
        <v/>
      </c>
      <c r="I45" s="140" t="str">
        <f t="shared" si="40"/>
        <v/>
      </c>
      <c r="J45" s="141" t="str">
        <f t="shared" si="41"/>
        <v/>
      </c>
      <c r="K45" s="140" t="str">
        <f t="shared" ca="1" si="42"/>
        <v/>
      </c>
      <c r="L45" s="141" t="str">
        <f t="shared" si="43"/>
        <v/>
      </c>
      <c r="M45" s="140" t="str">
        <f t="shared" ca="1" si="44"/>
        <v/>
      </c>
      <c r="N45" s="141" t="str">
        <f t="shared" si="45"/>
        <v/>
      </c>
      <c r="O45" s="140" t="str">
        <f t="shared" ca="1" si="46"/>
        <v/>
      </c>
      <c r="P45" s="141" t="str">
        <f t="shared" si="47"/>
        <v/>
      </c>
      <c r="Q45" s="140" t="str">
        <f t="shared" ca="1" si="48"/>
        <v/>
      </c>
      <c r="R45" s="141" t="str">
        <f t="shared" si="49"/>
        <v/>
      </c>
      <c r="S45" s="140" t="str">
        <f t="shared" ca="1" si="50"/>
        <v/>
      </c>
      <c r="T45" s="141" t="str">
        <f t="shared" si="51"/>
        <v/>
      </c>
      <c r="U45" s="140" t="str">
        <f t="shared" ca="1" si="52"/>
        <v/>
      </c>
      <c r="V45" s="141" t="str">
        <f t="shared" si="53"/>
        <v/>
      </c>
      <c r="W45" s="140" t="str">
        <f t="shared" ca="1" si="54"/>
        <v/>
      </c>
      <c r="X45" s="141" t="str">
        <f t="shared" si="55"/>
        <v/>
      </c>
      <c r="Y45" s="140" t="str">
        <f t="shared" ca="1" si="56"/>
        <v/>
      </c>
      <c r="Z45" s="141" t="str">
        <f t="shared" si="57"/>
        <v/>
      </c>
      <c r="AA45" s="140" t="str">
        <f t="shared" ca="1" si="58"/>
        <v/>
      </c>
      <c r="AB45" s="141" t="str">
        <f t="shared" si="59"/>
        <v/>
      </c>
      <c r="AC45" s="140" t="str">
        <f t="shared" ca="1" si="60"/>
        <v/>
      </c>
      <c r="AD45" s="141" t="str">
        <f t="shared" si="61"/>
        <v/>
      </c>
      <c r="AE45" s="137"/>
      <c r="AF45" s="137"/>
      <c r="AG45" s="137"/>
      <c r="AH45" s="137"/>
      <c r="AI45" s="137"/>
      <c r="AJ45" s="137"/>
      <c r="AL45" s="196" t="e">
        <f t="shared" ca="1" si="63"/>
        <v>#DIV/0!</v>
      </c>
      <c r="AM45" s="70" t="e">
        <f t="shared" ca="1" si="64"/>
        <v>#DIV/0!</v>
      </c>
      <c r="AN45" s="256" t="e">
        <f t="shared" ca="1" si="65"/>
        <v>#DIV/0!</v>
      </c>
      <c r="AO45" s="256" t="e">
        <f t="shared" ca="1" si="66"/>
        <v>#DIV/0!</v>
      </c>
    </row>
    <row r="46" spans="1:41" ht="21.75" hidden="1" customHeight="1">
      <c r="A46" s="138"/>
      <c r="B46" s="139" t="str">
        <f t="shared" si="62"/>
        <v/>
      </c>
      <c r="C46" s="140" t="str">
        <f t="shared" ref="C46:C77" si="67">IF($C$8="Habilitado",IF($A46="","",ROUND(VLOOKUP($A46,OFERENTE_1,20,FALSE),2)),"")</f>
        <v/>
      </c>
      <c r="D46" s="141" t="str">
        <f t="shared" ref="D46:D77" si="68">IF($A46="","",IF(C46="","",IF($K$4="Media aritmética",(C46&lt;=$B46)*($E$5/$B$4)+(C46&gt;$B46)*0,IF(AND(ROUND(AVERAGE($C46,$E46,$G46,$I46,$K46,$M46,$O46,$Q46,$S46,$U46,$W46,$Y46,$AA46,$AC46,$AE46,$AG46,$AI46),2)-$B46/2&lt;=C46,(ROUND(AVERAGE($C46,$E46,$G46,$I46,$K46,$M46,$O46,$Q46,$S46,$U46,$W46,$Y46,$AA46,$AC46,$AE46,$AG46,$AI46),2)+$B46/2&gt;=C46)),($E$5/$B$4),0))))</f>
        <v/>
      </c>
      <c r="E46" s="140" t="str">
        <f t="shared" ref="E46:E77" si="69">IF($E$8="Habilitado",IF($A46="","",ROUND(VLOOKUP($A46,OFERENTE_2,20,FALSE),2)),"")</f>
        <v/>
      </c>
      <c r="F46" s="141" t="str">
        <f t="shared" ref="F46:F77" si="70">IF($A46="","",IF(E46="","",IF($K$4="Media aritmética",(E46&lt;=$B46)*($E$5/$B$4)+(E46&gt;$B46)*0,IF(AND(ROUND(AVERAGE($C46,$E46,$G46,$I46,$K46,$M46,$O46,$Q46,$S46,$U46,$W46,$Y46,$AA46,$AC46,$AE46,$AG46,$AI46),2)-$B46/2&lt;=E46,(ROUND(AVERAGE($C46,$E46,$G46,$I46,$K46,$M46,$O46,$Q46,$S46,$U46,$W46,$Y46,$AA46,$AC46,$AE46,$AG46,$AI46),2)+$B46/2&gt;=E46)),($E$5/$B$4),0))))</f>
        <v/>
      </c>
      <c r="G46" s="140" t="str">
        <f t="shared" ref="G46:G77" si="71">IF($G$8="Habilitado",IF($A46="","",ROUND(VLOOKUP($A46,OFERENTE_3,20,FALSE),2)),"")</f>
        <v/>
      </c>
      <c r="H46" s="141" t="str">
        <f t="shared" ref="H46:H77" si="72">IF($A46="","",IF(G46="","",IF($K$4="Media aritmética",(G46&lt;=$B46)*($E$5/$B$4)+(G46&gt;$B46)*0,IF(AND(ROUND(AVERAGE($C46,$E46,$G46,$I46,$K46,$M46,$O46,$Q46,$S46,$U46,$W46,$Y46,$AA46,$AC46,$AE46,$AG46,$AI46),2)-$B46/2&lt;=G46,(ROUND(AVERAGE($C46,$E46,$G46,$I46,$K46,$M46,$O46,$Q46,$S46,$U46,$W46,$Y46,$AA46,$AC46,$AE46,$AG46,$AI46),2)+$B46/2&gt;=G46)),($E$5/$B$4),0))))</f>
        <v/>
      </c>
      <c r="I46" s="140" t="str">
        <f t="shared" ref="I46:I77" si="73">IF($I$8="Habilitado",IF($A46="","",ROUND(VLOOKUP($A46,OFERENTE_4,20,FALSE),2)),"")</f>
        <v/>
      </c>
      <c r="J46" s="141" t="str">
        <f t="shared" ref="J46:J77" si="74">IF($A46="","",IF(I46="","",IF($K$4="Media aritmética",(I46&lt;=$B46)*($E$5/$B$4)+(I46&gt;$B46)*0,IF(AND(ROUND(AVERAGE($C46,$E46,$G46,$I46,$K46,$M46,$O46,$Q46,$S46,$U46,$W46,$Y46,$AA46,$AC46,$AE46,$AG46,$AI46),2)-$B46/2&lt;=I46,(ROUND(AVERAGE($C46,$E46,$G46,$I46,$K46,$M46,$O46,$Q46,$S46,$U46,$W46,$Y46,$AA46,$AC46,$AE46,$AG46,$AI46),2)+$B46/2&gt;=I46)),($E$5/$B$4),0))))</f>
        <v/>
      </c>
      <c r="K46" s="140" t="str">
        <f t="shared" ref="K46:K101" ca="1" si="75">IF($K$8="Habilitado",IF($A46="","",ROUND(VLOOKUP($A46,OFERENTE_5,15,FALSE),2)),"")</f>
        <v/>
      </c>
      <c r="L46" s="141" t="str">
        <f t="shared" ref="L46:L77" si="76">IF($A46="","",IF(K46="","",IF($K$4="Media aritmética",(K46&lt;=$B46)*($E$5/$B$4)+(K46&gt;$B46)*0,IF(AND(ROUND(AVERAGE($C46,$E46,$G46,$I46,$K46,$M46,$O46,$Q46,$S46,$U46,$W46,$Y46,$AA46,$AC46,$AE46,$AG46,$AI46),2)-$B46/2&lt;=K46,(ROUND(AVERAGE($C46,$E46,$G46,$I46,$K46,$M46,$O46,$Q46,$S46,$U46,$W46,$Y46,$AA46,$AC46,$AE46,$AG46,$AI46),2)+$B46/2&gt;=K46)),($E$5/$B$4),0))))</f>
        <v/>
      </c>
      <c r="M46" s="140" t="str">
        <f t="shared" ca="1" si="44"/>
        <v/>
      </c>
      <c r="N46" s="141" t="str">
        <f t="shared" ref="N46:N77" si="77">IF($A46="","",IF(M46="","",IF($K$4="Media aritmética",(M46&lt;=$B46)*($E$5/$B$4)+(M46&gt;$B46)*0,IF(AND(ROUND(AVERAGE($C46,$E46,$G46,$I46,$K46,$M46,$O46,$Q46,$S46,$U46,$W46,$Y46,$AA46,$AC46,$AE46,$AG46,$AI46),2)-$B46/2&lt;=M46,(ROUND(AVERAGE($C46,$E46,$G46,$I46,$K46,$M46,$O46,$Q46,$S46,$U46,$W46,$Y46,$AA46,$AC46,$AE46,$AG46,$AI46),2)+$B46/2&gt;=M46)),($E$5/$B$4),0))))</f>
        <v/>
      </c>
      <c r="O46" s="140" t="str">
        <f t="shared" ref="O46:O101" ca="1" si="78">IF($O$8="Habilitado",IF($A46="","",ROUND(VLOOKUP($A46,OFERENTE_7,15,FALSE),2)),"")</f>
        <v/>
      </c>
      <c r="P46" s="141" t="str">
        <f t="shared" ref="P46:P77" si="79">IF($A46="","",IF(O46="","",IF($K$4="Media aritmética",(O46&lt;=$B46)*($E$5/$B$4)+(O46&gt;$B46)*0,IF(AND(ROUND(AVERAGE($C46,$E46,$G46,$I46,$K46,$M46,$O46,$Q46,$S46,$U46,$W46,$Y46,$AA46,$AC46,$AE46,$AG46,$AI46),2)-$B46/2&lt;=O46,(ROUND(AVERAGE($C46,$E46,$G46,$I46,$K46,$M46,$O46,$Q46,$S46,$U46,$W46,$Y46,$AA46,$AC46,$AE46,$AG46,$AI46),2)+$B46/2&gt;=O46)),($E$5/$B$4),0))))</f>
        <v/>
      </c>
      <c r="Q46" s="140" t="str">
        <f t="shared" ref="Q46:Q77" ca="1" si="80">IF($Q$8="Habilitado",IF($A46="","",ROUND(VLOOKUP($A46,OFERENTE_8,15,FALSE),2)),"")</f>
        <v/>
      </c>
      <c r="R46" s="141" t="str">
        <f t="shared" ref="R46:R77" si="81">IF($A46="","",IF(Q46="","",IF($K$4="Media aritmética",(Q46&lt;=$B46)*($E$5/$B$4)+(Q46&gt;$B46)*0,IF(AND(ROUND(AVERAGE($C46,$E46,$G46,$I46,$K46,$M46,$O46,$Q46,$S46,$U46,$W46,$Y46,$AA46,$AC46,$AE46,$AG46,$AI46),2)-$B46/2&lt;=Q46,(ROUND(AVERAGE($C46,$E46,$G46,$I46,$K46,$M46,$O46,$Q46,$S46,$U46,$W46,$Y46,$AA46,$AC46,$AE46,$AG46,$AI46),2)+$B46/2&gt;=Q46)),($E$5/$B$4),0))))</f>
        <v/>
      </c>
      <c r="S46" s="140" t="str">
        <f t="shared" ref="S46:S77" ca="1" si="82">IF($S$8="Habilitado",IF($A46="","",ROUND(VLOOKUP($A46,OFERENTE_9,15,FALSE),2)),"")</f>
        <v/>
      </c>
      <c r="T46" s="141" t="str">
        <f t="shared" ref="T46:T77" si="83">IF($A46="","",IF(S46="","",IF($K$4="Media aritmética",(S46&lt;=$B46)*($E$5/$B$4)+(S46&gt;$B46)*0,IF(AND(ROUND(AVERAGE($C46,$E46,$G46,$I46,$K46,$M46,$O46,$Q46,$S46,$U46,$W46,$Y46,$AA46,$AC46,$AE46,$AG46,$AI46),2)-$B46/2&lt;=S46,(ROUND(AVERAGE($C46,$E46,$G46,$I46,$K46,$M46,$O46,$Q46,$S46,$U46,$W46,$Y46,$AA46,$AC46,$AE46,$AG46,$AI46),2)+$B46/2&gt;=S46)),($E$5/$B$4),0))))</f>
        <v/>
      </c>
      <c r="U46" s="140" t="str">
        <f t="shared" ref="U46:U77" ca="1" si="84">IF($U$8="Habilitado",IF($A46="","",ROUND(VLOOKUP($A46,OFERENTE_10,15,FALSE),2)),"")</f>
        <v/>
      </c>
      <c r="V46" s="141" t="str">
        <f t="shared" ref="V46:V77" si="85">IF($A46="","",IF(U46="","",IF($K$4="Media aritmética",(U46&lt;=$B46)*($E$5/$B$4)+(U46&gt;$B46)*0,IF(AND(ROUND(AVERAGE($C46,$E46,$G46,$I46,$K46,$M46,$O46,$Q46,$S46,$U46,$W46,$Y46,$AA46,$AC46,$AE46,$AG46,$AI46),2)-$B46/2&lt;=U46,(ROUND(AVERAGE($C46,$E46,$G46,$I46,$K46,$M46,$O46,$Q46,$S46,$U46,$W46,$Y46,$AA46,$AC46,$AE46,$AG46,$AI46),2)+$B46/2&gt;=U46)),($E$5/$B$4),0))))</f>
        <v/>
      </c>
      <c r="W46" s="140" t="str">
        <f t="shared" ref="W46:W77" ca="1" si="86">IF($W$8="Habilitado",IF($A46="","",ROUND(VLOOKUP($A46,OFERENTE_11,15,FALSE),2)),"")</f>
        <v/>
      </c>
      <c r="X46" s="141" t="str">
        <f t="shared" ref="X46:X77" si="87">IF($A46="","",IF(W46="","",IF($K$4="Media aritmética",(W46&lt;=$B46)*($E$5/$B$4)+(W46&gt;$B46)*0,IF(AND(ROUND(AVERAGE($C46,$E46,$G46,$I46,$K46,$M46,$O46,$Q46,$S46,$U46,$W46,$Y46,$AA46,$AC46,$AE46,$AG46,$AI46),2)-$B46/2&lt;=W46,(ROUND(AVERAGE($C46,$E46,$G46,$I46,$K46,$M46,$O46,$Q46,$S46,$U46,$W46,$Y46,$AA46,$AC46,$AE46,$AG46,$AI46),2)+$B46/2&gt;=W46)),($E$5/$B$4),0))))</f>
        <v/>
      </c>
      <c r="Y46" s="140" t="str">
        <f t="shared" ref="Y46:Y77" ca="1" si="88">IF($Y$8="Habilitado",IF($A46="","",ROUND(VLOOKUP($A46,OFERENTE_12,15,FALSE),2)),"")</f>
        <v/>
      </c>
      <c r="Z46" s="141" t="str">
        <f t="shared" ref="Z46:Z77" si="89">IF($A46="","",IF(Y46="","",IF($K$4="Media aritmética",(Y46&lt;=$B46)*($E$5/$B$4)+(Y46&gt;$B46)*0,IF(AND(ROUND(AVERAGE($C46,$E46,$G46,$I46,$K46,$M46,$O46,$Q46,$S46,$U46,$W46,$Y46,$AA46,$AC46,$AE46,$AG46,$AI46),2)-$B46/2&lt;=Y46,(ROUND(AVERAGE($C46,$E46,$G46,$I46,$K46,$M46,$O46,$Q46,$S46,$U46,$W46,$Y46,$AA46,$AC46,$AE46,$AG46,$AI46),2)+$B46/2&gt;=Y46)),($E$5/$B$4),0))))</f>
        <v/>
      </c>
      <c r="AA46" s="140" t="str">
        <f t="shared" ref="AA46:AA77" ca="1" si="90">IF($AA$8="Habilitado",IF($A46="","",ROUND(VLOOKUP($A46,OFERENTE_13,15,FALSE),2)),"")</f>
        <v/>
      </c>
      <c r="AB46" s="141" t="str">
        <f t="shared" ref="AB46:AB77" si="91">IF($A46="","",IF(AA46="","",IF($K$4="Media aritmética",(AA46&lt;=$B46)*($E$5/$B$4)+(AA46&gt;$B46)*0,IF(AND(ROUND(AVERAGE($C46,$E46,$G46,$I46,$K46,$M46,$O46,$Q46,$S46,$U46,$W46,$Y46,$AA46,$AC46,$AE46,$AG46,$AI46),2)-$B46/2&lt;=AA46,(ROUND(AVERAGE($C46,$E46,$G46,$I46,$K46,$M46,$O46,$Q46,$S46,$U46,$W46,$Y46,$AA46,$AC46,$AE46,$AG46,$AI46),2)+$B46/2&gt;=AA46)),($E$5/$B$4),0))))</f>
        <v/>
      </c>
      <c r="AC46" s="140" t="str">
        <f t="shared" ref="AC46:AC77" ca="1" si="92">IF($AC$8="Habilitado",IF($A46="","",ROUND(VLOOKUP($A46,OFERENTE_14,15,FALSE),2)),"")</f>
        <v/>
      </c>
      <c r="AD46" s="141" t="str">
        <f t="shared" ref="AD46:AD77" si="93">IF($A46="","",IF(AC46="","",IF($K$4="Media aritmética",(AC46&lt;=$B46)*($E$5/$B$4)+(AC46&gt;$B46)*0,IF(AND(ROUND(AVERAGE($C46,$E46,$G46,$I46,$K46,$M46,$O46,$Q46,$S46,$U46,$W46,$Y46,$AA46,$AC46,$AE46,$AG46,$AI46),2)-$B46/2&lt;=AC46,(ROUND(AVERAGE($C46,$E46,$G46,$I46,$K46,$M46,$O46,$Q46,$S46,$U46,$W46,$Y46,$AA46,$AC46,$AE46,$AG46,$AI46),2)+$B46/2&gt;=AC46)),($E$5/$B$4),0))))</f>
        <v/>
      </c>
      <c r="AE46" s="137"/>
      <c r="AF46" s="137"/>
      <c r="AG46" s="137"/>
      <c r="AH46" s="137"/>
      <c r="AI46" s="137"/>
      <c r="AJ46" s="137"/>
      <c r="AL46" s="196" t="e">
        <f t="shared" ca="1" si="63"/>
        <v>#DIV/0!</v>
      </c>
      <c r="AM46" s="70" t="e">
        <f t="shared" ca="1" si="64"/>
        <v>#DIV/0!</v>
      </c>
      <c r="AN46" s="256" t="e">
        <f t="shared" ca="1" si="65"/>
        <v>#DIV/0!</v>
      </c>
      <c r="AO46" s="256" t="e">
        <f t="shared" ca="1" si="66"/>
        <v>#DIV/0!</v>
      </c>
    </row>
    <row r="47" spans="1:41" ht="21.75" hidden="1" customHeight="1">
      <c r="A47" s="138"/>
      <c r="B47" s="139" t="str">
        <f t="shared" si="62"/>
        <v/>
      </c>
      <c r="C47" s="140" t="str">
        <f t="shared" si="67"/>
        <v/>
      </c>
      <c r="D47" s="141" t="str">
        <f t="shared" si="68"/>
        <v/>
      </c>
      <c r="E47" s="140" t="str">
        <f t="shared" si="69"/>
        <v/>
      </c>
      <c r="F47" s="141" t="str">
        <f t="shared" si="70"/>
        <v/>
      </c>
      <c r="G47" s="140" t="str">
        <f t="shared" si="71"/>
        <v/>
      </c>
      <c r="H47" s="141" t="str">
        <f t="shared" si="72"/>
        <v/>
      </c>
      <c r="I47" s="140" t="str">
        <f t="shared" si="73"/>
        <v/>
      </c>
      <c r="J47" s="141" t="str">
        <f t="shared" si="74"/>
        <v/>
      </c>
      <c r="K47" s="140" t="str">
        <f t="shared" ca="1" si="75"/>
        <v/>
      </c>
      <c r="L47" s="141" t="str">
        <f t="shared" si="76"/>
        <v/>
      </c>
      <c r="M47" s="140" t="str">
        <f t="shared" ca="1" si="44"/>
        <v/>
      </c>
      <c r="N47" s="141" t="str">
        <f t="shared" si="77"/>
        <v/>
      </c>
      <c r="O47" s="140" t="str">
        <f t="shared" ca="1" si="78"/>
        <v/>
      </c>
      <c r="P47" s="141" t="str">
        <f t="shared" si="79"/>
        <v/>
      </c>
      <c r="Q47" s="140" t="str">
        <f t="shared" ca="1" si="80"/>
        <v/>
      </c>
      <c r="R47" s="141" t="str">
        <f t="shared" si="81"/>
        <v/>
      </c>
      <c r="S47" s="140" t="str">
        <f t="shared" ca="1" si="82"/>
        <v/>
      </c>
      <c r="T47" s="141" t="str">
        <f t="shared" si="83"/>
        <v/>
      </c>
      <c r="U47" s="140" t="str">
        <f t="shared" ca="1" si="84"/>
        <v/>
      </c>
      <c r="V47" s="141" t="str">
        <f t="shared" si="85"/>
        <v/>
      </c>
      <c r="W47" s="140" t="str">
        <f t="shared" ca="1" si="86"/>
        <v/>
      </c>
      <c r="X47" s="141" t="str">
        <f t="shared" si="87"/>
        <v/>
      </c>
      <c r="Y47" s="140" t="str">
        <f t="shared" ca="1" si="88"/>
        <v/>
      </c>
      <c r="Z47" s="141" t="str">
        <f t="shared" si="89"/>
        <v/>
      </c>
      <c r="AA47" s="140" t="str">
        <f t="shared" ca="1" si="90"/>
        <v/>
      </c>
      <c r="AB47" s="141" t="str">
        <f t="shared" si="91"/>
        <v/>
      </c>
      <c r="AC47" s="140" t="str">
        <f t="shared" ca="1" si="92"/>
        <v/>
      </c>
      <c r="AD47" s="141" t="str">
        <f t="shared" si="93"/>
        <v/>
      </c>
      <c r="AE47" s="137"/>
      <c r="AF47" s="137"/>
      <c r="AG47" s="137"/>
      <c r="AH47" s="137"/>
      <c r="AI47" s="137"/>
      <c r="AJ47" s="137"/>
      <c r="AL47" s="196" t="e">
        <f t="shared" ca="1" si="63"/>
        <v>#DIV/0!</v>
      </c>
      <c r="AM47" s="70" t="e">
        <f t="shared" ca="1" si="64"/>
        <v>#DIV/0!</v>
      </c>
      <c r="AN47" s="256" t="e">
        <f t="shared" ca="1" si="65"/>
        <v>#DIV/0!</v>
      </c>
      <c r="AO47" s="256" t="e">
        <f t="shared" ca="1" si="66"/>
        <v>#DIV/0!</v>
      </c>
    </row>
    <row r="48" spans="1:41" ht="21.75" hidden="1" customHeight="1">
      <c r="A48" s="138"/>
      <c r="B48" s="139" t="str">
        <f t="shared" si="62"/>
        <v/>
      </c>
      <c r="C48" s="140" t="str">
        <f t="shared" si="67"/>
        <v/>
      </c>
      <c r="D48" s="141" t="str">
        <f t="shared" si="68"/>
        <v/>
      </c>
      <c r="E48" s="140" t="str">
        <f t="shared" si="69"/>
        <v/>
      </c>
      <c r="F48" s="141" t="str">
        <f t="shared" si="70"/>
        <v/>
      </c>
      <c r="G48" s="140" t="str">
        <f t="shared" si="71"/>
        <v/>
      </c>
      <c r="H48" s="141" t="str">
        <f t="shared" si="72"/>
        <v/>
      </c>
      <c r="I48" s="140" t="str">
        <f t="shared" si="73"/>
        <v/>
      </c>
      <c r="J48" s="141" t="str">
        <f t="shared" si="74"/>
        <v/>
      </c>
      <c r="K48" s="140" t="str">
        <f t="shared" ca="1" si="75"/>
        <v/>
      </c>
      <c r="L48" s="141" t="str">
        <f t="shared" si="76"/>
        <v/>
      </c>
      <c r="M48" s="140" t="str">
        <f t="shared" ca="1" si="44"/>
        <v/>
      </c>
      <c r="N48" s="141" t="str">
        <f t="shared" si="77"/>
        <v/>
      </c>
      <c r="O48" s="140" t="str">
        <f t="shared" ca="1" si="78"/>
        <v/>
      </c>
      <c r="P48" s="141" t="str">
        <f t="shared" si="79"/>
        <v/>
      </c>
      <c r="Q48" s="140" t="str">
        <f t="shared" ca="1" si="80"/>
        <v/>
      </c>
      <c r="R48" s="141" t="str">
        <f t="shared" si="81"/>
        <v/>
      </c>
      <c r="S48" s="140" t="str">
        <f t="shared" ca="1" si="82"/>
        <v/>
      </c>
      <c r="T48" s="141" t="str">
        <f t="shared" si="83"/>
        <v/>
      </c>
      <c r="U48" s="140" t="str">
        <f t="shared" ca="1" si="84"/>
        <v/>
      </c>
      <c r="V48" s="141" t="str">
        <f t="shared" si="85"/>
        <v/>
      </c>
      <c r="W48" s="140" t="str">
        <f t="shared" ca="1" si="86"/>
        <v/>
      </c>
      <c r="X48" s="141" t="str">
        <f t="shared" si="87"/>
        <v/>
      </c>
      <c r="Y48" s="140" t="str">
        <f t="shared" ca="1" si="88"/>
        <v/>
      </c>
      <c r="Z48" s="141" t="str">
        <f t="shared" si="89"/>
        <v/>
      </c>
      <c r="AA48" s="140" t="str">
        <f t="shared" ca="1" si="90"/>
        <v/>
      </c>
      <c r="AB48" s="141" t="str">
        <f t="shared" si="91"/>
        <v/>
      </c>
      <c r="AC48" s="140" t="str">
        <f t="shared" ca="1" si="92"/>
        <v/>
      </c>
      <c r="AD48" s="141" t="str">
        <f t="shared" si="93"/>
        <v/>
      </c>
      <c r="AE48" s="137"/>
      <c r="AF48" s="137"/>
      <c r="AG48" s="137"/>
      <c r="AH48" s="137"/>
      <c r="AI48" s="137"/>
      <c r="AJ48" s="137"/>
      <c r="AL48" s="196" t="e">
        <f t="shared" ca="1" si="63"/>
        <v>#DIV/0!</v>
      </c>
      <c r="AM48" s="70" t="e">
        <f t="shared" ca="1" si="64"/>
        <v>#DIV/0!</v>
      </c>
      <c r="AN48" s="256" t="e">
        <f t="shared" ca="1" si="65"/>
        <v>#DIV/0!</v>
      </c>
      <c r="AO48" s="256" t="e">
        <f t="shared" ca="1" si="66"/>
        <v>#DIV/0!</v>
      </c>
    </row>
    <row r="49" spans="1:41" ht="21.75" hidden="1" customHeight="1">
      <c r="A49" s="138"/>
      <c r="B49" s="139" t="str">
        <f t="shared" si="62"/>
        <v/>
      </c>
      <c r="C49" s="140" t="str">
        <f t="shared" si="67"/>
        <v/>
      </c>
      <c r="D49" s="141" t="str">
        <f t="shared" si="68"/>
        <v/>
      </c>
      <c r="E49" s="140" t="str">
        <f t="shared" si="69"/>
        <v/>
      </c>
      <c r="F49" s="141" t="str">
        <f t="shared" si="70"/>
        <v/>
      </c>
      <c r="G49" s="140" t="str">
        <f t="shared" si="71"/>
        <v/>
      </c>
      <c r="H49" s="141" t="str">
        <f t="shared" si="72"/>
        <v/>
      </c>
      <c r="I49" s="140" t="str">
        <f t="shared" si="73"/>
        <v/>
      </c>
      <c r="J49" s="141" t="str">
        <f t="shared" si="74"/>
        <v/>
      </c>
      <c r="K49" s="140" t="str">
        <f t="shared" ca="1" si="75"/>
        <v/>
      </c>
      <c r="L49" s="141" t="str">
        <f t="shared" si="76"/>
        <v/>
      </c>
      <c r="M49" s="140" t="str">
        <f t="shared" ca="1" si="44"/>
        <v/>
      </c>
      <c r="N49" s="141" t="str">
        <f t="shared" si="77"/>
        <v/>
      </c>
      <c r="O49" s="140" t="str">
        <f t="shared" ca="1" si="78"/>
        <v/>
      </c>
      <c r="P49" s="141" t="str">
        <f t="shared" si="79"/>
        <v/>
      </c>
      <c r="Q49" s="140" t="str">
        <f t="shared" ca="1" si="80"/>
        <v/>
      </c>
      <c r="R49" s="141" t="str">
        <f t="shared" si="81"/>
        <v/>
      </c>
      <c r="S49" s="140" t="str">
        <f t="shared" ca="1" si="82"/>
        <v/>
      </c>
      <c r="T49" s="141" t="str">
        <f t="shared" si="83"/>
        <v/>
      </c>
      <c r="U49" s="140" t="str">
        <f t="shared" ca="1" si="84"/>
        <v/>
      </c>
      <c r="V49" s="141" t="str">
        <f t="shared" si="85"/>
        <v/>
      </c>
      <c r="W49" s="140" t="str">
        <f t="shared" ca="1" si="86"/>
        <v/>
      </c>
      <c r="X49" s="141" t="str">
        <f t="shared" si="87"/>
        <v/>
      </c>
      <c r="Y49" s="140" t="str">
        <f t="shared" ca="1" si="88"/>
        <v/>
      </c>
      <c r="Z49" s="141" t="str">
        <f t="shared" si="89"/>
        <v/>
      </c>
      <c r="AA49" s="140" t="str">
        <f t="shared" ca="1" si="90"/>
        <v/>
      </c>
      <c r="AB49" s="141" t="str">
        <f t="shared" si="91"/>
        <v/>
      </c>
      <c r="AC49" s="140" t="str">
        <f t="shared" ca="1" si="92"/>
        <v/>
      </c>
      <c r="AD49" s="141" t="str">
        <f t="shared" si="93"/>
        <v/>
      </c>
      <c r="AE49" s="137"/>
      <c r="AF49" s="137"/>
      <c r="AG49" s="137"/>
      <c r="AH49" s="137"/>
      <c r="AI49" s="137"/>
      <c r="AJ49" s="137"/>
      <c r="AL49" s="196" t="e">
        <f t="shared" ca="1" si="63"/>
        <v>#DIV/0!</v>
      </c>
      <c r="AM49" s="70" t="e">
        <f t="shared" ca="1" si="64"/>
        <v>#DIV/0!</v>
      </c>
      <c r="AN49" s="256" t="e">
        <f t="shared" ca="1" si="65"/>
        <v>#DIV/0!</v>
      </c>
      <c r="AO49" s="256" t="e">
        <f t="shared" ca="1" si="66"/>
        <v>#DIV/0!</v>
      </c>
    </row>
    <row r="50" spans="1:41" ht="21.75" hidden="1" customHeight="1">
      <c r="A50" s="138"/>
      <c r="B50" s="139" t="str">
        <f t="shared" si="62"/>
        <v/>
      </c>
      <c r="C50" s="140" t="str">
        <f t="shared" si="67"/>
        <v/>
      </c>
      <c r="D50" s="141" t="str">
        <f t="shared" si="68"/>
        <v/>
      </c>
      <c r="E50" s="140" t="str">
        <f t="shared" si="69"/>
        <v/>
      </c>
      <c r="F50" s="141" t="str">
        <f t="shared" si="70"/>
        <v/>
      </c>
      <c r="G50" s="140" t="str">
        <f t="shared" si="71"/>
        <v/>
      </c>
      <c r="H50" s="141" t="str">
        <f t="shared" si="72"/>
        <v/>
      </c>
      <c r="I50" s="140" t="str">
        <f t="shared" si="73"/>
        <v/>
      </c>
      <c r="J50" s="141" t="str">
        <f t="shared" si="74"/>
        <v/>
      </c>
      <c r="K50" s="140" t="str">
        <f t="shared" ca="1" si="75"/>
        <v/>
      </c>
      <c r="L50" s="141" t="str">
        <f t="shared" si="76"/>
        <v/>
      </c>
      <c r="M50" s="140" t="str">
        <f t="shared" ca="1" si="44"/>
        <v/>
      </c>
      <c r="N50" s="141" t="str">
        <f t="shared" si="77"/>
        <v/>
      </c>
      <c r="O50" s="140" t="str">
        <f t="shared" ca="1" si="78"/>
        <v/>
      </c>
      <c r="P50" s="141" t="str">
        <f t="shared" si="79"/>
        <v/>
      </c>
      <c r="Q50" s="140" t="str">
        <f t="shared" ca="1" si="80"/>
        <v/>
      </c>
      <c r="R50" s="141" t="str">
        <f t="shared" si="81"/>
        <v/>
      </c>
      <c r="S50" s="140" t="str">
        <f t="shared" ca="1" si="82"/>
        <v/>
      </c>
      <c r="T50" s="141" t="str">
        <f t="shared" si="83"/>
        <v/>
      </c>
      <c r="U50" s="140" t="str">
        <f t="shared" ca="1" si="84"/>
        <v/>
      </c>
      <c r="V50" s="141" t="str">
        <f t="shared" si="85"/>
        <v/>
      </c>
      <c r="W50" s="140" t="str">
        <f t="shared" ca="1" si="86"/>
        <v/>
      </c>
      <c r="X50" s="141" t="str">
        <f t="shared" si="87"/>
        <v/>
      </c>
      <c r="Y50" s="140" t="str">
        <f t="shared" ca="1" si="88"/>
        <v/>
      </c>
      <c r="Z50" s="141" t="str">
        <f t="shared" si="89"/>
        <v/>
      </c>
      <c r="AA50" s="140" t="str">
        <f t="shared" ca="1" si="90"/>
        <v/>
      </c>
      <c r="AB50" s="141" t="str">
        <f t="shared" si="91"/>
        <v/>
      </c>
      <c r="AC50" s="140" t="str">
        <f t="shared" ca="1" si="92"/>
        <v/>
      </c>
      <c r="AD50" s="141" t="str">
        <f t="shared" si="93"/>
        <v/>
      </c>
      <c r="AE50" s="137"/>
      <c r="AF50" s="137"/>
      <c r="AG50" s="137"/>
      <c r="AH50" s="137"/>
      <c r="AI50" s="137"/>
      <c r="AJ50" s="137"/>
      <c r="AL50" s="196" t="e">
        <f t="shared" ca="1" si="63"/>
        <v>#DIV/0!</v>
      </c>
      <c r="AM50" s="70" t="e">
        <f t="shared" ca="1" si="64"/>
        <v>#DIV/0!</v>
      </c>
      <c r="AN50" s="256" t="e">
        <f t="shared" ca="1" si="65"/>
        <v>#DIV/0!</v>
      </c>
      <c r="AO50" s="256" t="e">
        <f t="shared" ca="1" si="66"/>
        <v>#DIV/0!</v>
      </c>
    </row>
    <row r="51" spans="1:41" ht="21.75" hidden="1" customHeight="1">
      <c r="A51" s="138"/>
      <c r="B51" s="139" t="str">
        <f t="shared" si="62"/>
        <v/>
      </c>
      <c r="C51" s="140" t="str">
        <f t="shared" si="67"/>
        <v/>
      </c>
      <c r="D51" s="141" t="str">
        <f t="shared" si="68"/>
        <v/>
      </c>
      <c r="E51" s="140" t="str">
        <f t="shared" si="69"/>
        <v/>
      </c>
      <c r="F51" s="141" t="str">
        <f t="shared" si="70"/>
        <v/>
      </c>
      <c r="G51" s="140" t="str">
        <f t="shared" si="71"/>
        <v/>
      </c>
      <c r="H51" s="141" t="str">
        <f t="shared" si="72"/>
        <v/>
      </c>
      <c r="I51" s="140" t="str">
        <f t="shared" si="73"/>
        <v/>
      </c>
      <c r="J51" s="141" t="str">
        <f t="shared" si="74"/>
        <v/>
      </c>
      <c r="K51" s="140" t="str">
        <f t="shared" ca="1" si="75"/>
        <v/>
      </c>
      <c r="L51" s="141" t="str">
        <f t="shared" si="76"/>
        <v/>
      </c>
      <c r="M51" s="140" t="str">
        <f t="shared" ca="1" si="44"/>
        <v/>
      </c>
      <c r="N51" s="141" t="str">
        <f t="shared" si="77"/>
        <v/>
      </c>
      <c r="O51" s="140" t="str">
        <f t="shared" ca="1" si="78"/>
        <v/>
      </c>
      <c r="P51" s="141" t="str">
        <f t="shared" si="79"/>
        <v/>
      </c>
      <c r="Q51" s="140" t="str">
        <f t="shared" ca="1" si="80"/>
        <v/>
      </c>
      <c r="R51" s="141" t="str">
        <f t="shared" si="81"/>
        <v/>
      </c>
      <c r="S51" s="140" t="str">
        <f t="shared" ca="1" si="82"/>
        <v/>
      </c>
      <c r="T51" s="141" t="str">
        <f t="shared" si="83"/>
        <v/>
      </c>
      <c r="U51" s="140" t="str">
        <f t="shared" ca="1" si="84"/>
        <v/>
      </c>
      <c r="V51" s="141" t="str">
        <f t="shared" si="85"/>
        <v/>
      </c>
      <c r="W51" s="140" t="str">
        <f t="shared" ca="1" si="86"/>
        <v/>
      </c>
      <c r="X51" s="141" t="str">
        <f t="shared" si="87"/>
        <v/>
      </c>
      <c r="Y51" s="140" t="str">
        <f t="shared" ca="1" si="88"/>
        <v/>
      </c>
      <c r="Z51" s="141" t="str">
        <f t="shared" si="89"/>
        <v/>
      </c>
      <c r="AA51" s="140" t="str">
        <f t="shared" ca="1" si="90"/>
        <v/>
      </c>
      <c r="AB51" s="141" t="str">
        <f t="shared" si="91"/>
        <v/>
      </c>
      <c r="AC51" s="140" t="str">
        <f t="shared" ca="1" si="92"/>
        <v/>
      </c>
      <c r="AD51" s="141" t="str">
        <f t="shared" si="93"/>
        <v/>
      </c>
      <c r="AE51" s="137"/>
      <c r="AF51" s="137"/>
      <c r="AG51" s="137"/>
      <c r="AH51" s="137"/>
      <c r="AI51" s="137"/>
      <c r="AJ51" s="137"/>
      <c r="AL51" s="196" t="e">
        <f t="shared" ca="1" si="63"/>
        <v>#DIV/0!</v>
      </c>
      <c r="AM51" s="70" t="e">
        <f t="shared" ca="1" si="64"/>
        <v>#DIV/0!</v>
      </c>
      <c r="AN51" s="256" t="e">
        <f t="shared" ca="1" si="65"/>
        <v>#DIV/0!</v>
      </c>
      <c r="AO51" s="256" t="e">
        <f t="shared" ca="1" si="66"/>
        <v>#DIV/0!</v>
      </c>
    </row>
    <row r="52" spans="1:41" ht="21.75" hidden="1" customHeight="1">
      <c r="A52" s="138"/>
      <c r="B52" s="139" t="str">
        <f t="shared" si="62"/>
        <v/>
      </c>
      <c r="C52" s="140" t="str">
        <f t="shared" si="67"/>
        <v/>
      </c>
      <c r="D52" s="141" t="str">
        <f t="shared" si="68"/>
        <v/>
      </c>
      <c r="E52" s="140" t="str">
        <f t="shared" si="69"/>
        <v/>
      </c>
      <c r="F52" s="141" t="str">
        <f t="shared" si="70"/>
        <v/>
      </c>
      <c r="G52" s="140" t="str">
        <f t="shared" si="71"/>
        <v/>
      </c>
      <c r="H52" s="141" t="str">
        <f t="shared" si="72"/>
        <v/>
      </c>
      <c r="I52" s="140" t="str">
        <f t="shared" si="73"/>
        <v/>
      </c>
      <c r="J52" s="141" t="str">
        <f t="shared" si="74"/>
        <v/>
      </c>
      <c r="K52" s="140" t="str">
        <f t="shared" ca="1" si="75"/>
        <v/>
      </c>
      <c r="L52" s="141" t="str">
        <f t="shared" si="76"/>
        <v/>
      </c>
      <c r="M52" s="140" t="str">
        <f t="shared" ca="1" si="44"/>
        <v/>
      </c>
      <c r="N52" s="141" t="str">
        <f t="shared" si="77"/>
        <v/>
      </c>
      <c r="O52" s="140" t="str">
        <f t="shared" ca="1" si="78"/>
        <v/>
      </c>
      <c r="P52" s="141" t="str">
        <f t="shared" si="79"/>
        <v/>
      </c>
      <c r="Q52" s="140" t="str">
        <f t="shared" ca="1" si="80"/>
        <v/>
      </c>
      <c r="R52" s="141" t="str">
        <f t="shared" si="81"/>
        <v/>
      </c>
      <c r="S52" s="140" t="str">
        <f t="shared" ca="1" si="82"/>
        <v/>
      </c>
      <c r="T52" s="141" t="str">
        <f t="shared" si="83"/>
        <v/>
      </c>
      <c r="U52" s="140" t="str">
        <f t="shared" ca="1" si="84"/>
        <v/>
      </c>
      <c r="V52" s="141" t="str">
        <f t="shared" si="85"/>
        <v/>
      </c>
      <c r="W52" s="140" t="str">
        <f t="shared" ca="1" si="86"/>
        <v/>
      </c>
      <c r="X52" s="141" t="str">
        <f t="shared" si="87"/>
        <v/>
      </c>
      <c r="Y52" s="140" t="str">
        <f t="shared" ca="1" si="88"/>
        <v/>
      </c>
      <c r="Z52" s="141" t="str">
        <f t="shared" si="89"/>
        <v/>
      </c>
      <c r="AA52" s="140" t="str">
        <f t="shared" ca="1" si="90"/>
        <v/>
      </c>
      <c r="AB52" s="141" t="str">
        <f t="shared" si="91"/>
        <v/>
      </c>
      <c r="AC52" s="140" t="str">
        <f t="shared" ca="1" si="92"/>
        <v/>
      </c>
      <c r="AD52" s="141" t="str">
        <f t="shared" si="93"/>
        <v/>
      </c>
      <c r="AE52" s="137"/>
      <c r="AF52" s="137"/>
      <c r="AG52" s="137"/>
      <c r="AH52" s="137"/>
      <c r="AI52" s="137"/>
      <c r="AJ52" s="137"/>
      <c r="AL52" s="196" t="e">
        <f t="shared" ca="1" si="63"/>
        <v>#DIV/0!</v>
      </c>
      <c r="AM52" s="70" t="e">
        <f t="shared" ca="1" si="64"/>
        <v>#DIV/0!</v>
      </c>
      <c r="AN52" s="256" t="e">
        <f t="shared" ca="1" si="65"/>
        <v>#DIV/0!</v>
      </c>
      <c r="AO52" s="256" t="e">
        <f t="shared" ca="1" si="66"/>
        <v>#DIV/0!</v>
      </c>
    </row>
    <row r="53" spans="1:41" ht="21.75" hidden="1" customHeight="1">
      <c r="A53" s="138"/>
      <c r="B53" s="139" t="str">
        <f t="shared" si="62"/>
        <v/>
      </c>
      <c r="C53" s="140" t="str">
        <f t="shared" si="67"/>
        <v/>
      </c>
      <c r="D53" s="141" t="str">
        <f t="shared" si="68"/>
        <v/>
      </c>
      <c r="E53" s="140" t="str">
        <f t="shared" si="69"/>
        <v/>
      </c>
      <c r="F53" s="141" t="str">
        <f t="shared" si="70"/>
        <v/>
      </c>
      <c r="G53" s="140" t="str">
        <f t="shared" si="71"/>
        <v/>
      </c>
      <c r="H53" s="141" t="str">
        <f t="shared" si="72"/>
        <v/>
      </c>
      <c r="I53" s="140" t="str">
        <f t="shared" si="73"/>
        <v/>
      </c>
      <c r="J53" s="141" t="str">
        <f t="shared" si="74"/>
        <v/>
      </c>
      <c r="K53" s="140" t="str">
        <f t="shared" ca="1" si="75"/>
        <v/>
      </c>
      <c r="L53" s="141" t="str">
        <f t="shared" si="76"/>
        <v/>
      </c>
      <c r="M53" s="140" t="str">
        <f t="shared" ca="1" si="44"/>
        <v/>
      </c>
      <c r="N53" s="141" t="str">
        <f t="shared" si="77"/>
        <v/>
      </c>
      <c r="O53" s="140" t="str">
        <f t="shared" ca="1" si="78"/>
        <v/>
      </c>
      <c r="P53" s="141" t="str">
        <f t="shared" si="79"/>
        <v/>
      </c>
      <c r="Q53" s="140" t="str">
        <f t="shared" ca="1" si="80"/>
        <v/>
      </c>
      <c r="R53" s="141" t="str">
        <f t="shared" si="81"/>
        <v/>
      </c>
      <c r="S53" s="140" t="str">
        <f t="shared" ca="1" si="82"/>
        <v/>
      </c>
      <c r="T53" s="141" t="str">
        <f t="shared" si="83"/>
        <v/>
      </c>
      <c r="U53" s="140" t="str">
        <f t="shared" ca="1" si="84"/>
        <v/>
      </c>
      <c r="V53" s="141" t="str">
        <f t="shared" si="85"/>
        <v/>
      </c>
      <c r="W53" s="140" t="str">
        <f t="shared" ca="1" si="86"/>
        <v/>
      </c>
      <c r="X53" s="141" t="str">
        <f t="shared" si="87"/>
        <v/>
      </c>
      <c r="Y53" s="140" t="str">
        <f t="shared" ca="1" si="88"/>
        <v/>
      </c>
      <c r="Z53" s="141" t="str">
        <f t="shared" si="89"/>
        <v/>
      </c>
      <c r="AA53" s="140" t="str">
        <f t="shared" ca="1" si="90"/>
        <v/>
      </c>
      <c r="AB53" s="141" t="str">
        <f t="shared" si="91"/>
        <v/>
      </c>
      <c r="AC53" s="140" t="str">
        <f t="shared" ca="1" si="92"/>
        <v/>
      </c>
      <c r="AD53" s="141" t="str">
        <f t="shared" si="93"/>
        <v/>
      </c>
      <c r="AE53" s="137"/>
      <c r="AF53" s="137"/>
      <c r="AG53" s="137"/>
      <c r="AH53" s="137"/>
      <c r="AI53" s="137"/>
      <c r="AJ53" s="137"/>
      <c r="AL53" s="196" t="e">
        <f t="shared" ca="1" si="63"/>
        <v>#DIV/0!</v>
      </c>
      <c r="AM53" s="70" t="e">
        <f t="shared" ca="1" si="64"/>
        <v>#DIV/0!</v>
      </c>
      <c r="AN53" s="256" t="e">
        <f t="shared" ca="1" si="65"/>
        <v>#DIV/0!</v>
      </c>
      <c r="AO53" s="256" t="e">
        <f t="shared" ca="1" si="66"/>
        <v>#DIV/0!</v>
      </c>
    </row>
    <row r="54" spans="1:41" ht="21.75" hidden="1" customHeight="1">
      <c r="A54" s="138"/>
      <c r="B54" s="139" t="str">
        <f t="shared" si="62"/>
        <v/>
      </c>
      <c r="C54" s="140" t="str">
        <f t="shared" si="67"/>
        <v/>
      </c>
      <c r="D54" s="141" t="str">
        <f t="shared" si="68"/>
        <v/>
      </c>
      <c r="E54" s="140" t="str">
        <f t="shared" si="69"/>
        <v/>
      </c>
      <c r="F54" s="141" t="str">
        <f t="shared" si="70"/>
        <v/>
      </c>
      <c r="G54" s="140" t="str">
        <f t="shared" si="71"/>
        <v/>
      </c>
      <c r="H54" s="141" t="str">
        <f t="shared" si="72"/>
        <v/>
      </c>
      <c r="I54" s="140" t="str">
        <f t="shared" si="73"/>
        <v/>
      </c>
      <c r="J54" s="141" t="str">
        <f t="shared" si="74"/>
        <v/>
      </c>
      <c r="K54" s="140" t="str">
        <f t="shared" ca="1" si="75"/>
        <v/>
      </c>
      <c r="L54" s="141" t="str">
        <f t="shared" si="76"/>
        <v/>
      </c>
      <c r="M54" s="140" t="str">
        <f t="shared" ca="1" si="44"/>
        <v/>
      </c>
      <c r="N54" s="141" t="str">
        <f t="shared" si="77"/>
        <v/>
      </c>
      <c r="O54" s="140" t="str">
        <f t="shared" ca="1" si="78"/>
        <v/>
      </c>
      <c r="P54" s="141" t="str">
        <f t="shared" si="79"/>
        <v/>
      </c>
      <c r="Q54" s="140" t="str">
        <f t="shared" ca="1" si="80"/>
        <v/>
      </c>
      <c r="R54" s="141" t="str">
        <f t="shared" si="81"/>
        <v/>
      </c>
      <c r="S54" s="140" t="str">
        <f t="shared" ca="1" si="82"/>
        <v/>
      </c>
      <c r="T54" s="141" t="str">
        <f t="shared" si="83"/>
        <v/>
      </c>
      <c r="U54" s="140" t="str">
        <f t="shared" ca="1" si="84"/>
        <v/>
      </c>
      <c r="V54" s="141" t="str">
        <f t="shared" si="85"/>
        <v/>
      </c>
      <c r="W54" s="140" t="str">
        <f t="shared" ca="1" si="86"/>
        <v/>
      </c>
      <c r="X54" s="141" t="str">
        <f t="shared" si="87"/>
        <v/>
      </c>
      <c r="Y54" s="140" t="str">
        <f t="shared" ca="1" si="88"/>
        <v/>
      </c>
      <c r="Z54" s="141" t="str">
        <f t="shared" si="89"/>
        <v/>
      </c>
      <c r="AA54" s="140" t="str">
        <f t="shared" ca="1" si="90"/>
        <v/>
      </c>
      <c r="AB54" s="141" t="str">
        <f t="shared" si="91"/>
        <v/>
      </c>
      <c r="AC54" s="140" t="str">
        <f t="shared" ca="1" si="92"/>
        <v/>
      </c>
      <c r="AD54" s="141" t="str">
        <f t="shared" si="93"/>
        <v/>
      </c>
      <c r="AE54" s="137"/>
      <c r="AF54" s="137"/>
      <c r="AG54" s="137"/>
      <c r="AH54" s="137"/>
      <c r="AI54" s="137"/>
      <c r="AJ54" s="137"/>
      <c r="AL54" s="196" t="e">
        <f t="shared" ca="1" si="63"/>
        <v>#DIV/0!</v>
      </c>
      <c r="AM54" s="70" t="e">
        <f t="shared" ca="1" si="64"/>
        <v>#DIV/0!</v>
      </c>
      <c r="AN54" s="256" t="e">
        <f t="shared" ca="1" si="65"/>
        <v>#DIV/0!</v>
      </c>
      <c r="AO54" s="256" t="e">
        <f t="shared" ca="1" si="66"/>
        <v>#DIV/0!</v>
      </c>
    </row>
    <row r="55" spans="1:41" ht="21.75" hidden="1" customHeight="1">
      <c r="A55" s="138"/>
      <c r="B55" s="139" t="str">
        <f t="shared" si="62"/>
        <v/>
      </c>
      <c r="C55" s="140" t="str">
        <f t="shared" si="67"/>
        <v/>
      </c>
      <c r="D55" s="141" t="str">
        <f t="shared" si="68"/>
        <v/>
      </c>
      <c r="E55" s="140" t="str">
        <f t="shared" si="69"/>
        <v/>
      </c>
      <c r="F55" s="141" t="str">
        <f t="shared" si="70"/>
        <v/>
      </c>
      <c r="G55" s="140" t="str">
        <f t="shared" si="71"/>
        <v/>
      </c>
      <c r="H55" s="141" t="str">
        <f t="shared" si="72"/>
        <v/>
      </c>
      <c r="I55" s="140" t="str">
        <f t="shared" si="73"/>
        <v/>
      </c>
      <c r="J55" s="141" t="str">
        <f t="shared" si="74"/>
        <v/>
      </c>
      <c r="K55" s="140" t="str">
        <f t="shared" ca="1" si="75"/>
        <v/>
      </c>
      <c r="L55" s="141" t="str">
        <f t="shared" si="76"/>
        <v/>
      </c>
      <c r="M55" s="140" t="str">
        <f t="shared" ca="1" si="44"/>
        <v/>
      </c>
      <c r="N55" s="141" t="str">
        <f t="shared" si="77"/>
        <v/>
      </c>
      <c r="O55" s="140" t="str">
        <f t="shared" ca="1" si="78"/>
        <v/>
      </c>
      <c r="P55" s="141" t="str">
        <f t="shared" si="79"/>
        <v/>
      </c>
      <c r="Q55" s="140" t="str">
        <f t="shared" ca="1" si="80"/>
        <v/>
      </c>
      <c r="R55" s="141" t="str">
        <f t="shared" si="81"/>
        <v/>
      </c>
      <c r="S55" s="140" t="str">
        <f t="shared" ca="1" si="82"/>
        <v/>
      </c>
      <c r="T55" s="141" t="str">
        <f t="shared" si="83"/>
        <v/>
      </c>
      <c r="U55" s="140" t="str">
        <f t="shared" ca="1" si="84"/>
        <v/>
      </c>
      <c r="V55" s="141" t="str">
        <f t="shared" si="85"/>
        <v/>
      </c>
      <c r="W55" s="140" t="str">
        <f t="shared" ca="1" si="86"/>
        <v/>
      </c>
      <c r="X55" s="141" t="str">
        <f t="shared" si="87"/>
        <v/>
      </c>
      <c r="Y55" s="140" t="str">
        <f t="shared" ca="1" si="88"/>
        <v/>
      </c>
      <c r="Z55" s="141" t="str">
        <f t="shared" si="89"/>
        <v/>
      </c>
      <c r="AA55" s="140" t="str">
        <f t="shared" ca="1" si="90"/>
        <v/>
      </c>
      <c r="AB55" s="141" t="str">
        <f t="shared" si="91"/>
        <v/>
      </c>
      <c r="AC55" s="140" t="str">
        <f t="shared" ca="1" si="92"/>
        <v/>
      </c>
      <c r="AD55" s="141" t="str">
        <f t="shared" si="93"/>
        <v/>
      </c>
      <c r="AE55" s="137"/>
      <c r="AF55" s="137"/>
      <c r="AG55" s="137"/>
      <c r="AH55" s="137"/>
      <c r="AI55" s="137"/>
      <c r="AJ55" s="137"/>
      <c r="AL55" s="196" t="e">
        <f t="shared" ca="1" si="63"/>
        <v>#DIV/0!</v>
      </c>
      <c r="AM55" s="70" t="e">
        <f t="shared" ca="1" si="64"/>
        <v>#DIV/0!</v>
      </c>
      <c r="AN55" s="256" t="e">
        <f t="shared" ca="1" si="65"/>
        <v>#DIV/0!</v>
      </c>
      <c r="AO55" s="256" t="e">
        <f t="shared" ca="1" si="66"/>
        <v>#DIV/0!</v>
      </c>
    </row>
    <row r="56" spans="1:41" ht="21.75" hidden="1" customHeight="1">
      <c r="A56" s="138"/>
      <c r="B56" s="139" t="str">
        <f t="shared" si="62"/>
        <v/>
      </c>
      <c r="C56" s="140" t="str">
        <f t="shared" si="67"/>
        <v/>
      </c>
      <c r="D56" s="141" t="str">
        <f t="shared" si="68"/>
        <v/>
      </c>
      <c r="E56" s="140" t="str">
        <f t="shared" si="69"/>
        <v/>
      </c>
      <c r="F56" s="141" t="str">
        <f t="shared" si="70"/>
        <v/>
      </c>
      <c r="G56" s="140" t="str">
        <f t="shared" si="71"/>
        <v/>
      </c>
      <c r="H56" s="141" t="str">
        <f t="shared" si="72"/>
        <v/>
      </c>
      <c r="I56" s="140" t="str">
        <f t="shared" si="73"/>
        <v/>
      </c>
      <c r="J56" s="141" t="str">
        <f t="shared" si="74"/>
        <v/>
      </c>
      <c r="K56" s="140" t="str">
        <f t="shared" ca="1" si="75"/>
        <v/>
      </c>
      <c r="L56" s="141" t="str">
        <f t="shared" si="76"/>
        <v/>
      </c>
      <c r="M56" s="140" t="str">
        <f t="shared" ca="1" si="44"/>
        <v/>
      </c>
      <c r="N56" s="141" t="str">
        <f t="shared" si="77"/>
        <v/>
      </c>
      <c r="O56" s="140" t="str">
        <f t="shared" ca="1" si="78"/>
        <v/>
      </c>
      <c r="P56" s="141" t="str">
        <f t="shared" si="79"/>
        <v/>
      </c>
      <c r="Q56" s="140" t="str">
        <f t="shared" ca="1" si="80"/>
        <v/>
      </c>
      <c r="R56" s="141" t="str">
        <f t="shared" si="81"/>
        <v/>
      </c>
      <c r="S56" s="140" t="str">
        <f t="shared" ca="1" si="82"/>
        <v/>
      </c>
      <c r="T56" s="141" t="str">
        <f t="shared" si="83"/>
        <v/>
      </c>
      <c r="U56" s="140" t="str">
        <f t="shared" ca="1" si="84"/>
        <v/>
      </c>
      <c r="V56" s="141" t="str">
        <f t="shared" si="85"/>
        <v/>
      </c>
      <c r="W56" s="140" t="str">
        <f t="shared" ca="1" si="86"/>
        <v/>
      </c>
      <c r="X56" s="141" t="str">
        <f t="shared" si="87"/>
        <v/>
      </c>
      <c r="Y56" s="140" t="str">
        <f t="shared" ca="1" si="88"/>
        <v/>
      </c>
      <c r="Z56" s="141" t="str">
        <f t="shared" si="89"/>
        <v/>
      </c>
      <c r="AA56" s="140" t="str">
        <f t="shared" ca="1" si="90"/>
        <v/>
      </c>
      <c r="AB56" s="141" t="str">
        <f t="shared" si="91"/>
        <v/>
      </c>
      <c r="AC56" s="140" t="str">
        <f t="shared" ca="1" si="92"/>
        <v/>
      </c>
      <c r="AD56" s="141" t="str">
        <f t="shared" si="93"/>
        <v/>
      </c>
      <c r="AE56" s="137"/>
      <c r="AF56" s="137"/>
      <c r="AG56" s="137"/>
      <c r="AH56" s="137"/>
      <c r="AI56" s="137"/>
      <c r="AJ56" s="137"/>
      <c r="AL56" s="196" t="e">
        <f t="shared" ca="1" si="63"/>
        <v>#DIV/0!</v>
      </c>
      <c r="AM56" s="70" t="e">
        <f t="shared" ca="1" si="64"/>
        <v>#DIV/0!</v>
      </c>
      <c r="AN56" s="256" t="e">
        <f t="shared" ca="1" si="65"/>
        <v>#DIV/0!</v>
      </c>
      <c r="AO56" s="256" t="e">
        <f t="shared" ca="1" si="66"/>
        <v>#DIV/0!</v>
      </c>
    </row>
    <row r="57" spans="1:41" ht="21.75" hidden="1" customHeight="1">
      <c r="A57" s="138"/>
      <c r="B57" s="139" t="str">
        <f t="shared" si="62"/>
        <v/>
      </c>
      <c r="C57" s="140" t="str">
        <f t="shared" si="67"/>
        <v/>
      </c>
      <c r="D57" s="141" t="str">
        <f t="shared" si="68"/>
        <v/>
      </c>
      <c r="E57" s="140" t="str">
        <f t="shared" si="69"/>
        <v/>
      </c>
      <c r="F57" s="141" t="str">
        <f t="shared" si="70"/>
        <v/>
      </c>
      <c r="G57" s="140" t="str">
        <f t="shared" si="71"/>
        <v/>
      </c>
      <c r="H57" s="141" t="str">
        <f t="shared" si="72"/>
        <v/>
      </c>
      <c r="I57" s="140" t="str">
        <f t="shared" si="73"/>
        <v/>
      </c>
      <c r="J57" s="141" t="str">
        <f t="shared" si="74"/>
        <v/>
      </c>
      <c r="K57" s="140" t="str">
        <f t="shared" ca="1" si="75"/>
        <v/>
      </c>
      <c r="L57" s="141" t="str">
        <f t="shared" si="76"/>
        <v/>
      </c>
      <c r="M57" s="140" t="str">
        <f t="shared" ca="1" si="44"/>
        <v/>
      </c>
      <c r="N57" s="141" t="str">
        <f t="shared" si="77"/>
        <v/>
      </c>
      <c r="O57" s="140" t="str">
        <f t="shared" ca="1" si="78"/>
        <v/>
      </c>
      <c r="P57" s="141" t="str">
        <f t="shared" si="79"/>
        <v/>
      </c>
      <c r="Q57" s="140" t="str">
        <f t="shared" ca="1" si="80"/>
        <v/>
      </c>
      <c r="R57" s="141" t="str">
        <f t="shared" si="81"/>
        <v/>
      </c>
      <c r="S57" s="140" t="str">
        <f t="shared" ca="1" si="82"/>
        <v/>
      </c>
      <c r="T57" s="141" t="str">
        <f t="shared" si="83"/>
        <v/>
      </c>
      <c r="U57" s="140" t="str">
        <f t="shared" ca="1" si="84"/>
        <v/>
      </c>
      <c r="V57" s="141" t="str">
        <f t="shared" si="85"/>
        <v/>
      </c>
      <c r="W57" s="140" t="str">
        <f t="shared" ca="1" si="86"/>
        <v/>
      </c>
      <c r="X57" s="141" t="str">
        <f t="shared" si="87"/>
        <v/>
      </c>
      <c r="Y57" s="140" t="str">
        <f t="shared" ca="1" si="88"/>
        <v/>
      </c>
      <c r="Z57" s="141" t="str">
        <f t="shared" si="89"/>
        <v/>
      </c>
      <c r="AA57" s="140" t="str">
        <f t="shared" ca="1" si="90"/>
        <v/>
      </c>
      <c r="AB57" s="141" t="str">
        <f t="shared" si="91"/>
        <v/>
      </c>
      <c r="AC57" s="140" t="str">
        <f t="shared" ca="1" si="92"/>
        <v/>
      </c>
      <c r="AD57" s="141" t="str">
        <f t="shared" si="93"/>
        <v/>
      </c>
      <c r="AE57" s="137"/>
      <c r="AF57" s="137"/>
      <c r="AG57" s="137"/>
      <c r="AH57" s="137"/>
      <c r="AI57" s="137"/>
      <c r="AJ57" s="137"/>
      <c r="AL57" s="196" t="e">
        <f t="shared" ca="1" si="63"/>
        <v>#DIV/0!</v>
      </c>
      <c r="AM57" s="70" t="e">
        <f t="shared" ca="1" si="64"/>
        <v>#DIV/0!</v>
      </c>
      <c r="AN57" s="256" t="e">
        <f t="shared" ca="1" si="65"/>
        <v>#DIV/0!</v>
      </c>
      <c r="AO57" s="256" t="e">
        <f t="shared" ca="1" si="66"/>
        <v>#DIV/0!</v>
      </c>
    </row>
    <row r="58" spans="1:41" ht="21.75" hidden="1" customHeight="1">
      <c r="A58" s="138"/>
      <c r="B58" s="139" t="str">
        <f t="shared" si="62"/>
        <v/>
      </c>
      <c r="C58" s="140" t="str">
        <f t="shared" si="67"/>
        <v/>
      </c>
      <c r="D58" s="141" t="str">
        <f t="shared" si="68"/>
        <v/>
      </c>
      <c r="E58" s="140" t="str">
        <f t="shared" si="69"/>
        <v/>
      </c>
      <c r="F58" s="141" t="str">
        <f t="shared" si="70"/>
        <v/>
      </c>
      <c r="G58" s="140" t="str">
        <f t="shared" si="71"/>
        <v/>
      </c>
      <c r="H58" s="141" t="str">
        <f t="shared" si="72"/>
        <v/>
      </c>
      <c r="I58" s="140" t="str">
        <f t="shared" si="73"/>
        <v/>
      </c>
      <c r="J58" s="141" t="str">
        <f t="shared" si="74"/>
        <v/>
      </c>
      <c r="K58" s="140" t="str">
        <f t="shared" ca="1" si="75"/>
        <v/>
      </c>
      <c r="L58" s="141" t="str">
        <f t="shared" si="76"/>
        <v/>
      </c>
      <c r="M58" s="140" t="str">
        <f t="shared" ca="1" si="44"/>
        <v/>
      </c>
      <c r="N58" s="141" t="str">
        <f t="shared" si="77"/>
        <v/>
      </c>
      <c r="O58" s="140" t="str">
        <f t="shared" ca="1" si="78"/>
        <v/>
      </c>
      <c r="P58" s="141" t="str">
        <f t="shared" si="79"/>
        <v/>
      </c>
      <c r="Q58" s="140" t="str">
        <f t="shared" ca="1" si="80"/>
        <v/>
      </c>
      <c r="R58" s="141" t="str">
        <f t="shared" si="81"/>
        <v/>
      </c>
      <c r="S58" s="140" t="str">
        <f t="shared" ca="1" si="82"/>
        <v/>
      </c>
      <c r="T58" s="141" t="str">
        <f t="shared" si="83"/>
        <v/>
      </c>
      <c r="U58" s="140" t="str">
        <f t="shared" ca="1" si="84"/>
        <v/>
      </c>
      <c r="V58" s="141" t="str">
        <f t="shared" si="85"/>
        <v/>
      </c>
      <c r="W58" s="140" t="str">
        <f t="shared" ca="1" si="86"/>
        <v/>
      </c>
      <c r="X58" s="141" t="str">
        <f t="shared" si="87"/>
        <v/>
      </c>
      <c r="Y58" s="140" t="str">
        <f t="shared" ca="1" si="88"/>
        <v/>
      </c>
      <c r="Z58" s="141" t="str">
        <f t="shared" si="89"/>
        <v/>
      </c>
      <c r="AA58" s="140" t="str">
        <f t="shared" ca="1" si="90"/>
        <v/>
      </c>
      <c r="AB58" s="141" t="str">
        <f t="shared" si="91"/>
        <v/>
      </c>
      <c r="AC58" s="140" t="str">
        <f t="shared" ca="1" si="92"/>
        <v/>
      </c>
      <c r="AD58" s="141" t="str">
        <f t="shared" si="93"/>
        <v/>
      </c>
      <c r="AE58" s="137"/>
      <c r="AF58" s="137"/>
      <c r="AG58" s="137"/>
      <c r="AH58" s="137"/>
      <c r="AI58" s="137"/>
      <c r="AJ58" s="137"/>
      <c r="AL58" s="196" t="e">
        <f t="shared" ca="1" si="63"/>
        <v>#DIV/0!</v>
      </c>
      <c r="AM58" s="70" t="e">
        <f t="shared" ca="1" si="64"/>
        <v>#DIV/0!</v>
      </c>
      <c r="AN58" s="256" t="e">
        <f t="shared" ca="1" si="65"/>
        <v>#DIV/0!</v>
      </c>
      <c r="AO58" s="256" t="e">
        <f t="shared" ca="1" si="66"/>
        <v>#DIV/0!</v>
      </c>
    </row>
    <row r="59" spans="1:41" ht="21.75" hidden="1" customHeight="1">
      <c r="A59" s="138"/>
      <c r="B59" s="139" t="str">
        <f t="shared" si="62"/>
        <v/>
      </c>
      <c r="C59" s="140" t="str">
        <f t="shared" si="67"/>
        <v/>
      </c>
      <c r="D59" s="141" t="str">
        <f t="shared" si="68"/>
        <v/>
      </c>
      <c r="E59" s="140" t="str">
        <f t="shared" si="69"/>
        <v/>
      </c>
      <c r="F59" s="141" t="str">
        <f t="shared" si="70"/>
        <v/>
      </c>
      <c r="G59" s="140" t="str">
        <f t="shared" si="71"/>
        <v/>
      </c>
      <c r="H59" s="141" t="str">
        <f t="shared" si="72"/>
        <v/>
      </c>
      <c r="I59" s="140" t="str">
        <f t="shared" si="73"/>
        <v/>
      </c>
      <c r="J59" s="141" t="str">
        <f t="shared" si="74"/>
        <v/>
      </c>
      <c r="K59" s="140" t="str">
        <f t="shared" ca="1" si="75"/>
        <v/>
      </c>
      <c r="L59" s="141" t="str">
        <f t="shared" si="76"/>
        <v/>
      </c>
      <c r="M59" s="140" t="str">
        <f t="shared" ca="1" si="44"/>
        <v/>
      </c>
      <c r="N59" s="141" t="str">
        <f t="shared" si="77"/>
        <v/>
      </c>
      <c r="O59" s="140" t="str">
        <f t="shared" ca="1" si="78"/>
        <v/>
      </c>
      <c r="P59" s="141" t="str">
        <f t="shared" si="79"/>
        <v/>
      </c>
      <c r="Q59" s="140" t="str">
        <f t="shared" ca="1" si="80"/>
        <v/>
      </c>
      <c r="R59" s="141" t="str">
        <f t="shared" si="81"/>
        <v/>
      </c>
      <c r="S59" s="140" t="str">
        <f t="shared" ca="1" si="82"/>
        <v/>
      </c>
      <c r="T59" s="141" t="str">
        <f t="shared" si="83"/>
        <v/>
      </c>
      <c r="U59" s="140" t="str">
        <f t="shared" ca="1" si="84"/>
        <v/>
      </c>
      <c r="V59" s="141" t="str">
        <f t="shared" si="85"/>
        <v/>
      </c>
      <c r="W59" s="140" t="str">
        <f t="shared" ca="1" si="86"/>
        <v/>
      </c>
      <c r="X59" s="141" t="str">
        <f t="shared" si="87"/>
        <v/>
      </c>
      <c r="Y59" s="140" t="str">
        <f t="shared" ca="1" si="88"/>
        <v/>
      </c>
      <c r="Z59" s="141" t="str">
        <f t="shared" si="89"/>
        <v/>
      </c>
      <c r="AA59" s="140" t="str">
        <f t="shared" ca="1" si="90"/>
        <v/>
      </c>
      <c r="AB59" s="141" t="str">
        <f t="shared" si="91"/>
        <v/>
      </c>
      <c r="AC59" s="140" t="str">
        <f t="shared" ca="1" si="92"/>
        <v/>
      </c>
      <c r="AD59" s="141" t="str">
        <f t="shared" si="93"/>
        <v/>
      </c>
      <c r="AE59" s="137"/>
      <c r="AF59" s="137"/>
      <c r="AG59" s="137"/>
      <c r="AH59" s="137"/>
      <c r="AI59" s="137"/>
      <c r="AJ59" s="137"/>
      <c r="AL59" s="196" t="e">
        <f t="shared" ca="1" si="63"/>
        <v>#DIV/0!</v>
      </c>
      <c r="AM59" s="70" t="e">
        <f t="shared" ca="1" si="64"/>
        <v>#DIV/0!</v>
      </c>
      <c r="AN59" s="256" t="e">
        <f t="shared" ca="1" si="65"/>
        <v>#DIV/0!</v>
      </c>
      <c r="AO59" s="256" t="e">
        <f t="shared" ca="1" si="66"/>
        <v>#DIV/0!</v>
      </c>
    </row>
    <row r="60" spans="1:41" ht="21.75" hidden="1" customHeight="1">
      <c r="A60" s="138"/>
      <c r="B60" s="139" t="str">
        <f t="shared" si="62"/>
        <v/>
      </c>
      <c r="C60" s="140" t="str">
        <f t="shared" si="67"/>
        <v/>
      </c>
      <c r="D60" s="141" t="str">
        <f t="shared" si="68"/>
        <v/>
      </c>
      <c r="E60" s="140" t="str">
        <f t="shared" si="69"/>
        <v/>
      </c>
      <c r="F60" s="141" t="str">
        <f t="shared" si="70"/>
        <v/>
      </c>
      <c r="G60" s="140" t="str">
        <f t="shared" si="71"/>
        <v/>
      </c>
      <c r="H60" s="141" t="str">
        <f t="shared" si="72"/>
        <v/>
      </c>
      <c r="I60" s="140" t="str">
        <f t="shared" si="73"/>
        <v/>
      </c>
      <c r="J60" s="141" t="str">
        <f t="shared" si="74"/>
        <v/>
      </c>
      <c r="K60" s="140" t="str">
        <f t="shared" ca="1" si="75"/>
        <v/>
      </c>
      <c r="L60" s="141" t="str">
        <f t="shared" si="76"/>
        <v/>
      </c>
      <c r="M60" s="140" t="str">
        <f t="shared" ca="1" si="44"/>
        <v/>
      </c>
      <c r="N60" s="141" t="str">
        <f t="shared" si="77"/>
        <v/>
      </c>
      <c r="O60" s="140" t="str">
        <f t="shared" ca="1" si="78"/>
        <v/>
      </c>
      <c r="P60" s="141" t="str">
        <f t="shared" si="79"/>
        <v/>
      </c>
      <c r="Q60" s="140" t="str">
        <f t="shared" ca="1" si="80"/>
        <v/>
      </c>
      <c r="R60" s="141" t="str">
        <f t="shared" si="81"/>
        <v/>
      </c>
      <c r="S60" s="140" t="str">
        <f t="shared" ca="1" si="82"/>
        <v/>
      </c>
      <c r="T60" s="141" t="str">
        <f t="shared" si="83"/>
        <v/>
      </c>
      <c r="U60" s="140" t="str">
        <f t="shared" ca="1" si="84"/>
        <v/>
      </c>
      <c r="V60" s="141" t="str">
        <f t="shared" si="85"/>
        <v/>
      </c>
      <c r="W60" s="140" t="str">
        <f t="shared" ca="1" si="86"/>
        <v/>
      </c>
      <c r="X60" s="141" t="str">
        <f t="shared" si="87"/>
        <v/>
      </c>
      <c r="Y60" s="140" t="str">
        <f t="shared" ca="1" si="88"/>
        <v/>
      </c>
      <c r="Z60" s="141" t="str">
        <f t="shared" si="89"/>
        <v/>
      </c>
      <c r="AA60" s="140" t="str">
        <f t="shared" ca="1" si="90"/>
        <v/>
      </c>
      <c r="AB60" s="141" t="str">
        <f t="shared" si="91"/>
        <v/>
      </c>
      <c r="AC60" s="140" t="str">
        <f t="shared" ca="1" si="92"/>
        <v/>
      </c>
      <c r="AD60" s="141" t="str">
        <f t="shared" si="93"/>
        <v/>
      </c>
      <c r="AE60" s="137"/>
      <c r="AF60" s="137"/>
      <c r="AG60" s="137"/>
      <c r="AH60" s="137"/>
      <c r="AI60" s="137"/>
      <c r="AJ60" s="137"/>
      <c r="AL60" s="196" t="e">
        <f t="shared" ca="1" si="63"/>
        <v>#DIV/0!</v>
      </c>
      <c r="AM60" s="70" t="e">
        <f t="shared" ca="1" si="64"/>
        <v>#DIV/0!</v>
      </c>
      <c r="AN60" s="256" t="e">
        <f t="shared" ca="1" si="65"/>
        <v>#DIV/0!</v>
      </c>
      <c r="AO60" s="256" t="e">
        <f t="shared" ca="1" si="66"/>
        <v>#DIV/0!</v>
      </c>
    </row>
    <row r="61" spans="1:41" ht="21.75" hidden="1" customHeight="1">
      <c r="A61" s="138"/>
      <c r="B61" s="139" t="str">
        <f t="shared" si="62"/>
        <v/>
      </c>
      <c r="C61" s="140" t="str">
        <f t="shared" si="67"/>
        <v/>
      </c>
      <c r="D61" s="141" t="str">
        <f t="shared" si="68"/>
        <v/>
      </c>
      <c r="E61" s="140" t="str">
        <f t="shared" si="69"/>
        <v/>
      </c>
      <c r="F61" s="141" t="str">
        <f t="shared" si="70"/>
        <v/>
      </c>
      <c r="G61" s="140" t="str">
        <f t="shared" si="71"/>
        <v/>
      </c>
      <c r="H61" s="141" t="str">
        <f t="shared" si="72"/>
        <v/>
      </c>
      <c r="I61" s="140" t="str">
        <f t="shared" si="73"/>
        <v/>
      </c>
      <c r="J61" s="141" t="str">
        <f t="shared" si="74"/>
        <v/>
      </c>
      <c r="K61" s="140" t="str">
        <f t="shared" ca="1" si="75"/>
        <v/>
      </c>
      <c r="L61" s="141" t="str">
        <f t="shared" si="76"/>
        <v/>
      </c>
      <c r="M61" s="140" t="str">
        <f t="shared" ca="1" si="44"/>
        <v/>
      </c>
      <c r="N61" s="141" t="str">
        <f t="shared" si="77"/>
        <v/>
      </c>
      <c r="O61" s="140" t="str">
        <f t="shared" ca="1" si="78"/>
        <v/>
      </c>
      <c r="P61" s="141" t="str">
        <f t="shared" si="79"/>
        <v/>
      </c>
      <c r="Q61" s="140" t="str">
        <f t="shared" ca="1" si="80"/>
        <v/>
      </c>
      <c r="R61" s="141" t="str">
        <f t="shared" si="81"/>
        <v/>
      </c>
      <c r="S61" s="140" t="str">
        <f t="shared" ca="1" si="82"/>
        <v/>
      </c>
      <c r="T61" s="141" t="str">
        <f t="shared" si="83"/>
        <v/>
      </c>
      <c r="U61" s="140" t="str">
        <f t="shared" ca="1" si="84"/>
        <v/>
      </c>
      <c r="V61" s="141" t="str">
        <f t="shared" si="85"/>
        <v/>
      </c>
      <c r="W61" s="140" t="str">
        <f t="shared" ca="1" si="86"/>
        <v/>
      </c>
      <c r="X61" s="141" t="str">
        <f t="shared" si="87"/>
        <v/>
      </c>
      <c r="Y61" s="140" t="str">
        <f t="shared" ca="1" si="88"/>
        <v/>
      </c>
      <c r="Z61" s="141" t="str">
        <f t="shared" si="89"/>
        <v/>
      </c>
      <c r="AA61" s="140" t="str">
        <f t="shared" ca="1" si="90"/>
        <v/>
      </c>
      <c r="AB61" s="141" t="str">
        <f t="shared" si="91"/>
        <v/>
      </c>
      <c r="AC61" s="140" t="str">
        <f t="shared" ca="1" si="92"/>
        <v/>
      </c>
      <c r="AD61" s="141" t="str">
        <f t="shared" si="93"/>
        <v/>
      </c>
      <c r="AE61" s="137"/>
      <c r="AF61" s="137"/>
      <c r="AG61" s="137"/>
      <c r="AH61" s="137"/>
      <c r="AI61" s="137"/>
      <c r="AJ61" s="137"/>
      <c r="AL61" s="196" t="e">
        <f t="shared" ca="1" si="63"/>
        <v>#DIV/0!</v>
      </c>
      <c r="AM61" s="70" t="e">
        <f t="shared" ca="1" si="64"/>
        <v>#DIV/0!</v>
      </c>
      <c r="AN61" s="256" t="e">
        <f t="shared" ca="1" si="65"/>
        <v>#DIV/0!</v>
      </c>
      <c r="AO61" s="256" t="e">
        <f t="shared" ca="1" si="66"/>
        <v>#DIV/0!</v>
      </c>
    </row>
    <row r="62" spans="1:41" ht="21.75" hidden="1" customHeight="1">
      <c r="A62" s="138"/>
      <c r="B62" s="139" t="str">
        <f t="shared" si="62"/>
        <v/>
      </c>
      <c r="C62" s="140" t="str">
        <f t="shared" si="67"/>
        <v/>
      </c>
      <c r="D62" s="141" t="str">
        <f t="shared" si="68"/>
        <v/>
      </c>
      <c r="E62" s="140" t="str">
        <f t="shared" si="69"/>
        <v/>
      </c>
      <c r="F62" s="141" t="str">
        <f t="shared" si="70"/>
        <v/>
      </c>
      <c r="G62" s="140" t="str">
        <f t="shared" si="71"/>
        <v/>
      </c>
      <c r="H62" s="141" t="str">
        <f t="shared" si="72"/>
        <v/>
      </c>
      <c r="I62" s="140" t="str">
        <f t="shared" si="73"/>
        <v/>
      </c>
      <c r="J62" s="141" t="str">
        <f t="shared" si="74"/>
        <v/>
      </c>
      <c r="K62" s="140" t="str">
        <f t="shared" ca="1" si="75"/>
        <v/>
      </c>
      <c r="L62" s="141" t="str">
        <f t="shared" si="76"/>
        <v/>
      </c>
      <c r="M62" s="140" t="str">
        <f t="shared" ca="1" si="44"/>
        <v/>
      </c>
      <c r="N62" s="141" t="str">
        <f t="shared" si="77"/>
        <v/>
      </c>
      <c r="O62" s="140" t="str">
        <f t="shared" ca="1" si="78"/>
        <v/>
      </c>
      <c r="P62" s="141" t="str">
        <f t="shared" si="79"/>
        <v/>
      </c>
      <c r="Q62" s="140" t="str">
        <f t="shared" ca="1" si="80"/>
        <v/>
      </c>
      <c r="R62" s="141" t="str">
        <f t="shared" si="81"/>
        <v/>
      </c>
      <c r="S62" s="140" t="str">
        <f t="shared" ca="1" si="82"/>
        <v/>
      </c>
      <c r="T62" s="141" t="str">
        <f t="shared" si="83"/>
        <v/>
      </c>
      <c r="U62" s="140" t="str">
        <f t="shared" ca="1" si="84"/>
        <v/>
      </c>
      <c r="V62" s="141" t="str">
        <f t="shared" si="85"/>
        <v/>
      </c>
      <c r="W62" s="140" t="str">
        <f t="shared" ca="1" si="86"/>
        <v/>
      </c>
      <c r="X62" s="141" t="str">
        <f t="shared" si="87"/>
        <v/>
      </c>
      <c r="Y62" s="140" t="str">
        <f t="shared" ca="1" si="88"/>
        <v/>
      </c>
      <c r="Z62" s="141" t="str">
        <f t="shared" si="89"/>
        <v/>
      </c>
      <c r="AA62" s="140" t="str">
        <f t="shared" ca="1" si="90"/>
        <v/>
      </c>
      <c r="AB62" s="141" t="str">
        <f t="shared" si="91"/>
        <v/>
      </c>
      <c r="AC62" s="140" t="str">
        <f t="shared" ca="1" si="92"/>
        <v/>
      </c>
      <c r="AD62" s="141" t="str">
        <f t="shared" si="93"/>
        <v/>
      </c>
      <c r="AE62" s="137"/>
      <c r="AF62" s="137"/>
      <c r="AG62" s="137"/>
      <c r="AH62" s="137"/>
      <c r="AI62" s="137"/>
      <c r="AJ62" s="137"/>
      <c r="AL62" s="196" t="e">
        <f t="shared" ca="1" si="63"/>
        <v>#DIV/0!</v>
      </c>
      <c r="AM62" s="70" t="e">
        <f t="shared" ca="1" si="64"/>
        <v>#DIV/0!</v>
      </c>
      <c r="AN62" s="256" t="e">
        <f t="shared" ca="1" si="65"/>
        <v>#DIV/0!</v>
      </c>
      <c r="AO62" s="256" t="e">
        <f t="shared" ca="1" si="66"/>
        <v>#DIV/0!</v>
      </c>
    </row>
    <row r="63" spans="1:41" ht="21.75" hidden="1" customHeight="1">
      <c r="A63" s="138"/>
      <c r="B63" s="139" t="str">
        <f t="shared" si="62"/>
        <v/>
      </c>
      <c r="C63" s="140" t="str">
        <f t="shared" si="67"/>
        <v/>
      </c>
      <c r="D63" s="141" t="str">
        <f t="shared" si="68"/>
        <v/>
      </c>
      <c r="E63" s="140" t="str">
        <f t="shared" si="69"/>
        <v/>
      </c>
      <c r="F63" s="141" t="str">
        <f t="shared" si="70"/>
        <v/>
      </c>
      <c r="G63" s="140" t="str">
        <f t="shared" si="71"/>
        <v/>
      </c>
      <c r="H63" s="141" t="str">
        <f t="shared" si="72"/>
        <v/>
      </c>
      <c r="I63" s="140" t="str">
        <f t="shared" si="73"/>
        <v/>
      </c>
      <c r="J63" s="141" t="str">
        <f t="shared" si="74"/>
        <v/>
      </c>
      <c r="K63" s="140" t="str">
        <f t="shared" ca="1" si="75"/>
        <v/>
      </c>
      <c r="L63" s="141" t="str">
        <f t="shared" si="76"/>
        <v/>
      </c>
      <c r="M63" s="140" t="str">
        <f t="shared" ca="1" si="44"/>
        <v/>
      </c>
      <c r="N63" s="141" t="str">
        <f t="shared" si="77"/>
        <v/>
      </c>
      <c r="O63" s="140" t="str">
        <f t="shared" ca="1" si="78"/>
        <v/>
      </c>
      <c r="P63" s="141" t="str">
        <f t="shared" si="79"/>
        <v/>
      </c>
      <c r="Q63" s="140" t="str">
        <f t="shared" ca="1" si="80"/>
        <v/>
      </c>
      <c r="R63" s="141" t="str">
        <f t="shared" si="81"/>
        <v/>
      </c>
      <c r="S63" s="140" t="str">
        <f t="shared" ca="1" si="82"/>
        <v/>
      </c>
      <c r="T63" s="141" t="str">
        <f t="shared" si="83"/>
        <v/>
      </c>
      <c r="U63" s="140" t="str">
        <f t="shared" ca="1" si="84"/>
        <v/>
      </c>
      <c r="V63" s="141" t="str">
        <f t="shared" si="85"/>
        <v/>
      </c>
      <c r="W63" s="140" t="str">
        <f t="shared" ca="1" si="86"/>
        <v/>
      </c>
      <c r="X63" s="141" t="str">
        <f t="shared" si="87"/>
        <v/>
      </c>
      <c r="Y63" s="140" t="str">
        <f t="shared" ca="1" si="88"/>
        <v/>
      </c>
      <c r="Z63" s="141" t="str">
        <f t="shared" si="89"/>
        <v/>
      </c>
      <c r="AA63" s="140" t="str">
        <f t="shared" ca="1" si="90"/>
        <v/>
      </c>
      <c r="AB63" s="141" t="str">
        <f t="shared" si="91"/>
        <v/>
      </c>
      <c r="AC63" s="140" t="str">
        <f t="shared" ca="1" si="92"/>
        <v/>
      </c>
      <c r="AD63" s="141" t="str">
        <f t="shared" si="93"/>
        <v/>
      </c>
      <c r="AE63" s="137"/>
      <c r="AF63" s="137"/>
      <c r="AG63" s="137"/>
      <c r="AH63" s="137"/>
      <c r="AI63" s="137"/>
      <c r="AJ63" s="137"/>
      <c r="AL63" s="196" t="e">
        <f t="shared" ca="1" si="63"/>
        <v>#DIV/0!</v>
      </c>
      <c r="AM63" s="70" t="e">
        <f t="shared" ca="1" si="64"/>
        <v>#DIV/0!</v>
      </c>
      <c r="AN63" s="256" t="e">
        <f t="shared" ca="1" si="65"/>
        <v>#DIV/0!</v>
      </c>
      <c r="AO63" s="256" t="e">
        <f t="shared" ca="1" si="66"/>
        <v>#DIV/0!</v>
      </c>
    </row>
    <row r="64" spans="1:41" ht="21.75" hidden="1" customHeight="1">
      <c r="A64" s="138"/>
      <c r="B64" s="139" t="str">
        <f t="shared" si="62"/>
        <v/>
      </c>
      <c r="C64" s="140" t="str">
        <f t="shared" si="67"/>
        <v/>
      </c>
      <c r="D64" s="141" t="str">
        <f t="shared" si="68"/>
        <v/>
      </c>
      <c r="E64" s="140" t="str">
        <f t="shared" si="69"/>
        <v/>
      </c>
      <c r="F64" s="141" t="str">
        <f t="shared" si="70"/>
        <v/>
      </c>
      <c r="G64" s="140" t="str">
        <f t="shared" si="71"/>
        <v/>
      </c>
      <c r="H64" s="141" t="str">
        <f t="shared" si="72"/>
        <v/>
      </c>
      <c r="I64" s="140" t="str">
        <f t="shared" si="73"/>
        <v/>
      </c>
      <c r="J64" s="141" t="str">
        <f t="shared" si="74"/>
        <v/>
      </c>
      <c r="K64" s="140" t="str">
        <f t="shared" ca="1" si="75"/>
        <v/>
      </c>
      <c r="L64" s="141" t="str">
        <f t="shared" si="76"/>
        <v/>
      </c>
      <c r="M64" s="140" t="str">
        <f t="shared" ca="1" si="44"/>
        <v/>
      </c>
      <c r="N64" s="141" t="str">
        <f t="shared" si="77"/>
        <v/>
      </c>
      <c r="O64" s="140" t="str">
        <f t="shared" ca="1" si="78"/>
        <v/>
      </c>
      <c r="P64" s="141" t="str">
        <f t="shared" si="79"/>
        <v/>
      </c>
      <c r="Q64" s="140" t="str">
        <f t="shared" ca="1" si="80"/>
        <v/>
      </c>
      <c r="R64" s="141" t="str">
        <f t="shared" si="81"/>
        <v/>
      </c>
      <c r="S64" s="140" t="str">
        <f t="shared" ca="1" si="82"/>
        <v/>
      </c>
      <c r="T64" s="141" t="str">
        <f t="shared" si="83"/>
        <v/>
      </c>
      <c r="U64" s="140" t="str">
        <f t="shared" ca="1" si="84"/>
        <v/>
      </c>
      <c r="V64" s="141" t="str">
        <f t="shared" si="85"/>
        <v/>
      </c>
      <c r="W64" s="140" t="str">
        <f t="shared" ca="1" si="86"/>
        <v/>
      </c>
      <c r="X64" s="141" t="str">
        <f t="shared" si="87"/>
        <v/>
      </c>
      <c r="Y64" s="140" t="str">
        <f t="shared" ca="1" si="88"/>
        <v/>
      </c>
      <c r="Z64" s="141" t="str">
        <f t="shared" si="89"/>
        <v/>
      </c>
      <c r="AA64" s="140" t="str">
        <f t="shared" ca="1" si="90"/>
        <v/>
      </c>
      <c r="AB64" s="141" t="str">
        <f t="shared" si="91"/>
        <v/>
      </c>
      <c r="AC64" s="140" t="str">
        <f t="shared" ca="1" si="92"/>
        <v/>
      </c>
      <c r="AD64" s="141" t="str">
        <f t="shared" si="93"/>
        <v/>
      </c>
      <c r="AE64" s="137"/>
      <c r="AF64" s="137"/>
      <c r="AG64" s="137"/>
      <c r="AH64" s="137"/>
      <c r="AI64" s="137"/>
      <c r="AJ64" s="137"/>
      <c r="AL64" s="196" t="e">
        <f t="shared" ca="1" si="63"/>
        <v>#DIV/0!</v>
      </c>
      <c r="AM64" s="70" t="e">
        <f t="shared" ca="1" si="64"/>
        <v>#DIV/0!</v>
      </c>
      <c r="AN64" s="256" t="e">
        <f t="shared" ca="1" si="65"/>
        <v>#DIV/0!</v>
      </c>
      <c r="AO64" s="256" t="e">
        <f t="shared" ca="1" si="66"/>
        <v>#DIV/0!</v>
      </c>
    </row>
    <row r="65" spans="1:41" ht="21.75" hidden="1" customHeight="1">
      <c r="A65" s="138"/>
      <c r="B65" s="139" t="str">
        <f t="shared" si="62"/>
        <v/>
      </c>
      <c r="C65" s="140" t="str">
        <f t="shared" si="67"/>
        <v/>
      </c>
      <c r="D65" s="141" t="str">
        <f t="shared" si="68"/>
        <v/>
      </c>
      <c r="E65" s="140" t="str">
        <f t="shared" si="69"/>
        <v/>
      </c>
      <c r="F65" s="141" t="str">
        <f t="shared" si="70"/>
        <v/>
      </c>
      <c r="G65" s="140" t="str">
        <f t="shared" si="71"/>
        <v/>
      </c>
      <c r="H65" s="141" t="str">
        <f t="shared" si="72"/>
        <v/>
      </c>
      <c r="I65" s="140" t="str">
        <f t="shared" si="73"/>
        <v/>
      </c>
      <c r="J65" s="141" t="str">
        <f t="shared" si="74"/>
        <v/>
      </c>
      <c r="K65" s="140" t="str">
        <f t="shared" ca="1" si="75"/>
        <v/>
      </c>
      <c r="L65" s="141" t="str">
        <f t="shared" si="76"/>
        <v/>
      </c>
      <c r="M65" s="140" t="str">
        <f t="shared" ca="1" si="44"/>
        <v/>
      </c>
      <c r="N65" s="141" t="str">
        <f t="shared" si="77"/>
        <v/>
      </c>
      <c r="O65" s="140" t="str">
        <f t="shared" ca="1" si="78"/>
        <v/>
      </c>
      <c r="P65" s="141" t="str">
        <f t="shared" si="79"/>
        <v/>
      </c>
      <c r="Q65" s="140" t="str">
        <f t="shared" ca="1" si="80"/>
        <v/>
      </c>
      <c r="R65" s="141" t="str">
        <f t="shared" si="81"/>
        <v/>
      </c>
      <c r="S65" s="140" t="str">
        <f t="shared" ca="1" si="82"/>
        <v/>
      </c>
      <c r="T65" s="141" t="str">
        <f t="shared" si="83"/>
        <v/>
      </c>
      <c r="U65" s="140" t="str">
        <f t="shared" ca="1" si="84"/>
        <v/>
      </c>
      <c r="V65" s="141" t="str">
        <f t="shared" si="85"/>
        <v/>
      </c>
      <c r="W65" s="140" t="str">
        <f t="shared" ca="1" si="86"/>
        <v/>
      </c>
      <c r="X65" s="141" t="str">
        <f t="shared" si="87"/>
        <v/>
      </c>
      <c r="Y65" s="140" t="str">
        <f t="shared" ca="1" si="88"/>
        <v/>
      </c>
      <c r="Z65" s="141" t="str">
        <f t="shared" si="89"/>
        <v/>
      </c>
      <c r="AA65" s="140" t="str">
        <f t="shared" ca="1" si="90"/>
        <v/>
      </c>
      <c r="AB65" s="141" t="str">
        <f t="shared" si="91"/>
        <v/>
      </c>
      <c r="AC65" s="140" t="str">
        <f t="shared" ca="1" si="92"/>
        <v/>
      </c>
      <c r="AD65" s="141" t="str">
        <f t="shared" si="93"/>
        <v/>
      </c>
      <c r="AE65" s="137"/>
      <c r="AF65" s="137"/>
      <c r="AG65" s="137"/>
      <c r="AH65" s="137"/>
      <c r="AI65" s="137"/>
      <c r="AJ65" s="137"/>
      <c r="AL65" s="196" t="e">
        <f t="shared" ca="1" si="63"/>
        <v>#DIV/0!</v>
      </c>
      <c r="AM65" s="70" t="e">
        <f t="shared" ca="1" si="64"/>
        <v>#DIV/0!</v>
      </c>
      <c r="AN65" s="256" t="e">
        <f t="shared" ca="1" si="65"/>
        <v>#DIV/0!</v>
      </c>
      <c r="AO65" s="256" t="e">
        <f t="shared" ca="1" si="66"/>
        <v>#DIV/0!</v>
      </c>
    </row>
    <row r="66" spans="1:41" ht="21.75" hidden="1" customHeight="1">
      <c r="A66" s="138"/>
      <c r="B66" s="139" t="str">
        <f t="shared" si="62"/>
        <v/>
      </c>
      <c r="C66" s="140" t="str">
        <f t="shared" si="67"/>
        <v/>
      </c>
      <c r="D66" s="141" t="str">
        <f t="shared" si="68"/>
        <v/>
      </c>
      <c r="E66" s="140" t="str">
        <f t="shared" si="69"/>
        <v/>
      </c>
      <c r="F66" s="141" t="str">
        <f t="shared" si="70"/>
        <v/>
      </c>
      <c r="G66" s="140" t="str">
        <f t="shared" si="71"/>
        <v/>
      </c>
      <c r="H66" s="141" t="str">
        <f t="shared" si="72"/>
        <v/>
      </c>
      <c r="I66" s="140" t="str">
        <f t="shared" si="73"/>
        <v/>
      </c>
      <c r="J66" s="141" t="str">
        <f t="shared" si="74"/>
        <v/>
      </c>
      <c r="K66" s="140" t="str">
        <f t="shared" ca="1" si="75"/>
        <v/>
      </c>
      <c r="L66" s="141" t="str">
        <f t="shared" si="76"/>
        <v/>
      </c>
      <c r="M66" s="140" t="str">
        <f t="shared" ca="1" si="44"/>
        <v/>
      </c>
      <c r="N66" s="141" t="str">
        <f t="shared" si="77"/>
        <v/>
      </c>
      <c r="O66" s="140" t="str">
        <f t="shared" ca="1" si="78"/>
        <v/>
      </c>
      <c r="P66" s="141" t="str">
        <f t="shared" si="79"/>
        <v/>
      </c>
      <c r="Q66" s="140" t="str">
        <f t="shared" ca="1" si="80"/>
        <v/>
      </c>
      <c r="R66" s="141" t="str">
        <f t="shared" si="81"/>
        <v/>
      </c>
      <c r="S66" s="140" t="str">
        <f t="shared" ca="1" si="82"/>
        <v/>
      </c>
      <c r="T66" s="141" t="str">
        <f t="shared" si="83"/>
        <v/>
      </c>
      <c r="U66" s="140" t="str">
        <f t="shared" ca="1" si="84"/>
        <v/>
      </c>
      <c r="V66" s="141" t="str">
        <f t="shared" si="85"/>
        <v/>
      </c>
      <c r="W66" s="140" t="str">
        <f t="shared" ca="1" si="86"/>
        <v/>
      </c>
      <c r="X66" s="141" t="str">
        <f t="shared" si="87"/>
        <v/>
      </c>
      <c r="Y66" s="140" t="str">
        <f t="shared" ca="1" si="88"/>
        <v/>
      </c>
      <c r="Z66" s="141" t="str">
        <f t="shared" si="89"/>
        <v/>
      </c>
      <c r="AA66" s="140" t="str">
        <f t="shared" ca="1" si="90"/>
        <v/>
      </c>
      <c r="AB66" s="141" t="str">
        <f t="shared" si="91"/>
        <v/>
      </c>
      <c r="AC66" s="140" t="str">
        <f t="shared" ca="1" si="92"/>
        <v/>
      </c>
      <c r="AD66" s="141" t="str">
        <f t="shared" si="93"/>
        <v/>
      </c>
      <c r="AE66" s="137"/>
      <c r="AF66" s="137"/>
      <c r="AG66" s="137"/>
      <c r="AH66" s="137"/>
      <c r="AI66" s="137"/>
      <c r="AJ66" s="137"/>
      <c r="AL66" s="196" t="e">
        <f t="shared" ca="1" si="63"/>
        <v>#DIV/0!</v>
      </c>
      <c r="AM66" s="70" t="e">
        <f t="shared" ca="1" si="64"/>
        <v>#DIV/0!</v>
      </c>
      <c r="AN66" s="256" t="e">
        <f t="shared" ca="1" si="65"/>
        <v>#DIV/0!</v>
      </c>
      <c r="AO66" s="256" t="e">
        <f t="shared" ca="1" si="66"/>
        <v>#DIV/0!</v>
      </c>
    </row>
    <row r="67" spans="1:41" ht="21.75" hidden="1" customHeight="1">
      <c r="A67" s="138"/>
      <c r="B67" s="139" t="str">
        <f t="shared" si="62"/>
        <v/>
      </c>
      <c r="C67" s="140" t="str">
        <f t="shared" si="67"/>
        <v/>
      </c>
      <c r="D67" s="141" t="str">
        <f t="shared" si="68"/>
        <v/>
      </c>
      <c r="E67" s="140" t="str">
        <f t="shared" si="69"/>
        <v/>
      </c>
      <c r="F67" s="141" t="str">
        <f t="shared" si="70"/>
        <v/>
      </c>
      <c r="G67" s="140" t="str">
        <f t="shared" si="71"/>
        <v/>
      </c>
      <c r="H67" s="141" t="str">
        <f t="shared" si="72"/>
        <v/>
      </c>
      <c r="I67" s="140" t="str">
        <f t="shared" si="73"/>
        <v/>
      </c>
      <c r="J67" s="141" t="str">
        <f t="shared" si="74"/>
        <v/>
      </c>
      <c r="K67" s="140" t="str">
        <f t="shared" ca="1" si="75"/>
        <v/>
      </c>
      <c r="L67" s="141" t="str">
        <f t="shared" si="76"/>
        <v/>
      </c>
      <c r="M67" s="140" t="str">
        <f t="shared" ca="1" si="44"/>
        <v/>
      </c>
      <c r="N67" s="141" t="str">
        <f t="shared" si="77"/>
        <v/>
      </c>
      <c r="O67" s="140" t="str">
        <f t="shared" ca="1" si="78"/>
        <v/>
      </c>
      <c r="P67" s="141" t="str">
        <f t="shared" si="79"/>
        <v/>
      </c>
      <c r="Q67" s="140" t="str">
        <f t="shared" ca="1" si="80"/>
        <v/>
      </c>
      <c r="R67" s="141" t="str">
        <f t="shared" si="81"/>
        <v/>
      </c>
      <c r="S67" s="140" t="str">
        <f t="shared" ca="1" si="82"/>
        <v/>
      </c>
      <c r="T67" s="141" t="str">
        <f t="shared" si="83"/>
        <v/>
      </c>
      <c r="U67" s="140" t="str">
        <f t="shared" ca="1" si="84"/>
        <v/>
      </c>
      <c r="V67" s="141" t="str">
        <f t="shared" si="85"/>
        <v/>
      </c>
      <c r="W67" s="140" t="str">
        <f t="shared" ca="1" si="86"/>
        <v/>
      </c>
      <c r="X67" s="141" t="str">
        <f t="shared" si="87"/>
        <v/>
      </c>
      <c r="Y67" s="140" t="str">
        <f t="shared" ca="1" si="88"/>
        <v/>
      </c>
      <c r="Z67" s="141" t="str">
        <f t="shared" si="89"/>
        <v/>
      </c>
      <c r="AA67" s="140" t="str">
        <f t="shared" ca="1" si="90"/>
        <v/>
      </c>
      <c r="AB67" s="141" t="str">
        <f t="shared" si="91"/>
        <v/>
      </c>
      <c r="AC67" s="140" t="str">
        <f t="shared" ca="1" si="92"/>
        <v/>
      </c>
      <c r="AD67" s="141" t="str">
        <f t="shared" si="93"/>
        <v/>
      </c>
      <c r="AE67" s="137"/>
      <c r="AF67" s="137"/>
      <c r="AG67" s="137"/>
      <c r="AH67" s="137"/>
      <c r="AI67" s="137"/>
      <c r="AJ67" s="137"/>
      <c r="AL67" s="196" t="e">
        <f t="shared" ca="1" si="63"/>
        <v>#DIV/0!</v>
      </c>
      <c r="AM67" s="70" t="e">
        <f t="shared" ca="1" si="64"/>
        <v>#DIV/0!</v>
      </c>
      <c r="AN67" s="256" t="e">
        <f t="shared" ca="1" si="65"/>
        <v>#DIV/0!</v>
      </c>
      <c r="AO67" s="256" t="e">
        <f t="shared" ca="1" si="66"/>
        <v>#DIV/0!</v>
      </c>
    </row>
    <row r="68" spans="1:41" ht="21.75" hidden="1" customHeight="1">
      <c r="A68" s="138"/>
      <c r="B68" s="139" t="str">
        <f t="shared" si="62"/>
        <v/>
      </c>
      <c r="C68" s="140" t="str">
        <f t="shared" si="67"/>
        <v/>
      </c>
      <c r="D68" s="141" t="str">
        <f t="shared" si="68"/>
        <v/>
      </c>
      <c r="E68" s="140" t="str">
        <f t="shared" si="69"/>
        <v/>
      </c>
      <c r="F68" s="141" t="str">
        <f t="shared" si="70"/>
        <v/>
      </c>
      <c r="G68" s="140" t="str">
        <f t="shared" si="71"/>
        <v/>
      </c>
      <c r="H68" s="141" t="str">
        <f t="shared" si="72"/>
        <v/>
      </c>
      <c r="I68" s="140" t="str">
        <f t="shared" si="73"/>
        <v/>
      </c>
      <c r="J68" s="141" t="str">
        <f t="shared" si="74"/>
        <v/>
      </c>
      <c r="K68" s="140" t="str">
        <f t="shared" ca="1" si="75"/>
        <v/>
      </c>
      <c r="L68" s="141" t="str">
        <f t="shared" si="76"/>
        <v/>
      </c>
      <c r="M68" s="140" t="str">
        <f t="shared" ca="1" si="44"/>
        <v/>
      </c>
      <c r="N68" s="141" t="str">
        <f t="shared" si="77"/>
        <v/>
      </c>
      <c r="O68" s="140" t="str">
        <f t="shared" ca="1" si="78"/>
        <v/>
      </c>
      <c r="P68" s="141" t="str">
        <f t="shared" si="79"/>
        <v/>
      </c>
      <c r="Q68" s="140" t="str">
        <f t="shared" ca="1" si="80"/>
        <v/>
      </c>
      <c r="R68" s="141" t="str">
        <f t="shared" si="81"/>
        <v/>
      </c>
      <c r="S68" s="140" t="str">
        <f t="shared" ca="1" si="82"/>
        <v/>
      </c>
      <c r="T68" s="141" t="str">
        <f t="shared" si="83"/>
        <v/>
      </c>
      <c r="U68" s="140" t="str">
        <f t="shared" ca="1" si="84"/>
        <v/>
      </c>
      <c r="V68" s="141" t="str">
        <f t="shared" si="85"/>
        <v/>
      </c>
      <c r="W68" s="140" t="str">
        <f t="shared" ca="1" si="86"/>
        <v/>
      </c>
      <c r="X68" s="141" t="str">
        <f t="shared" si="87"/>
        <v/>
      </c>
      <c r="Y68" s="140" t="str">
        <f t="shared" ca="1" si="88"/>
        <v/>
      </c>
      <c r="Z68" s="141" t="str">
        <f t="shared" si="89"/>
        <v/>
      </c>
      <c r="AA68" s="140" t="str">
        <f t="shared" ca="1" si="90"/>
        <v/>
      </c>
      <c r="AB68" s="141" t="str">
        <f t="shared" si="91"/>
        <v/>
      </c>
      <c r="AC68" s="140" t="str">
        <f t="shared" ca="1" si="92"/>
        <v/>
      </c>
      <c r="AD68" s="141" t="str">
        <f t="shared" si="93"/>
        <v/>
      </c>
      <c r="AE68" s="137"/>
      <c r="AF68" s="137"/>
      <c r="AG68" s="137"/>
      <c r="AH68" s="137"/>
      <c r="AI68" s="137"/>
      <c r="AJ68" s="137"/>
      <c r="AL68" s="196" t="e">
        <f t="shared" ca="1" si="63"/>
        <v>#DIV/0!</v>
      </c>
      <c r="AM68" s="70" t="e">
        <f t="shared" ca="1" si="64"/>
        <v>#DIV/0!</v>
      </c>
      <c r="AN68" s="256" t="e">
        <f t="shared" ca="1" si="65"/>
        <v>#DIV/0!</v>
      </c>
      <c r="AO68" s="256" t="e">
        <f t="shared" ca="1" si="66"/>
        <v>#DIV/0!</v>
      </c>
    </row>
    <row r="69" spans="1:41" ht="21.75" hidden="1" customHeight="1">
      <c r="A69" s="138"/>
      <c r="B69" s="139" t="str">
        <f t="shared" ref="B69:B76" si="94">IF(A69="","",IF($K$4="Media aritmética",ROUND(AVERAGE(C69,E69,G69,I69,K69,M69,O69,Q69,S69,U69,W69,Y69,AA69,AC69,AE69,AG69,AI69),2),ROUND(_xlfn.STDEV.P(C69,E69,G69,I69,K69,M69,O69,Q69,S69,U69,W69,Y69,AA69,AC69,AE69,AG69,AI69),2)))</f>
        <v/>
      </c>
      <c r="C69" s="140" t="str">
        <f t="shared" si="67"/>
        <v/>
      </c>
      <c r="D69" s="141" t="str">
        <f t="shared" si="68"/>
        <v/>
      </c>
      <c r="E69" s="140" t="str">
        <f t="shared" si="69"/>
        <v/>
      </c>
      <c r="F69" s="141" t="str">
        <f t="shared" si="70"/>
        <v/>
      </c>
      <c r="G69" s="140" t="str">
        <f t="shared" si="71"/>
        <v/>
      </c>
      <c r="H69" s="141" t="str">
        <f t="shared" si="72"/>
        <v/>
      </c>
      <c r="I69" s="140" t="str">
        <f t="shared" si="73"/>
        <v/>
      </c>
      <c r="J69" s="141" t="str">
        <f t="shared" si="74"/>
        <v/>
      </c>
      <c r="K69" s="140" t="str">
        <f t="shared" ca="1" si="75"/>
        <v/>
      </c>
      <c r="L69" s="141" t="str">
        <f t="shared" si="76"/>
        <v/>
      </c>
      <c r="M69" s="140" t="str">
        <f t="shared" ca="1" si="44"/>
        <v/>
      </c>
      <c r="N69" s="141" t="str">
        <f t="shared" si="77"/>
        <v/>
      </c>
      <c r="O69" s="140" t="str">
        <f t="shared" ca="1" si="78"/>
        <v/>
      </c>
      <c r="P69" s="141" t="str">
        <f t="shared" si="79"/>
        <v/>
      </c>
      <c r="Q69" s="140" t="str">
        <f t="shared" ca="1" si="80"/>
        <v/>
      </c>
      <c r="R69" s="141" t="str">
        <f t="shared" si="81"/>
        <v/>
      </c>
      <c r="S69" s="140" t="str">
        <f t="shared" ca="1" si="82"/>
        <v/>
      </c>
      <c r="T69" s="141" t="str">
        <f t="shared" si="83"/>
        <v/>
      </c>
      <c r="U69" s="140" t="str">
        <f t="shared" ca="1" si="84"/>
        <v/>
      </c>
      <c r="V69" s="141" t="str">
        <f t="shared" si="85"/>
        <v/>
      </c>
      <c r="W69" s="140" t="str">
        <f t="shared" ca="1" si="86"/>
        <v/>
      </c>
      <c r="X69" s="141" t="str">
        <f t="shared" si="87"/>
        <v/>
      </c>
      <c r="Y69" s="140" t="str">
        <f t="shared" ca="1" si="88"/>
        <v/>
      </c>
      <c r="Z69" s="141" t="str">
        <f t="shared" si="89"/>
        <v/>
      </c>
      <c r="AA69" s="140" t="str">
        <f t="shared" ca="1" si="90"/>
        <v/>
      </c>
      <c r="AB69" s="141" t="str">
        <f t="shared" si="91"/>
        <v/>
      </c>
      <c r="AC69" s="140" t="str">
        <f t="shared" ca="1" si="92"/>
        <v/>
      </c>
      <c r="AD69" s="141" t="str">
        <f t="shared" si="93"/>
        <v/>
      </c>
      <c r="AE69" s="137"/>
      <c r="AF69" s="137"/>
      <c r="AG69" s="137"/>
      <c r="AH69" s="137"/>
      <c r="AI69" s="137"/>
      <c r="AJ69" s="137"/>
      <c r="AL69" s="196" t="e">
        <f t="shared" ca="1" si="63"/>
        <v>#DIV/0!</v>
      </c>
      <c r="AM69" s="70" t="e">
        <f t="shared" ca="1" si="64"/>
        <v>#DIV/0!</v>
      </c>
      <c r="AN69" s="256" t="e">
        <f t="shared" ca="1" si="65"/>
        <v>#DIV/0!</v>
      </c>
      <c r="AO69" s="256" t="e">
        <f t="shared" ca="1" si="66"/>
        <v>#DIV/0!</v>
      </c>
    </row>
    <row r="70" spans="1:41" ht="21.75" hidden="1" customHeight="1">
      <c r="A70" s="138"/>
      <c r="B70" s="139" t="str">
        <f t="shared" si="94"/>
        <v/>
      </c>
      <c r="C70" s="140" t="str">
        <f t="shared" si="67"/>
        <v/>
      </c>
      <c r="D70" s="141" t="str">
        <f t="shared" si="68"/>
        <v/>
      </c>
      <c r="E70" s="140" t="str">
        <f t="shared" si="69"/>
        <v/>
      </c>
      <c r="F70" s="141" t="str">
        <f t="shared" si="70"/>
        <v/>
      </c>
      <c r="G70" s="140" t="str">
        <f t="shared" si="71"/>
        <v/>
      </c>
      <c r="H70" s="141" t="str">
        <f t="shared" si="72"/>
        <v/>
      </c>
      <c r="I70" s="140" t="str">
        <f t="shared" si="73"/>
        <v/>
      </c>
      <c r="J70" s="141" t="str">
        <f t="shared" si="74"/>
        <v/>
      </c>
      <c r="K70" s="140" t="str">
        <f t="shared" ca="1" si="75"/>
        <v/>
      </c>
      <c r="L70" s="141" t="str">
        <f t="shared" si="76"/>
        <v/>
      </c>
      <c r="M70" s="140" t="str">
        <f t="shared" ca="1" si="44"/>
        <v/>
      </c>
      <c r="N70" s="141" t="str">
        <f t="shared" si="77"/>
        <v/>
      </c>
      <c r="O70" s="140" t="str">
        <f t="shared" ca="1" si="78"/>
        <v/>
      </c>
      <c r="P70" s="141" t="str">
        <f t="shared" si="79"/>
        <v/>
      </c>
      <c r="Q70" s="140" t="str">
        <f t="shared" ca="1" si="80"/>
        <v/>
      </c>
      <c r="R70" s="141" t="str">
        <f t="shared" si="81"/>
        <v/>
      </c>
      <c r="S70" s="140" t="str">
        <f t="shared" ca="1" si="82"/>
        <v/>
      </c>
      <c r="T70" s="141" t="str">
        <f t="shared" si="83"/>
        <v/>
      </c>
      <c r="U70" s="140" t="str">
        <f t="shared" ca="1" si="84"/>
        <v/>
      </c>
      <c r="V70" s="141" t="str">
        <f t="shared" si="85"/>
        <v/>
      </c>
      <c r="W70" s="140" t="str">
        <f t="shared" ca="1" si="86"/>
        <v/>
      </c>
      <c r="X70" s="141" t="str">
        <f t="shared" si="87"/>
        <v/>
      </c>
      <c r="Y70" s="140" t="str">
        <f t="shared" ca="1" si="88"/>
        <v/>
      </c>
      <c r="Z70" s="141" t="str">
        <f t="shared" si="89"/>
        <v/>
      </c>
      <c r="AA70" s="140" t="str">
        <f t="shared" ca="1" si="90"/>
        <v/>
      </c>
      <c r="AB70" s="141" t="str">
        <f t="shared" si="91"/>
        <v/>
      </c>
      <c r="AC70" s="140" t="str">
        <f t="shared" ca="1" si="92"/>
        <v/>
      </c>
      <c r="AD70" s="141" t="str">
        <f t="shared" si="93"/>
        <v/>
      </c>
      <c r="AE70" s="137"/>
      <c r="AF70" s="137"/>
      <c r="AG70" s="137"/>
      <c r="AH70" s="137"/>
      <c r="AI70" s="137"/>
      <c r="AJ70" s="137"/>
      <c r="AL70" s="196" t="e">
        <f t="shared" ca="1" si="63"/>
        <v>#DIV/0!</v>
      </c>
      <c r="AM70" s="70" t="e">
        <f t="shared" ca="1" si="64"/>
        <v>#DIV/0!</v>
      </c>
      <c r="AN70" s="256" t="e">
        <f t="shared" ca="1" si="65"/>
        <v>#DIV/0!</v>
      </c>
      <c r="AO70" s="256" t="e">
        <f t="shared" ca="1" si="66"/>
        <v>#DIV/0!</v>
      </c>
    </row>
    <row r="71" spans="1:41" ht="21.75" hidden="1" customHeight="1">
      <c r="A71" s="138"/>
      <c r="B71" s="139" t="str">
        <f t="shared" si="94"/>
        <v/>
      </c>
      <c r="C71" s="140" t="str">
        <f t="shared" si="67"/>
        <v/>
      </c>
      <c r="D71" s="141" t="str">
        <f t="shared" si="68"/>
        <v/>
      </c>
      <c r="E71" s="140" t="str">
        <f t="shared" si="69"/>
        <v/>
      </c>
      <c r="F71" s="141" t="str">
        <f t="shared" si="70"/>
        <v/>
      </c>
      <c r="G71" s="140" t="str">
        <f t="shared" si="71"/>
        <v/>
      </c>
      <c r="H71" s="141" t="str">
        <f t="shared" si="72"/>
        <v/>
      </c>
      <c r="I71" s="140" t="str">
        <f t="shared" si="73"/>
        <v/>
      </c>
      <c r="J71" s="141" t="str">
        <f t="shared" si="74"/>
        <v/>
      </c>
      <c r="K71" s="140" t="str">
        <f t="shared" ca="1" si="75"/>
        <v/>
      </c>
      <c r="L71" s="141" t="str">
        <f t="shared" si="76"/>
        <v/>
      </c>
      <c r="M71" s="140" t="str">
        <f t="shared" ca="1" si="44"/>
        <v/>
      </c>
      <c r="N71" s="141" t="str">
        <f t="shared" si="77"/>
        <v/>
      </c>
      <c r="O71" s="140" t="str">
        <f t="shared" ca="1" si="78"/>
        <v/>
      </c>
      <c r="P71" s="141" t="str">
        <f t="shared" si="79"/>
        <v/>
      </c>
      <c r="Q71" s="140" t="str">
        <f t="shared" ca="1" si="80"/>
        <v/>
      </c>
      <c r="R71" s="141" t="str">
        <f t="shared" si="81"/>
        <v/>
      </c>
      <c r="S71" s="140" t="str">
        <f t="shared" ca="1" si="82"/>
        <v/>
      </c>
      <c r="T71" s="141" t="str">
        <f t="shared" si="83"/>
        <v/>
      </c>
      <c r="U71" s="140" t="str">
        <f t="shared" ca="1" si="84"/>
        <v/>
      </c>
      <c r="V71" s="141" t="str">
        <f t="shared" si="85"/>
        <v/>
      </c>
      <c r="W71" s="140" t="str">
        <f t="shared" ca="1" si="86"/>
        <v/>
      </c>
      <c r="X71" s="141" t="str">
        <f t="shared" si="87"/>
        <v/>
      </c>
      <c r="Y71" s="140" t="str">
        <f t="shared" ca="1" si="88"/>
        <v/>
      </c>
      <c r="Z71" s="141" t="str">
        <f t="shared" si="89"/>
        <v/>
      </c>
      <c r="AA71" s="140" t="str">
        <f t="shared" ca="1" si="90"/>
        <v/>
      </c>
      <c r="AB71" s="141" t="str">
        <f t="shared" si="91"/>
        <v/>
      </c>
      <c r="AC71" s="140" t="str">
        <f t="shared" ca="1" si="92"/>
        <v/>
      </c>
      <c r="AD71" s="141" t="str">
        <f t="shared" si="93"/>
        <v/>
      </c>
      <c r="AE71" s="137"/>
      <c r="AF71" s="137"/>
      <c r="AG71" s="137"/>
      <c r="AH71" s="137"/>
      <c r="AI71" s="137"/>
      <c r="AJ71" s="137"/>
      <c r="AL71" s="196" t="e">
        <f t="shared" ca="1" si="63"/>
        <v>#DIV/0!</v>
      </c>
      <c r="AM71" s="70" t="e">
        <f t="shared" ca="1" si="64"/>
        <v>#DIV/0!</v>
      </c>
      <c r="AN71" s="256" t="e">
        <f t="shared" ca="1" si="65"/>
        <v>#DIV/0!</v>
      </c>
      <c r="AO71" s="256" t="e">
        <f t="shared" ca="1" si="66"/>
        <v>#DIV/0!</v>
      </c>
    </row>
    <row r="72" spans="1:41" ht="21.75" hidden="1" customHeight="1">
      <c r="A72" s="138"/>
      <c r="B72" s="139" t="str">
        <f t="shared" si="94"/>
        <v/>
      </c>
      <c r="C72" s="140" t="str">
        <f t="shared" si="67"/>
        <v/>
      </c>
      <c r="D72" s="141" t="str">
        <f t="shared" si="68"/>
        <v/>
      </c>
      <c r="E72" s="140" t="str">
        <f t="shared" si="69"/>
        <v/>
      </c>
      <c r="F72" s="141" t="str">
        <f t="shared" si="70"/>
        <v/>
      </c>
      <c r="G72" s="140" t="str">
        <f t="shared" si="71"/>
        <v/>
      </c>
      <c r="H72" s="141" t="str">
        <f t="shared" si="72"/>
        <v/>
      </c>
      <c r="I72" s="140" t="str">
        <f t="shared" si="73"/>
        <v/>
      </c>
      <c r="J72" s="141" t="str">
        <f t="shared" si="74"/>
        <v/>
      </c>
      <c r="K72" s="140" t="str">
        <f t="shared" ca="1" si="75"/>
        <v/>
      </c>
      <c r="L72" s="141" t="str">
        <f t="shared" si="76"/>
        <v/>
      </c>
      <c r="M72" s="140" t="str">
        <f t="shared" ca="1" si="44"/>
        <v/>
      </c>
      <c r="N72" s="141" t="str">
        <f t="shared" si="77"/>
        <v/>
      </c>
      <c r="O72" s="140" t="str">
        <f t="shared" ca="1" si="78"/>
        <v/>
      </c>
      <c r="P72" s="141" t="str">
        <f t="shared" si="79"/>
        <v/>
      </c>
      <c r="Q72" s="140" t="str">
        <f t="shared" ca="1" si="80"/>
        <v/>
      </c>
      <c r="R72" s="141" t="str">
        <f t="shared" si="81"/>
        <v/>
      </c>
      <c r="S72" s="140" t="str">
        <f t="shared" ca="1" si="82"/>
        <v/>
      </c>
      <c r="T72" s="141" t="str">
        <f t="shared" si="83"/>
        <v/>
      </c>
      <c r="U72" s="140" t="str">
        <f t="shared" ca="1" si="84"/>
        <v/>
      </c>
      <c r="V72" s="141" t="str">
        <f t="shared" si="85"/>
        <v/>
      </c>
      <c r="W72" s="140" t="str">
        <f t="shared" ca="1" si="86"/>
        <v/>
      </c>
      <c r="X72" s="141" t="str">
        <f t="shared" si="87"/>
        <v/>
      </c>
      <c r="Y72" s="140" t="str">
        <f t="shared" ca="1" si="88"/>
        <v/>
      </c>
      <c r="Z72" s="141" t="str">
        <f t="shared" si="89"/>
        <v/>
      </c>
      <c r="AA72" s="140" t="str">
        <f t="shared" ca="1" si="90"/>
        <v/>
      </c>
      <c r="AB72" s="141" t="str">
        <f t="shared" si="91"/>
        <v/>
      </c>
      <c r="AC72" s="140" t="str">
        <f t="shared" ca="1" si="92"/>
        <v/>
      </c>
      <c r="AD72" s="141" t="str">
        <f t="shared" si="93"/>
        <v/>
      </c>
      <c r="AE72" s="137"/>
      <c r="AF72" s="137"/>
      <c r="AG72" s="137"/>
      <c r="AH72" s="137"/>
      <c r="AI72" s="137"/>
      <c r="AJ72" s="137"/>
      <c r="AL72" s="196" t="e">
        <f t="shared" ca="1" si="63"/>
        <v>#DIV/0!</v>
      </c>
      <c r="AM72" s="70" t="e">
        <f t="shared" ca="1" si="64"/>
        <v>#DIV/0!</v>
      </c>
      <c r="AN72" s="256" t="e">
        <f t="shared" ca="1" si="65"/>
        <v>#DIV/0!</v>
      </c>
      <c r="AO72" s="256" t="e">
        <f t="shared" ca="1" si="66"/>
        <v>#DIV/0!</v>
      </c>
    </row>
    <row r="73" spans="1:41" ht="21.75" hidden="1" customHeight="1">
      <c r="A73" s="138"/>
      <c r="B73" s="139" t="str">
        <f t="shared" si="94"/>
        <v/>
      </c>
      <c r="C73" s="140" t="str">
        <f t="shared" si="67"/>
        <v/>
      </c>
      <c r="D73" s="141" t="str">
        <f t="shared" si="68"/>
        <v/>
      </c>
      <c r="E73" s="140" t="str">
        <f t="shared" si="69"/>
        <v/>
      </c>
      <c r="F73" s="141" t="str">
        <f t="shared" si="70"/>
        <v/>
      </c>
      <c r="G73" s="140" t="str">
        <f t="shared" si="71"/>
        <v/>
      </c>
      <c r="H73" s="141" t="str">
        <f t="shared" si="72"/>
        <v/>
      </c>
      <c r="I73" s="140" t="str">
        <f t="shared" si="73"/>
        <v/>
      </c>
      <c r="J73" s="141" t="str">
        <f t="shared" si="74"/>
        <v/>
      </c>
      <c r="K73" s="140" t="str">
        <f t="shared" ca="1" si="75"/>
        <v/>
      </c>
      <c r="L73" s="141" t="str">
        <f t="shared" si="76"/>
        <v/>
      </c>
      <c r="M73" s="140" t="str">
        <f t="shared" ca="1" si="44"/>
        <v/>
      </c>
      <c r="N73" s="141" t="str">
        <f t="shared" si="77"/>
        <v/>
      </c>
      <c r="O73" s="140" t="str">
        <f t="shared" ca="1" si="78"/>
        <v/>
      </c>
      <c r="P73" s="141" t="str">
        <f t="shared" si="79"/>
        <v/>
      </c>
      <c r="Q73" s="140" t="str">
        <f t="shared" ca="1" si="80"/>
        <v/>
      </c>
      <c r="R73" s="141" t="str">
        <f t="shared" si="81"/>
        <v/>
      </c>
      <c r="S73" s="140" t="str">
        <f t="shared" ca="1" si="82"/>
        <v/>
      </c>
      <c r="T73" s="141" t="str">
        <f t="shared" si="83"/>
        <v/>
      </c>
      <c r="U73" s="140" t="str">
        <f t="shared" ca="1" si="84"/>
        <v/>
      </c>
      <c r="V73" s="141" t="str">
        <f t="shared" si="85"/>
        <v/>
      </c>
      <c r="W73" s="140" t="str">
        <f t="shared" ca="1" si="86"/>
        <v/>
      </c>
      <c r="X73" s="141" t="str">
        <f t="shared" si="87"/>
        <v/>
      </c>
      <c r="Y73" s="140" t="str">
        <f t="shared" ca="1" si="88"/>
        <v/>
      </c>
      <c r="Z73" s="141" t="str">
        <f t="shared" si="89"/>
        <v/>
      </c>
      <c r="AA73" s="140" t="str">
        <f t="shared" ca="1" si="90"/>
        <v/>
      </c>
      <c r="AB73" s="141" t="str">
        <f t="shared" si="91"/>
        <v/>
      </c>
      <c r="AC73" s="140" t="str">
        <f t="shared" ca="1" si="92"/>
        <v/>
      </c>
      <c r="AD73" s="141" t="str">
        <f t="shared" si="93"/>
        <v/>
      </c>
      <c r="AE73" s="137"/>
      <c r="AF73" s="137"/>
      <c r="AG73" s="137"/>
      <c r="AH73" s="137"/>
      <c r="AI73" s="137"/>
      <c r="AJ73" s="137"/>
      <c r="AL73" s="196" t="e">
        <f t="shared" ca="1" si="63"/>
        <v>#DIV/0!</v>
      </c>
      <c r="AM73" s="70" t="e">
        <f t="shared" ca="1" si="64"/>
        <v>#DIV/0!</v>
      </c>
      <c r="AN73" s="256" t="e">
        <f t="shared" ca="1" si="65"/>
        <v>#DIV/0!</v>
      </c>
      <c r="AO73" s="256" t="e">
        <f t="shared" ca="1" si="66"/>
        <v>#DIV/0!</v>
      </c>
    </row>
    <row r="74" spans="1:41" ht="21.75" hidden="1" customHeight="1">
      <c r="A74" s="138"/>
      <c r="B74" s="139" t="str">
        <f t="shared" si="94"/>
        <v/>
      </c>
      <c r="C74" s="140" t="str">
        <f t="shared" si="67"/>
        <v/>
      </c>
      <c r="D74" s="141" t="str">
        <f t="shared" si="68"/>
        <v/>
      </c>
      <c r="E74" s="140" t="str">
        <f t="shared" si="69"/>
        <v/>
      </c>
      <c r="F74" s="141" t="str">
        <f t="shared" si="70"/>
        <v/>
      </c>
      <c r="G74" s="140" t="str">
        <f t="shared" si="71"/>
        <v/>
      </c>
      <c r="H74" s="141" t="str">
        <f t="shared" si="72"/>
        <v/>
      </c>
      <c r="I74" s="140" t="str">
        <f t="shared" si="73"/>
        <v/>
      </c>
      <c r="J74" s="141" t="str">
        <f t="shared" si="74"/>
        <v/>
      </c>
      <c r="K74" s="140" t="str">
        <f t="shared" ca="1" si="75"/>
        <v/>
      </c>
      <c r="L74" s="141" t="str">
        <f t="shared" si="76"/>
        <v/>
      </c>
      <c r="M74" s="140" t="str">
        <f t="shared" ca="1" si="44"/>
        <v/>
      </c>
      <c r="N74" s="141" t="str">
        <f t="shared" si="77"/>
        <v/>
      </c>
      <c r="O74" s="140" t="str">
        <f t="shared" ca="1" si="78"/>
        <v/>
      </c>
      <c r="P74" s="141" t="str">
        <f t="shared" si="79"/>
        <v/>
      </c>
      <c r="Q74" s="140" t="str">
        <f t="shared" ca="1" si="80"/>
        <v/>
      </c>
      <c r="R74" s="141" t="str">
        <f t="shared" si="81"/>
        <v/>
      </c>
      <c r="S74" s="140" t="str">
        <f t="shared" ca="1" si="82"/>
        <v/>
      </c>
      <c r="T74" s="141" t="str">
        <f t="shared" si="83"/>
        <v/>
      </c>
      <c r="U74" s="140" t="str">
        <f t="shared" ca="1" si="84"/>
        <v/>
      </c>
      <c r="V74" s="141" t="str">
        <f t="shared" si="85"/>
        <v/>
      </c>
      <c r="W74" s="140" t="str">
        <f t="shared" ca="1" si="86"/>
        <v/>
      </c>
      <c r="X74" s="141" t="str">
        <f t="shared" si="87"/>
        <v/>
      </c>
      <c r="Y74" s="140" t="str">
        <f t="shared" ca="1" si="88"/>
        <v/>
      </c>
      <c r="Z74" s="141" t="str">
        <f t="shared" si="89"/>
        <v/>
      </c>
      <c r="AA74" s="140" t="str">
        <f t="shared" ca="1" si="90"/>
        <v/>
      </c>
      <c r="AB74" s="141" t="str">
        <f t="shared" si="91"/>
        <v/>
      </c>
      <c r="AC74" s="140" t="str">
        <f t="shared" ca="1" si="92"/>
        <v/>
      </c>
      <c r="AD74" s="141" t="str">
        <f t="shared" si="93"/>
        <v/>
      </c>
      <c r="AE74" s="137"/>
      <c r="AF74" s="137"/>
      <c r="AG74" s="137"/>
      <c r="AH74" s="137"/>
      <c r="AI74" s="137"/>
      <c r="AJ74" s="137"/>
      <c r="AL74" s="196" t="e">
        <f t="shared" ca="1" si="63"/>
        <v>#DIV/0!</v>
      </c>
      <c r="AM74" s="70" t="e">
        <f t="shared" ca="1" si="64"/>
        <v>#DIV/0!</v>
      </c>
      <c r="AN74" s="256" t="e">
        <f t="shared" ca="1" si="65"/>
        <v>#DIV/0!</v>
      </c>
      <c r="AO74" s="256" t="e">
        <f t="shared" ca="1" si="66"/>
        <v>#DIV/0!</v>
      </c>
    </row>
    <row r="75" spans="1:41" ht="21.75" hidden="1" customHeight="1">
      <c r="A75" s="138"/>
      <c r="B75" s="139" t="str">
        <f t="shared" si="94"/>
        <v/>
      </c>
      <c r="C75" s="140" t="str">
        <f t="shared" si="67"/>
        <v/>
      </c>
      <c r="D75" s="141" t="str">
        <f t="shared" si="68"/>
        <v/>
      </c>
      <c r="E75" s="140" t="str">
        <f t="shared" si="69"/>
        <v/>
      </c>
      <c r="F75" s="141" t="str">
        <f t="shared" si="70"/>
        <v/>
      </c>
      <c r="G75" s="140" t="str">
        <f t="shared" si="71"/>
        <v/>
      </c>
      <c r="H75" s="141" t="str">
        <f t="shared" si="72"/>
        <v/>
      </c>
      <c r="I75" s="140" t="str">
        <f t="shared" si="73"/>
        <v/>
      </c>
      <c r="J75" s="141" t="str">
        <f t="shared" si="74"/>
        <v/>
      </c>
      <c r="K75" s="140" t="str">
        <f t="shared" ca="1" si="75"/>
        <v/>
      </c>
      <c r="L75" s="141" t="str">
        <f t="shared" si="76"/>
        <v/>
      </c>
      <c r="M75" s="140" t="str">
        <f t="shared" ca="1" si="44"/>
        <v/>
      </c>
      <c r="N75" s="141" t="str">
        <f t="shared" si="77"/>
        <v/>
      </c>
      <c r="O75" s="140" t="str">
        <f t="shared" ca="1" si="78"/>
        <v/>
      </c>
      <c r="P75" s="141" t="str">
        <f t="shared" si="79"/>
        <v/>
      </c>
      <c r="Q75" s="140" t="str">
        <f t="shared" ca="1" si="80"/>
        <v/>
      </c>
      <c r="R75" s="141" t="str">
        <f t="shared" si="81"/>
        <v/>
      </c>
      <c r="S75" s="140" t="str">
        <f t="shared" ca="1" si="82"/>
        <v/>
      </c>
      <c r="T75" s="141" t="str">
        <f t="shared" si="83"/>
        <v/>
      </c>
      <c r="U75" s="140" t="str">
        <f t="shared" ca="1" si="84"/>
        <v/>
      </c>
      <c r="V75" s="141" t="str">
        <f t="shared" si="85"/>
        <v/>
      </c>
      <c r="W75" s="140" t="str">
        <f t="shared" ca="1" si="86"/>
        <v/>
      </c>
      <c r="X75" s="141" t="str">
        <f t="shared" si="87"/>
        <v/>
      </c>
      <c r="Y75" s="140" t="str">
        <f t="shared" ca="1" si="88"/>
        <v/>
      </c>
      <c r="Z75" s="141" t="str">
        <f t="shared" si="89"/>
        <v/>
      </c>
      <c r="AA75" s="140" t="str">
        <f t="shared" ca="1" si="90"/>
        <v/>
      </c>
      <c r="AB75" s="141" t="str">
        <f t="shared" si="91"/>
        <v/>
      </c>
      <c r="AC75" s="140" t="str">
        <f t="shared" ca="1" si="92"/>
        <v/>
      </c>
      <c r="AD75" s="141" t="str">
        <f t="shared" si="93"/>
        <v/>
      </c>
      <c r="AE75" s="137"/>
      <c r="AF75" s="137"/>
      <c r="AG75" s="137"/>
      <c r="AH75" s="137"/>
      <c r="AI75" s="137"/>
      <c r="AJ75" s="137"/>
      <c r="AL75" s="196" t="e">
        <f t="shared" ca="1" si="63"/>
        <v>#DIV/0!</v>
      </c>
      <c r="AM75" s="70" t="e">
        <f t="shared" ca="1" si="64"/>
        <v>#DIV/0!</v>
      </c>
      <c r="AN75" s="256" t="e">
        <f t="shared" ca="1" si="65"/>
        <v>#DIV/0!</v>
      </c>
      <c r="AO75" s="256" t="e">
        <f t="shared" ca="1" si="66"/>
        <v>#DIV/0!</v>
      </c>
    </row>
    <row r="76" spans="1:41" ht="21.75" hidden="1" customHeight="1">
      <c r="A76" s="138"/>
      <c r="B76" s="139" t="str">
        <f t="shared" si="94"/>
        <v/>
      </c>
      <c r="C76" s="140" t="str">
        <f t="shared" si="67"/>
        <v/>
      </c>
      <c r="D76" s="141" t="str">
        <f t="shared" si="68"/>
        <v/>
      </c>
      <c r="E76" s="140" t="str">
        <f t="shared" si="69"/>
        <v/>
      </c>
      <c r="F76" s="141" t="str">
        <f t="shared" si="70"/>
        <v/>
      </c>
      <c r="G76" s="140" t="str">
        <f t="shared" si="71"/>
        <v/>
      </c>
      <c r="H76" s="141" t="str">
        <f t="shared" si="72"/>
        <v/>
      </c>
      <c r="I76" s="140" t="str">
        <f t="shared" si="73"/>
        <v/>
      </c>
      <c r="J76" s="141" t="str">
        <f t="shared" si="74"/>
        <v/>
      </c>
      <c r="K76" s="140" t="str">
        <f t="shared" ca="1" si="75"/>
        <v/>
      </c>
      <c r="L76" s="141" t="str">
        <f t="shared" si="76"/>
        <v/>
      </c>
      <c r="M76" s="140" t="str">
        <f t="shared" ca="1" si="44"/>
        <v/>
      </c>
      <c r="N76" s="141" t="str">
        <f t="shared" si="77"/>
        <v/>
      </c>
      <c r="O76" s="140" t="str">
        <f t="shared" ca="1" si="78"/>
        <v/>
      </c>
      <c r="P76" s="141" t="str">
        <f t="shared" si="79"/>
        <v/>
      </c>
      <c r="Q76" s="140" t="str">
        <f t="shared" ca="1" si="80"/>
        <v/>
      </c>
      <c r="R76" s="141" t="str">
        <f t="shared" si="81"/>
        <v/>
      </c>
      <c r="S76" s="140" t="str">
        <f t="shared" ca="1" si="82"/>
        <v/>
      </c>
      <c r="T76" s="141" t="str">
        <f t="shared" si="83"/>
        <v/>
      </c>
      <c r="U76" s="140" t="str">
        <f t="shared" ca="1" si="84"/>
        <v/>
      </c>
      <c r="V76" s="141" t="str">
        <f t="shared" si="85"/>
        <v/>
      </c>
      <c r="W76" s="140" t="str">
        <f t="shared" ca="1" si="86"/>
        <v/>
      </c>
      <c r="X76" s="141" t="str">
        <f t="shared" si="87"/>
        <v/>
      </c>
      <c r="Y76" s="140" t="str">
        <f t="shared" ca="1" si="88"/>
        <v/>
      </c>
      <c r="Z76" s="141" t="str">
        <f t="shared" si="89"/>
        <v/>
      </c>
      <c r="AA76" s="140" t="str">
        <f t="shared" ca="1" si="90"/>
        <v/>
      </c>
      <c r="AB76" s="141" t="str">
        <f t="shared" si="91"/>
        <v/>
      </c>
      <c r="AC76" s="140" t="str">
        <f t="shared" ca="1" si="92"/>
        <v/>
      </c>
      <c r="AD76" s="141" t="str">
        <f t="shared" si="93"/>
        <v/>
      </c>
      <c r="AE76" s="137"/>
      <c r="AF76" s="137"/>
      <c r="AG76" s="137"/>
      <c r="AH76" s="137"/>
      <c r="AI76" s="137"/>
      <c r="AJ76" s="137"/>
      <c r="AL76" s="196" t="e">
        <f t="shared" ca="1" si="63"/>
        <v>#DIV/0!</v>
      </c>
      <c r="AM76" s="70" t="e">
        <f t="shared" ca="1" si="64"/>
        <v>#DIV/0!</v>
      </c>
      <c r="AN76" s="256" t="e">
        <f t="shared" ca="1" si="65"/>
        <v>#DIV/0!</v>
      </c>
      <c r="AO76" s="256" t="e">
        <f t="shared" ca="1" si="66"/>
        <v>#DIV/0!</v>
      </c>
    </row>
    <row r="77" spans="1:41" s="133" customFormat="1" ht="21" hidden="1" customHeight="1">
      <c r="A77" s="138"/>
      <c r="B77" s="139" t="str">
        <f>IF(A77="","",IF($K$4="Media aritmética",ROUND(AVERAGE(C77,E77,G77,I77,K77,M77,O77,Q77,S77,U77,W77,Y77,AA77,AC77,AE77,AG77,AI77),2),ROUND(_xlfn.STDEV.P(C77,E77,G77,I77,K77,M77,O77,Q77,S77,U77,W77,Y77,AA77,AC77,AE77,AG77,AI77),2)))</f>
        <v/>
      </c>
      <c r="C77" s="140" t="str">
        <f t="shared" si="67"/>
        <v/>
      </c>
      <c r="D77" s="141" t="str">
        <f t="shared" si="68"/>
        <v/>
      </c>
      <c r="E77" s="140" t="str">
        <f t="shared" si="69"/>
        <v/>
      </c>
      <c r="F77" s="141" t="str">
        <f t="shared" si="70"/>
        <v/>
      </c>
      <c r="G77" s="140" t="str">
        <f t="shared" si="71"/>
        <v/>
      </c>
      <c r="H77" s="141" t="str">
        <f t="shared" si="72"/>
        <v/>
      </c>
      <c r="I77" s="140" t="str">
        <f t="shared" si="73"/>
        <v/>
      </c>
      <c r="J77" s="141" t="str">
        <f t="shared" si="74"/>
        <v/>
      </c>
      <c r="K77" s="140" t="str">
        <f t="shared" ca="1" si="75"/>
        <v/>
      </c>
      <c r="L77" s="141" t="str">
        <f t="shared" si="76"/>
        <v/>
      </c>
      <c r="M77" s="140" t="str">
        <f t="shared" ca="1" si="44"/>
        <v/>
      </c>
      <c r="N77" s="141" t="str">
        <f t="shared" si="77"/>
        <v/>
      </c>
      <c r="O77" s="140" t="str">
        <f t="shared" ca="1" si="78"/>
        <v/>
      </c>
      <c r="P77" s="141" t="str">
        <f t="shared" si="79"/>
        <v/>
      </c>
      <c r="Q77" s="140" t="str">
        <f t="shared" ca="1" si="80"/>
        <v/>
      </c>
      <c r="R77" s="141" t="str">
        <f t="shared" si="81"/>
        <v/>
      </c>
      <c r="S77" s="140" t="str">
        <f t="shared" ca="1" si="82"/>
        <v/>
      </c>
      <c r="T77" s="141" t="str">
        <f t="shared" si="83"/>
        <v/>
      </c>
      <c r="U77" s="140" t="str">
        <f t="shared" ca="1" si="84"/>
        <v/>
      </c>
      <c r="V77" s="141" t="str">
        <f t="shared" si="85"/>
        <v/>
      </c>
      <c r="W77" s="140" t="str">
        <f t="shared" ca="1" si="86"/>
        <v/>
      </c>
      <c r="X77" s="141" t="str">
        <f t="shared" si="87"/>
        <v/>
      </c>
      <c r="Y77" s="140" t="str">
        <f t="shared" ca="1" si="88"/>
        <v/>
      </c>
      <c r="Z77" s="141" t="str">
        <f t="shared" si="89"/>
        <v/>
      </c>
      <c r="AA77" s="140" t="str">
        <f t="shared" ca="1" si="90"/>
        <v/>
      </c>
      <c r="AB77" s="141" t="str">
        <f t="shared" si="91"/>
        <v/>
      </c>
      <c r="AC77" s="140" t="str">
        <f t="shared" ca="1" si="92"/>
        <v/>
      </c>
      <c r="AD77" s="141" t="str">
        <f t="shared" si="93"/>
        <v/>
      </c>
      <c r="AE77" s="140" t="str">
        <f t="shared" ref="AE77:AE101" si="95">IF($AE$8="Habilitado",IF($A77="","",ROUND(VLOOKUP($A77,OFERENTE_15,14,FALSE),2)),"")</f>
        <v/>
      </c>
      <c r="AF77" s="141" t="str">
        <f t="shared" ref="AF77:AF83" si="96">IF($A77="","",IF(AE77="","",IF($K$4="Media aritmética",(AE77&lt;=$B77)*($E$5/$B$4)+(AE77&gt;$B77)*0,IF(AND(ROUND(AVERAGE($C77,$E77,$G77,$I77,$K77,$M77,$O77,$Q77,$S77,$U77,$W77,$Y77,$AA77,$AC77,$AE77,$AG77,$AI77),2)-$B77/2&lt;=AE77,(ROUND(AVERAGE($C77,$E77,$G77,$I77,$K77,$M77,$O77,$Q77,$S77,$U77,$W77,$Y77,$AA77,$AC77,$AE77,$AG77,$AI77),2)+$B77/2&gt;=AE77)),($E$5/$B$4),0))))</f>
        <v/>
      </c>
      <c r="AG77" s="140" t="str">
        <f t="shared" ref="AG77:AG101" si="97">IF($AG$8="Habilitado",IF($A77="","",ROUND(VLOOKUP($A77,OFERENTE_16,14,FALSE),2)),"")</f>
        <v/>
      </c>
      <c r="AH77" s="141" t="str">
        <f t="shared" ref="AH77:AH83" si="98">IF($A77="","",IF(AG77="","",IF($K$4="Media aritmética",(AG77&lt;=$B77)*($E$5/$B$4)+(AG77&gt;$B77)*0,IF(AND(ROUND(AVERAGE($C77,$E77,$G77,$I77,$K77,$M77,$O77,$Q77,$S77,$U77,$W77,$Y77,$AA77,$AC77,$AE77,$AG77,$AI77),2)-$B77/2&lt;=AG77,(ROUND(AVERAGE($C77,$E77,$G77,$I77,$K77,$M77,$O77,$Q77,$S77,$U77,$W77,$Y77,$AA77,$AC77,$AE77,$AG77,$AI77),2)+$B77/2&gt;=AG77)),($E$5/$B$4),0))))</f>
        <v/>
      </c>
      <c r="AI77" s="140" t="str">
        <f t="shared" ref="AI77:AI101" si="99">IF($AI$8="Habilitado",IF($A77="","",ROUND(VLOOKUP($A77,OFERENTE_17,14,FALSE),2)),"")</f>
        <v/>
      </c>
      <c r="AJ77" s="141" t="str">
        <f t="shared" ref="AJ77:AJ83" si="100">IF($A77="","",IF(AI77="","",IF($K$4="Media aritmética",(AI77&lt;=$B77)*($E$5/$B$4)+(AI77&gt;$B77)*0,IF(AND(ROUND(AVERAGE($C77,$E77,$G77,$I77,$K77,$M77,$O77,$Q77,$S77,$U77,$W77,$Y77,$AA77,$AC77,$AE77,$AG77,$AI77),2)-$B77/2&lt;=AI77,(ROUND(AVERAGE($C77,$E77,$G77,$I77,$K77,$M77,$O77,$Q77,$S77,$U77,$W77,$Y77,$AA77,$AC77,$AE77,$AG77,$AI77),2)+$B77/2&gt;=AI77)),($E$5/$B$4),0))))</f>
        <v/>
      </c>
      <c r="AL77" s="196" t="e">
        <f t="shared" ca="1" si="63"/>
        <v>#DIV/0!</v>
      </c>
      <c r="AM77" s="70" t="e">
        <f t="shared" ca="1" si="64"/>
        <v>#DIV/0!</v>
      </c>
      <c r="AN77" s="256" t="e">
        <f t="shared" ca="1" si="65"/>
        <v>#DIV/0!</v>
      </c>
      <c r="AO77" s="256" t="e">
        <f t="shared" ca="1" si="66"/>
        <v>#DIV/0!</v>
      </c>
    </row>
    <row r="78" spans="1:41" s="133" customFormat="1" ht="21" hidden="1" customHeight="1">
      <c r="A78" s="138"/>
      <c r="B78" s="139" t="str">
        <f t="shared" ref="B78:B101" si="101">IF(A78="","",IF($K$4="Media aritmética",ROUND(AVERAGE(C78,E78,G78,I78,K78,M78,O78,Q78,S78,U78,W78,Y78,AA78,AC78,AE78,AG78,AI78),2),ROUND(_xlfn.STDEV.P(C78,E78,G78,I78,K78,M78,O78,Q78,S78,U78,W78,Y78,AA78,AC78,AE78,AG78,AI78),2)))</f>
        <v/>
      </c>
      <c r="C78" s="140" t="str">
        <f t="shared" ref="C78:C92" si="102">IF($C$8="Habilitado",IF($A78="","",ROUND(VLOOKUP($A78,OFERENTE_1,20,FALSE),2)),"")</f>
        <v/>
      </c>
      <c r="D78" s="141" t="str">
        <f t="shared" ref="D78:D92" si="103">IF($A78="","",IF(C78="","",IF($K$4="Media aritmética",(C78&lt;=$B78)*($E$5/$B$4)+(C78&gt;$B78)*0,IF(AND(ROUND(AVERAGE($C78,$E78,$G78,$I78,$K78,$M78,$O78,$Q78,$S78,$U78,$W78,$Y78,$AA78,$AC78,$AE78,$AG78,$AI78),2)-$B78/2&lt;=C78,(ROUND(AVERAGE($C78,$E78,$G78,$I78,$K78,$M78,$O78,$Q78,$S78,$U78,$W78,$Y78,$AA78,$AC78,$AE78,$AG78,$AI78),2)+$B78/2&gt;=C78)),($E$5/$B$4),0))))</f>
        <v/>
      </c>
      <c r="E78" s="140" t="str">
        <f t="shared" ref="E78:E92" si="104">IF($E$8="Habilitado",IF($A78="","",ROUND(VLOOKUP($A78,OFERENTE_2,20,FALSE),2)),"")</f>
        <v/>
      </c>
      <c r="F78" s="141" t="str">
        <f t="shared" ref="F78:F92" si="105">IF($A78="","",IF(E78="","",IF($K$4="Media aritmética",(E78&lt;=$B78)*($E$5/$B$4)+(E78&gt;$B78)*0,IF(AND(ROUND(AVERAGE($C78,$E78,$G78,$I78,$K78,$M78,$O78,$Q78,$S78,$U78,$W78,$Y78,$AA78,$AC78,$AE78,$AG78,$AI78),2)-$B78/2&lt;=E78,(ROUND(AVERAGE($C78,$E78,$G78,$I78,$K78,$M78,$O78,$Q78,$S78,$U78,$W78,$Y78,$AA78,$AC78,$AE78,$AG78,$AI78),2)+$B78/2&gt;=E78)),($E$5/$B$4),0))))</f>
        <v/>
      </c>
      <c r="G78" s="140" t="str">
        <f t="shared" ref="G78:G92" si="106">IF($G$8="Habilitado",IF($A78="","",ROUND(VLOOKUP($A78,OFERENTE_3,20,FALSE),2)),"")</f>
        <v/>
      </c>
      <c r="H78" s="141" t="str">
        <f t="shared" ref="H78:H92" si="107">IF($A78="","",IF(G78="","",IF($K$4="Media aritmética",(G78&lt;=$B78)*($E$5/$B$4)+(G78&gt;$B78)*0,IF(AND(ROUND(AVERAGE($C78,$E78,$G78,$I78,$K78,$M78,$O78,$Q78,$S78,$U78,$W78,$Y78,$AA78,$AC78,$AE78,$AG78,$AI78),2)-$B78/2&lt;=G78,(ROUND(AVERAGE($C78,$E78,$G78,$I78,$K78,$M78,$O78,$Q78,$S78,$U78,$W78,$Y78,$AA78,$AC78,$AE78,$AG78,$AI78),2)+$B78/2&gt;=G78)),($E$5/$B$4),0))))</f>
        <v/>
      </c>
      <c r="I78" s="140" t="str">
        <f t="shared" ref="I78:I92" si="108">IF($I$8="Habilitado",IF($A78="","",ROUND(VLOOKUP($A78,OFERENTE_4,20,FALSE),2)),"")</f>
        <v/>
      </c>
      <c r="J78" s="141" t="str">
        <f t="shared" ref="J78:J92" si="109">IF($A78="","",IF(I78="","",IF($K$4="Media aritmética",(I78&lt;=$B78)*($E$5/$B$4)+(I78&gt;$B78)*0,IF(AND(ROUND(AVERAGE($C78,$E78,$G78,$I78,$K78,$M78,$O78,$Q78,$S78,$U78,$W78,$Y78,$AA78,$AC78,$AE78,$AG78,$AI78),2)-$B78/2&lt;=I78,(ROUND(AVERAGE($C78,$E78,$G78,$I78,$K78,$M78,$O78,$Q78,$S78,$U78,$W78,$Y78,$AA78,$AC78,$AE78,$AG78,$AI78),2)+$B78/2&gt;=I78)),($E$5/$B$4),0))))</f>
        <v/>
      </c>
      <c r="K78" s="140" t="str">
        <f t="shared" ca="1" si="75"/>
        <v/>
      </c>
      <c r="L78" s="141" t="str">
        <f t="shared" ref="L78:L92" si="110">IF($A78="","",IF(K78="","",IF($K$4="Media aritmética",(K78&lt;=$B78)*($E$5/$B$4)+(K78&gt;$B78)*0,IF(AND(ROUND(AVERAGE($C78,$E78,$G78,$I78,$K78,$M78,$O78,$Q78,$S78,$U78,$W78,$Y78,$AA78,$AC78,$AE78,$AG78,$AI78),2)-$B78/2&lt;=K78,(ROUND(AVERAGE($C78,$E78,$G78,$I78,$K78,$M78,$O78,$Q78,$S78,$U78,$W78,$Y78,$AA78,$AC78,$AE78,$AG78,$AI78),2)+$B78/2&gt;=K78)),($E$5/$B$4),0))))</f>
        <v/>
      </c>
      <c r="M78" s="140" t="str">
        <f t="shared" ref="M78:M92" ca="1" si="111">IF($M$8="Habilitado",IF($A78="","",ROUND(VLOOKUP($A78,OFERENTE_6,15,FALSE),2)),"")</f>
        <v/>
      </c>
      <c r="N78" s="141" t="str">
        <f t="shared" ref="N78:N92" si="112">IF($A78="","",IF(M78="","",IF($K$4="Media aritmética",(M78&lt;=$B78)*($E$5/$B$4)+(M78&gt;$B78)*0,IF(AND(ROUND(AVERAGE($C78,$E78,$G78,$I78,$K78,$M78,$O78,$Q78,$S78,$U78,$W78,$Y78,$AA78,$AC78,$AE78,$AG78,$AI78),2)-$B78/2&lt;=M78,(ROUND(AVERAGE($C78,$E78,$G78,$I78,$K78,$M78,$O78,$Q78,$S78,$U78,$W78,$Y78,$AA78,$AC78,$AE78,$AG78,$AI78),2)+$B78/2&gt;=M78)),($E$5/$B$4),0))))</f>
        <v/>
      </c>
      <c r="O78" s="140" t="str">
        <f t="shared" ca="1" si="78"/>
        <v/>
      </c>
      <c r="P78" s="141" t="str">
        <f t="shared" ref="P78:P92" si="113">IF($A78="","",IF(O78="","",IF($K$4="Media aritmética",(O78&lt;=$B78)*($E$5/$B$4)+(O78&gt;$B78)*0,IF(AND(ROUND(AVERAGE($C78,$E78,$G78,$I78,$K78,$M78,$O78,$Q78,$S78,$U78,$W78,$Y78,$AA78,$AC78,$AE78,$AG78,$AI78),2)-$B78/2&lt;=O78,(ROUND(AVERAGE($C78,$E78,$G78,$I78,$K78,$M78,$O78,$Q78,$S78,$U78,$W78,$Y78,$AA78,$AC78,$AE78,$AG78,$AI78),2)+$B78/2&gt;=O78)),($E$5/$B$4),0))))</f>
        <v/>
      </c>
      <c r="Q78" s="140" t="str">
        <f t="shared" ref="Q78:Q92" ca="1" si="114">IF($Q$8="Habilitado",IF($A78="","",ROUND(VLOOKUP($A78,OFERENTE_8,15,FALSE),2)),"")</f>
        <v/>
      </c>
      <c r="R78" s="141" t="str">
        <f t="shared" ref="R78:R92" si="115">IF($A78="","",IF(Q78="","",IF($K$4="Media aritmética",(Q78&lt;=$B78)*($E$5/$B$4)+(Q78&gt;$B78)*0,IF(AND(ROUND(AVERAGE($C78,$E78,$G78,$I78,$K78,$M78,$O78,$Q78,$S78,$U78,$W78,$Y78,$AA78,$AC78,$AE78,$AG78,$AI78),2)-$B78/2&lt;=Q78,(ROUND(AVERAGE($C78,$E78,$G78,$I78,$K78,$M78,$O78,$Q78,$S78,$U78,$W78,$Y78,$AA78,$AC78,$AE78,$AG78,$AI78),2)+$B78/2&gt;=Q78)),($E$5/$B$4),0))))</f>
        <v/>
      </c>
      <c r="S78" s="140" t="str">
        <f t="shared" ref="S78:S92" ca="1" si="116">IF($S$8="Habilitado",IF($A78="","",ROUND(VLOOKUP($A78,OFERENTE_9,15,FALSE),2)),"")</f>
        <v/>
      </c>
      <c r="T78" s="141" t="str">
        <f t="shared" ref="T78:T92" si="117">IF($A78="","",IF(S78="","",IF($K$4="Media aritmética",(S78&lt;=$B78)*($E$5/$B$4)+(S78&gt;$B78)*0,IF(AND(ROUND(AVERAGE($C78,$E78,$G78,$I78,$K78,$M78,$O78,$Q78,$S78,$U78,$W78,$Y78,$AA78,$AC78,$AE78,$AG78,$AI78),2)-$B78/2&lt;=S78,(ROUND(AVERAGE($C78,$E78,$G78,$I78,$K78,$M78,$O78,$Q78,$S78,$U78,$W78,$Y78,$AA78,$AC78,$AE78,$AG78,$AI78),2)+$B78/2&gt;=S78)),($E$5/$B$4),0))))</f>
        <v/>
      </c>
      <c r="U78" s="140" t="str">
        <f t="shared" ref="U78:U92" ca="1" si="118">IF($U$8="Habilitado",IF($A78="","",ROUND(VLOOKUP($A78,OFERENTE_10,15,FALSE),2)),"")</f>
        <v/>
      </c>
      <c r="V78" s="141" t="str">
        <f t="shared" ref="V78:V92" si="119">IF($A78="","",IF(U78="","",IF($K$4="Media aritmética",(U78&lt;=$B78)*($E$5/$B$4)+(U78&gt;$B78)*0,IF(AND(ROUND(AVERAGE($C78,$E78,$G78,$I78,$K78,$M78,$O78,$Q78,$S78,$U78,$W78,$Y78,$AA78,$AC78,$AE78,$AG78,$AI78),2)-$B78/2&lt;=U78,(ROUND(AVERAGE($C78,$E78,$G78,$I78,$K78,$M78,$O78,$Q78,$S78,$U78,$W78,$Y78,$AA78,$AC78,$AE78,$AG78,$AI78),2)+$B78/2&gt;=U78)),($E$5/$B$4),0))))</f>
        <v/>
      </c>
      <c r="W78" s="140" t="str">
        <f t="shared" ref="W78:W83" ca="1" si="120">IF($W$8="Habilitado",IF($A78="","",ROUND(VLOOKUP($A78,OFERENTE_11,15,FALSE),2)),"")</f>
        <v/>
      </c>
      <c r="X78" s="141" t="str">
        <f t="shared" ref="X78:X83" si="121">IF($A78="","",IF(W78="","",IF($K$4="Media aritmética",(W78&lt;=$B78)*($E$5/$B$4)+(W78&gt;$B78)*0,IF(AND(ROUND(AVERAGE($C78,$E78,$G78,$I78,$K78,$M78,$O78,$Q78,$S78,$U78,$W78,$Y78,$AA78,$AC78,$AE78,$AG78,$AI78),2)-$B78/2&lt;=W78,(ROUND(AVERAGE($C78,$E78,$G78,$I78,$K78,$M78,$O78,$Q78,$S78,$U78,$W78,$Y78,$AA78,$AC78,$AE78,$AG78,$AI78),2)+$B78/2&gt;=W78)),($E$5/$B$4),0))))</f>
        <v/>
      </c>
      <c r="Y78" s="140" t="str">
        <f t="shared" ref="Y78:Y83" ca="1" si="122">IF($Y$8="Habilitado",IF($A78="","",ROUND(VLOOKUP($A78,OFERENTE_12,15,FALSE),2)),"")</f>
        <v/>
      </c>
      <c r="Z78" s="141" t="str">
        <f t="shared" ref="Z78:Z83" si="123">IF($A78="","",IF(Y78="","",IF($K$4="Media aritmética",(Y78&lt;=$B78)*($E$5/$B$4)+(Y78&gt;$B78)*0,IF(AND(ROUND(AVERAGE($C78,$E78,$G78,$I78,$K78,$M78,$O78,$Q78,$S78,$U78,$W78,$Y78,$AA78,$AC78,$AE78,$AG78,$AI78),2)-$B78/2&lt;=Y78,(ROUND(AVERAGE($C78,$E78,$G78,$I78,$K78,$M78,$O78,$Q78,$S78,$U78,$W78,$Y78,$AA78,$AC78,$AE78,$AG78,$AI78),2)+$B78/2&gt;=Y78)),($E$5/$B$4),0))))</f>
        <v/>
      </c>
      <c r="AA78" s="140" t="str">
        <f t="shared" ref="AA78:AA83" ca="1" si="124">IF($AA$8="Habilitado",IF($A78="","",ROUND(VLOOKUP($A78,OFERENTE_13,15,FALSE),2)),"")</f>
        <v/>
      </c>
      <c r="AB78" s="141" t="str">
        <f t="shared" ref="AB78:AB83" si="125">IF($A78="","",IF(AA78="","",IF($K$4="Media aritmética",(AA78&lt;=$B78)*($E$5/$B$4)+(AA78&gt;$B78)*0,IF(AND(ROUND(AVERAGE($C78,$E78,$G78,$I78,$K78,$M78,$O78,$Q78,$S78,$U78,$W78,$Y78,$AA78,$AC78,$AE78,$AG78,$AI78),2)-$B78/2&lt;=AA78,(ROUND(AVERAGE($C78,$E78,$G78,$I78,$K78,$M78,$O78,$Q78,$S78,$U78,$W78,$Y78,$AA78,$AC78,$AE78,$AG78,$AI78),2)+$B78/2&gt;=AA78)),($E$5/$B$4),0))))</f>
        <v/>
      </c>
      <c r="AC78" s="140" t="str">
        <f t="shared" ref="AC78:AC83" ca="1" si="126">IF($AC$8="Habilitado",IF($A78="","",ROUND(VLOOKUP($A78,OFERENTE_14,15,FALSE),2)),"")</f>
        <v/>
      </c>
      <c r="AD78" s="141" t="str">
        <f t="shared" ref="AD78:AD83" si="127">IF($A78="","",IF(AC78="","",IF($K$4="Media aritmética",(AC78&lt;=$B78)*($E$5/$B$4)+(AC78&gt;$B78)*0,IF(AND(ROUND(AVERAGE($C78,$E78,$G78,$I78,$K78,$M78,$O78,$Q78,$S78,$U78,$W78,$Y78,$AA78,$AC78,$AE78,$AG78,$AI78),2)-$B78/2&lt;=AC78,(ROUND(AVERAGE($C78,$E78,$G78,$I78,$K78,$M78,$O78,$Q78,$S78,$U78,$W78,$Y78,$AA78,$AC78,$AE78,$AG78,$AI78),2)+$B78/2&gt;=AC78)),($E$5/$B$4),0))))</f>
        <v/>
      </c>
      <c r="AE78" s="140" t="str">
        <f t="shared" si="95"/>
        <v/>
      </c>
      <c r="AF78" s="141" t="str">
        <f t="shared" si="96"/>
        <v/>
      </c>
      <c r="AG78" s="140" t="str">
        <f t="shared" si="97"/>
        <v/>
      </c>
      <c r="AH78" s="141" t="str">
        <f t="shared" si="98"/>
        <v/>
      </c>
      <c r="AI78" s="140" t="str">
        <f t="shared" si="99"/>
        <v/>
      </c>
      <c r="AJ78" s="141" t="str">
        <f t="shared" si="100"/>
        <v/>
      </c>
      <c r="AL78" s="196" t="e">
        <f t="shared" ca="1" si="63"/>
        <v>#DIV/0!</v>
      </c>
      <c r="AM78" s="70" t="e">
        <f t="shared" ca="1" si="64"/>
        <v>#DIV/0!</v>
      </c>
      <c r="AN78" s="256" t="e">
        <f t="shared" ca="1" si="65"/>
        <v>#DIV/0!</v>
      </c>
      <c r="AO78" s="256" t="e">
        <f t="shared" ca="1" si="66"/>
        <v>#DIV/0!</v>
      </c>
    </row>
    <row r="79" spans="1:41" s="133" customFormat="1" ht="21" hidden="1" customHeight="1">
      <c r="A79" s="138"/>
      <c r="B79" s="139" t="str">
        <f t="shared" si="101"/>
        <v/>
      </c>
      <c r="C79" s="140" t="str">
        <f t="shared" si="102"/>
        <v/>
      </c>
      <c r="D79" s="141" t="str">
        <f t="shared" si="103"/>
        <v/>
      </c>
      <c r="E79" s="140" t="str">
        <f t="shared" si="104"/>
        <v/>
      </c>
      <c r="F79" s="141" t="str">
        <f t="shared" si="105"/>
        <v/>
      </c>
      <c r="G79" s="140" t="str">
        <f t="shared" si="106"/>
        <v/>
      </c>
      <c r="H79" s="141" t="str">
        <f t="shared" si="107"/>
        <v/>
      </c>
      <c r="I79" s="140" t="str">
        <f t="shared" si="108"/>
        <v/>
      </c>
      <c r="J79" s="141" t="str">
        <f t="shared" si="109"/>
        <v/>
      </c>
      <c r="K79" s="140" t="str">
        <f t="shared" ca="1" si="75"/>
        <v/>
      </c>
      <c r="L79" s="141" t="str">
        <f t="shared" si="110"/>
        <v/>
      </c>
      <c r="M79" s="140" t="str">
        <f t="shared" ca="1" si="111"/>
        <v/>
      </c>
      <c r="N79" s="141" t="str">
        <f t="shared" si="112"/>
        <v/>
      </c>
      <c r="O79" s="140" t="str">
        <f t="shared" ca="1" si="78"/>
        <v/>
      </c>
      <c r="P79" s="141" t="str">
        <f t="shared" si="113"/>
        <v/>
      </c>
      <c r="Q79" s="140" t="str">
        <f t="shared" ca="1" si="114"/>
        <v/>
      </c>
      <c r="R79" s="141" t="str">
        <f t="shared" si="115"/>
        <v/>
      </c>
      <c r="S79" s="140" t="str">
        <f t="shared" ca="1" si="116"/>
        <v/>
      </c>
      <c r="T79" s="141" t="str">
        <f t="shared" si="117"/>
        <v/>
      </c>
      <c r="U79" s="140" t="str">
        <f t="shared" ca="1" si="118"/>
        <v/>
      </c>
      <c r="V79" s="141" t="str">
        <f t="shared" si="119"/>
        <v/>
      </c>
      <c r="W79" s="140" t="str">
        <f t="shared" ca="1" si="120"/>
        <v/>
      </c>
      <c r="X79" s="141" t="str">
        <f t="shared" si="121"/>
        <v/>
      </c>
      <c r="Y79" s="140" t="str">
        <f t="shared" ca="1" si="122"/>
        <v/>
      </c>
      <c r="Z79" s="141" t="str">
        <f t="shared" si="123"/>
        <v/>
      </c>
      <c r="AA79" s="140" t="str">
        <f t="shared" ca="1" si="124"/>
        <v/>
      </c>
      <c r="AB79" s="141" t="str">
        <f t="shared" si="125"/>
        <v/>
      </c>
      <c r="AC79" s="140" t="str">
        <f t="shared" ca="1" si="126"/>
        <v/>
      </c>
      <c r="AD79" s="141" t="str">
        <f t="shared" si="127"/>
        <v/>
      </c>
      <c r="AE79" s="140" t="str">
        <f t="shared" si="95"/>
        <v/>
      </c>
      <c r="AF79" s="141" t="str">
        <f t="shared" si="96"/>
        <v/>
      </c>
      <c r="AG79" s="140" t="str">
        <f t="shared" si="97"/>
        <v/>
      </c>
      <c r="AH79" s="141" t="str">
        <f t="shared" si="98"/>
        <v/>
      </c>
      <c r="AI79" s="140" t="str">
        <f t="shared" si="99"/>
        <v/>
      </c>
      <c r="AJ79" s="141" t="str">
        <f t="shared" si="100"/>
        <v/>
      </c>
      <c r="AL79" s="196" t="e">
        <f t="shared" ref="AL79:AL101" ca="1" si="128">AVERAGE(C79,E79,G79,I79,K79,M79,O79,Q79,S79,U79,W79,Y79,AC79)</f>
        <v>#DIV/0!</v>
      </c>
      <c r="AM79" s="70" t="e">
        <f t="shared" ref="AM79:AM101" ca="1" si="129">_xlfn.STDEV.P(C79,E79,G79,I79,K79,M79,O79,Q79,S79,U79,W79,Y79,AC79)</f>
        <v>#DIV/0!</v>
      </c>
      <c r="AN79" s="256" t="e">
        <f t="shared" ref="AN79:AN101" ca="1" si="130">AL79+(AM79/2)</f>
        <v>#DIV/0!</v>
      </c>
      <c r="AO79" s="256" t="e">
        <f t="shared" ref="AO79:AO101" ca="1" si="131">AL79-(AM79/2)</f>
        <v>#DIV/0!</v>
      </c>
    </row>
    <row r="80" spans="1:41" s="133" customFormat="1" ht="21" hidden="1" customHeight="1">
      <c r="A80" s="138"/>
      <c r="B80" s="139" t="str">
        <f t="shared" si="101"/>
        <v/>
      </c>
      <c r="C80" s="140" t="str">
        <f t="shared" si="102"/>
        <v/>
      </c>
      <c r="D80" s="141" t="str">
        <f t="shared" si="103"/>
        <v/>
      </c>
      <c r="E80" s="140" t="str">
        <f t="shared" si="104"/>
        <v/>
      </c>
      <c r="F80" s="141" t="str">
        <f t="shared" si="105"/>
        <v/>
      </c>
      <c r="G80" s="140" t="str">
        <f t="shared" si="106"/>
        <v/>
      </c>
      <c r="H80" s="141" t="str">
        <f t="shared" si="107"/>
        <v/>
      </c>
      <c r="I80" s="140" t="str">
        <f t="shared" si="108"/>
        <v/>
      </c>
      <c r="J80" s="141" t="str">
        <f t="shared" si="109"/>
        <v/>
      </c>
      <c r="K80" s="140" t="str">
        <f t="shared" ca="1" si="75"/>
        <v/>
      </c>
      <c r="L80" s="141" t="str">
        <f t="shared" si="110"/>
        <v/>
      </c>
      <c r="M80" s="140" t="str">
        <f t="shared" ca="1" si="111"/>
        <v/>
      </c>
      <c r="N80" s="141" t="str">
        <f t="shared" si="112"/>
        <v/>
      </c>
      <c r="O80" s="140" t="str">
        <f t="shared" ca="1" si="78"/>
        <v/>
      </c>
      <c r="P80" s="141" t="str">
        <f t="shared" si="113"/>
        <v/>
      </c>
      <c r="Q80" s="140" t="str">
        <f t="shared" ca="1" si="114"/>
        <v/>
      </c>
      <c r="R80" s="141" t="str">
        <f t="shared" si="115"/>
        <v/>
      </c>
      <c r="S80" s="140" t="str">
        <f t="shared" ca="1" si="116"/>
        <v/>
      </c>
      <c r="T80" s="141" t="str">
        <f t="shared" si="117"/>
        <v/>
      </c>
      <c r="U80" s="140" t="str">
        <f t="shared" ca="1" si="118"/>
        <v/>
      </c>
      <c r="V80" s="141" t="str">
        <f t="shared" si="119"/>
        <v/>
      </c>
      <c r="W80" s="140" t="str">
        <f t="shared" ca="1" si="120"/>
        <v/>
      </c>
      <c r="X80" s="141" t="str">
        <f t="shared" si="121"/>
        <v/>
      </c>
      <c r="Y80" s="140" t="str">
        <f t="shared" ca="1" si="122"/>
        <v/>
      </c>
      <c r="Z80" s="141" t="str">
        <f t="shared" si="123"/>
        <v/>
      </c>
      <c r="AA80" s="140" t="str">
        <f t="shared" ca="1" si="124"/>
        <v/>
      </c>
      <c r="AB80" s="141" t="str">
        <f t="shared" si="125"/>
        <v/>
      </c>
      <c r="AC80" s="140" t="str">
        <f t="shared" ca="1" si="126"/>
        <v/>
      </c>
      <c r="AD80" s="141" t="str">
        <f t="shared" si="127"/>
        <v/>
      </c>
      <c r="AE80" s="140" t="str">
        <f t="shared" si="95"/>
        <v/>
      </c>
      <c r="AF80" s="141" t="str">
        <f t="shared" si="96"/>
        <v/>
      </c>
      <c r="AG80" s="140" t="str">
        <f t="shared" si="97"/>
        <v/>
      </c>
      <c r="AH80" s="141" t="str">
        <f t="shared" si="98"/>
        <v/>
      </c>
      <c r="AI80" s="140" t="str">
        <f t="shared" si="99"/>
        <v/>
      </c>
      <c r="AJ80" s="141" t="str">
        <f t="shared" si="100"/>
        <v/>
      </c>
      <c r="AL80" s="196" t="e">
        <f t="shared" ca="1" si="128"/>
        <v>#DIV/0!</v>
      </c>
      <c r="AM80" s="70" t="e">
        <f t="shared" ca="1" si="129"/>
        <v>#DIV/0!</v>
      </c>
      <c r="AN80" s="256" t="e">
        <f t="shared" ca="1" si="130"/>
        <v>#DIV/0!</v>
      </c>
      <c r="AO80" s="256" t="e">
        <f t="shared" ca="1" si="131"/>
        <v>#DIV/0!</v>
      </c>
    </row>
    <row r="81" spans="1:41" s="133" customFormat="1" ht="21" hidden="1" customHeight="1">
      <c r="A81" s="138"/>
      <c r="B81" s="139" t="str">
        <f t="shared" si="101"/>
        <v/>
      </c>
      <c r="C81" s="140" t="str">
        <f t="shared" si="102"/>
        <v/>
      </c>
      <c r="D81" s="141" t="str">
        <f t="shared" si="103"/>
        <v/>
      </c>
      <c r="E81" s="140" t="str">
        <f t="shared" si="104"/>
        <v/>
      </c>
      <c r="F81" s="141" t="str">
        <f t="shared" si="105"/>
        <v/>
      </c>
      <c r="G81" s="140" t="str">
        <f t="shared" si="106"/>
        <v/>
      </c>
      <c r="H81" s="141" t="str">
        <f t="shared" si="107"/>
        <v/>
      </c>
      <c r="I81" s="140" t="str">
        <f t="shared" si="108"/>
        <v/>
      </c>
      <c r="J81" s="141" t="str">
        <f t="shared" si="109"/>
        <v/>
      </c>
      <c r="K81" s="140" t="str">
        <f t="shared" ca="1" si="75"/>
        <v/>
      </c>
      <c r="L81" s="141" t="str">
        <f t="shared" si="110"/>
        <v/>
      </c>
      <c r="M81" s="140" t="str">
        <f t="shared" ca="1" si="111"/>
        <v/>
      </c>
      <c r="N81" s="141" t="str">
        <f t="shared" si="112"/>
        <v/>
      </c>
      <c r="O81" s="140" t="str">
        <f t="shared" ca="1" si="78"/>
        <v/>
      </c>
      <c r="P81" s="141" t="str">
        <f t="shared" si="113"/>
        <v/>
      </c>
      <c r="Q81" s="140" t="str">
        <f t="shared" ca="1" si="114"/>
        <v/>
      </c>
      <c r="R81" s="141" t="str">
        <f t="shared" si="115"/>
        <v/>
      </c>
      <c r="S81" s="140" t="str">
        <f t="shared" ca="1" si="116"/>
        <v/>
      </c>
      <c r="T81" s="141" t="str">
        <f t="shared" si="117"/>
        <v/>
      </c>
      <c r="U81" s="140" t="str">
        <f t="shared" ca="1" si="118"/>
        <v/>
      </c>
      <c r="V81" s="141" t="str">
        <f t="shared" si="119"/>
        <v/>
      </c>
      <c r="W81" s="140" t="str">
        <f t="shared" ca="1" si="120"/>
        <v/>
      </c>
      <c r="X81" s="141" t="str">
        <f t="shared" si="121"/>
        <v/>
      </c>
      <c r="Y81" s="140" t="str">
        <f t="shared" ca="1" si="122"/>
        <v/>
      </c>
      <c r="Z81" s="141" t="str">
        <f t="shared" si="123"/>
        <v/>
      </c>
      <c r="AA81" s="140" t="str">
        <f t="shared" ca="1" si="124"/>
        <v/>
      </c>
      <c r="AB81" s="141" t="str">
        <f t="shared" si="125"/>
        <v/>
      </c>
      <c r="AC81" s="140" t="str">
        <f t="shared" ca="1" si="126"/>
        <v/>
      </c>
      <c r="AD81" s="141" t="str">
        <f t="shared" si="127"/>
        <v/>
      </c>
      <c r="AE81" s="140" t="str">
        <f t="shared" si="95"/>
        <v/>
      </c>
      <c r="AF81" s="141" t="str">
        <f t="shared" si="96"/>
        <v/>
      </c>
      <c r="AG81" s="140" t="str">
        <f t="shared" si="97"/>
        <v/>
      </c>
      <c r="AH81" s="141" t="str">
        <f t="shared" si="98"/>
        <v/>
      </c>
      <c r="AI81" s="140" t="str">
        <f t="shared" si="99"/>
        <v/>
      </c>
      <c r="AJ81" s="141" t="str">
        <f t="shared" si="100"/>
        <v/>
      </c>
      <c r="AL81" s="196" t="e">
        <f t="shared" ca="1" si="128"/>
        <v>#DIV/0!</v>
      </c>
      <c r="AM81" s="70" t="e">
        <f t="shared" ca="1" si="129"/>
        <v>#DIV/0!</v>
      </c>
      <c r="AN81" s="256" t="e">
        <f t="shared" ca="1" si="130"/>
        <v>#DIV/0!</v>
      </c>
      <c r="AO81" s="256" t="e">
        <f t="shared" ca="1" si="131"/>
        <v>#DIV/0!</v>
      </c>
    </row>
    <row r="82" spans="1:41" s="133" customFormat="1" ht="21" hidden="1" customHeight="1">
      <c r="A82" s="138"/>
      <c r="B82" s="139" t="str">
        <f t="shared" si="101"/>
        <v/>
      </c>
      <c r="C82" s="140" t="str">
        <f t="shared" si="102"/>
        <v/>
      </c>
      <c r="D82" s="141" t="str">
        <f t="shared" si="103"/>
        <v/>
      </c>
      <c r="E82" s="140" t="str">
        <f t="shared" si="104"/>
        <v/>
      </c>
      <c r="F82" s="141" t="str">
        <f t="shared" si="105"/>
        <v/>
      </c>
      <c r="G82" s="140" t="str">
        <f t="shared" si="106"/>
        <v/>
      </c>
      <c r="H82" s="141" t="str">
        <f t="shared" si="107"/>
        <v/>
      </c>
      <c r="I82" s="140" t="str">
        <f t="shared" si="108"/>
        <v/>
      </c>
      <c r="J82" s="141" t="str">
        <f t="shared" si="109"/>
        <v/>
      </c>
      <c r="K82" s="140" t="str">
        <f t="shared" ca="1" si="75"/>
        <v/>
      </c>
      <c r="L82" s="141" t="str">
        <f t="shared" si="110"/>
        <v/>
      </c>
      <c r="M82" s="140" t="str">
        <f t="shared" ca="1" si="111"/>
        <v/>
      </c>
      <c r="N82" s="141" t="str">
        <f t="shared" si="112"/>
        <v/>
      </c>
      <c r="O82" s="140" t="str">
        <f t="shared" ca="1" si="78"/>
        <v/>
      </c>
      <c r="P82" s="141" t="str">
        <f t="shared" si="113"/>
        <v/>
      </c>
      <c r="Q82" s="140" t="str">
        <f t="shared" ca="1" si="114"/>
        <v/>
      </c>
      <c r="R82" s="141" t="str">
        <f t="shared" si="115"/>
        <v/>
      </c>
      <c r="S82" s="140" t="str">
        <f t="shared" ca="1" si="116"/>
        <v/>
      </c>
      <c r="T82" s="141" t="str">
        <f t="shared" si="117"/>
        <v/>
      </c>
      <c r="U82" s="140" t="str">
        <f t="shared" ca="1" si="118"/>
        <v/>
      </c>
      <c r="V82" s="141" t="str">
        <f t="shared" si="119"/>
        <v/>
      </c>
      <c r="W82" s="140" t="str">
        <f t="shared" ca="1" si="120"/>
        <v/>
      </c>
      <c r="X82" s="141" t="str">
        <f t="shared" si="121"/>
        <v/>
      </c>
      <c r="Y82" s="140" t="str">
        <f t="shared" ca="1" si="122"/>
        <v/>
      </c>
      <c r="Z82" s="141" t="str">
        <f t="shared" si="123"/>
        <v/>
      </c>
      <c r="AA82" s="140" t="str">
        <f t="shared" ca="1" si="124"/>
        <v/>
      </c>
      <c r="AB82" s="141" t="str">
        <f t="shared" si="125"/>
        <v/>
      </c>
      <c r="AC82" s="140" t="str">
        <f t="shared" ca="1" si="126"/>
        <v/>
      </c>
      <c r="AD82" s="141" t="str">
        <f t="shared" si="127"/>
        <v/>
      </c>
      <c r="AE82" s="140" t="str">
        <f t="shared" si="95"/>
        <v/>
      </c>
      <c r="AF82" s="141" t="str">
        <f t="shared" si="96"/>
        <v/>
      </c>
      <c r="AG82" s="140" t="str">
        <f t="shared" si="97"/>
        <v/>
      </c>
      <c r="AH82" s="141" t="str">
        <f t="shared" si="98"/>
        <v/>
      </c>
      <c r="AI82" s="140" t="str">
        <f t="shared" si="99"/>
        <v/>
      </c>
      <c r="AJ82" s="141" t="str">
        <f t="shared" si="100"/>
        <v/>
      </c>
      <c r="AL82" s="196" t="e">
        <f t="shared" ca="1" si="128"/>
        <v>#DIV/0!</v>
      </c>
      <c r="AM82" s="70" t="e">
        <f t="shared" ca="1" si="129"/>
        <v>#DIV/0!</v>
      </c>
      <c r="AN82" s="256" t="e">
        <f t="shared" ca="1" si="130"/>
        <v>#DIV/0!</v>
      </c>
      <c r="AO82" s="256" t="e">
        <f t="shared" ca="1" si="131"/>
        <v>#DIV/0!</v>
      </c>
    </row>
    <row r="83" spans="1:41" s="133" customFormat="1" ht="21" hidden="1" customHeight="1">
      <c r="A83" s="138"/>
      <c r="B83" s="139" t="str">
        <f t="shared" ref="B83:B92" si="132">IF(A83="","",IF($K$4="Media aritmética",ROUND(AVERAGE(C83,E83,G83,I83,K83,M83,O83,Q83,S83,U83,W83,Y83,AA83,AC83,AE83,AG83,AI83),2),ROUND(_xlfn.STDEV.P(C83,E83,G83,I83,K83,M83,O83,Q83,S83,U83,W83,Y83,AA83,AC83,AE83,AG83,AI83),2)))</f>
        <v/>
      </c>
      <c r="C83" s="140" t="str">
        <f t="shared" si="102"/>
        <v/>
      </c>
      <c r="D83" s="141" t="str">
        <f t="shared" si="103"/>
        <v/>
      </c>
      <c r="E83" s="140" t="str">
        <f t="shared" si="104"/>
        <v/>
      </c>
      <c r="F83" s="141" t="str">
        <f t="shared" si="105"/>
        <v/>
      </c>
      <c r="G83" s="140" t="str">
        <f t="shared" si="106"/>
        <v/>
      </c>
      <c r="H83" s="141" t="str">
        <f t="shared" si="107"/>
        <v/>
      </c>
      <c r="I83" s="140" t="str">
        <f t="shared" si="108"/>
        <v/>
      </c>
      <c r="J83" s="141" t="str">
        <f t="shared" si="109"/>
        <v/>
      </c>
      <c r="K83" s="140" t="str">
        <f t="shared" ca="1" si="75"/>
        <v/>
      </c>
      <c r="L83" s="141" t="str">
        <f t="shared" si="110"/>
        <v/>
      </c>
      <c r="M83" s="140" t="str">
        <f t="shared" ca="1" si="111"/>
        <v/>
      </c>
      <c r="N83" s="141" t="str">
        <f t="shared" si="112"/>
        <v/>
      </c>
      <c r="O83" s="140" t="str">
        <f t="shared" ca="1" si="78"/>
        <v/>
      </c>
      <c r="P83" s="141" t="str">
        <f t="shared" si="113"/>
        <v/>
      </c>
      <c r="Q83" s="140" t="str">
        <f t="shared" ca="1" si="114"/>
        <v/>
      </c>
      <c r="R83" s="141" t="str">
        <f t="shared" si="115"/>
        <v/>
      </c>
      <c r="S83" s="140" t="str">
        <f t="shared" ca="1" si="116"/>
        <v/>
      </c>
      <c r="T83" s="141" t="str">
        <f t="shared" si="117"/>
        <v/>
      </c>
      <c r="U83" s="140" t="str">
        <f t="shared" ca="1" si="118"/>
        <v/>
      </c>
      <c r="V83" s="141" t="str">
        <f t="shared" si="119"/>
        <v/>
      </c>
      <c r="W83" s="140" t="str">
        <f t="shared" ca="1" si="120"/>
        <v/>
      </c>
      <c r="X83" s="141" t="str">
        <f t="shared" si="121"/>
        <v/>
      </c>
      <c r="Y83" s="140" t="str">
        <f t="shared" ca="1" si="122"/>
        <v/>
      </c>
      <c r="Z83" s="141" t="str">
        <f t="shared" si="123"/>
        <v/>
      </c>
      <c r="AA83" s="140" t="str">
        <f t="shared" ca="1" si="124"/>
        <v/>
      </c>
      <c r="AB83" s="141" t="str">
        <f t="shared" si="125"/>
        <v/>
      </c>
      <c r="AC83" s="140" t="str">
        <f t="shared" ca="1" si="126"/>
        <v/>
      </c>
      <c r="AD83" s="141" t="str">
        <f t="shared" si="127"/>
        <v/>
      </c>
      <c r="AE83" s="140" t="str">
        <f t="shared" si="95"/>
        <v/>
      </c>
      <c r="AF83" s="141" t="str">
        <f t="shared" si="96"/>
        <v/>
      </c>
      <c r="AG83" s="140" t="str">
        <f t="shared" si="97"/>
        <v/>
      </c>
      <c r="AH83" s="141" t="str">
        <f t="shared" si="98"/>
        <v/>
      </c>
      <c r="AI83" s="140" t="str">
        <f t="shared" si="99"/>
        <v/>
      </c>
      <c r="AJ83" s="141" t="str">
        <f t="shared" si="100"/>
        <v/>
      </c>
      <c r="AL83" s="196" t="e">
        <f t="shared" ca="1" si="128"/>
        <v>#DIV/0!</v>
      </c>
      <c r="AM83" s="70" t="e">
        <f t="shared" ca="1" si="129"/>
        <v>#DIV/0!</v>
      </c>
      <c r="AN83" s="256" t="e">
        <f t="shared" ca="1" si="130"/>
        <v>#DIV/0!</v>
      </c>
      <c r="AO83" s="256" t="e">
        <f t="shared" ca="1" si="131"/>
        <v>#DIV/0!</v>
      </c>
    </row>
    <row r="84" spans="1:41" s="133" customFormat="1" ht="21" hidden="1" customHeight="1">
      <c r="A84" s="138"/>
      <c r="B84" s="139" t="str">
        <f t="shared" si="132"/>
        <v/>
      </c>
      <c r="C84" s="140" t="str">
        <f t="shared" si="102"/>
        <v/>
      </c>
      <c r="D84" s="141" t="str">
        <f t="shared" si="103"/>
        <v/>
      </c>
      <c r="E84" s="140" t="str">
        <f t="shared" si="104"/>
        <v/>
      </c>
      <c r="F84" s="141" t="str">
        <f t="shared" si="105"/>
        <v/>
      </c>
      <c r="G84" s="140" t="str">
        <f t="shared" si="106"/>
        <v/>
      </c>
      <c r="H84" s="141" t="str">
        <f t="shared" si="107"/>
        <v/>
      </c>
      <c r="I84" s="140" t="str">
        <f t="shared" si="108"/>
        <v/>
      </c>
      <c r="J84" s="141" t="str">
        <f t="shared" si="109"/>
        <v/>
      </c>
      <c r="K84" s="140" t="str">
        <f t="shared" ca="1" si="75"/>
        <v/>
      </c>
      <c r="L84" s="141" t="str">
        <f t="shared" si="110"/>
        <v/>
      </c>
      <c r="M84" s="140" t="str">
        <f t="shared" ca="1" si="111"/>
        <v/>
      </c>
      <c r="N84" s="141" t="str">
        <f t="shared" si="112"/>
        <v/>
      </c>
      <c r="O84" s="140" t="str">
        <f t="shared" ca="1" si="78"/>
        <v/>
      </c>
      <c r="P84" s="141" t="str">
        <f t="shared" si="113"/>
        <v/>
      </c>
      <c r="Q84" s="140" t="str">
        <f t="shared" ca="1" si="114"/>
        <v/>
      </c>
      <c r="R84" s="141" t="str">
        <f t="shared" si="115"/>
        <v/>
      </c>
      <c r="S84" s="140" t="str">
        <f t="shared" ca="1" si="116"/>
        <v/>
      </c>
      <c r="T84" s="141" t="str">
        <f t="shared" si="117"/>
        <v/>
      </c>
      <c r="U84" s="140" t="str">
        <f t="shared" ca="1" si="118"/>
        <v/>
      </c>
      <c r="V84" s="141" t="str">
        <f t="shared" si="119"/>
        <v/>
      </c>
      <c r="W84" s="140"/>
      <c r="X84" s="141"/>
      <c r="Y84" s="140"/>
      <c r="Z84" s="141"/>
      <c r="AA84" s="140"/>
      <c r="AB84" s="141"/>
      <c r="AC84" s="140"/>
      <c r="AD84" s="141"/>
      <c r="AE84" s="140"/>
      <c r="AF84" s="141"/>
      <c r="AG84" s="140"/>
      <c r="AH84" s="141"/>
      <c r="AI84" s="140"/>
      <c r="AJ84" s="141"/>
      <c r="AL84" s="196" t="e">
        <f t="shared" ca="1" si="128"/>
        <v>#DIV/0!</v>
      </c>
      <c r="AM84" s="70" t="e">
        <f t="shared" ca="1" si="129"/>
        <v>#DIV/0!</v>
      </c>
      <c r="AN84" s="256" t="e">
        <f t="shared" ca="1" si="130"/>
        <v>#DIV/0!</v>
      </c>
      <c r="AO84" s="256" t="e">
        <f t="shared" ca="1" si="131"/>
        <v>#DIV/0!</v>
      </c>
    </row>
    <row r="85" spans="1:41" s="133" customFormat="1" ht="21" hidden="1" customHeight="1">
      <c r="A85" s="138"/>
      <c r="B85" s="139" t="str">
        <f t="shared" si="132"/>
        <v/>
      </c>
      <c r="C85" s="140" t="str">
        <f t="shared" si="102"/>
        <v/>
      </c>
      <c r="D85" s="141" t="str">
        <f t="shared" si="103"/>
        <v/>
      </c>
      <c r="E85" s="140" t="str">
        <f t="shared" si="104"/>
        <v/>
      </c>
      <c r="F85" s="141" t="str">
        <f t="shared" si="105"/>
        <v/>
      </c>
      <c r="G85" s="140" t="str">
        <f t="shared" si="106"/>
        <v/>
      </c>
      <c r="H85" s="141" t="str">
        <f t="shared" si="107"/>
        <v/>
      </c>
      <c r="I85" s="140" t="str">
        <f t="shared" si="108"/>
        <v/>
      </c>
      <c r="J85" s="141" t="str">
        <f t="shared" si="109"/>
        <v/>
      </c>
      <c r="K85" s="140" t="str">
        <f t="shared" ca="1" si="75"/>
        <v/>
      </c>
      <c r="L85" s="141" t="str">
        <f t="shared" si="110"/>
        <v/>
      </c>
      <c r="M85" s="140" t="str">
        <f t="shared" ca="1" si="111"/>
        <v/>
      </c>
      <c r="N85" s="141" t="str">
        <f t="shared" si="112"/>
        <v/>
      </c>
      <c r="O85" s="140" t="str">
        <f t="shared" ca="1" si="78"/>
        <v/>
      </c>
      <c r="P85" s="141" t="str">
        <f t="shared" si="113"/>
        <v/>
      </c>
      <c r="Q85" s="140" t="str">
        <f t="shared" ca="1" si="114"/>
        <v/>
      </c>
      <c r="R85" s="141" t="str">
        <f t="shared" si="115"/>
        <v/>
      </c>
      <c r="S85" s="140" t="str">
        <f t="shared" ca="1" si="116"/>
        <v/>
      </c>
      <c r="T85" s="141" t="str">
        <f t="shared" si="117"/>
        <v/>
      </c>
      <c r="U85" s="140" t="str">
        <f t="shared" ca="1" si="118"/>
        <v/>
      </c>
      <c r="V85" s="141" t="str">
        <f t="shared" si="119"/>
        <v/>
      </c>
      <c r="W85" s="140"/>
      <c r="X85" s="141"/>
      <c r="Y85" s="140"/>
      <c r="Z85" s="141"/>
      <c r="AA85" s="140"/>
      <c r="AB85" s="141"/>
      <c r="AC85" s="140"/>
      <c r="AD85" s="141"/>
      <c r="AE85" s="140"/>
      <c r="AF85" s="141"/>
      <c r="AG85" s="140"/>
      <c r="AH85" s="141"/>
      <c r="AI85" s="140"/>
      <c r="AJ85" s="141"/>
      <c r="AL85" s="196" t="e">
        <f t="shared" ca="1" si="128"/>
        <v>#DIV/0!</v>
      </c>
      <c r="AM85" s="70" t="e">
        <f t="shared" ca="1" si="129"/>
        <v>#DIV/0!</v>
      </c>
      <c r="AN85" s="256" t="e">
        <f t="shared" ca="1" si="130"/>
        <v>#DIV/0!</v>
      </c>
      <c r="AO85" s="256" t="e">
        <f t="shared" ca="1" si="131"/>
        <v>#DIV/0!</v>
      </c>
    </row>
    <row r="86" spans="1:41" s="133" customFormat="1" ht="21" hidden="1" customHeight="1">
      <c r="A86" s="138"/>
      <c r="B86" s="139" t="str">
        <f t="shared" si="132"/>
        <v/>
      </c>
      <c r="C86" s="140" t="str">
        <f t="shared" si="102"/>
        <v/>
      </c>
      <c r="D86" s="141" t="str">
        <f t="shared" si="103"/>
        <v/>
      </c>
      <c r="E86" s="140" t="str">
        <f t="shared" si="104"/>
        <v/>
      </c>
      <c r="F86" s="141" t="str">
        <f t="shared" si="105"/>
        <v/>
      </c>
      <c r="G86" s="140" t="str">
        <f t="shared" si="106"/>
        <v/>
      </c>
      <c r="H86" s="141" t="str">
        <f t="shared" si="107"/>
        <v/>
      </c>
      <c r="I86" s="140" t="str">
        <f t="shared" si="108"/>
        <v/>
      </c>
      <c r="J86" s="141" t="str">
        <f t="shared" si="109"/>
        <v/>
      </c>
      <c r="K86" s="140" t="str">
        <f t="shared" ca="1" si="75"/>
        <v/>
      </c>
      <c r="L86" s="141" t="str">
        <f t="shared" si="110"/>
        <v/>
      </c>
      <c r="M86" s="140" t="str">
        <f t="shared" ca="1" si="111"/>
        <v/>
      </c>
      <c r="N86" s="141" t="str">
        <f t="shared" si="112"/>
        <v/>
      </c>
      <c r="O86" s="140" t="str">
        <f t="shared" ca="1" si="78"/>
        <v/>
      </c>
      <c r="P86" s="141" t="str">
        <f t="shared" si="113"/>
        <v/>
      </c>
      <c r="Q86" s="140" t="str">
        <f t="shared" ca="1" si="114"/>
        <v/>
      </c>
      <c r="R86" s="141" t="str">
        <f t="shared" si="115"/>
        <v/>
      </c>
      <c r="S86" s="140" t="str">
        <f t="shared" ca="1" si="116"/>
        <v/>
      </c>
      <c r="T86" s="141" t="str">
        <f t="shared" si="117"/>
        <v/>
      </c>
      <c r="U86" s="140" t="str">
        <f t="shared" ca="1" si="118"/>
        <v/>
      </c>
      <c r="V86" s="141" t="str">
        <f t="shared" si="119"/>
        <v/>
      </c>
      <c r="W86" s="140"/>
      <c r="X86" s="141"/>
      <c r="Y86" s="140"/>
      <c r="Z86" s="141"/>
      <c r="AA86" s="140"/>
      <c r="AB86" s="141"/>
      <c r="AC86" s="140"/>
      <c r="AD86" s="141"/>
      <c r="AE86" s="140"/>
      <c r="AF86" s="141"/>
      <c r="AG86" s="140"/>
      <c r="AH86" s="141"/>
      <c r="AI86" s="140"/>
      <c r="AJ86" s="141"/>
      <c r="AL86" s="196" t="e">
        <f t="shared" ca="1" si="128"/>
        <v>#DIV/0!</v>
      </c>
      <c r="AM86" s="70" t="e">
        <f t="shared" ca="1" si="129"/>
        <v>#DIV/0!</v>
      </c>
      <c r="AN86" s="256" t="e">
        <f t="shared" ca="1" si="130"/>
        <v>#DIV/0!</v>
      </c>
      <c r="AO86" s="256" t="e">
        <f t="shared" ca="1" si="131"/>
        <v>#DIV/0!</v>
      </c>
    </row>
    <row r="87" spans="1:41" s="133" customFormat="1" ht="21" hidden="1" customHeight="1">
      <c r="A87" s="138"/>
      <c r="B87" s="139" t="str">
        <f t="shared" si="132"/>
        <v/>
      </c>
      <c r="C87" s="140" t="str">
        <f t="shared" si="102"/>
        <v/>
      </c>
      <c r="D87" s="141" t="str">
        <f t="shared" si="103"/>
        <v/>
      </c>
      <c r="E87" s="140" t="str">
        <f t="shared" si="104"/>
        <v/>
      </c>
      <c r="F87" s="141" t="str">
        <f t="shared" si="105"/>
        <v/>
      </c>
      <c r="G87" s="140" t="str">
        <f t="shared" si="106"/>
        <v/>
      </c>
      <c r="H87" s="141" t="str">
        <f t="shared" si="107"/>
        <v/>
      </c>
      <c r="I87" s="140" t="str">
        <f t="shared" si="108"/>
        <v/>
      </c>
      <c r="J87" s="141" t="str">
        <f t="shared" si="109"/>
        <v/>
      </c>
      <c r="K87" s="140" t="str">
        <f t="shared" ca="1" si="75"/>
        <v/>
      </c>
      <c r="L87" s="141" t="str">
        <f t="shared" si="110"/>
        <v/>
      </c>
      <c r="M87" s="140" t="str">
        <f t="shared" ca="1" si="111"/>
        <v/>
      </c>
      <c r="N87" s="141" t="str">
        <f t="shared" si="112"/>
        <v/>
      </c>
      <c r="O87" s="140" t="str">
        <f t="shared" ca="1" si="78"/>
        <v/>
      </c>
      <c r="P87" s="141" t="str">
        <f t="shared" si="113"/>
        <v/>
      </c>
      <c r="Q87" s="140" t="str">
        <f t="shared" ca="1" si="114"/>
        <v/>
      </c>
      <c r="R87" s="141" t="str">
        <f t="shared" si="115"/>
        <v/>
      </c>
      <c r="S87" s="140" t="str">
        <f t="shared" ca="1" si="116"/>
        <v/>
      </c>
      <c r="T87" s="141" t="str">
        <f t="shared" si="117"/>
        <v/>
      </c>
      <c r="U87" s="140" t="str">
        <f t="shared" ca="1" si="118"/>
        <v/>
      </c>
      <c r="V87" s="141" t="str">
        <f t="shared" si="119"/>
        <v/>
      </c>
      <c r="W87" s="140"/>
      <c r="X87" s="141"/>
      <c r="Y87" s="140"/>
      <c r="Z87" s="141"/>
      <c r="AA87" s="140"/>
      <c r="AB87" s="141"/>
      <c r="AC87" s="140"/>
      <c r="AD87" s="141"/>
      <c r="AE87" s="140"/>
      <c r="AF87" s="141"/>
      <c r="AG87" s="140"/>
      <c r="AH87" s="141"/>
      <c r="AI87" s="140"/>
      <c r="AJ87" s="141"/>
      <c r="AL87" s="196" t="e">
        <f t="shared" ca="1" si="128"/>
        <v>#DIV/0!</v>
      </c>
      <c r="AM87" s="70" t="e">
        <f t="shared" ca="1" si="129"/>
        <v>#DIV/0!</v>
      </c>
      <c r="AN87" s="256" t="e">
        <f t="shared" ca="1" si="130"/>
        <v>#DIV/0!</v>
      </c>
      <c r="AO87" s="256" t="e">
        <f t="shared" ca="1" si="131"/>
        <v>#DIV/0!</v>
      </c>
    </row>
    <row r="88" spans="1:41" s="133" customFormat="1" ht="21" hidden="1" customHeight="1">
      <c r="A88" s="138"/>
      <c r="B88" s="139" t="str">
        <f t="shared" si="132"/>
        <v/>
      </c>
      <c r="C88" s="140" t="str">
        <f t="shared" si="102"/>
        <v/>
      </c>
      <c r="D88" s="141" t="str">
        <f t="shared" si="103"/>
        <v/>
      </c>
      <c r="E88" s="140" t="str">
        <f t="shared" si="104"/>
        <v/>
      </c>
      <c r="F88" s="141" t="str">
        <f t="shared" si="105"/>
        <v/>
      </c>
      <c r="G88" s="140" t="str">
        <f t="shared" si="106"/>
        <v/>
      </c>
      <c r="H88" s="141" t="str">
        <f t="shared" si="107"/>
        <v/>
      </c>
      <c r="I88" s="140" t="str">
        <f t="shared" si="108"/>
        <v/>
      </c>
      <c r="J88" s="141" t="str">
        <f t="shared" si="109"/>
        <v/>
      </c>
      <c r="K88" s="140" t="str">
        <f t="shared" ca="1" si="75"/>
        <v/>
      </c>
      <c r="L88" s="141" t="str">
        <f t="shared" si="110"/>
        <v/>
      </c>
      <c r="M88" s="140" t="str">
        <f t="shared" ca="1" si="111"/>
        <v/>
      </c>
      <c r="N88" s="141" t="str">
        <f t="shared" si="112"/>
        <v/>
      </c>
      <c r="O88" s="140" t="str">
        <f t="shared" ca="1" si="78"/>
        <v/>
      </c>
      <c r="P88" s="141" t="str">
        <f t="shared" si="113"/>
        <v/>
      </c>
      <c r="Q88" s="140" t="str">
        <f t="shared" ca="1" si="114"/>
        <v/>
      </c>
      <c r="R88" s="141" t="str">
        <f t="shared" si="115"/>
        <v/>
      </c>
      <c r="S88" s="140" t="str">
        <f t="shared" ca="1" si="116"/>
        <v/>
      </c>
      <c r="T88" s="141" t="str">
        <f t="shared" si="117"/>
        <v/>
      </c>
      <c r="U88" s="140" t="str">
        <f t="shared" ca="1" si="118"/>
        <v/>
      </c>
      <c r="V88" s="141" t="str">
        <f t="shared" si="119"/>
        <v/>
      </c>
      <c r="W88" s="140"/>
      <c r="X88" s="141"/>
      <c r="Y88" s="140"/>
      <c r="Z88" s="141"/>
      <c r="AA88" s="140"/>
      <c r="AB88" s="141"/>
      <c r="AC88" s="140"/>
      <c r="AD88" s="141"/>
      <c r="AE88" s="140"/>
      <c r="AF88" s="141"/>
      <c r="AG88" s="140"/>
      <c r="AH88" s="141"/>
      <c r="AI88" s="140"/>
      <c r="AJ88" s="141"/>
      <c r="AL88" s="196" t="e">
        <f t="shared" ca="1" si="128"/>
        <v>#DIV/0!</v>
      </c>
      <c r="AM88" s="70" t="e">
        <f t="shared" ca="1" si="129"/>
        <v>#DIV/0!</v>
      </c>
      <c r="AN88" s="256" t="e">
        <f t="shared" ca="1" si="130"/>
        <v>#DIV/0!</v>
      </c>
      <c r="AO88" s="256" t="e">
        <f t="shared" ca="1" si="131"/>
        <v>#DIV/0!</v>
      </c>
    </row>
    <row r="89" spans="1:41" s="133" customFormat="1" ht="21" hidden="1" customHeight="1">
      <c r="A89" s="138"/>
      <c r="B89" s="139" t="str">
        <f t="shared" si="132"/>
        <v/>
      </c>
      <c r="C89" s="140" t="str">
        <f t="shared" si="102"/>
        <v/>
      </c>
      <c r="D89" s="141" t="str">
        <f t="shared" si="103"/>
        <v/>
      </c>
      <c r="E89" s="140" t="str">
        <f t="shared" si="104"/>
        <v/>
      </c>
      <c r="F89" s="141" t="str">
        <f t="shared" si="105"/>
        <v/>
      </c>
      <c r="G89" s="140" t="str">
        <f t="shared" si="106"/>
        <v/>
      </c>
      <c r="H89" s="141" t="str">
        <f t="shared" si="107"/>
        <v/>
      </c>
      <c r="I89" s="140" t="str">
        <f t="shared" si="108"/>
        <v/>
      </c>
      <c r="J89" s="141" t="str">
        <f t="shared" si="109"/>
        <v/>
      </c>
      <c r="K89" s="140" t="str">
        <f t="shared" ca="1" si="75"/>
        <v/>
      </c>
      <c r="L89" s="141" t="str">
        <f t="shared" si="110"/>
        <v/>
      </c>
      <c r="M89" s="140" t="str">
        <f t="shared" ca="1" si="111"/>
        <v/>
      </c>
      <c r="N89" s="141" t="str">
        <f t="shared" si="112"/>
        <v/>
      </c>
      <c r="O89" s="140" t="str">
        <f t="shared" ca="1" si="78"/>
        <v/>
      </c>
      <c r="P89" s="141" t="str">
        <f t="shared" si="113"/>
        <v/>
      </c>
      <c r="Q89" s="140" t="str">
        <f t="shared" ca="1" si="114"/>
        <v/>
      </c>
      <c r="R89" s="141" t="str">
        <f t="shared" si="115"/>
        <v/>
      </c>
      <c r="S89" s="140" t="str">
        <f t="shared" ca="1" si="116"/>
        <v/>
      </c>
      <c r="T89" s="141" t="str">
        <f t="shared" si="117"/>
        <v/>
      </c>
      <c r="U89" s="140" t="str">
        <f t="shared" ca="1" si="118"/>
        <v/>
      </c>
      <c r="V89" s="141" t="str">
        <f t="shared" si="119"/>
        <v/>
      </c>
      <c r="W89" s="140"/>
      <c r="X89" s="141"/>
      <c r="Y89" s="140"/>
      <c r="Z89" s="141"/>
      <c r="AA89" s="140"/>
      <c r="AB89" s="141"/>
      <c r="AC89" s="140"/>
      <c r="AD89" s="141"/>
      <c r="AE89" s="140"/>
      <c r="AF89" s="141"/>
      <c r="AG89" s="140"/>
      <c r="AH89" s="141"/>
      <c r="AI89" s="140"/>
      <c r="AJ89" s="141"/>
      <c r="AL89" s="196" t="e">
        <f t="shared" ca="1" si="128"/>
        <v>#DIV/0!</v>
      </c>
      <c r="AM89" s="70" t="e">
        <f t="shared" ca="1" si="129"/>
        <v>#DIV/0!</v>
      </c>
      <c r="AN89" s="256" t="e">
        <f t="shared" ca="1" si="130"/>
        <v>#DIV/0!</v>
      </c>
      <c r="AO89" s="256" t="e">
        <f t="shared" ca="1" si="131"/>
        <v>#DIV/0!</v>
      </c>
    </row>
    <row r="90" spans="1:41" s="133" customFormat="1" ht="21" hidden="1" customHeight="1">
      <c r="A90" s="138"/>
      <c r="B90" s="139" t="str">
        <f t="shared" si="132"/>
        <v/>
      </c>
      <c r="C90" s="140" t="str">
        <f t="shared" si="102"/>
        <v/>
      </c>
      <c r="D90" s="141" t="str">
        <f t="shared" si="103"/>
        <v/>
      </c>
      <c r="E90" s="140" t="str">
        <f t="shared" si="104"/>
        <v/>
      </c>
      <c r="F90" s="141" t="str">
        <f t="shared" si="105"/>
        <v/>
      </c>
      <c r="G90" s="140" t="str">
        <f t="shared" si="106"/>
        <v/>
      </c>
      <c r="H90" s="141" t="str">
        <f t="shared" si="107"/>
        <v/>
      </c>
      <c r="I90" s="140" t="str">
        <f t="shared" si="108"/>
        <v/>
      </c>
      <c r="J90" s="141" t="str">
        <f t="shared" si="109"/>
        <v/>
      </c>
      <c r="K90" s="140" t="str">
        <f t="shared" ca="1" si="75"/>
        <v/>
      </c>
      <c r="L90" s="141" t="str">
        <f t="shared" si="110"/>
        <v/>
      </c>
      <c r="M90" s="140" t="str">
        <f t="shared" ca="1" si="111"/>
        <v/>
      </c>
      <c r="N90" s="141" t="str">
        <f t="shared" si="112"/>
        <v/>
      </c>
      <c r="O90" s="140" t="str">
        <f t="shared" ca="1" si="78"/>
        <v/>
      </c>
      <c r="P90" s="141" t="str">
        <f t="shared" si="113"/>
        <v/>
      </c>
      <c r="Q90" s="140" t="str">
        <f t="shared" ca="1" si="114"/>
        <v/>
      </c>
      <c r="R90" s="141" t="str">
        <f t="shared" si="115"/>
        <v/>
      </c>
      <c r="S90" s="140" t="str">
        <f t="shared" ca="1" si="116"/>
        <v/>
      </c>
      <c r="T90" s="141" t="str">
        <f t="shared" si="117"/>
        <v/>
      </c>
      <c r="U90" s="140" t="str">
        <f t="shared" ca="1" si="118"/>
        <v/>
      </c>
      <c r="V90" s="141" t="str">
        <f t="shared" si="119"/>
        <v/>
      </c>
      <c r="W90" s="140"/>
      <c r="X90" s="141"/>
      <c r="Y90" s="140"/>
      <c r="Z90" s="141"/>
      <c r="AA90" s="140"/>
      <c r="AB90" s="141"/>
      <c r="AC90" s="140"/>
      <c r="AD90" s="141"/>
      <c r="AE90" s="140"/>
      <c r="AF90" s="141"/>
      <c r="AG90" s="140"/>
      <c r="AH90" s="141"/>
      <c r="AI90" s="140"/>
      <c r="AJ90" s="141"/>
      <c r="AL90" s="196" t="e">
        <f t="shared" ca="1" si="128"/>
        <v>#DIV/0!</v>
      </c>
      <c r="AM90" s="70" t="e">
        <f t="shared" ca="1" si="129"/>
        <v>#DIV/0!</v>
      </c>
      <c r="AN90" s="256" t="e">
        <f t="shared" ca="1" si="130"/>
        <v>#DIV/0!</v>
      </c>
      <c r="AO90" s="256" t="e">
        <f t="shared" ca="1" si="131"/>
        <v>#DIV/0!</v>
      </c>
    </row>
    <row r="91" spans="1:41" s="133" customFormat="1" ht="21" hidden="1" customHeight="1">
      <c r="A91" s="138"/>
      <c r="B91" s="139" t="str">
        <f t="shared" si="132"/>
        <v/>
      </c>
      <c r="C91" s="140" t="str">
        <f t="shared" si="102"/>
        <v/>
      </c>
      <c r="D91" s="141" t="str">
        <f t="shared" si="103"/>
        <v/>
      </c>
      <c r="E91" s="140" t="str">
        <f t="shared" si="104"/>
        <v/>
      </c>
      <c r="F91" s="141" t="str">
        <f t="shared" si="105"/>
        <v/>
      </c>
      <c r="G91" s="140" t="str">
        <f t="shared" si="106"/>
        <v/>
      </c>
      <c r="H91" s="141" t="str">
        <f t="shared" si="107"/>
        <v/>
      </c>
      <c r="I91" s="140" t="str">
        <f t="shared" si="108"/>
        <v/>
      </c>
      <c r="J91" s="141" t="str">
        <f t="shared" si="109"/>
        <v/>
      </c>
      <c r="K91" s="140" t="str">
        <f t="shared" ca="1" si="75"/>
        <v/>
      </c>
      <c r="L91" s="141" t="str">
        <f t="shared" si="110"/>
        <v/>
      </c>
      <c r="M91" s="140" t="str">
        <f t="shared" ca="1" si="111"/>
        <v/>
      </c>
      <c r="N91" s="141" t="str">
        <f t="shared" si="112"/>
        <v/>
      </c>
      <c r="O91" s="140" t="str">
        <f t="shared" ca="1" si="78"/>
        <v/>
      </c>
      <c r="P91" s="141" t="str">
        <f t="shared" si="113"/>
        <v/>
      </c>
      <c r="Q91" s="140" t="str">
        <f t="shared" ca="1" si="114"/>
        <v/>
      </c>
      <c r="R91" s="141" t="str">
        <f t="shared" si="115"/>
        <v/>
      </c>
      <c r="S91" s="140" t="str">
        <f t="shared" ca="1" si="116"/>
        <v/>
      </c>
      <c r="T91" s="141" t="str">
        <f t="shared" si="117"/>
        <v/>
      </c>
      <c r="U91" s="140" t="str">
        <f t="shared" ca="1" si="118"/>
        <v/>
      </c>
      <c r="V91" s="141" t="str">
        <f t="shared" si="119"/>
        <v/>
      </c>
      <c r="W91" s="140"/>
      <c r="X91" s="141"/>
      <c r="Y91" s="140"/>
      <c r="Z91" s="141"/>
      <c r="AA91" s="140"/>
      <c r="AB91" s="141"/>
      <c r="AC91" s="140"/>
      <c r="AD91" s="141"/>
      <c r="AE91" s="140"/>
      <c r="AF91" s="141"/>
      <c r="AG91" s="140"/>
      <c r="AH91" s="141"/>
      <c r="AI91" s="140"/>
      <c r="AJ91" s="141"/>
      <c r="AL91" s="196" t="e">
        <f t="shared" ca="1" si="128"/>
        <v>#DIV/0!</v>
      </c>
      <c r="AM91" s="70" t="e">
        <f t="shared" ca="1" si="129"/>
        <v>#DIV/0!</v>
      </c>
      <c r="AN91" s="256" t="e">
        <f t="shared" ca="1" si="130"/>
        <v>#DIV/0!</v>
      </c>
      <c r="AO91" s="256" t="e">
        <f t="shared" ca="1" si="131"/>
        <v>#DIV/0!</v>
      </c>
    </row>
    <row r="92" spans="1:41" s="133" customFormat="1" ht="21" hidden="1" customHeight="1">
      <c r="A92" s="138"/>
      <c r="B92" s="139" t="str">
        <f t="shared" si="132"/>
        <v/>
      </c>
      <c r="C92" s="140" t="str">
        <f t="shared" si="102"/>
        <v/>
      </c>
      <c r="D92" s="141" t="str">
        <f t="shared" si="103"/>
        <v/>
      </c>
      <c r="E92" s="140" t="str">
        <f t="shared" si="104"/>
        <v/>
      </c>
      <c r="F92" s="141" t="str">
        <f t="shared" si="105"/>
        <v/>
      </c>
      <c r="G92" s="140" t="str">
        <f t="shared" si="106"/>
        <v/>
      </c>
      <c r="H92" s="141" t="str">
        <f t="shared" si="107"/>
        <v/>
      </c>
      <c r="I92" s="140" t="str">
        <f t="shared" si="108"/>
        <v/>
      </c>
      <c r="J92" s="141" t="str">
        <f t="shared" si="109"/>
        <v/>
      </c>
      <c r="K92" s="140" t="str">
        <f t="shared" ca="1" si="75"/>
        <v/>
      </c>
      <c r="L92" s="141" t="str">
        <f t="shared" si="110"/>
        <v/>
      </c>
      <c r="M92" s="140" t="str">
        <f t="shared" ca="1" si="111"/>
        <v/>
      </c>
      <c r="N92" s="141" t="str">
        <f t="shared" si="112"/>
        <v/>
      </c>
      <c r="O92" s="140" t="str">
        <f t="shared" ca="1" si="78"/>
        <v/>
      </c>
      <c r="P92" s="141" t="str">
        <f t="shared" si="113"/>
        <v/>
      </c>
      <c r="Q92" s="140" t="str">
        <f t="shared" ca="1" si="114"/>
        <v/>
      </c>
      <c r="R92" s="141" t="str">
        <f t="shared" si="115"/>
        <v/>
      </c>
      <c r="S92" s="140" t="str">
        <f t="shared" ca="1" si="116"/>
        <v/>
      </c>
      <c r="T92" s="141" t="str">
        <f t="shared" si="117"/>
        <v/>
      </c>
      <c r="U92" s="140" t="str">
        <f t="shared" ca="1" si="118"/>
        <v/>
      </c>
      <c r="V92" s="141" t="str">
        <f t="shared" si="119"/>
        <v/>
      </c>
      <c r="W92" s="140"/>
      <c r="X92" s="141"/>
      <c r="Y92" s="140"/>
      <c r="Z92" s="141"/>
      <c r="AA92" s="140"/>
      <c r="AB92" s="141"/>
      <c r="AC92" s="140"/>
      <c r="AD92" s="141"/>
      <c r="AE92" s="140"/>
      <c r="AF92" s="141"/>
      <c r="AG92" s="140"/>
      <c r="AH92" s="141"/>
      <c r="AI92" s="140"/>
      <c r="AJ92" s="141"/>
      <c r="AL92" s="196" t="e">
        <f t="shared" ca="1" si="128"/>
        <v>#DIV/0!</v>
      </c>
      <c r="AM92" s="70" t="e">
        <f t="shared" ca="1" si="129"/>
        <v>#DIV/0!</v>
      </c>
      <c r="AN92" s="256" t="e">
        <f t="shared" ca="1" si="130"/>
        <v>#DIV/0!</v>
      </c>
      <c r="AO92" s="256" t="e">
        <f t="shared" ca="1" si="131"/>
        <v>#DIV/0!</v>
      </c>
    </row>
    <row r="93" spans="1:41" s="133" customFormat="1" ht="21" hidden="1" customHeight="1">
      <c r="A93" s="138"/>
      <c r="B93" s="139"/>
      <c r="C93" s="140"/>
      <c r="D93" s="141"/>
      <c r="E93" s="140"/>
      <c r="F93" s="141"/>
      <c r="G93" s="140"/>
      <c r="H93" s="141"/>
      <c r="I93" s="140"/>
      <c r="J93" s="141"/>
      <c r="K93" s="140"/>
      <c r="L93" s="141"/>
      <c r="M93" s="140"/>
      <c r="N93" s="141"/>
      <c r="O93" s="140"/>
      <c r="P93" s="141"/>
      <c r="Q93" s="140"/>
      <c r="R93" s="141"/>
      <c r="S93" s="140"/>
      <c r="T93" s="141"/>
      <c r="U93" s="140"/>
      <c r="V93" s="141"/>
      <c r="W93" s="140"/>
      <c r="X93" s="141"/>
      <c r="Y93" s="140"/>
      <c r="Z93" s="141"/>
      <c r="AA93" s="140"/>
      <c r="AB93" s="141"/>
      <c r="AC93" s="140"/>
      <c r="AD93" s="141"/>
      <c r="AE93" s="140"/>
      <c r="AF93" s="141"/>
      <c r="AG93" s="140"/>
      <c r="AH93" s="141"/>
      <c r="AI93" s="140"/>
      <c r="AJ93" s="141"/>
      <c r="AL93" s="196" t="e">
        <f t="shared" si="128"/>
        <v>#DIV/0!</v>
      </c>
      <c r="AM93" s="70" t="e">
        <f t="shared" si="129"/>
        <v>#DIV/0!</v>
      </c>
      <c r="AN93" s="256" t="e">
        <f t="shared" si="130"/>
        <v>#DIV/0!</v>
      </c>
      <c r="AO93" s="256" t="e">
        <f t="shared" si="131"/>
        <v>#DIV/0!</v>
      </c>
    </row>
    <row r="94" spans="1:41" s="133" customFormat="1" ht="21" hidden="1" customHeight="1">
      <c r="A94" s="138"/>
      <c r="B94" s="139"/>
      <c r="C94" s="140"/>
      <c r="D94" s="141"/>
      <c r="E94" s="140"/>
      <c r="F94" s="141"/>
      <c r="G94" s="140"/>
      <c r="H94" s="141"/>
      <c r="I94" s="140"/>
      <c r="J94" s="141"/>
      <c r="K94" s="140"/>
      <c r="L94" s="141"/>
      <c r="M94" s="140"/>
      <c r="N94" s="141"/>
      <c r="O94" s="140"/>
      <c r="P94" s="141"/>
      <c r="Q94" s="140"/>
      <c r="R94" s="141"/>
      <c r="S94" s="140"/>
      <c r="T94" s="141"/>
      <c r="U94" s="140"/>
      <c r="V94" s="141"/>
      <c r="W94" s="140"/>
      <c r="X94" s="141"/>
      <c r="Y94" s="140"/>
      <c r="Z94" s="141"/>
      <c r="AA94" s="140"/>
      <c r="AB94" s="141"/>
      <c r="AC94" s="140"/>
      <c r="AD94" s="141"/>
      <c r="AE94" s="140"/>
      <c r="AF94" s="141"/>
      <c r="AG94" s="140"/>
      <c r="AH94" s="141"/>
      <c r="AI94" s="140"/>
      <c r="AJ94" s="141"/>
      <c r="AL94" s="196" t="e">
        <f t="shared" si="128"/>
        <v>#DIV/0!</v>
      </c>
      <c r="AM94" s="70" t="e">
        <f t="shared" si="129"/>
        <v>#DIV/0!</v>
      </c>
      <c r="AN94" s="256" t="e">
        <f t="shared" si="130"/>
        <v>#DIV/0!</v>
      </c>
      <c r="AO94" s="256" t="e">
        <f t="shared" si="131"/>
        <v>#DIV/0!</v>
      </c>
    </row>
    <row r="95" spans="1:41" s="133" customFormat="1" ht="21" hidden="1" customHeight="1">
      <c r="A95" s="138"/>
      <c r="B95" s="139"/>
      <c r="C95" s="140"/>
      <c r="D95" s="141"/>
      <c r="E95" s="140"/>
      <c r="F95" s="141"/>
      <c r="G95" s="140"/>
      <c r="H95" s="141"/>
      <c r="I95" s="140"/>
      <c r="J95" s="141"/>
      <c r="K95" s="140"/>
      <c r="L95" s="141"/>
      <c r="M95" s="140"/>
      <c r="N95" s="141"/>
      <c r="O95" s="140"/>
      <c r="P95" s="141"/>
      <c r="Q95" s="140"/>
      <c r="R95" s="141"/>
      <c r="S95" s="140"/>
      <c r="T95" s="141"/>
      <c r="U95" s="140"/>
      <c r="V95" s="141"/>
      <c r="W95" s="140"/>
      <c r="X95" s="141"/>
      <c r="Y95" s="140"/>
      <c r="Z95" s="141"/>
      <c r="AA95" s="140"/>
      <c r="AB95" s="141"/>
      <c r="AC95" s="140"/>
      <c r="AD95" s="141"/>
      <c r="AE95" s="140"/>
      <c r="AF95" s="141"/>
      <c r="AG95" s="140"/>
      <c r="AH95" s="141"/>
      <c r="AI95" s="140"/>
      <c r="AJ95" s="141"/>
      <c r="AL95" s="196" t="e">
        <f t="shared" si="128"/>
        <v>#DIV/0!</v>
      </c>
      <c r="AM95" s="70" t="e">
        <f t="shared" si="129"/>
        <v>#DIV/0!</v>
      </c>
      <c r="AN95" s="256" t="e">
        <f t="shared" si="130"/>
        <v>#DIV/0!</v>
      </c>
      <c r="AO95" s="256" t="e">
        <f t="shared" si="131"/>
        <v>#DIV/0!</v>
      </c>
    </row>
    <row r="96" spans="1:41" s="133" customFormat="1" ht="21" hidden="1" customHeight="1">
      <c r="A96" s="138"/>
      <c r="B96" s="139"/>
      <c r="C96" s="140"/>
      <c r="D96" s="141"/>
      <c r="E96" s="140"/>
      <c r="F96" s="141"/>
      <c r="G96" s="140"/>
      <c r="H96" s="141"/>
      <c r="I96" s="140"/>
      <c r="J96" s="141"/>
      <c r="K96" s="140"/>
      <c r="L96" s="141"/>
      <c r="M96" s="140"/>
      <c r="N96" s="141"/>
      <c r="O96" s="140"/>
      <c r="P96" s="141"/>
      <c r="Q96" s="140"/>
      <c r="R96" s="141"/>
      <c r="S96" s="140"/>
      <c r="T96" s="141"/>
      <c r="U96" s="140"/>
      <c r="V96" s="141"/>
      <c r="W96" s="140"/>
      <c r="X96" s="141"/>
      <c r="Y96" s="140"/>
      <c r="Z96" s="141"/>
      <c r="AA96" s="140"/>
      <c r="AB96" s="141"/>
      <c r="AC96" s="140"/>
      <c r="AD96" s="141"/>
      <c r="AE96" s="140"/>
      <c r="AF96" s="141"/>
      <c r="AG96" s="140"/>
      <c r="AH96" s="141"/>
      <c r="AI96" s="140"/>
      <c r="AJ96" s="141"/>
      <c r="AL96" s="196" t="e">
        <f t="shared" si="128"/>
        <v>#DIV/0!</v>
      </c>
      <c r="AM96" s="70" t="e">
        <f t="shared" si="129"/>
        <v>#DIV/0!</v>
      </c>
      <c r="AN96" s="256" t="e">
        <f t="shared" si="130"/>
        <v>#DIV/0!</v>
      </c>
      <c r="AO96" s="256" t="e">
        <f t="shared" si="131"/>
        <v>#DIV/0!</v>
      </c>
    </row>
    <row r="97" spans="1:41" s="133" customFormat="1" ht="21" hidden="1" customHeight="1">
      <c r="A97" s="138"/>
      <c r="B97" s="139"/>
      <c r="C97" s="140"/>
      <c r="D97" s="141"/>
      <c r="E97" s="140"/>
      <c r="F97" s="141"/>
      <c r="G97" s="140"/>
      <c r="H97" s="141"/>
      <c r="I97" s="140"/>
      <c r="J97" s="141"/>
      <c r="K97" s="140"/>
      <c r="L97" s="141"/>
      <c r="M97" s="140"/>
      <c r="N97" s="141"/>
      <c r="O97" s="140"/>
      <c r="P97" s="141"/>
      <c r="Q97" s="140"/>
      <c r="R97" s="141"/>
      <c r="S97" s="140"/>
      <c r="T97" s="141"/>
      <c r="U97" s="140"/>
      <c r="V97" s="141"/>
      <c r="W97" s="140"/>
      <c r="X97" s="141"/>
      <c r="Y97" s="140"/>
      <c r="Z97" s="141"/>
      <c r="AA97" s="140"/>
      <c r="AB97" s="141"/>
      <c r="AC97" s="140"/>
      <c r="AD97" s="141"/>
      <c r="AE97" s="140"/>
      <c r="AF97" s="141"/>
      <c r="AG97" s="140"/>
      <c r="AH97" s="141"/>
      <c r="AI97" s="140"/>
      <c r="AJ97" s="141"/>
      <c r="AL97" s="196" t="e">
        <f t="shared" si="128"/>
        <v>#DIV/0!</v>
      </c>
      <c r="AM97" s="70" t="e">
        <f t="shared" si="129"/>
        <v>#DIV/0!</v>
      </c>
      <c r="AN97" s="256" t="e">
        <f t="shared" si="130"/>
        <v>#DIV/0!</v>
      </c>
      <c r="AO97" s="256" t="e">
        <f t="shared" si="131"/>
        <v>#DIV/0!</v>
      </c>
    </row>
    <row r="98" spans="1:41" s="133" customFormat="1" ht="21" hidden="1" customHeight="1">
      <c r="A98" s="138"/>
      <c r="B98" s="139"/>
      <c r="C98" s="140"/>
      <c r="D98" s="141"/>
      <c r="E98" s="140"/>
      <c r="F98" s="141"/>
      <c r="G98" s="140"/>
      <c r="H98" s="141"/>
      <c r="I98" s="140"/>
      <c r="J98" s="141"/>
      <c r="K98" s="140"/>
      <c r="L98" s="141"/>
      <c r="M98" s="140"/>
      <c r="N98" s="141"/>
      <c r="O98" s="140"/>
      <c r="P98" s="141"/>
      <c r="Q98" s="140"/>
      <c r="R98" s="141"/>
      <c r="S98" s="140"/>
      <c r="T98" s="141"/>
      <c r="U98" s="140"/>
      <c r="V98" s="141"/>
      <c r="W98" s="140"/>
      <c r="X98" s="141"/>
      <c r="Y98" s="140"/>
      <c r="Z98" s="141"/>
      <c r="AA98" s="140"/>
      <c r="AB98" s="141"/>
      <c r="AC98" s="140"/>
      <c r="AD98" s="141"/>
      <c r="AE98" s="140"/>
      <c r="AF98" s="141"/>
      <c r="AG98" s="140"/>
      <c r="AH98" s="141"/>
      <c r="AI98" s="140"/>
      <c r="AJ98" s="141"/>
      <c r="AL98" s="196" t="e">
        <f t="shared" si="128"/>
        <v>#DIV/0!</v>
      </c>
      <c r="AM98" s="70" t="e">
        <f t="shared" si="129"/>
        <v>#DIV/0!</v>
      </c>
      <c r="AN98" s="256" t="e">
        <f t="shared" si="130"/>
        <v>#DIV/0!</v>
      </c>
      <c r="AO98" s="256" t="e">
        <f t="shared" si="131"/>
        <v>#DIV/0!</v>
      </c>
    </row>
    <row r="99" spans="1:41" s="133" customFormat="1" ht="21" hidden="1" customHeight="1">
      <c r="A99" s="138"/>
      <c r="B99" s="139"/>
      <c r="C99" s="140"/>
      <c r="D99" s="141"/>
      <c r="E99" s="140"/>
      <c r="F99" s="141"/>
      <c r="G99" s="140"/>
      <c r="H99" s="141"/>
      <c r="I99" s="140"/>
      <c r="J99" s="141"/>
      <c r="K99" s="140"/>
      <c r="L99" s="141"/>
      <c r="M99" s="140"/>
      <c r="N99" s="141"/>
      <c r="O99" s="140"/>
      <c r="P99" s="141"/>
      <c r="Q99" s="140"/>
      <c r="R99" s="141"/>
      <c r="S99" s="140"/>
      <c r="T99" s="141"/>
      <c r="U99" s="140"/>
      <c r="V99" s="141"/>
      <c r="W99" s="140"/>
      <c r="X99" s="141"/>
      <c r="Y99" s="140"/>
      <c r="Z99" s="141"/>
      <c r="AA99" s="140"/>
      <c r="AB99" s="141"/>
      <c r="AC99" s="140"/>
      <c r="AD99" s="141"/>
      <c r="AE99" s="140"/>
      <c r="AF99" s="141"/>
      <c r="AG99" s="140"/>
      <c r="AH99" s="141"/>
      <c r="AI99" s="140"/>
      <c r="AJ99" s="141"/>
      <c r="AL99" s="196" t="e">
        <f t="shared" si="128"/>
        <v>#DIV/0!</v>
      </c>
      <c r="AM99" s="70" t="e">
        <f t="shared" si="129"/>
        <v>#DIV/0!</v>
      </c>
      <c r="AN99" s="256" t="e">
        <f t="shared" si="130"/>
        <v>#DIV/0!</v>
      </c>
      <c r="AO99" s="256" t="e">
        <f t="shared" si="131"/>
        <v>#DIV/0!</v>
      </c>
    </row>
    <row r="100" spans="1:41" s="133" customFormat="1" ht="21" hidden="1" customHeight="1">
      <c r="A100" s="138"/>
      <c r="B100" s="139"/>
      <c r="C100" s="140"/>
      <c r="D100" s="141"/>
      <c r="E100" s="140"/>
      <c r="F100" s="141"/>
      <c r="G100" s="140"/>
      <c r="H100" s="141"/>
      <c r="I100" s="140"/>
      <c r="J100" s="141"/>
      <c r="K100" s="140"/>
      <c r="L100" s="141"/>
      <c r="M100" s="140"/>
      <c r="N100" s="141"/>
      <c r="O100" s="140"/>
      <c r="P100" s="141"/>
      <c r="Q100" s="140"/>
      <c r="R100" s="141"/>
      <c r="S100" s="140"/>
      <c r="T100" s="141"/>
      <c r="U100" s="140"/>
      <c r="V100" s="141"/>
      <c r="W100" s="140"/>
      <c r="X100" s="141"/>
      <c r="Y100" s="140"/>
      <c r="Z100" s="141"/>
      <c r="AA100" s="140"/>
      <c r="AB100" s="141"/>
      <c r="AC100" s="140"/>
      <c r="AD100" s="141"/>
      <c r="AE100" s="140"/>
      <c r="AF100" s="141"/>
      <c r="AG100" s="140"/>
      <c r="AH100" s="141"/>
      <c r="AI100" s="140"/>
      <c r="AJ100" s="141"/>
      <c r="AL100" s="196" t="e">
        <f t="shared" si="128"/>
        <v>#DIV/0!</v>
      </c>
      <c r="AM100" s="70" t="e">
        <f t="shared" si="129"/>
        <v>#DIV/0!</v>
      </c>
      <c r="AN100" s="256" t="e">
        <f t="shared" si="130"/>
        <v>#DIV/0!</v>
      </c>
      <c r="AO100" s="256" t="e">
        <f t="shared" si="131"/>
        <v>#DIV/0!</v>
      </c>
    </row>
    <row r="101" spans="1:41" s="133" customFormat="1" ht="21" hidden="1" customHeight="1">
      <c r="A101" s="138"/>
      <c r="B101" s="139" t="str">
        <f t="shared" si="101"/>
        <v/>
      </c>
      <c r="C101" s="140" t="str">
        <f>IF($C$8="Habilitado",IF($A101="","",ROUND(VLOOKUP($A101,OFERENTE_1,15,FALSE),2)),"")</f>
        <v/>
      </c>
      <c r="D101" s="141" t="str">
        <f>IF($A101="","",IF(C101="","",IF($K$4="Media aritmética",(C101&lt;=$B101)*($E$5/$B$4)+(C101&gt;$B101)*0,IF(AND(ROUND(AVERAGE($C101,$E101,$G101,$I101,$K101,$M101,$O101,$Q101,$S101,$U101,$W101,$Y101,$AA101,$AC101,$AE101,$AG101,$AI101),2)-$B101/2&lt;=C101,(ROUND(AVERAGE($C101,$E101,$G101,$I101,$K101,$M101,$O101,$Q101,$S101,$U101,$W101,$Y101,$AA101,$AC101,$AE101,$AG101,$AI101),2)+$B101/2&gt;=C101)),($E$5/$B$4),0))))</f>
        <v/>
      </c>
      <c r="E101" s="140" t="str">
        <f>IF($E$8="Habilitado",IF($A101="","",ROUND(VLOOKUP($A101,OFERENTE_2,15,FALSE),2)),"")</f>
        <v/>
      </c>
      <c r="F101" s="141" t="str">
        <f>IF($A101="","",IF(E101="","",IF($K$4="Media aritmética",(E101&lt;=$B101)*($E$5/$B$4)+(E101&gt;$B101)*0,IF(AND(ROUND(AVERAGE($C101,$E101,$G101,$I101,$K101,$M101,$O101,$Q101,$S101,$U101,$W101,$Y101,$AA101,$AC101,$AE101,$AG101,$AI101),2)-$B101/2&lt;=E101,(ROUND(AVERAGE($C101,$E101,$G101,$I101,$K101,$M101,$O101,$Q101,$S101,$U101,$W101,$Y101,$AA101,$AC101,$AE101,$AG101,$AI101),2)+$B101/2&gt;=E101)),($E$5/$B$4),0))))</f>
        <v/>
      </c>
      <c r="G101" s="140" t="str">
        <f>IF($G$8="Habilitado",IF($A101="","",ROUND(VLOOKUP($A101,OFERENTE_3,15,FALSE),2)),"")</f>
        <v/>
      </c>
      <c r="H101" s="141" t="str">
        <f>IF($A101="","",IF(G101="","",IF($K$4="Media aritmética",(G101&lt;=$B101)*($E$5/$B$4)+(G101&gt;$B101)*0,IF(AND(ROUND(AVERAGE($C101,$E101,$G101,$I101,$K101,$M101,$O101,$Q101,$S101,$U101,$W101,$Y101,$AA101,$AC101,$AE101,$AG101,$AI101),2)-$B101/2&lt;=G101,(ROUND(AVERAGE($C101,$E101,$G101,$I101,$K101,$M101,$O101,$Q101,$S101,$U101,$W101,$Y101,$AA101,$AC101,$AE101,$AG101,$AI101),2)+$B101/2&gt;=G101)),($E$5/$B$4),0))))</f>
        <v/>
      </c>
      <c r="I101" s="140" t="str">
        <f>IF($I$8="Habilitado",IF($A101="","",ROUND(VLOOKUP($A101,OFERENTE_4,15,FALSE),2)),"")</f>
        <v/>
      </c>
      <c r="J101" s="141" t="str">
        <f>IF($A101="","",IF(I101="","",IF($K$4="Media aritmética",(I101&lt;=$B101)*($E$5/$B$4)+(I101&gt;$B101)*0,IF(AND(ROUND(AVERAGE($C101,$E101,$G101,$I101,$K101,$M101,$O101,$Q101,$S101,$U101,$W101,$Y101,$AA101,$AC101,$AE101,$AG101,$AI101),2)-$B101/2&lt;=I101,(ROUND(AVERAGE($C101,$E101,$G101,$I101,$K101,$M101,$O101,$Q101,$S101,$U101,$W101,$Y101,$AA101,$AC101,$AE101,$AG101,$AI101),2)+$B101/2&gt;=I101)),($E$5/$B$4),0))))</f>
        <v/>
      </c>
      <c r="K101" s="140" t="str">
        <f t="shared" ca="1" si="75"/>
        <v/>
      </c>
      <c r="L101" s="141" t="str">
        <f>IF($A101="","",IF(K101="","",IF($K$4="Media aritmética",(K101&lt;=$B101)*($E$5/$B$4)+(K101&gt;$B101)*0,IF(AND(ROUND(AVERAGE($C101,$E101,$G101,$I101,$K101,$M101,$O101,$Q101,$S101,$U101,$W101,$Y101,$AA101,$AC101,$AE101,$AG101,$AI101),2)-$B101/2&lt;=K101,(ROUND(AVERAGE($C101,$E101,$G101,$I101,$K101,$M101,$O101,$Q101,$S101,$U101,$W101,$Y101,$AA101,$AC101,$AE101,$AG101,$AI101),2)+$B101/2&gt;=K101)),($E$5/$B$4),0))))</f>
        <v/>
      </c>
      <c r="M101" s="140" t="str">
        <f t="shared" ref="M101" ca="1" si="133">IF($M$8="Habilitado",IF($A101="","",ROUND(VLOOKUP($A101,OFERENTE_6,15,FALSE),2)),"")</f>
        <v/>
      </c>
      <c r="N101" s="141" t="str">
        <f>IF($A101="","",IF(M101="","",IF($K$4="Media aritmética",(M101&lt;=$B101)*($E$5/$B$4)+(M101&gt;$B101)*0,IF(AND(ROUND(AVERAGE($C101,$E101,$G101,$I101,$K101,$M101,$O101,$Q101,$S101,$U101,$W101,$Y101,$AA101,$AC101,$AE101,$AG101,$AI101),2)-$B101/2&lt;=M101,(ROUND(AVERAGE($C101,$E101,$G101,$I101,$K101,$M101,$O101,$Q101,$S101,$U101,$W101,$Y101,$AA101,$AC101,$AE101,$AG101,$AI101),2)+$B101/2&gt;=M101)),($E$5/$B$4),0))))</f>
        <v/>
      </c>
      <c r="O101" s="140" t="str">
        <f t="shared" ca="1" si="78"/>
        <v/>
      </c>
      <c r="P101" s="141" t="str">
        <f>IF($A101="","",IF(O101="","",IF($K$4="Media aritmética",(O101&lt;=$B101)*($E$5/$B$4)+(O101&gt;$B101)*0,IF(AND(ROUND(AVERAGE($C101,$E101,$G101,$I101,$K101,$M101,$O101,$Q101,$S101,$U101,$W101,$Y101,$AA101,$AC101,$AE101,$AG101,$AI101),2)-$B101/2&lt;=O101,(ROUND(AVERAGE($C101,$E101,$G101,$I101,$K101,$M101,$O101,$Q101,$S101,$U101,$W101,$Y101,$AA101,$AC101,$AE101,$AG101,$AI101),2)+$B101/2&gt;=O101)),($E$5/$B$4),0))))</f>
        <v/>
      </c>
      <c r="Q101" s="140" t="str">
        <f ca="1">IF($Q$8="Habilitado",IF($A101="","",ROUND(VLOOKUP($A101,OFERENTE_7,15,FALSE),2)),"")</f>
        <v/>
      </c>
      <c r="R101" s="141" t="str">
        <f>IF($A101="","",IF(Q101="","",IF($K$4="Media aritmética",(Q101&lt;=$B101)*($E$5/$B$4)+(Q101&gt;$B101)*0,IF(AND(ROUND(AVERAGE($C101,$E101,$G101,$I101,$K101,$M101,$O101,$Q101,$S101,$U101,$W101,$Y101,$AA101,$AC101,$AE101,$AG101,$AI101),2)-$B101/2&lt;=Q101,(ROUND(AVERAGE($C101,$E101,$G101,$I101,$K101,$M101,$O101,$Q101,$S101,$U101,$W101,$Y101,$AA101,$AC101,$AE101,$AG101,$AI101),2)+$B101/2&gt;=Q101)),($E$5/$B$4),0))))</f>
        <v/>
      </c>
      <c r="S101" s="140" t="str">
        <f ca="1">IF($S$8="Habilitado",IF($A101="","",ROUND(VLOOKUP($A101,OFERENTE_7,15,FALSE),2)),"")</f>
        <v/>
      </c>
      <c r="T101" s="141" t="str">
        <f>IF($A101="","",IF(S101="","",IF($K$4="Media aritmética",(S101&lt;=$B101)*($E$5/$B$4)+(S101&gt;$B101)*0,IF(AND(ROUND(AVERAGE($C101,$E101,$G101,$I101,$K101,$M101,$O101,$Q101,$S101,$U101,$W101,$Y101,$AA101,$AC101,$AE101,$AG101,$AI101),2)-$B101/2&lt;=S101,(ROUND(AVERAGE($C101,$E101,$G101,$I101,$K101,$M101,$O101,$Q101,$S101,$U101,$W101,$Y101,$AA101,$AC101,$AE101,$AG101,$AI101),2)+$B101/2&gt;=S101)),($E$5/$B$4),0))))</f>
        <v/>
      </c>
      <c r="U101" s="140" t="str">
        <f ca="1">IF($U$8="Habilitado",IF($A101="","",ROUND(VLOOKUP($A101,OFERENTE_7,15,FALSE),2)),"")</f>
        <v/>
      </c>
      <c r="V101" s="141" t="str">
        <f>IF($A101="","",IF(U101="","",IF($K$4="Media aritmética",(U101&lt;=$B101)*($E$5/$B$4)+(U101&gt;$B101)*0,IF(AND(ROUND(AVERAGE($C101,$E101,$G101,$I101,$K101,$M101,$O101,$Q101,$S101,$U101,$W101,$Y101,$AA101,$AC101,$AE101,$AG101,$AI101),2)-$B101/2&lt;=U101,(ROUND(AVERAGE($C101,$E101,$G101,$I101,$K101,$M101,$O101,$Q101,$S101,$U101,$W101,$Y101,$AA101,$AC101,$AE101,$AG101,$AI101),2)+$B101/2&gt;=U101)),($E$5/$B$4),0))))</f>
        <v/>
      </c>
      <c r="W101" s="140" t="str">
        <f t="shared" ref="W101" ca="1" si="134">IF($W$8="Habilitado",IF($A101="","",ROUND(VLOOKUP($A101,OFERENTE_11,14,FALSE),2)),"")</f>
        <v/>
      </c>
      <c r="X101" s="141" t="str">
        <f>IF($A101="","",IF(W101="","",IF($K$4="Media aritmética",(W101&lt;=$B101)*($E$5/$B$4)+(W101&gt;$B101)*0,IF(AND(ROUND(AVERAGE($C101,$E101,$G101,$I101,$K101,$M101,$O101,$Q101,$S101,$U101,$W101,$Y101,$AA101,$AC101,$AE101,$AG101,$AI101),2)-$B101/2&lt;=W101,(ROUND(AVERAGE($C101,$E101,$G101,$I101,$K101,$M101,$O101,$Q101,$S101,$U101,$W101,$Y101,$AA101,$AC101,$AE101,$AG101,$AI101),2)+$B101/2&gt;=W101)),($E$5/$B$4),0))))</f>
        <v/>
      </c>
      <c r="Y101" s="140" t="str">
        <f t="shared" ref="Y101" ca="1" si="135">IF($Y$8="Habilitado",IF($A101="","",ROUND(VLOOKUP($A101,OFERENTE_12,14,FALSE),2)),"")</f>
        <v/>
      </c>
      <c r="Z101" s="141" t="str">
        <f>IF($A101="","",IF(Y101="","",IF($K$4="Media aritmética",(Y101&lt;=$B101)*($E$5/$B$4)+(Y101&gt;$B101)*0,IF(AND(ROUND(AVERAGE($C101,$E101,$G101,$I101,$K101,$M101,$O101,$Q101,$S101,$U101,$W101,$Y101,$AA101,$AC101,$AE101,$AG101,$AI101),2)-$B101/2&lt;=Y101,(ROUND(AVERAGE($C101,$E101,$G101,$I101,$K101,$M101,$O101,$Q101,$S101,$U101,$W101,$Y101,$AA101,$AC101,$AE101,$AG101,$AI101),2)+$B101/2&gt;=Y101)),($E$5/$B$4),0))))</f>
        <v/>
      </c>
      <c r="AA101" s="140" t="str">
        <f t="shared" ref="AA101" ca="1" si="136">IF($AA$8="Habilitado",IF($A101="","",ROUND(VLOOKUP($A101,OFERENTE_13,14,FALSE),2)),"")</f>
        <v/>
      </c>
      <c r="AB101" s="141" t="str">
        <f>IF($A101="","",IF(AA101="","",IF($K$4="Media aritmética",(AA101&lt;=$B101)*($E$5/$B$4)+(AA101&gt;$B101)*0,IF(AND(ROUND(AVERAGE($C101,$E101,$G101,$I101,$K101,$M101,$O101,$Q101,$S101,$U101,$W101,$Y101,$AA101,$AC101,$AE101,$AG101,$AI101),2)-$B101/2&lt;=AA101,(ROUND(AVERAGE($C101,$E101,$G101,$I101,$K101,$M101,$O101,$Q101,$S101,$U101,$W101,$Y101,$AA101,$AC101,$AE101,$AG101,$AI101),2)+$B101/2&gt;=AA101)),($E$5/$B$4),0))))</f>
        <v/>
      </c>
      <c r="AC101" s="140" t="str">
        <f t="shared" ref="AC101" ca="1" si="137">IF($AC$8="Habilitado",IF($A101="","",ROUND(VLOOKUP($A101,OFERENTE_14,14,FALSE),2)),"")</f>
        <v/>
      </c>
      <c r="AD101" s="141" t="str">
        <f>IF($A101="","",IF(AC101="","",IF($K$4="Media aritmética",(AC101&lt;=$B101)*($E$5/$B$4)+(AC101&gt;$B101)*0,IF(AND(ROUND(AVERAGE($C101,$E101,$G101,$I101,$K101,$M101,$O101,$Q101,$S101,$U101,$W101,$Y101,$AA101,$AC101,$AE101,$AG101,$AI101),2)-$B101/2&lt;=AC101,(ROUND(AVERAGE($C101,$E101,$G101,$I101,$K101,$M101,$O101,$Q101,$S101,$U101,$W101,$Y101,$AA101,$AC101,$AE101,$AG101,$AI101),2)+$B101/2&gt;=AC101)),($E$5/$B$4),0))))</f>
        <v/>
      </c>
      <c r="AE101" s="140" t="str">
        <f t="shared" si="95"/>
        <v/>
      </c>
      <c r="AF101" s="141" t="str">
        <f>IF($A101="","",IF(AE101="","",IF($K$4="Media aritmética",(AE101&lt;=$B101)*($E$5/$B$4)+(AE101&gt;$B101)*0,IF(AND(ROUND(AVERAGE($C101,$E101,$G101,$I101,$K101,$M101,$O101,$Q101,$S101,$U101,$W101,$Y101,$AA101,$AC101,$AE101,$AG101,$AI101),2)-$B101/2&lt;=AE101,(ROUND(AVERAGE($C101,$E101,$G101,$I101,$K101,$M101,$O101,$Q101,$S101,$U101,$W101,$Y101,$AA101,$AC101,$AE101,$AG101,$AI101),2)+$B101/2&gt;=AE101)),($E$5/$B$4),0))))</f>
        <v/>
      </c>
      <c r="AG101" s="140" t="str">
        <f t="shared" si="97"/>
        <v/>
      </c>
      <c r="AH101" s="141" t="str">
        <f>IF($A101="","",IF(AG101="","",IF($K$4="Media aritmética",(AG101&lt;=$B101)*($E$5/$B$4)+(AG101&gt;$B101)*0,IF(AND(ROUND(AVERAGE($C101,$E101,$G101,$I101,$K101,$M101,$O101,$Q101,$S101,$U101,$W101,$Y101,$AA101,$AC101,$AE101,$AG101,$AI101),2)-$B101/2&lt;=AG101,(ROUND(AVERAGE($C101,$E101,$G101,$I101,$K101,$M101,$O101,$Q101,$S101,$U101,$W101,$Y101,$AA101,$AC101,$AE101,$AG101,$AI101),2)+$B101/2&gt;=AG101)),($E$5/$B$4),0))))</f>
        <v/>
      </c>
      <c r="AI101" s="140" t="str">
        <f t="shared" si="99"/>
        <v/>
      </c>
      <c r="AJ101" s="141" t="str">
        <f>IF($A101="","",IF(AI101="","",IF($K$4="Media aritmética",(AI101&lt;=$B101)*($E$5/$B$4)+(AI101&gt;$B101)*0,IF(AND(ROUND(AVERAGE($C101,$E101,$G101,$I101,$K101,$M101,$O101,$Q101,$S101,$U101,$W101,$Y101,$AA101,$AC101,$AE101,$AG101,$AI101),2)-$B101/2&lt;=AI101,(ROUND(AVERAGE($C101,$E101,$G101,$I101,$K101,$M101,$O101,$Q101,$S101,$U101,$W101,$Y101,$AA101,$AC101,$AE101,$AG101,$AI101),2)+$B101/2&gt;=AI101)),($E$5/$B$4),0))))</f>
        <v/>
      </c>
      <c r="AL101" s="196" t="e">
        <f t="shared" ca="1" si="128"/>
        <v>#DIV/0!</v>
      </c>
      <c r="AM101" s="70" t="e">
        <f t="shared" ca="1" si="129"/>
        <v>#DIV/0!</v>
      </c>
      <c r="AN101" s="256" t="e">
        <f t="shared" ca="1" si="130"/>
        <v>#DIV/0!</v>
      </c>
      <c r="AO101" s="256" t="e">
        <f t="shared" ca="1" si="131"/>
        <v>#DIV/0!</v>
      </c>
    </row>
    <row r="102" spans="1:41" ht="21" customHeight="1"/>
    <row r="103" spans="1:41" ht="21.75" customHeight="1">
      <c r="A103" s="1125" t="s">
        <v>125</v>
      </c>
      <c r="B103" s="1126"/>
      <c r="C103" s="1127"/>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c r="AC103" s="142"/>
      <c r="AD103" s="142"/>
      <c r="AE103" s="142"/>
      <c r="AF103" s="142"/>
      <c r="AG103" s="142"/>
      <c r="AH103" s="142"/>
      <c r="AI103" s="142"/>
      <c r="AJ103" s="142"/>
    </row>
    <row r="104" spans="1:41" s="133" customFormat="1" ht="21" customHeight="1">
      <c r="A104" s="257" t="s">
        <v>334</v>
      </c>
      <c r="B104" s="139">
        <f ca="1">IF(A104="","",IF($K$4="Media aritmética",ROUND(AVERAGE(C104,E104,G104,I104,K104,M104,O104,Q104,S104,U104,W104,Y104,AA104,AC104,AE104,AG104,AI104),2),ROUND(_xlfn.STDEV.P(C104,E104,G104,I104,K104,M104,O104,Q104,S104,U104,W104,Y104,AA104,AC104,AE104,AG104,AI104),2)))</f>
        <v>19069626.670000002</v>
      </c>
      <c r="C104" s="140" t="str">
        <f t="shared" ref="C104:C140" si="138">IF($C$8="Habilitado",IF($A104="","",ROUND(VLOOKUP($A104,OFERENTE_1,20,FALSE),2)),"")</f>
        <v/>
      </c>
      <c r="D104" s="141" t="str">
        <f t="shared" ref="D104:D140" si="139">IF($A104="","",IF(C104="","",IF($K$4="Media aritmética",(C104&lt;=$B104)*($G$5/$B$5)+(C104&gt;$B104)*0,IF(AND(ROUND(AVERAGE($C104,$E104,$G104,$I104,$K104,$M104,$O104,$Q104,$S104,$U104,$W104,$Y104,$AA104,$AC104,$AE104,$AG104,$AI104),2)-$B104/2&lt;=C104,(ROUND(AVERAGE($C104,$E104,$G104,$I104,$K104,$M104,$O104,$Q104,$S104,$U104,$W104,$Y104,$AA104,$AC104,$AE104,$AG104,$AI104),2)+$B104/2&gt;=C104)),($G$5/$B$5),0))))</f>
        <v/>
      </c>
      <c r="E104" s="140">
        <f t="shared" ref="E104:E140" si="140">IF($E$8="Habilitado",IF($A104="","",ROUND(VLOOKUP($A104,OFERENTE_2,20,FALSE),2)),"")</f>
        <v>18560000</v>
      </c>
      <c r="F104" s="141">
        <f t="shared" ref="F104:F140" ca="1" si="141">IF($A104="","",IF(E104="","",IF($K$4="Media aritmética",(E104&lt;=$B104)*($G$5/$B$5)+(E104&gt;$B104)*0,IF(AND(ROUND(AVERAGE($C104,$E104,$G104,$I104,$K104,$M104,$O104,$Q104,$S104,$U104,$W104,$Y104,$AA104,$AC104,$AE104,$AG104,$AI104),2)-$B104/2&lt;=E104,(ROUND(AVERAGE($C104,$E104,$G104,$I104,$K104,$M104,$O104,$Q104,$S104,$U104,$W104,$Y104,$AA104,$AC104,$AE104,$AG104,$AI104),2)+$B104/2&gt;=E104)),($G$5/$B$5),0))))</f>
        <v>20</v>
      </c>
      <c r="G104" s="140">
        <f t="shared" ref="G104:G140" si="142">IF($G$8="Habilitado",IF($A104="","",ROUND(VLOOKUP($A104,OFERENTE_3,20,FALSE),2)),"")</f>
        <v>20880000</v>
      </c>
      <c r="H104" s="141">
        <f t="shared" ref="H104:H140" ca="1" si="143">IF($A104="","",IF(G104="","",IF($K$4="Media aritmética",(G104&lt;=$B104)*($G$5/$B$5)+(G104&gt;$B104)*0,IF(AND(ROUND(AVERAGE($C104,$E104,$G104,$I104,$K104,$M104,$O104,$Q104,$S104,$U104,$W104,$Y104,$AA104,$AC104,$AE104,$AG104,$AI104),2)-$B104/2&lt;=G104,(ROUND(AVERAGE($C104,$E104,$G104,$I104,$K104,$M104,$O104,$Q104,$S104,$U104,$W104,$Y104,$AA104,$AC104,$AE104,$AG104,$AI104),2)+$B104/2&gt;=G104)),($G$5/$B$5),0))))</f>
        <v>0</v>
      </c>
      <c r="I104" s="140">
        <f t="shared" ref="I104:I140" si="144">IF($I$8="Habilitado",IF($A104="","",ROUND(VLOOKUP($A104,OFERENTE_4,20,FALSE),2)),"")</f>
        <v>17768880</v>
      </c>
      <c r="J104" s="141">
        <f t="shared" ref="J104:J140" ca="1" si="145">IF($A104="","",IF(I104="","",IF($K$4="Media aritmética",(I104&lt;=$B104)*($G$5/$B$5)+(I104&gt;$B104)*0,IF(AND(ROUND(AVERAGE($C104,$E104,$G104,$I104,$K104,$M104,$O104,$Q104,$S104,$U104,$W104,$Y104,$AA104,$AC104,$AE104,$AG104,$AI104),2)-$B104/2&lt;=I104,(ROUND(AVERAGE($C104,$E104,$G104,$I104,$K104,$M104,$O104,$Q104,$S104,$U104,$W104,$Y104,$AA104,$AC104,$AE104,$AG104,$AI104),2)+$B104/2&gt;=I104)),($G$5/$B$5),0))))</f>
        <v>20</v>
      </c>
      <c r="K104" s="140" t="str">
        <f t="shared" ref="K104:K140" ca="1" si="146">IF($K$8="Habilitado",IF($A104="","",ROUND(VLOOKUP($A104,OFERENTE_5,15,FALSE),2)),"")</f>
        <v/>
      </c>
      <c r="L104" s="141" t="str">
        <f t="shared" ref="L104:L140" ca="1" si="147">IF($A104="","",IF(K104="","",IF($K$4="Media aritmética",(K104&lt;=$B104)*($G$5/$B$5)+(K104&gt;$B104)*0,IF(AND(ROUND(AVERAGE($C104,$E104,$G104,$I104,$K104,$M104,$O104,$Q104,$S104,$U104,$W104,$Y104,$AA104,$AC104,$AE104,$AG104,$AI104),2)-$B104/2&lt;=K104,(ROUND(AVERAGE($C104,$E104,$G104,$I104,$K104,$M104,$O104,$Q104,$S104,$U104,$W104,$Y104,$AA104,$AC104,$AE104,$AG104,$AI104),2)+$B104/2&gt;=K104)),($G$5/$B$5),0))))</f>
        <v/>
      </c>
      <c r="M104" s="140" t="str">
        <f t="shared" ref="M104:M140" ca="1" si="148">IF($M$8="Habilitado",IF($A104="","",ROUND(VLOOKUP($A104,OFERENTE_6,15,FALSE),2)),"")</f>
        <v/>
      </c>
      <c r="N104" s="141" t="str">
        <f t="shared" ref="N104:N140" ca="1" si="149">IF($A104="","",IF(M104="","",IF($K$4="Media aritmética",(M104&lt;=$B104)*($G$5/$B$5)+(M104&gt;$B104)*0,IF(AND(ROUND(AVERAGE($C104,$E104,$G104,$I104,$K104,$M104,$O104,$Q104,$S104,$U104,$W104,$Y104,$AA104,$AC104,$AE104,$AG104,$AI104),2)-$B104/2&lt;=M104,(ROUND(AVERAGE($C104,$E104,$G104,$I104,$K104,$M104,$O104,$Q104,$S104,$U104,$W104,$Y104,$AA104,$AC104,$AE104,$AG104,$AI104),2)+$B104/2&gt;=M104)),($G$5/$B$5),0))))</f>
        <v/>
      </c>
      <c r="O104" s="140" t="str">
        <f t="shared" ref="O104:O136" ca="1" si="150">IF($O$8="Habilitado",IF($A104="","",ROUND(VLOOKUP($A104,OFERENTE_7,15,FALSE),2)),"")</f>
        <v/>
      </c>
      <c r="P104" s="141" t="str">
        <f t="shared" ref="P104:P140" ca="1" si="151">IF($A104="","",IF(O104="","",IF($K$4="Media aritmética",(O104&lt;=$B104)*($G$5/$B$5)+(O104&gt;$B104)*0,IF(AND(ROUND(AVERAGE($C104,$E104,$G104,$I104,$K104,$M104,$O104,$Q104,$S104,$U104,$W104,$Y104,$AA104,$AC104,$AE104,$AG104,$AI104),2)-$B104/2&lt;=O104,(ROUND(AVERAGE($C104,$E104,$G104,$I104,$K104,$M104,$O104,$Q104,$S104,$U104,$W104,$Y104,$AA104,$AC104,$AE104,$AG104,$AI104),2)+$B104/2&gt;=O104)),($G$5/$B$5),0))))</f>
        <v/>
      </c>
      <c r="Q104" s="140" t="str">
        <f t="shared" ref="Q104:Q140" ca="1" si="152">IF($Q$8="Habilitado",IF($A104="","",ROUND(VLOOKUP($A104,OFERENTE_8,15,FALSE),2)),"")</f>
        <v/>
      </c>
      <c r="R104" s="141" t="str">
        <f t="shared" ref="R104:R140" ca="1" si="153">IF($A104="","",IF(Q104="","",IF($K$4="Media aritmética",(Q104&lt;=$B104)*($G$5/$B$5)+(Q104&gt;$B104)*0,IF(AND(ROUND(AVERAGE($C104,$E104,$G104,$I104,$K104,$M104,$O104,$Q104,$S104,$U104,$W104,$Y104,$AA104,$AC104,$AE104,$AG104,$AI104),2)-$B104/2&lt;=Q104,(ROUND(AVERAGE($C104,$E104,$G104,$I104,$K104,$M104,$O104,$Q104,$S104,$U104,$W104,$Y104,$AA104,$AC104,$AE104,$AG104,$AI104),2)+$B104/2&gt;=Q104)),($G$5/$B$5),0))))</f>
        <v/>
      </c>
      <c r="S104" s="140" t="str">
        <f t="shared" ref="S104:S140" ca="1" si="154">IF($S$8="Habilitado",IF($A104="","",ROUND(VLOOKUP($A104,OFERENTE_9,15,FALSE),2)),"")</f>
        <v/>
      </c>
      <c r="T104" s="141" t="str">
        <f t="shared" ref="T104:T140" ca="1" si="155">IF($A104="","",IF(S104="","",IF($K$4="Media aritmética",(S104&lt;=$B104)*($G$5/$B$5)+(S104&gt;$B104)*0,IF(AND(ROUND(AVERAGE($C104,$E104,$G104,$I104,$K104,$M104,$O104,$Q104,$S104,$U104,$W104,$Y104,$AA104,$AC104,$AE104,$AG104,$AI104),2)-$B104/2&lt;=S104,(ROUND(AVERAGE($C104,$E104,$G104,$I104,$K104,$M104,$O104,$Q104,$S104,$U104,$W104,$Y104,$AA104,$AC104,$AE104,$AG104,$AI104),2)+$B104/2&gt;=S104)),($G$5/$B$5),0))))</f>
        <v/>
      </c>
      <c r="U104" s="140" t="str">
        <f t="shared" ref="U104:U140" ca="1" si="156">IF($U$8="Habilitado",IF($A104="","",ROUND(VLOOKUP($A104,OFERENTE_10,15,FALSE),2)),"")</f>
        <v/>
      </c>
      <c r="V104" s="141" t="str">
        <f t="shared" ref="V104:V140" ca="1" si="157">IF($A104="","",IF(U104="","",IF($K$4="Media aritmética",(U104&lt;=$B104)*($G$5/$B$5)+(U104&gt;$B104)*0,IF(AND(ROUND(AVERAGE($C104,$E104,$G104,$I104,$K104,$M104,$O104,$Q104,$S104,$U104,$W104,$Y104,$AA104,$AC104,$AE104,$AG104,$AI104),2)-$B104/2&lt;=U104,(ROUND(AVERAGE($C104,$E104,$G104,$I104,$K104,$M104,$O104,$Q104,$S104,$U104,$W104,$Y104,$AA104,$AC104,$AE104,$AG104,$AI104),2)+$B104/2&gt;=U104)),($G$5/$B$5),0))))</f>
        <v/>
      </c>
      <c r="W104" s="140" t="str">
        <f t="shared" ref="W104:W140" ca="1" si="158">IF($W$8="Habilitado",IF($A104="","",ROUND(VLOOKUP($A104,OFERENTE_11,15,FALSE),2)),"")</f>
        <v/>
      </c>
      <c r="X104" s="141" t="str">
        <f t="shared" ref="X104:X140" ca="1" si="159">IF($A104="","",IF(W104="","",IF($K$4="Media aritmética",(W104&lt;=$B104)*($G$5/$B$5)+(W104&gt;$B104)*0,IF(AND(ROUND(AVERAGE($C104,$E104,$G104,$I104,$K104,$M104,$O104,$Q104,$S104,$U104,$W104,$Y104,$AA104,$AC104,$AE104,$AG104,$AI104),2)-$B104/2&lt;=W104,(ROUND(AVERAGE($C104,$E104,$G104,$I104,$K104,$M104,$O104,$Q104,$S104,$U104,$W104,$Y104,$AA104,$AC104,$AE104,$AG104,$AI104),2)+$B104/2&gt;=W104)),($G$5/$B$5),0))))</f>
        <v/>
      </c>
      <c r="Y104" s="140" t="str">
        <f t="shared" ref="Y104:Y140" ca="1" si="160">IF($Y$8="Habilitado",IF($A104="","",ROUND(VLOOKUP($A104,OFERENTE_12,15,FALSE),2)),"")</f>
        <v/>
      </c>
      <c r="Z104" s="141" t="str">
        <f t="shared" ref="Z104:Z140" ca="1" si="161">IF($A104="","",IF(Y104="","",IF($K$4="Media aritmética",(Y104&lt;=$B104)*($G$5/$B$5)+(Y104&gt;$B104)*0,IF(AND(ROUND(AVERAGE($C104,$E104,$G104,$I104,$K104,$M104,$O104,$Q104,$S104,$U104,$W104,$Y104,$AA104,$AC104,$AE104,$AG104,$AI104),2)-$B104/2&lt;=Y104,(ROUND(AVERAGE($C104,$E104,$G104,$I104,$K104,$M104,$O104,$Q104,$S104,$U104,$W104,$Y104,$AA104,$AC104,$AE104,$AG104,$AI104),2)+$B104/2&gt;=Y104)),($G$5/$B$5),0))))</f>
        <v/>
      </c>
      <c r="AA104" s="140" t="str">
        <f t="shared" ref="AA104:AA140" ca="1" si="162">IF($AA$8="Habilitado",IF($A104="","",ROUND(VLOOKUP($A104,OFERENTE_13,15,FALSE),2)),"")</f>
        <v/>
      </c>
      <c r="AB104" s="141" t="str">
        <f t="shared" ref="AB104:AB140" ca="1" si="163">IF($A104="","",IF(AA104="","",IF($K$4="Media aritmética",(AA104&lt;=$B104)*($G$5/$B$5)+(AA104&gt;$B104)*0,IF(AND(ROUND(AVERAGE($C104,$E104,$G104,$I104,$K104,$M104,$O104,$Q104,$S104,$U104,$W104,$Y104,$AA104,$AC104,$AE104,$AG104,$AI104),2)-$B104/2&lt;=AA104,(ROUND(AVERAGE($C104,$E104,$G104,$I104,$K104,$M104,$O104,$Q104,$S104,$U104,$W104,$Y104,$AA104,$AC104,$AE104,$AG104,$AI104),2)+$B104/2&gt;=AA104)),($G$5/$B$5),0))))</f>
        <v/>
      </c>
      <c r="AC104" s="140" t="str">
        <f t="shared" ref="AC104:AC140" ca="1" si="164">IF($AC$8="Habilitado",IF($A104="","",ROUND(VLOOKUP($A104,OFERENTE_14,15,FALSE),2)),"")</f>
        <v/>
      </c>
      <c r="AD104" s="141" t="str">
        <f t="shared" ref="AD104:AD140" ca="1" si="165">IF($A104="","",IF(AC104="","",IF($K$4="Media aritmética",(AC104&lt;=$B104)*($G$5/$B$5)+(AC104&gt;$B104)*0,IF(AND(ROUND(AVERAGE($C104,$E104,$G104,$I104,$K104,$M104,$O104,$Q104,$S104,$U104,$W104,$Y104,$AA104,$AC104,$AE104,$AG104,$AI104),2)-$B104/2&lt;=AC104,(ROUND(AVERAGE($C104,$E104,$G104,$I104,$K104,$M104,$O104,$Q104,$S104,$U104,$W104,$Y104,$AA104,$AC104,$AE104,$AG104,$AI104),2)+$B104/2&gt;=AC104)),($G$5/$B$5),0))))</f>
        <v/>
      </c>
      <c r="AE104" s="140" t="str">
        <f t="shared" ref="AE104:AE135" si="166">IF($AE$8="Habilitado",IF($A104="","",ROUND(VLOOKUP($A104,OFERENTE_15,14,FALSE),2)),"")</f>
        <v/>
      </c>
      <c r="AF104" s="141" t="str">
        <f t="shared" ref="AF104:AF135" si="167">IF($A104="","",IF(AE104="","",IF($K$4="Media aritmética",(AE104&lt;=$B104)*($G$5/$B$5)+(AE104&gt;$B104)*0,IF(AND(ROUND(AVERAGE($C104,$E104,$G104,$I104,$K104,$M104,$O104,$Q104,$S104,$U104,$W104,$Y104,$AA104,$AC104,$AE104,$AG104,$AI104),2)-$B104/2&lt;=AE104,(ROUND(AVERAGE($C104,$E104,$G104,$I104,$K104,$M104,$O104,$Q104,$S104,$U104,$W104,$Y104,$AA104,$AC104,$AE104,$AG104,$AI104),2)+$B104/2&gt;=AE104)),($G$5/$B$5),0))))</f>
        <v/>
      </c>
      <c r="AG104" s="140" t="str">
        <f t="shared" ref="AG104:AG135" si="168">IF($AG$8="Habilitado",IF($A104="","",ROUND(VLOOKUP($A104,OFERENTE_16,14,FALSE),2)),"")</f>
        <v/>
      </c>
      <c r="AH104" s="141" t="str">
        <f t="shared" ref="AH104:AH135" si="169">IF($A104="","",IF(AG104="","",IF($K$4="Media aritmética",(AG104&lt;=$B104)*($G$5/$B$5)+(AG104&gt;$B104)*0,IF(AND(ROUND(AVERAGE($C104,$E104,$G104,$I104,$K104,$M104,$O104,$Q104,$S104,$U104,$W104,$Y104,$AA104,$AC104,$AE104,$AG104,$AI104),2)-$B104/2&lt;=AG104,(ROUND(AVERAGE($C104,$E104,$G104,$I104,$K104,$M104,$O104,$Q104,$S104,$U104,$W104,$Y104,$AA104,$AC104,$AE104,$AG104,$AI104),2)+$B104/2&gt;=AG104)),($G$5/$B$5),0))))</f>
        <v/>
      </c>
      <c r="AI104" s="140" t="str">
        <f t="shared" ref="AI104:AI135" si="170">IF($AI$8="Habilitado",IF($A104="","",ROUND(VLOOKUP($A104,OFERENTE_17,14,FALSE),2)),"")</f>
        <v/>
      </c>
      <c r="AJ104" s="141" t="str">
        <f t="shared" ref="AJ104:AJ135" si="171">IF($A104="","",IF(AI104="","",IF($K$4="Media aritmética",(AI104&lt;=$B104)*($G$5/$B$5)+(AI104&gt;$B104)*0,IF(AND(ROUND(AVERAGE($C104,$E104,$G104,$I104,$K104,$M104,$O104,$Q104,$S104,$U104,$W104,$Y104,$AA104,$AC104,$AE104,$AG104,$AI104),2)-$B104/2&lt;=AI104,(ROUND(AVERAGE($C104,$E104,$G104,$I104,$K104,$M104,$O104,$Q104,$S104,$U104,$W104,$Y104,$AA104,$AC104,$AE104,$AG104,$AI104),2)+$B104/2&gt;=AI104)),($G$5/$B$5),0))))</f>
        <v/>
      </c>
      <c r="AL104" s="196">
        <f t="shared" ref="AL104" ca="1" si="172">AVERAGE(C104,E104,G104,I104,K104,M104,O104,Q104,S104,U104,W104,Y104,AC104)</f>
        <v>19069626.666666668</v>
      </c>
      <c r="AM104" s="70">
        <f t="shared" ref="AM104" ca="1" si="173">_xlfn.STDEV.P(C104,E104,G104,I104,K104,M104,O104,Q104,S104,U104,W104,Y104,AC104)</f>
        <v>1320241.4976393101</v>
      </c>
      <c r="AN104" s="256">
        <f t="shared" ref="AN104" ca="1" si="174">AL104+(AM104/2)</f>
        <v>19729747.415486325</v>
      </c>
      <c r="AO104" s="256">
        <f t="shared" ref="AO104" ca="1" si="175">AL104-(AM104/2)</f>
        <v>18409505.917847011</v>
      </c>
    </row>
    <row r="105" spans="1:41" s="133" customFormat="1" ht="21" customHeight="1">
      <c r="A105" s="257" t="s">
        <v>185</v>
      </c>
      <c r="B105" s="139">
        <f ca="1">IF(A105="","",IF($K$4="Media aritmética",ROUND(AVERAGE(C105,E105,G105,I105,K105,M105,O105,Q105,S105,U105,W105,Y105,AA105,AC105,AE105,AG105,AI105),2),ROUND(_xlfn.STDEV.P(C105,E105,G105,I105,K105,M105,O105,Q105,S105,U105,W105,Y105,AA105,AC105,AE105,AG105,AI105),2)))</f>
        <v>12210160</v>
      </c>
      <c r="C105" s="140" t="str">
        <f t="shared" si="138"/>
        <v/>
      </c>
      <c r="D105" s="141" t="str">
        <f t="shared" si="139"/>
        <v/>
      </c>
      <c r="E105" s="140">
        <f t="shared" si="140"/>
        <v>11136000</v>
      </c>
      <c r="F105" s="141">
        <f t="shared" ca="1" si="141"/>
        <v>20</v>
      </c>
      <c r="G105" s="140">
        <f t="shared" si="142"/>
        <v>12528000</v>
      </c>
      <c r="H105" s="141">
        <f t="shared" ca="1" si="143"/>
        <v>0</v>
      </c>
      <c r="I105" s="140">
        <f t="shared" si="144"/>
        <v>12966480</v>
      </c>
      <c r="J105" s="141">
        <f t="shared" ca="1" si="145"/>
        <v>0</v>
      </c>
      <c r="K105" s="140" t="str">
        <f t="shared" ca="1" si="146"/>
        <v/>
      </c>
      <c r="L105" s="141" t="str">
        <f t="shared" ca="1" si="147"/>
        <v/>
      </c>
      <c r="M105" s="140" t="str">
        <f t="shared" ca="1" si="148"/>
        <v/>
      </c>
      <c r="N105" s="141" t="str">
        <f t="shared" ca="1" si="149"/>
        <v/>
      </c>
      <c r="O105" s="140" t="str">
        <f t="shared" ca="1" si="150"/>
        <v/>
      </c>
      <c r="P105" s="141" t="str">
        <f t="shared" ca="1" si="151"/>
        <v/>
      </c>
      <c r="Q105" s="140" t="str">
        <f t="shared" ca="1" si="152"/>
        <v/>
      </c>
      <c r="R105" s="141" t="str">
        <f t="shared" ca="1" si="153"/>
        <v/>
      </c>
      <c r="S105" s="140" t="str">
        <f t="shared" ca="1" si="154"/>
        <v/>
      </c>
      <c r="T105" s="141" t="str">
        <f t="shared" ca="1" si="155"/>
        <v/>
      </c>
      <c r="U105" s="140" t="str">
        <f t="shared" ca="1" si="156"/>
        <v/>
      </c>
      <c r="V105" s="141" t="str">
        <f t="shared" ca="1" si="157"/>
        <v/>
      </c>
      <c r="W105" s="140" t="str">
        <f t="shared" ca="1" si="158"/>
        <v/>
      </c>
      <c r="X105" s="141" t="str">
        <f t="shared" ca="1" si="159"/>
        <v/>
      </c>
      <c r="Y105" s="140" t="str">
        <f t="shared" ca="1" si="160"/>
        <v/>
      </c>
      <c r="Z105" s="141" t="str">
        <f t="shared" ca="1" si="161"/>
        <v/>
      </c>
      <c r="AA105" s="140" t="str">
        <f t="shared" ca="1" si="162"/>
        <v/>
      </c>
      <c r="AB105" s="141" t="str">
        <f t="shared" ca="1" si="163"/>
        <v/>
      </c>
      <c r="AC105" s="140" t="str">
        <f t="shared" ca="1" si="164"/>
        <v/>
      </c>
      <c r="AD105" s="141" t="str">
        <f t="shared" ca="1" si="165"/>
        <v/>
      </c>
      <c r="AE105" s="140" t="str">
        <f t="shared" si="166"/>
        <v/>
      </c>
      <c r="AF105" s="141" t="str">
        <f t="shared" si="167"/>
        <v/>
      </c>
      <c r="AG105" s="140" t="str">
        <f t="shared" si="168"/>
        <v/>
      </c>
      <c r="AH105" s="141" t="str">
        <f t="shared" si="169"/>
        <v/>
      </c>
      <c r="AI105" s="140" t="str">
        <f t="shared" si="170"/>
        <v/>
      </c>
      <c r="AJ105" s="141" t="str">
        <f t="shared" si="171"/>
        <v/>
      </c>
      <c r="AL105" s="196">
        <f t="shared" ref="AL105:AL140" ca="1" si="176">AVERAGE(C105,E105,G105,I105,K105,M105,O105,Q105,S105,U105,W105,Y105,AC105)</f>
        <v>12210160</v>
      </c>
      <c r="AM105" s="70">
        <f t="shared" ref="AM105:AM140" ca="1" si="177">_xlfn.STDEV.P(C105,E105,G105,I105,K105,M105,O105,Q105,S105,U105,W105,Y105,AC105)</f>
        <v>780355.02894515905</v>
      </c>
      <c r="AN105" s="256">
        <f t="shared" ref="AN105:AN140" ca="1" si="178">AL105+(AM105/2)</f>
        <v>12600337.51447258</v>
      </c>
      <c r="AO105" s="256">
        <f t="shared" ref="AO105:AO140" ca="1" si="179">AL105-(AM105/2)</f>
        <v>11819982.48552742</v>
      </c>
    </row>
    <row r="106" spans="1:41" s="133" customFormat="1" ht="21" customHeight="1">
      <c r="A106" s="257" t="s">
        <v>339</v>
      </c>
      <c r="B106" s="139">
        <f t="shared" ref="B106:B135" ca="1" si="180">IF(A106="","",IF($K$4="Media aritmética",ROUND(AVERAGE(C106,E106,G106,I106,K106,M106,O106,Q106,S106,U106,W106,Y106,AA106,AC106,AE106,AG106,AI106),2),ROUND(_xlfn.STDEV.P(C106,E106,G106,I106,K106,M106,O106,Q106,S106,U106,W106,Y106,AA106,AC106,AE106,AG106,AI106),2)))</f>
        <v>17000670.670000002</v>
      </c>
      <c r="C106" s="140" t="str">
        <f t="shared" si="138"/>
        <v/>
      </c>
      <c r="D106" s="141" t="str">
        <f t="shared" si="139"/>
        <v/>
      </c>
      <c r="E106" s="140">
        <f t="shared" si="140"/>
        <v>17837319</v>
      </c>
      <c r="F106" s="141">
        <f t="shared" ca="1" si="141"/>
        <v>0</v>
      </c>
      <c r="G106" s="140">
        <f t="shared" si="142"/>
        <v>9388063</v>
      </c>
      <c r="H106" s="141">
        <f t="shared" ca="1" si="143"/>
        <v>20</v>
      </c>
      <c r="I106" s="140">
        <f t="shared" si="144"/>
        <v>23776630</v>
      </c>
      <c r="J106" s="141">
        <f t="shared" ca="1" si="145"/>
        <v>0</v>
      </c>
      <c r="K106" s="140" t="str">
        <f t="shared" ca="1" si="146"/>
        <v/>
      </c>
      <c r="L106" s="141" t="str">
        <f t="shared" ca="1" si="147"/>
        <v/>
      </c>
      <c r="M106" s="140" t="str">
        <f t="shared" ca="1" si="148"/>
        <v/>
      </c>
      <c r="N106" s="141" t="str">
        <f t="shared" ca="1" si="149"/>
        <v/>
      </c>
      <c r="O106" s="140" t="str">
        <f t="shared" ca="1" si="150"/>
        <v/>
      </c>
      <c r="P106" s="141" t="str">
        <f t="shared" ca="1" si="151"/>
        <v/>
      </c>
      <c r="Q106" s="140" t="str">
        <f t="shared" ca="1" si="152"/>
        <v/>
      </c>
      <c r="R106" s="141" t="str">
        <f t="shared" ca="1" si="153"/>
        <v/>
      </c>
      <c r="S106" s="140" t="str">
        <f t="shared" ca="1" si="154"/>
        <v/>
      </c>
      <c r="T106" s="141" t="str">
        <f t="shared" ca="1" si="155"/>
        <v/>
      </c>
      <c r="U106" s="140" t="str">
        <f t="shared" ca="1" si="156"/>
        <v/>
      </c>
      <c r="V106" s="141" t="str">
        <f t="shared" ca="1" si="157"/>
        <v/>
      </c>
      <c r="W106" s="140" t="str">
        <f t="shared" ca="1" si="158"/>
        <v/>
      </c>
      <c r="X106" s="141" t="str">
        <f t="shared" ca="1" si="159"/>
        <v/>
      </c>
      <c r="Y106" s="140" t="str">
        <f t="shared" ca="1" si="160"/>
        <v/>
      </c>
      <c r="Z106" s="141" t="str">
        <f t="shared" ca="1" si="161"/>
        <v/>
      </c>
      <c r="AA106" s="140" t="str">
        <f t="shared" ca="1" si="162"/>
        <v/>
      </c>
      <c r="AB106" s="141" t="str">
        <f t="shared" ca="1" si="163"/>
        <v/>
      </c>
      <c r="AC106" s="140" t="str">
        <f t="shared" ca="1" si="164"/>
        <v/>
      </c>
      <c r="AD106" s="141" t="str">
        <f t="shared" ca="1" si="165"/>
        <v/>
      </c>
      <c r="AE106" s="140" t="str">
        <f t="shared" si="166"/>
        <v/>
      </c>
      <c r="AF106" s="141" t="str">
        <f t="shared" si="167"/>
        <v/>
      </c>
      <c r="AG106" s="140" t="str">
        <f t="shared" si="168"/>
        <v/>
      </c>
      <c r="AH106" s="141" t="str">
        <f t="shared" si="169"/>
        <v/>
      </c>
      <c r="AI106" s="140" t="str">
        <f t="shared" si="170"/>
        <v/>
      </c>
      <c r="AJ106" s="141" t="str">
        <f t="shared" si="171"/>
        <v/>
      </c>
      <c r="AL106" s="196">
        <f t="shared" ca="1" si="176"/>
        <v>17000670.666666668</v>
      </c>
      <c r="AM106" s="70">
        <f t="shared" ca="1" si="177"/>
        <v>5903823.6425571032</v>
      </c>
      <c r="AN106" s="256">
        <f t="shared" ca="1" si="178"/>
        <v>19952582.487945221</v>
      </c>
      <c r="AO106" s="256">
        <f t="shared" ca="1" si="179"/>
        <v>14048758.845388116</v>
      </c>
    </row>
    <row r="107" spans="1:41" s="133" customFormat="1" ht="21" customHeight="1">
      <c r="A107" s="257" t="s">
        <v>186</v>
      </c>
      <c r="B107" s="139">
        <f t="shared" ca="1" si="180"/>
        <v>4262808.33</v>
      </c>
      <c r="C107" s="140" t="str">
        <f t="shared" si="138"/>
        <v/>
      </c>
      <c r="D107" s="141" t="str">
        <f t="shared" si="139"/>
        <v/>
      </c>
      <c r="E107" s="140">
        <f t="shared" si="140"/>
        <v>5866250</v>
      </c>
      <c r="F107" s="141">
        <f t="shared" ca="1" si="141"/>
        <v>0</v>
      </c>
      <c r="G107" s="140">
        <f t="shared" si="142"/>
        <v>3087500</v>
      </c>
      <c r="H107" s="141">
        <f t="shared" ca="1" si="143"/>
        <v>20</v>
      </c>
      <c r="I107" s="140">
        <f t="shared" si="144"/>
        <v>3834675</v>
      </c>
      <c r="J107" s="141">
        <f t="shared" ca="1" si="145"/>
        <v>20</v>
      </c>
      <c r="K107" s="140" t="str">
        <f t="shared" ca="1" si="146"/>
        <v/>
      </c>
      <c r="L107" s="141" t="str">
        <f t="shared" ca="1" si="147"/>
        <v/>
      </c>
      <c r="M107" s="140" t="str">
        <f t="shared" ca="1" si="148"/>
        <v/>
      </c>
      <c r="N107" s="141" t="str">
        <f t="shared" ca="1" si="149"/>
        <v/>
      </c>
      <c r="O107" s="140" t="str">
        <f t="shared" ca="1" si="150"/>
        <v/>
      </c>
      <c r="P107" s="141" t="str">
        <f t="shared" ca="1" si="151"/>
        <v/>
      </c>
      <c r="Q107" s="140" t="str">
        <f t="shared" ca="1" si="152"/>
        <v/>
      </c>
      <c r="R107" s="141" t="str">
        <f t="shared" ca="1" si="153"/>
        <v/>
      </c>
      <c r="S107" s="140" t="str">
        <f t="shared" ca="1" si="154"/>
        <v/>
      </c>
      <c r="T107" s="141" t="str">
        <f t="shared" ca="1" si="155"/>
        <v/>
      </c>
      <c r="U107" s="140" t="str">
        <f t="shared" ca="1" si="156"/>
        <v/>
      </c>
      <c r="V107" s="141" t="str">
        <f t="shared" ca="1" si="157"/>
        <v/>
      </c>
      <c r="W107" s="140" t="str">
        <f t="shared" ca="1" si="158"/>
        <v/>
      </c>
      <c r="X107" s="141" t="str">
        <f t="shared" ca="1" si="159"/>
        <v/>
      </c>
      <c r="Y107" s="140" t="str">
        <f t="shared" ca="1" si="160"/>
        <v/>
      </c>
      <c r="Z107" s="141" t="str">
        <f t="shared" ca="1" si="161"/>
        <v/>
      </c>
      <c r="AA107" s="140" t="str">
        <f t="shared" ca="1" si="162"/>
        <v/>
      </c>
      <c r="AB107" s="141" t="str">
        <f t="shared" ca="1" si="163"/>
        <v/>
      </c>
      <c r="AC107" s="140" t="str">
        <f t="shared" ca="1" si="164"/>
        <v/>
      </c>
      <c r="AD107" s="141" t="str">
        <f t="shared" ca="1" si="165"/>
        <v/>
      </c>
      <c r="AE107" s="140" t="str">
        <f t="shared" si="166"/>
        <v/>
      </c>
      <c r="AF107" s="141" t="str">
        <f t="shared" si="167"/>
        <v/>
      </c>
      <c r="AG107" s="140" t="str">
        <f t="shared" si="168"/>
        <v/>
      </c>
      <c r="AH107" s="141" t="str">
        <f t="shared" si="169"/>
        <v/>
      </c>
      <c r="AI107" s="140" t="str">
        <f t="shared" si="170"/>
        <v/>
      </c>
      <c r="AJ107" s="141" t="str">
        <f t="shared" si="171"/>
        <v/>
      </c>
      <c r="AL107" s="196">
        <f t="shared" ca="1" si="176"/>
        <v>4262808.333333333</v>
      </c>
      <c r="AM107" s="70">
        <f t="shared" ca="1" si="177"/>
        <v>1174119.9552454406</v>
      </c>
      <c r="AN107" s="256">
        <f t="shared" ca="1" si="178"/>
        <v>4849868.3109560534</v>
      </c>
      <c r="AO107" s="256">
        <f t="shared" ca="1" si="179"/>
        <v>3675748.3557106126</v>
      </c>
    </row>
    <row r="108" spans="1:41" s="133" customFormat="1" ht="21" hidden="1" customHeight="1">
      <c r="A108" s="257"/>
      <c r="B108" s="139" t="str">
        <f t="shared" si="180"/>
        <v/>
      </c>
      <c r="C108" s="140" t="str">
        <f t="shared" si="138"/>
        <v/>
      </c>
      <c r="D108" s="141" t="str">
        <f t="shared" si="139"/>
        <v/>
      </c>
      <c r="E108" s="140" t="str">
        <f t="shared" si="140"/>
        <v/>
      </c>
      <c r="F108" s="141" t="str">
        <f t="shared" si="141"/>
        <v/>
      </c>
      <c r="G108" s="140" t="str">
        <f t="shared" si="142"/>
        <v/>
      </c>
      <c r="H108" s="141" t="str">
        <f t="shared" si="143"/>
        <v/>
      </c>
      <c r="I108" s="140" t="str">
        <f t="shared" si="144"/>
        <v/>
      </c>
      <c r="J108" s="141" t="str">
        <f t="shared" si="145"/>
        <v/>
      </c>
      <c r="K108" s="140" t="str">
        <f t="shared" ca="1" si="146"/>
        <v/>
      </c>
      <c r="L108" s="141" t="str">
        <f t="shared" si="147"/>
        <v/>
      </c>
      <c r="M108" s="140" t="str">
        <f t="shared" ca="1" si="148"/>
        <v/>
      </c>
      <c r="N108" s="141" t="str">
        <f t="shared" si="149"/>
        <v/>
      </c>
      <c r="O108" s="140" t="str">
        <f t="shared" ca="1" si="150"/>
        <v/>
      </c>
      <c r="P108" s="141" t="str">
        <f t="shared" si="151"/>
        <v/>
      </c>
      <c r="Q108" s="140" t="str">
        <f t="shared" ca="1" si="152"/>
        <v/>
      </c>
      <c r="R108" s="141" t="str">
        <f t="shared" si="153"/>
        <v/>
      </c>
      <c r="S108" s="140" t="str">
        <f t="shared" ca="1" si="154"/>
        <v/>
      </c>
      <c r="T108" s="141" t="str">
        <f t="shared" si="155"/>
        <v/>
      </c>
      <c r="U108" s="140" t="str">
        <f t="shared" ca="1" si="156"/>
        <v/>
      </c>
      <c r="V108" s="141" t="str">
        <f t="shared" si="157"/>
        <v/>
      </c>
      <c r="W108" s="140" t="str">
        <f t="shared" ca="1" si="158"/>
        <v/>
      </c>
      <c r="X108" s="141" t="str">
        <f t="shared" si="159"/>
        <v/>
      </c>
      <c r="Y108" s="140" t="str">
        <f t="shared" ca="1" si="160"/>
        <v/>
      </c>
      <c r="Z108" s="141" t="str">
        <f t="shared" si="161"/>
        <v/>
      </c>
      <c r="AA108" s="140" t="str">
        <f t="shared" ca="1" si="162"/>
        <v/>
      </c>
      <c r="AB108" s="141" t="str">
        <f t="shared" si="163"/>
        <v/>
      </c>
      <c r="AC108" s="140" t="str">
        <f t="shared" ca="1" si="164"/>
        <v/>
      </c>
      <c r="AD108" s="141" t="str">
        <f t="shared" si="165"/>
        <v/>
      </c>
      <c r="AE108" s="140" t="str">
        <f t="shared" si="166"/>
        <v/>
      </c>
      <c r="AF108" s="141" t="str">
        <f t="shared" si="167"/>
        <v/>
      </c>
      <c r="AG108" s="140" t="str">
        <f t="shared" si="168"/>
        <v/>
      </c>
      <c r="AH108" s="141" t="str">
        <f t="shared" si="169"/>
        <v/>
      </c>
      <c r="AI108" s="140" t="str">
        <f t="shared" si="170"/>
        <v/>
      </c>
      <c r="AJ108" s="141" t="str">
        <f t="shared" si="171"/>
        <v/>
      </c>
      <c r="AL108" s="196" t="e">
        <f t="shared" ca="1" si="176"/>
        <v>#DIV/0!</v>
      </c>
      <c r="AM108" s="70" t="e">
        <f t="shared" ca="1" si="177"/>
        <v>#DIV/0!</v>
      </c>
      <c r="AN108" s="256" t="e">
        <f t="shared" ca="1" si="178"/>
        <v>#DIV/0!</v>
      </c>
      <c r="AO108" s="256" t="e">
        <f t="shared" ca="1" si="179"/>
        <v>#DIV/0!</v>
      </c>
    </row>
    <row r="109" spans="1:41" s="133" customFormat="1" ht="21" hidden="1" customHeight="1">
      <c r="A109" s="257"/>
      <c r="B109" s="139" t="str">
        <f t="shared" si="180"/>
        <v/>
      </c>
      <c r="C109" s="140" t="str">
        <f t="shared" si="138"/>
        <v/>
      </c>
      <c r="D109" s="141" t="str">
        <f t="shared" si="139"/>
        <v/>
      </c>
      <c r="E109" s="140" t="str">
        <f t="shared" si="140"/>
        <v/>
      </c>
      <c r="F109" s="141" t="str">
        <f t="shared" si="141"/>
        <v/>
      </c>
      <c r="G109" s="140" t="str">
        <f t="shared" si="142"/>
        <v/>
      </c>
      <c r="H109" s="141" t="str">
        <f t="shared" si="143"/>
        <v/>
      </c>
      <c r="I109" s="140" t="str">
        <f t="shared" si="144"/>
        <v/>
      </c>
      <c r="J109" s="141" t="str">
        <f t="shared" si="145"/>
        <v/>
      </c>
      <c r="K109" s="140" t="str">
        <f t="shared" ca="1" si="146"/>
        <v/>
      </c>
      <c r="L109" s="141" t="str">
        <f t="shared" si="147"/>
        <v/>
      </c>
      <c r="M109" s="140" t="str">
        <f t="shared" ca="1" si="148"/>
        <v/>
      </c>
      <c r="N109" s="141" t="str">
        <f t="shared" si="149"/>
        <v/>
      </c>
      <c r="O109" s="140" t="str">
        <f t="shared" ca="1" si="150"/>
        <v/>
      </c>
      <c r="P109" s="141" t="str">
        <f t="shared" si="151"/>
        <v/>
      </c>
      <c r="Q109" s="140" t="str">
        <f t="shared" ca="1" si="152"/>
        <v/>
      </c>
      <c r="R109" s="141" t="str">
        <f t="shared" si="153"/>
        <v/>
      </c>
      <c r="S109" s="140" t="str">
        <f t="shared" ca="1" si="154"/>
        <v/>
      </c>
      <c r="T109" s="141" t="str">
        <f t="shared" si="155"/>
        <v/>
      </c>
      <c r="U109" s="140" t="str">
        <f t="shared" ca="1" si="156"/>
        <v/>
      </c>
      <c r="V109" s="141" t="str">
        <f t="shared" si="157"/>
        <v/>
      </c>
      <c r="W109" s="140" t="str">
        <f t="shared" ca="1" si="158"/>
        <v/>
      </c>
      <c r="X109" s="141" t="str">
        <f t="shared" si="159"/>
        <v/>
      </c>
      <c r="Y109" s="140" t="str">
        <f t="shared" ca="1" si="160"/>
        <v/>
      </c>
      <c r="Z109" s="141" t="str">
        <f t="shared" si="161"/>
        <v/>
      </c>
      <c r="AA109" s="140" t="str">
        <f t="shared" ca="1" si="162"/>
        <v/>
      </c>
      <c r="AB109" s="141" t="str">
        <f t="shared" si="163"/>
        <v/>
      </c>
      <c r="AC109" s="140" t="str">
        <f t="shared" ca="1" si="164"/>
        <v/>
      </c>
      <c r="AD109" s="141" t="str">
        <f t="shared" si="165"/>
        <v/>
      </c>
      <c r="AE109" s="140" t="str">
        <f t="shared" si="166"/>
        <v/>
      </c>
      <c r="AF109" s="141" t="str">
        <f t="shared" si="167"/>
        <v/>
      </c>
      <c r="AG109" s="140" t="str">
        <f t="shared" si="168"/>
        <v/>
      </c>
      <c r="AH109" s="141" t="str">
        <f t="shared" si="169"/>
        <v/>
      </c>
      <c r="AI109" s="140" t="str">
        <f t="shared" si="170"/>
        <v/>
      </c>
      <c r="AJ109" s="141" t="str">
        <f t="shared" si="171"/>
        <v/>
      </c>
      <c r="AL109" s="196" t="e">
        <f t="shared" ca="1" si="176"/>
        <v>#DIV/0!</v>
      </c>
      <c r="AM109" s="70" t="e">
        <f t="shared" ca="1" si="177"/>
        <v>#DIV/0!</v>
      </c>
      <c r="AN109" s="256" t="e">
        <f t="shared" ca="1" si="178"/>
        <v>#DIV/0!</v>
      </c>
      <c r="AO109" s="256" t="e">
        <f t="shared" ca="1" si="179"/>
        <v>#DIV/0!</v>
      </c>
    </row>
    <row r="110" spans="1:41" s="133" customFormat="1" ht="21" hidden="1" customHeight="1">
      <c r="A110" s="257"/>
      <c r="B110" s="139" t="str">
        <f t="shared" si="180"/>
        <v/>
      </c>
      <c r="C110" s="140" t="str">
        <f t="shared" si="138"/>
        <v/>
      </c>
      <c r="D110" s="141" t="str">
        <f t="shared" si="139"/>
        <v/>
      </c>
      <c r="E110" s="140" t="str">
        <f t="shared" si="140"/>
        <v/>
      </c>
      <c r="F110" s="141" t="str">
        <f t="shared" si="141"/>
        <v/>
      </c>
      <c r="G110" s="140" t="str">
        <f t="shared" si="142"/>
        <v/>
      </c>
      <c r="H110" s="141" t="str">
        <f t="shared" si="143"/>
        <v/>
      </c>
      <c r="I110" s="140" t="str">
        <f t="shared" si="144"/>
        <v/>
      </c>
      <c r="J110" s="141" t="str">
        <f t="shared" si="145"/>
        <v/>
      </c>
      <c r="K110" s="140" t="str">
        <f t="shared" ca="1" si="146"/>
        <v/>
      </c>
      <c r="L110" s="141" t="str">
        <f t="shared" si="147"/>
        <v/>
      </c>
      <c r="M110" s="140" t="str">
        <f t="shared" ca="1" si="148"/>
        <v/>
      </c>
      <c r="N110" s="141" t="str">
        <f t="shared" si="149"/>
        <v/>
      </c>
      <c r="O110" s="140" t="str">
        <f t="shared" ca="1" si="150"/>
        <v/>
      </c>
      <c r="P110" s="141" t="str">
        <f t="shared" si="151"/>
        <v/>
      </c>
      <c r="Q110" s="140" t="str">
        <f t="shared" ca="1" si="152"/>
        <v/>
      </c>
      <c r="R110" s="141" t="str">
        <f t="shared" si="153"/>
        <v/>
      </c>
      <c r="S110" s="140" t="str">
        <f t="shared" ca="1" si="154"/>
        <v/>
      </c>
      <c r="T110" s="141" t="str">
        <f t="shared" si="155"/>
        <v/>
      </c>
      <c r="U110" s="140" t="str">
        <f t="shared" ca="1" si="156"/>
        <v/>
      </c>
      <c r="V110" s="141" t="str">
        <f t="shared" si="157"/>
        <v/>
      </c>
      <c r="W110" s="140" t="str">
        <f t="shared" ca="1" si="158"/>
        <v/>
      </c>
      <c r="X110" s="141" t="str">
        <f t="shared" si="159"/>
        <v/>
      </c>
      <c r="Y110" s="140" t="str">
        <f t="shared" ca="1" si="160"/>
        <v/>
      </c>
      <c r="Z110" s="141" t="str">
        <f t="shared" si="161"/>
        <v/>
      </c>
      <c r="AA110" s="140" t="str">
        <f t="shared" ca="1" si="162"/>
        <v/>
      </c>
      <c r="AB110" s="141" t="str">
        <f t="shared" si="163"/>
        <v/>
      </c>
      <c r="AC110" s="140" t="str">
        <f t="shared" ca="1" si="164"/>
        <v/>
      </c>
      <c r="AD110" s="141" t="str">
        <f t="shared" si="165"/>
        <v/>
      </c>
      <c r="AE110" s="140" t="str">
        <f t="shared" si="166"/>
        <v/>
      </c>
      <c r="AF110" s="141" t="str">
        <f t="shared" si="167"/>
        <v/>
      </c>
      <c r="AG110" s="140" t="str">
        <f t="shared" si="168"/>
        <v/>
      </c>
      <c r="AH110" s="141" t="str">
        <f t="shared" si="169"/>
        <v/>
      </c>
      <c r="AI110" s="140" t="str">
        <f t="shared" si="170"/>
        <v/>
      </c>
      <c r="AJ110" s="141" t="str">
        <f t="shared" si="171"/>
        <v/>
      </c>
      <c r="AL110" s="196" t="e">
        <f t="shared" ca="1" si="176"/>
        <v>#DIV/0!</v>
      </c>
      <c r="AM110" s="70" t="e">
        <f t="shared" ca="1" si="177"/>
        <v>#DIV/0!</v>
      </c>
      <c r="AN110" s="256" t="e">
        <f t="shared" ca="1" si="178"/>
        <v>#DIV/0!</v>
      </c>
      <c r="AO110" s="256" t="e">
        <f t="shared" ca="1" si="179"/>
        <v>#DIV/0!</v>
      </c>
    </row>
    <row r="111" spans="1:41" s="133" customFormat="1" ht="21" hidden="1" customHeight="1">
      <c r="A111" s="257"/>
      <c r="B111" s="139" t="str">
        <f t="shared" si="180"/>
        <v/>
      </c>
      <c r="C111" s="140" t="str">
        <f t="shared" si="138"/>
        <v/>
      </c>
      <c r="D111" s="141" t="str">
        <f t="shared" si="139"/>
        <v/>
      </c>
      <c r="E111" s="140" t="str">
        <f t="shared" si="140"/>
        <v/>
      </c>
      <c r="F111" s="141" t="str">
        <f t="shared" si="141"/>
        <v/>
      </c>
      <c r="G111" s="140" t="str">
        <f t="shared" si="142"/>
        <v/>
      </c>
      <c r="H111" s="141" t="str">
        <f t="shared" si="143"/>
        <v/>
      </c>
      <c r="I111" s="140" t="str">
        <f t="shared" si="144"/>
        <v/>
      </c>
      <c r="J111" s="141" t="str">
        <f t="shared" si="145"/>
        <v/>
      </c>
      <c r="K111" s="140" t="str">
        <f t="shared" ca="1" si="146"/>
        <v/>
      </c>
      <c r="L111" s="141" t="str">
        <f t="shared" si="147"/>
        <v/>
      </c>
      <c r="M111" s="140" t="str">
        <f t="shared" ca="1" si="148"/>
        <v/>
      </c>
      <c r="N111" s="141" t="str">
        <f t="shared" si="149"/>
        <v/>
      </c>
      <c r="O111" s="140" t="str">
        <f t="shared" ca="1" si="150"/>
        <v/>
      </c>
      <c r="P111" s="141" t="str">
        <f t="shared" si="151"/>
        <v/>
      </c>
      <c r="Q111" s="140" t="str">
        <f t="shared" ca="1" si="152"/>
        <v/>
      </c>
      <c r="R111" s="141" t="str">
        <f t="shared" si="153"/>
        <v/>
      </c>
      <c r="S111" s="140" t="str">
        <f t="shared" ca="1" si="154"/>
        <v/>
      </c>
      <c r="T111" s="141" t="str">
        <f t="shared" si="155"/>
        <v/>
      </c>
      <c r="U111" s="140" t="str">
        <f t="shared" ca="1" si="156"/>
        <v/>
      </c>
      <c r="V111" s="141" t="str">
        <f t="shared" si="157"/>
        <v/>
      </c>
      <c r="W111" s="140" t="str">
        <f t="shared" ca="1" si="158"/>
        <v/>
      </c>
      <c r="X111" s="141" t="str">
        <f t="shared" si="159"/>
        <v/>
      </c>
      <c r="Y111" s="140" t="str">
        <f t="shared" ca="1" si="160"/>
        <v/>
      </c>
      <c r="Z111" s="141" t="str">
        <f t="shared" si="161"/>
        <v/>
      </c>
      <c r="AA111" s="140" t="str">
        <f t="shared" ca="1" si="162"/>
        <v/>
      </c>
      <c r="AB111" s="141" t="str">
        <f t="shared" si="163"/>
        <v/>
      </c>
      <c r="AC111" s="140" t="str">
        <f t="shared" ca="1" si="164"/>
        <v/>
      </c>
      <c r="AD111" s="141" t="str">
        <f t="shared" si="165"/>
        <v/>
      </c>
      <c r="AE111" s="140" t="str">
        <f t="shared" si="166"/>
        <v/>
      </c>
      <c r="AF111" s="141" t="str">
        <f t="shared" si="167"/>
        <v/>
      </c>
      <c r="AG111" s="140" t="str">
        <f t="shared" si="168"/>
        <v/>
      </c>
      <c r="AH111" s="141" t="str">
        <f t="shared" si="169"/>
        <v/>
      </c>
      <c r="AI111" s="140" t="str">
        <f t="shared" si="170"/>
        <v/>
      </c>
      <c r="AJ111" s="141" t="str">
        <f t="shared" si="171"/>
        <v/>
      </c>
      <c r="AL111" s="196" t="e">
        <f t="shared" ca="1" si="176"/>
        <v>#DIV/0!</v>
      </c>
      <c r="AM111" s="70" t="e">
        <f t="shared" ca="1" si="177"/>
        <v>#DIV/0!</v>
      </c>
      <c r="AN111" s="256" t="e">
        <f t="shared" ca="1" si="178"/>
        <v>#DIV/0!</v>
      </c>
      <c r="AO111" s="256" t="e">
        <f t="shared" ca="1" si="179"/>
        <v>#DIV/0!</v>
      </c>
    </row>
    <row r="112" spans="1:41" s="133" customFormat="1" ht="21" hidden="1" customHeight="1">
      <c r="A112" s="257"/>
      <c r="B112" s="139" t="str">
        <f t="shared" si="180"/>
        <v/>
      </c>
      <c r="C112" s="140" t="str">
        <f t="shared" si="138"/>
        <v/>
      </c>
      <c r="D112" s="141" t="str">
        <f t="shared" si="139"/>
        <v/>
      </c>
      <c r="E112" s="140" t="str">
        <f t="shared" si="140"/>
        <v/>
      </c>
      <c r="F112" s="141" t="str">
        <f t="shared" si="141"/>
        <v/>
      </c>
      <c r="G112" s="140" t="str">
        <f t="shared" si="142"/>
        <v/>
      </c>
      <c r="H112" s="141" t="str">
        <f t="shared" si="143"/>
        <v/>
      </c>
      <c r="I112" s="140" t="str">
        <f t="shared" si="144"/>
        <v/>
      </c>
      <c r="J112" s="141" t="str">
        <f t="shared" si="145"/>
        <v/>
      </c>
      <c r="K112" s="140" t="str">
        <f t="shared" ca="1" si="146"/>
        <v/>
      </c>
      <c r="L112" s="141" t="str">
        <f t="shared" si="147"/>
        <v/>
      </c>
      <c r="M112" s="140" t="str">
        <f t="shared" ca="1" si="148"/>
        <v/>
      </c>
      <c r="N112" s="141" t="str">
        <f t="shared" si="149"/>
        <v/>
      </c>
      <c r="O112" s="140" t="str">
        <f t="shared" ca="1" si="150"/>
        <v/>
      </c>
      <c r="P112" s="141" t="str">
        <f t="shared" si="151"/>
        <v/>
      </c>
      <c r="Q112" s="140" t="str">
        <f t="shared" ca="1" si="152"/>
        <v/>
      </c>
      <c r="R112" s="141" t="str">
        <f t="shared" si="153"/>
        <v/>
      </c>
      <c r="S112" s="140" t="str">
        <f t="shared" ca="1" si="154"/>
        <v/>
      </c>
      <c r="T112" s="141" t="str">
        <f t="shared" si="155"/>
        <v/>
      </c>
      <c r="U112" s="140" t="str">
        <f t="shared" ca="1" si="156"/>
        <v/>
      </c>
      <c r="V112" s="141" t="str">
        <f t="shared" si="157"/>
        <v/>
      </c>
      <c r="W112" s="140" t="str">
        <f t="shared" ca="1" si="158"/>
        <v/>
      </c>
      <c r="X112" s="141" t="str">
        <f t="shared" si="159"/>
        <v/>
      </c>
      <c r="Y112" s="140" t="str">
        <f t="shared" ca="1" si="160"/>
        <v/>
      </c>
      <c r="Z112" s="141" t="str">
        <f t="shared" si="161"/>
        <v/>
      </c>
      <c r="AA112" s="140" t="str">
        <f t="shared" ca="1" si="162"/>
        <v/>
      </c>
      <c r="AB112" s="141" t="str">
        <f t="shared" si="163"/>
        <v/>
      </c>
      <c r="AC112" s="140" t="str">
        <f t="shared" ca="1" si="164"/>
        <v/>
      </c>
      <c r="AD112" s="141" t="str">
        <f t="shared" si="165"/>
        <v/>
      </c>
      <c r="AE112" s="140" t="str">
        <f t="shared" si="166"/>
        <v/>
      </c>
      <c r="AF112" s="141" t="str">
        <f t="shared" si="167"/>
        <v/>
      </c>
      <c r="AG112" s="140" t="str">
        <f t="shared" si="168"/>
        <v/>
      </c>
      <c r="AH112" s="141" t="str">
        <f t="shared" si="169"/>
        <v/>
      </c>
      <c r="AI112" s="140" t="str">
        <f t="shared" si="170"/>
        <v/>
      </c>
      <c r="AJ112" s="141" t="str">
        <f t="shared" si="171"/>
        <v/>
      </c>
      <c r="AL112" s="196" t="e">
        <f t="shared" ca="1" si="176"/>
        <v>#DIV/0!</v>
      </c>
      <c r="AM112" s="70" t="e">
        <f t="shared" ca="1" si="177"/>
        <v>#DIV/0!</v>
      </c>
      <c r="AN112" s="256" t="e">
        <f t="shared" ca="1" si="178"/>
        <v>#DIV/0!</v>
      </c>
      <c r="AO112" s="256" t="e">
        <f t="shared" ca="1" si="179"/>
        <v>#DIV/0!</v>
      </c>
    </row>
    <row r="113" spans="1:41" s="133" customFormat="1" ht="21" hidden="1" customHeight="1">
      <c r="A113" s="257"/>
      <c r="B113" s="139" t="str">
        <f t="shared" si="180"/>
        <v/>
      </c>
      <c r="C113" s="140" t="str">
        <f t="shared" si="138"/>
        <v/>
      </c>
      <c r="D113" s="141" t="str">
        <f t="shared" si="139"/>
        <v/>
      </c>
      <c r="E113" s="140" t="str">
        <f t="shared" si="140"/>
        <v/>
      </c>
      <c r="F113" s="141" t="str">
        <f t="shared" si="141"/>
        <v/>
      </c>
      <c r="G113" s="140" t="str">
        <f t="shared" si="142"/>
        <v/>
      </c>
      <c r="H113" s="141" t="str">
        <f t="shared" si="143"/>
        <v/>
      </c>
      <c r="I113" s="140" t="str">
        <f t="shared" si="144"/>
        <v/>
      </c>
      <c r="J113" s="141" t="str">
        <f t="shared" si="145"/>
        <v/>
      </c>
      <c r="K113" s="140" t="str">
        <f t="shared" ca="1" si="146"/>
        <v/>
      </c>
      <c r="L113" s="141" t="str">
        <f t="shared" si="147"/>
        <v/>
      </c>
      <c r="M113" s="140" t="str">
        <f t="shared" ca="1" si="148"/>
        <v/>
      </c>
      <c r="N113" s="141" t="str">
        <f t="shared" si="149"/>
        <v/>
      </c>
      <c r="O113" s="140" t="str">
        <f t="shared" ca="1" si="150"/>
        <v/>
      </c>
      <c r="P113" s="141" t="str">
        <f t="shared" si="151"/>
        <v/>
      </c>
      <c r="Q113" s="140" t="str">
        <f t="shared" ca="1" si="152"/>
        <v/>
      </c>
      <c r="R113" s="141" t="str">
        <f t="shared" si="153"/>
        <v/>
      </c>
      <c r="S113" s="140" t="str">
        <f t="shared" ca="1" si="154"/>
        <v/>
      </c>
      <c r="T113" s="141" t="str">
        <f t="shared" si="155"/>
        <v/>
      </c>
      <c r="U113" s="140" t="str">
        <f t="shared" ca="1" si="156"/>
        <v/>
      </c>
      <c r="V113" s="141" t="str">
        <f t="shared" si="157"/>
        <v/>
      </c>
      <c r="W113" s="140" t="str">
        <f t="shared" ca="1" si="158"/>
        <v/>
      </c>
      <c r="X113" s="141" t="str">
        <f t="shared" si="159"/>
        <v/>
      </c>
      <c r="Y113" s="140" t="str">
        <f t="shared" ca="1" si="160"/>
        <v/>
      </c>
      <c r="Z113" s="141" t="str">
        <f t="shared" si="161"/>
        <v/>
      </c>
      <c r="AA113" s="140" t="str">
        <f t="shared" ca="1" si="162"/>
        <v/>
      </c>
      <c r="AB113" s="141" t="str">
        <f t="shared" si="163"/>
        <v/>
      </c>
      <c r="AC113" s="140" t="str">
        <f t="shared" ca="1" si="164"/>
        <v/>
      </c>
      <c r="AD113" s="141" t="str">
        <f t="shared" si="165"/>
        <v/>
      </c>
      <c r="AE113" s="140" t="str">
        <f t="shared" si="166"/>
        <v/>
      </c>
      <c r="AF113" s="141" t="str">
        <f t="shared" si="167"/>
        <v/>
      </c>
      <c r="AG113" s="140" t="str">
        <f t="shared" si="168"/>
        <v/>
      </c>
      <c r="AH113" s="141" t="str">
        <f t="shared" si="169"/>
        <v/>
      </c>
      <c r="AI113" s="140" t="str">
        <f t="shared" si="170"/>
        <v/>
      </c>
      <c r="AJ113" s="141" t="str">
        <f t="shared" si="171"/>
        <v/>
      </c>
      <c r="AL113" s="196" t="e">
        <f t="shared" ca="1" si="176"/>
        <v>#DIV/0!</v>
      </c>
      <c r="AM113" s="70" t="e">
        <f t="shared" ca="1" si="177"/>
        <v>#DIV/0!</v>
      </c>
      <c r="AN113" s="256" t="e">
        <f t="shared" ca="1" si="178"/>
        <v>#DIV/0!</v>
      </c>
      <c r="AO113" s="256" t="e">
        <f t="shared" ca="1" si="179"/>
        <v>#DIV/0!</v>
      </c>
    </row>
    <row r="114" spans="1:41" s="133" customFormat="1" ht="21" hidden="1" customHeight="1">
      <c r="A114" s="257"/>
      <c r="B114" s="139" t="str">
        <f t="shared" si="180"/>
        <v/>
      </c>
      <c r="C114" s="140" t="str">
        <f t="shared" si="138"/>
        <v/>
      </c>
      <c r="D114" s="141" t="str">
        <f t="shared" si="139"/>
        <v/>
      </c>
      <c r="E114" s="140" t="str">
        <f t="shared" si="140"/>
        <v/>
      </c>
      <c r="F114" s="141" t="str">
        <f t="shared" si="141"/>
        <v/>
      </c>
      <c r="G114" s="140" t="str">
        <f t="shared" si="142"/>
        <v/>
      </c>
      <c r="H114" s="141" t="str">
        <f t="shared" si="143"/>
        <v/>
      </c>
      <c r="I114" s="140" t="str">
        <f t="shared" si="144"/>
        <v/>
      </c>
      <c r="J114" s="141" t="str">
        <f t="shared" si="145"/>
        <v/>
      </c>
      <c r="K114" s="140" t="str">
        <f t="shared" ca="1" si="146"/>
        <v/>
      </c>
      <c r="L114" s="141" t="str">
        <f t="shared" si="147"/>
        <v/>
      </c>
      <c r="M114" s="140" t="str">
        <f t="shared" ca="1" si="148"/>
        <v/>
      </c>
      <c r="N114" s="141" t="str">
        <f t="shared" si="149"/>
        <v/>
      </c>
      <c r="O114" s="140" t="str">
        <f t="shared" ca="1" si="150"/>
        <v/>
      </c>
      <c r="P114" s="141" t="str">
        <f t="shared" si="151"/>
        <v/>
      </c>
      <c r="Q114" s="140" t="str">
        <f t="shared" ca="1" si="152"/>
        <v/>
      </c>
      <c r="R114" s="141" t="str">
        <f t="shared" si="153"/>
        <v/>
      </c>
      <c r="S114" s="140" t="str">
        <f t="shared" ca="1" si="154"/>
        <v/>
      </c>
      <c r="T114" s="141" t="str">
        <f t="shared" si="155"/>
        <v/>
      </c>
      <c r="U114" s="140" t="str">
        <f t="shared" ca="1" si="156"/>
        <v/>
      </c>
      <c r="V114" s="141" t="str">
        <f t="shared" si="157"/>
        <v/>
      </c>
      <c r="W114" s="140" t="str">
        <f t="shared" ca="1" si="158"/>
        <v/>
      </c>
      <c r="X114" s="141" t="str">
        <f t="shared" si="159"/>
        <v/>
      </c>
      <c r="Y114" s="140" t="str">
        <f t="shared" ca="1" si="160"/>
        <v/>
      </c>
      <c r="Z114" s="141" t="str">
        <f t="shared" si="161"/>
        <v/>
      </c>
      <c r="AA114" s="140" t="str">
        <f t="shared" ca="1" si="162"/>
        <v/>
      </c>
      <c r="AB114" s="141" t="str">
        <f t="shared" si="163"/>
        <v/>
      </c>
      <c r="AC114" s="140" t="str">
        <f t="shared" ca="1" si="164"/>
        <v/>
      </c>
      <c r="AD114" s="141" t="str">
        <f t="shared" si="165"/>
        <v/>
      </c>
      <c r="AE114" s="140" t="str">
        <f t="shared" si="166"/>
        <v/>
      </c>
      <c r="AF114" s="141" t="str">
        <f t="shared" si="167"/>
        <v/>
      </c>
      <c r="AG114" s="140" t="str">
        <f t="shared" si="168"/>
        <v/>
      </c>
      <c r="AH114" s="141" t="str">
        <f t="shared" si="169"/>
        <v/>
      </c>
      <c r="AI114" s="140" t="str">
        <f t="shared" si="170"/>
        <v/>
      </c>
      <c r="AJ114" s="141" t="str">
        <f t="shared" si="171"/>
        <v/>
      </c>
      <c r="AL114" s="196" t="e">
        <f t="shared" ca="1" si="176"/>
        <v>#DIV/0!</v>
      </c>
      <c r="AM114" s="70" t="e">
        <f t="shared" ca="1" si="177"/>
        <v>#DIV/0!</v>
      </c>
      <c r="AN114" s="256" t="e">
        <f t="shared" ca="1" si="178"/>
        <v>#DIV/0!</v>
      </c>
      <c r="AO114" s="256" t="e">
        <f t="shared" ca="1" si="179"/>
        <v>#DIV/0!</v>
      </c>
    </row>
    <row r="115" spans="1:41" s="133" customFormat="1" ht="21" hidden="1" customHeight="1">
      <c r="A115" s="257"/>
      <c r="B115" s="139" t="str">
        <f t="shared" si="180"/>
        <v/>
      </c>
      <c r="C115" s="140" t="str">
        <f t="shared" si="138"/>
        <v/>
      </c>
      <c r="D115" s="141" t="str">
        <f t="shared" si="139"/>
        <v/>
      </c>
      <c r="E115" s="140" t="str">
        <f t="shared" si="140"/>
        <v/>
      </c>
      <c r="F115" s="141" t="str">
        <f t="shared" si="141"/>
        <v/>
      </c>
      <c r="G115" s="140" t="str">
        <f t="shared" si="142"/>
        <v/>
      </c>
      <c r="H115" s="141" t="str">
        <f t="shared" si="143"/>
        <v/>
      </c>
      <c r="I115" s="140" t="str">
        <f t="shared" si="144"/>
        <v/>
      </c>
      <c r="J115" s="141" t="str">
        <f t="shared" si="145"/>
        <v/>
      </c>
      <c r="K115" s="140" t="str">
        <f t="shared" ca="1" si="146"/>
        <v/>
      </c>
      <c r="L115" s="141" t="str">
        <f t="shared" si="147"/>
        <v/>
      </c>
      <c r="M115" s="140" t="str">
        <f t="shared" ca="1" si="148"/>
        <v/>
      </c>
      <c r="N115" s="141" t="str">
        <f t="shared" si="149"/>
        <v/>
      </c>
      <c r="O115" s="140" t="str">
        <f t="shared" ca="1" si="150"/>
        <v/>
      </c>
      <c r="P115" s="141" t="str">
        <f t="shared" si="151"/>
        <v/>
      </c>
      <c r="Q115" s="140" t="str">
        <f t="shared" ca="1" si="152"/>
        <v/>
      </c>
      <c r="R115" s="141" t="str">
        <f t="shared" si="153"/>
        <v/>
      </c>
      <c r="S115" s="140" t="str">
        <f t="shared" ca="1" si="154"/>
        <v/>
      </c>
      <c r="T115" s="141" t="str">
        <f t="shared" si="155"/>
        <v/>
      </c>
      <c r="U115" s="140" t="str">
        <f t="shared" ca="1" si="156"/>
        <v/>
      </c>
      <c r="V115" s="141" t="str">
        <f t="shared" si="157"/>
        <v/>
      </c>
      <c r="W115" s="140" t="str">
        <f t="shared" ca="1" si="158"/>
        <v/>
      </c>
      <c r="X115" s="141" t="str">
        <f t="shared" si="159"/>
        <v/>
      </c>
      <c r="Y115" s="140" t="str">
        <f t="shared" ca="1" si="160"/>
        <v/>
      </c>
      <c r="Z115" s="141" t="str">
        <f t="shared" si="161"/>
        <v/>
      </c>
      <c r="AA115" s="140" t="str">
        <f t="shared" ca="1" si="162"/>
        <v/>
      </c>
      <c r="AB115" s="141" t="str">
        <f t="shared" si="163"/>
        <v/>
      </c>
      <c r="AC115" s="140" t="str">
        <f t="shared" ca="1" si="164"/>
        <v/>
      </c>
      <c r="AD115" s="141" t="str">
        <f t="shared" si="165"/>
        <v/>
      </c>
      <c r="AE115" s="140" t="str">
        <f t="shared" si="166"/>
        <v/>
      </c>
      <c r="AF115" s="141" t="str">
        <f t="shared" si="167"/>
        <v/>
      </c>
      <c r="AG115" s="140" t="str">
        <f t="shared" si="168"/>
        <v/>
      </c>
      <c r="AH115" s="141" t="str">
        <f t="shared" si="169"/>
        <v/>
      </c>
      <c r="AI115" s="140" t="str">
        <f t="shared" si="170"/>
        <v/>
      </c>
      <c r="AJ115" s="141" t="str">
        <f t="shared" si="171"/>
        <v/>
      </c>
      <c r="AL115" s="196" t="e">
        <f t="shared" ca="1" si="176"/>
        <v>#DIV/0!</v>
      </c>
      <c r="AM115" s="70" t="e">
        <f t="shared" ca="1" si="177"/>
        <v>#DIV/0!</v>
      </c>
      <c r="AN115" s="256" t="e">
        <f t="shared" ca="1" si="178"/>
        <v>#DIV/0!</v>
      </c>
      <c r="AO115" s="256" t="e">
        <f t="shared" ca="1" si="179"/>
        <v>#DIV/0!</v>
      </c>
    </row>
    <row r="116" spans="1:41" s="133" customFormat="1" ht="21" hidden="1" customHeight="1">
      <c r="A116" s="257"/>
      <c r="B116" s="139" t="str">
        <f t="shared" si="180"/>
        <v/>
      </c>
      <c r="C116" s="140" t="str">
        <f t="shared" si="138"/>
        <v/>
      </c>
      <c r="D116" s="141" t="str">
        <f t="shared" si="139"/>
        <v/>
      </c>
      <c r="E116" s="140" t="str">
        <f t="shared" si="140"/>
        <v/>
      </c>
      <c r="F116" s="141" t="str">
        <f t="shared" si="141"/>
        <v/>
      </c>
      <c r="G116" s="140" t="str">
        <f t="shared" si="142"/>
        <v/>
      </c>
      <c r="H116" s="141" t="str">
        <f t="shared" si="143"/>
        <v/>
      </c>
      <c r="I116" s="140" t="str">
        <f t="shared" si="144"/>
        <v/>
      </c>
      <c r="J116" s="141" t="str">
        <f t="shared" si="145"/>
        <v/>
      </c>
      <c r="K116" s="140" t="str">
        <f t="shared" ca="1" si="146"/>
        <v/>
      </c>
      <c r="L116" s="141" t="str">
        <f t="shared" si="147"/>
        <v/>
      </c>
      <c r="M116" s="140" t="str">
        <f t="shared" ca="1" si="148"/>
        <v/>
      </c>
      <c r="N116" s="141" t="str">
        <f t="shared" si="149"/>
        <v/>
      </c>
      <c r="O116" s="140" t="str">
        <f t="shared" ca="1" si="150"/>
        <v/>
      </c>
      <c r="P116" s="141" t="str">
        <f t="shared" si="151"/>
        <v/>
      </c>
      <c r="Q116" s="140" t="str">
        <f t="shared" ca="1" si="152"/>
        <v/>
      </c>
      <c r="R116" s="141" t="str">
        <f t="shared" si="153"/>
        <v/>
      </c>
      <c r="S116" s="140" t="str">
        <f t="shared" ca="1" si="154"/>
        <v/>
      </c>
      <c r="T116" s="141" t="str">
        <f t="shared" si="155"/>
        <v/>
      </c>
      <c r="U116" s="140" t="str">
        <f t="shared" ca="1" si="156"/>
        <v/>
      </c>
      <c r="V116" s="141" t="str">
        <f t="shared" si="157"/>
        <v/>
      </c>
      <c r="W116" s="140" t="str">
        <f t="shared" ca="1" si="158"/>
        <v/>
      </c>
      <c r="X116" s="141" t="str">
        <f t="shared" si="159"/>
        <v/>
      </c>
      <c r="Y116" s="140" t="str">
        <f t="shared" ca="1" si="160"/>
        <v/>
      </c>
      <c r="Z116" s="141" t="str">
        <f t="shared" si="161"/>
        <v/>
      </c>
      <c r="AA116" s="140" t="str">
        <f t="shared" ca="1" si="162"/>
        <v/>
      </c>
      <c r="AB116" s="141" t="str">
        <f t="shared" si="163"/>
        <v/>
      </c>
      <c r="AC116" s="140" t="str">
        <f t="shared" ca="1" si="164"/>
        <v/>
      </c>
      <c r="AD116" s="141" t="str">
        <f t="shared" si="165"/>
        <v/>
      </c>
      <c r="AE116" s="140" t="str">
        <f t="shared" si="166"/>
        <v/>
      </c>
      <c r="AF116" s="141" t="str">
        <f t="shared" si="167"/>
        <v/>
      </c>
      <c r="AG116" s="140" t="str">
        <f t="shared" si="168"/>
        <v/>
      </c>
      <c r="AH116" s="141" t="str">
        <f t="shared" si="169"/>
        <v/>
      </c>
      <c r="AI116" s="140" t="str">
        <f t="shared" si="170"/>
        <v/>
      </c>
      <c r="AJ116" s="141" t="str">
        <f t="shared" si="171"/>
        <v/>
      </c>
      <c r="AL116" s="196" t="e">
        <f t="shared" ca="1" si="176"/>
        <v>#DIV/0!</v>
      </c>
      <c r="AM116" s="70" t="e">
        <f t="shared" ca="1" si="177"/>
        <v>#DIV/0!</v>
      </c>
      <c r="AN116" s="256" t="e">
        <f t="shared" ca="1" si="178"/>
        <v>#DIV/0!</v>
      </c>
      <c r="AO116" s="256" t="e">
        <f t="shared" ca="1" si="179"/>
        <v>#DIV/0!</v>
      </c>
    </row>
    <row r="117" spans="1:41" s="133" customFormat="1" ht="21" hidden="1" customHeight="1">
      <c r="A117" s="257"/>
      <c r="B117" s="139" t="str">
        <f t="shared" si="180"/>
        <v/>
      </c>
      <c r="C117" s="140" t="str">
        <f t="shared" si="138"/>
        <v/>
      </c>
      <c r="D117" s="141" t="str">
        <f t="shared" si="139"/>
        <v/>
      </c>
      <c r="E117" s="140" t="str">
        <f t="shared" si="140"/>
        <v/>
      </c>
      <c r="F117" s="141" t="str">
        <f t="shared" si="141"/>
        <v/>
      </c>
      <c r="G117" s="140" t="str">
        <f t="shared" si="142"/>
        <v/>
      </c>
      <c r="H117" s="141" t="str">
        <f t="shared" si="143"/>
        <v/>
      </c>
      <c r="I117" s="140" t="str">
        <f t="shared" si="144"/>
        <v/>
      </c>
      <c r="J117" s="141" t="str">
        <f t="shared" si="145"/>
        <v/>
      </c>
      <c r="K117" s="140" t="str">
        <f t="shared" ca="1" si="146"/>
        <v/>
      </c>
      <c r="L117" s="141" t="str">
        <f t="shared" si="147"/>
        <v/>
      </c>
      <c r="M117" s="140" t="str">
        <f t="shared" ca="1" si="148"/>
        <v/>
      </c>
      <c r="N117" s="141" t="str">
        <f t="shared" si="149"/>
        <v/>
      </c>
      <c r="O117" s="140" t="str">
        <f t="shared" ca="1" si="150"/>
        <v/>
      </c>
      <c r="P117" s="141" t="str">
        <f t="shared" si="151"/>
        <v/>
      </c>
      <c r="Q117" s="140" t="str">
        <f t="shared" ca="1" si="152"/>
        <v/>
      </c>
      <c r="R117" s="141" t="str">
        <f t="shared" si="153"/>
        <v/>
      </c>
      <c r="S117" s="140" t="str">
        <f t="shared" ca="1" si="154"/>
        <v/>
      </c>
      <c r="T117" s="141" t="str">
        <f t="shared" si="155"/>
        <v/>
      </c>
      <c r="U117" s="140" t="str">
        <f t="shared" ca="1" si="156"/>
        <v/>
      </c>
      <c r="V117" s="141" t="str">
        <f t="shared" si="157"/>
        <v/>
      </c>
      <c r="W117" s="140" t="str">
        <f t="shared" ca="1" si="158"/>
        <v/>
      </c>
      <c r="X117" s="141" t="str">
        <f t="shared" si="159"/>
        <v/>
      </c>
      <c r="Y117" s="140" t="str">
        <f t="shared" ca="1" si="160"/>
        <v/>
      </c>
      <c r="Z117" s="141" t="str">
        <f t="shared" si="161"/>
        <v/>
      </c>
      <c r="AA117" s="140" t="str">
        <f t="shared" ca="1" si="162"/>
        <v/>
      </c>
      <c r="AB117" s="141" t="str">
        <f t="shared" si="163"/>
        <v/>
      </c>
      <c r="AC117" s="140" t="str">
        <f t="shared" ca="1" si="164"/>
        <v/>
      </c>
      <c r="AD117" s="141" t="str">
        <f t="shared" si="165"/>
        <v/>
      </c>
      <c r="AE117" s="140" t="str">
        <f t="shared" si="166"/>
        <v/>
      </c>
      <c r="AF117" s="141" t="str">
        <f t="shared" si="167"/>
        <v/>
      </c>
      <c r="AG117" s="140" t="str">
        <f t="shared" si="168"/>
        <v/>
      </c>
      <c r="AH117" s="141" t="str">
        <f t="shared" si="169"/>
        <v/>
      </c>
      <c r="AI117" s="140" t="str">
        <f t="shared" si="170"/>
        <v/>
      </c>
      <c r="AJ117" s="141" t="str">
        <f t="shared" si="171"/>
        <v/>
      </c>
      <c r="AL117" s="196" t="e">
        <f t="shared" ca="1" si="176"/>
        <v>#DIV/0!</v>
      </c>
      <c r="AM117" s="70" t="e">
        <f t="shared" ca="1" si="177"/>
        <v>#DIV/0!</v>
      </c>
      <c r="AN117" s="256" t="e">
        <f t="shared" ca="1" si="178"/>
        <v>#DIV/0!</v>
      </c>
      <c r="AO117" s="256" t="e">
        <f t="shared" ca="1" si="179"/>
        <v>#DIV/0!</v>
      </c>
    </row>
    <row r="118" spans="1:41" s="133" customFormat="1" ht="21" hidden="1" customHeight="1">
      <c r="A118" s="257"/>
      <c r="B118" s="139" t="str">
        <f t="shared" si="180"/>
        <v/>
      </c>
      <c r="C118" s="140" t="str">
        <f t="shared" si="138"/>
        <v/>
      </c>
      <c r="D118" s="141" t="str">
        <f t="shared" si="139"/>
        <v/>
      </c>
      <c r="E118" s="140" t="str">
        <f t="shared" si="140"/>
        <v/>
      </c>
      <c r="F118" s="141" t="str">
        <f t="shared" si="141"/>
        <v/>
      </c>
      <c r="G118" s="140" t="str">
        <f t="shared" si="142"/>
        <v/>
      </c>
      <c r="H118" s="141" t="str">
        <f t="shared" si="143"/>
        <v/>
      </c>
      <c r="I118" s="140" t="str">
        <f t="shared" si="144"/>
        <v/>
      </c>
      <c r="J118" s="141" t="str">
        <f t="shared" si="145"/>
        <v/>
      </c>
      <c r="K118" s="140" t="str">
        <f t="shared" ca="1" si="146"/>
        <v/>
      </c>
      <c r="L118" s="141" t="str">
        <f t="shared" si="147"/>
        <v/>
      </c>
      <c r="M118" s="140" t="str">
        <f t="shared" ca="1" si="148"/>
        <v/>
      </c>
      <c r="N118" s="141" t="str">
        <f t="shared" si="149"/>
        <v/>
      </c>
      <c r="O118" s="140" t="str">
        <f t="shared" ca="1" si="150"/>
        <v/>
      </c>
      <c r="P118" s="141" t="str">
        <f t="shared" si="151"/>
        <v/>
      </c>
      <c r="Q118" s="140" t="str">
        <f t="shared" ca="1" si="152"/>
        <v/>
      </c>
      <c r="R118" s="141" t="str">
        <f t="shared" si="153"/>
        <v/>
      </c>
      <c r="S118" s="140" t="str">
        <f t="shared" ca="1" si="154"/>
        <v/>
      </c>
      <c r="T118" s="141" t="str">
        <f t="shared" si="155"/>
        <v/>
      </c>
      <c r="U118" s="140" t="str">
        <f t="shared" ca="1" si="156"/>
        <v/>
      </c>
      <c r="V118" s="141" t="str">
        <f t="shared" si="157"/>
        <v/>
      </c>
      <c r="W118" s="140" t="str">
        <f t="shared" ca="1" si="158"/>
        <v/>
      </c>
      <c r="X118" s="141" t="str">
        <f t="shared" si="159"/>
        <v/>
      </c>
      <c r="Y118" s="140" t="str">
        <f t="shared" ca="1" si="160"/>
        <v/>
      </c>
      <c r="Z118" s="141" t="str">
        <f t="shared" si="161"/>
        <v/>
      </c>
      <c r="AA118" s="140" t="str">
        <f t="shared" ca="1" si="162"/>
        <v/>
      </c>
      <c r="AB118" s="141" t="str">
        <f t="shared" si="163"/>
        <v/>
      </c>
      <c r="AC118" s="140" t="str">
        <f t="shared" ca="1" si="164"/>
        <v/>
      </c>
      <c r="AD118" s="141" t="str">
        <f t="shared" si="165"/>
        <v/>
      </c>
      <c r="AE118" s="140" t="str">
        <f t="shared" si="166"/>
        <v/>
      </c>
      <c r="AF118" s="141" t="str">
        <f t="shared" si="167"/>
        <v/>
      </c>
      <c r="AG118" s="140" t="str">
        <f t="shared" si="168"/>
        <v/>
      </c>
      <c r="AH118" s="141" t="str">
        <f t="shared" si="169"/>
        <v/>
      </c>
      <c r="AI118" s="140" t="str">
        <f t="shared" si="170"/>
        <v/>
      </c>
      <c r="AJ118" s="141" t="str">
        <f t="shared" si="171"/>
        <v/>
      </c>
      <c r="AL118" s="196" t="e">
        <f t="shared" ca="1" si="176"/>
        <v>#DIV/0!</v>
      </c>
      <c r="AM118" s="70" t="e">
        <f t="shared" ca="1" si="177"/>
        <v>#DIV/0!</v>
      </c>
      <c r="AN118" s="256" t="e">
        <f t="shared" ca="1" si="178"/>
        <v>#DIV/0!</v>
      </c>
      <c r="AO118" s="256" t="e">
        <f t="shared" ca="1" si="179"/>
        <v>#DIV/0!</v>
      </c>
    </row>
    <row r="119" spans="1:41" s="133" customFormat="1" ht="21" hidden="1" customHeight="1">
      <c r="A119" s="257"/>
      <c r="B119" s="139" t="str">
        <f t="shared" si="180"/>
        <v/>
      </c>
      <c r="C119" s="140" t="str">
        <f t="shared" si="138"/>
        <v/>
      </c>
      <c r="D119" s="141" t="str">
        <f t="shared" si="139"/>
        <v/>
      </c>
      <c r="E119" s="140" t="str">
        <f t="shared" si="140"/>
        <v/>
      </c>
      <c r="F119" s="141" t="str">
        <f t="shared" si="141"/>
        <v/>
      </c>
      <c r="G119" s="140" t="str">
        <f t="shared" si="142"/>
        <v/>
      </c>
      <c r="H119" s="141" t="str">
        <f t="shared" si="143"/>
        <v/>
      </c>
      <c r="I119" s="140" t="str">
        <f t="shared" si="144"/>
        <v/>
      </c>
      <c r="J119" s="141" t="str">
        <f t="shared" si="145"/>
        <v/>
      </c>
      <c r="K119" s="140" t="str">
        <f t="shared" ca="1" si="146"/>
        <v/>
      </c>
      <c r="L119" s="141" t="str">
        <f t="shared" si="147"/>
        <v/>
      </c>
      <c r="M119" s="140" t="str">
        <f t="shared" ca="1" si="148"/>
        <v/>
      </c>
      <c r="N119" s="141" t="str">
        <f t="shared" si="149"/>
        <v/>
      </c>
      <c r="O119" s="140" t="str">
        <f t="shared" ca="1" si="150"/>
        <v/>
      </c>
      <c r="P119" s="141" t="str">
        <f t="shared" si="151"/>
        <v/>
      </c>
      <c r="Q119" s="140" t="str">
        <f t="shared" ca="1" si="152"/>
        <v/>
      </c>
      <c r="R119" s="141" t="str">
        <f t="shared" si="153"/>
        <v/>
      </c>
      <c r="S119" s="140" t="str">
        <f t="shared" ca="1" si="154"/>
        <v/>
      </c>
      <c r="T119" s="141" t="str">
        <f t="shared" si="155"/>
        <v/>
      </c>
      <c r="U119" s="140" t="str">
        <f t="shared" ca="1" si="156"/>
        <v/>
      </c>
      <c r="V119" s="141" t="str">
        <f t="shared" si="157"/>
        <v/>
      </c>
      <c r="W119" s="140" t="str">
        <f t="shared" ca="1" si="158"/>
        <v/>
      </c>
      <c r="X119" s="141" t="str">
        <f t="shared" si="159"/>
        <v/>
      </c>
      <c r="Y119" s="140" t="str">
        <f t="shared" ca="1" si="160"/>
        <v/>
      </c>
      <c r="Z119" s="141" t="str">
        <f t="shared" si="161"/>
        <v/>
      </c>
      <c r="AA119" s="140" t="str">
        <f t="shared" ca="1" si="162"/>
        <v/>
      </c>
      <c r="AB119" s="141" t="str">
        <f t="shared" si="163"/>
        <v/>
      </c>
      <c r="AC119" s="140" t="str">
        <f t="shared" ca="1" si="164"/>
        <v/>
      </c>
      <c r="AD119" s="141" t="str">
        <f t="shared" si="165"/>
        <v/>
      </c>
      <c r="AE119" s="140" t="str">
        <f t="shared" si="166"/>
        <v/>
      </c>
      <c r="AF119" s="141" t="str">
        <f t="shared" si="167"/>
        <v/>
      </c>
      <c r="AG119" s="140" t="str">
        <f t="shared" si="168"/>
        <v/>
      </c>
      <c r="AH119" s="141" t="str">
        <f t="shared" si="169"/>
        <v/>
      </c>
      <c r="AI119" s="140" t="str">
        <f t="shared" si="170"/>
        <v/>
      </c>
      <c r="AJ119" s="141" t="str">
        <f t="shared" si="171"/>
        <v/>
      </c>
      <c r="AL119" s="196" t="e">
        <f t="shared" ca="1" si="176"/>
        <v>#DIV/0!</v>
      </c>
      <c r="AM119" s="70" t="e">
        <f t="shared" ca="1" si="177"/>
        <v>#DIV/0!</v>
      </c>
      <c r="AN119" s="256" t="e">
        <f t="shared" ca="1" si="178"/>
        <v>#DIV/0!</v>
      </c>
      <c r="AO119" s="256" t="e">
        <f t="shared" ca="1" si="179"/>
        <v>#DIV/0!</v>
      </c>
    </row>
    <row r="120" spans="1:41" s="133" customFormat="1" ht="21" hidden="1" customHeight="1">
      <c r="A120" s="257"/>
      <c r="B120" s="139" t="str">
        <f t="shared" si="180"/>
        <v/>
      </c>
      <c r="C120" s="140" t="str">
        <f t="shared" si="138"/>
        <v/>
      </c>
      <c r="D120" s="141" t="str">
        <f t="shared" si="139"/>
        <v/>
      </c>
      <c r="E120" s="140" t="str">
        <f t="shared" si="140"/>
        <v/>
      </c>
      <c r="F120" s="141" t="str">
        <f t="shared" si="141"/>
        <v/>
      </c>
      <c r="G120" s="140" t="str">
        <f t="shared" si="142"/>
        <v/>
      </c>
      <c r="H120" s="141" t="str">
        <f t="shared" si="143"/>
        <v/>
      </c>
      <c r="I120" s="140" t="str">
        <f t="shared" si="144"/>
        <v/>
      </c>
      <c r="J120" s="141" t="str">
        <f t="shared" si="145"/>
        <v/>
      </c>
      <c r="K120" s="140" t="str">
        <f t="shared" ca="1" si="146"/>
        <v/>
      </c>
      <c r="L120" s="141" t="str">
        <f t="shared" si="147"/>
        <v/>
      </c>
      <c r="M120" s="140" t="str">
        <f t="shared" ca="1" si="148"/>
        <v/>
      </c>
      <c r="N120" s="141" t="str">
        <f t="shared" si="149"/>
        <v/>
      </c>
      <c r="O120" s="140" t="str">
        <f t="shared" ca="1" si="150"/>
        <v/>
      </c>
      <c r="P120" s="141" t="str">
        <f t="shared" si="151"/>
        <v/>
      </c>
      <c r="Q120" s="140" t="str">
        <f t="shared" ca="1" si="152"/>
        <v/>
      </c>
      <c r="R120" s="141" t="str">
        <f t="shared" si="153"/>
        <v/>
      </c>
      <c r="S120" s="140" t="str">
        <f t="shared" ca="1" si="154"/>
        <v/>
      </c>
      <c r="T120" s="141" t="str">
        <f t="shared" si="155"/>
        <v/>
      </c>
      <c r="U120" s="140" t="str">
        <f t="shared" ca="1" si="156"/>
        <v/>
      </c>
      <c r="V120" s="141" t="str">
        <f t="shared" si="157"/>
        <v/>
      </c>
      <c r="W120" s="140" t="str">
        <f t="shared" ca="1" si="158"/>
        <v/>
      </c>
      <c r="X120" s="141" t="str">
        <f t="shared" si="159"/>
        <v/>
      </c>
      <c r="Y120" s="140" t="str">
        <f t="shared" ca="1" si="160"/>
        <v/>
      </c>
      <c r="Z120" s="141" t="str">
        <f t="shared" si="161"/>
        <v/>
      </c>
      <c r="AA120" s="140" t="str">
        <f t="shared" ca="1" si="162"/>
        <v/>
      </c>
      <c r="AB120" s="141" t="str">
        <f t="shared" si="163"/>
        <v/>
      </c>
      <c r="AC120" s="140" t="str">
        <f t="shared" ca="1" si="164"/>
        <v/>
      </c>
      <c r="AD120" s="141" t="str">
        <f t="shared" si="165"/>
        <v/>
      </c>
      <c r="AE120" s="140" t="str">
        <f t="shared" si="166"/>
        <v/>
      </c>
      <c r="AF120" s="141" t="str">
        <f t="shared" si="167"/>
        <v/>
      </c>
      <c r="AG120" s="140" t="str">
        <f t="shared" si="168"/>
        <v/>
      </c>
      <c r="AH120" s="141" t="str">
        <f t="shared" si="169"/>
        <v/>
      </c>
      <c r="AI120" s="140" t="str">
        <f t="shared" si="170"/>
        <v/>
      </c>
      <c r="AJ120" s="141" t="str">
        <f t="shared" si="171"/>
        <v/>
      </c>
      <c r="AL120" s="196" t="e">
        <f t="shared" ca="1" si="176"/>
        <v>#DIV/0!</v>
      </c>
      <c r="AM120" s="70" t="e">
        <f t="shared" ca="1" si="177"/>
        <v>#DIV/0!</v>
      </c>
      <c r="AN120" s="256" t="e">
        <f t="shared" ca="1" si="178"/>
        <v>#DIV/0!</v>
      </c>
      <c r="AO120" s="256" t="e">
        <f t="shared" ca="1" si="179"/>
        <v>#DIV/0!</v>
      </c>
    </row>
    <row r="121" spans="1:41" s="133" customFormat="1" ht="21" hidden="1" customHeight="1">
      <c r="A121" s="257"/>
      <c r="B121" s="139" t="str">
        <f t="shared" si="180"/>
        <v/>
      </c>
      <c r="C121" s="140" t="str">
        <f t="shared" si="138"/>
        <v/>
      </c>
      <c r="D121" s="141" t="str">
        <f t="shared" si="139"/>
        <v/>
      </c>
      <c r="E121" s="140" t="str">
        <f t="shared" si="140"/>
        <v/>
      </c>
      <c r="F121" s="141" t="str">
        <f t="shared" si="141"/>
        <v/>
      </c>
      <c r="G121" s="140" t="str">
        <f t="shared" si="142"/>
        <v/>
      </c>
      <c r="H121" s="141" t="str">
        <f t="shared" si="143"/>
        <v/>
      </c>
      <c r="I121" s="140" t="str">
        <f t="shared" si="144"/>
        <v/>
      </c>
      <c r="J121" s="141" t="str">
        <f t="shared" si="145"/>
        <v/>
      </c>
      <c r="K121" s="140" t="str">
        <f t="shared" ca="1" si="146"/>
        <v/>
      </c>
      <c r="L121" s="141" t="str">
        <f t="shared" si="147"/>
        <v/>
      </c>
      <c r="M121" s="140" t="str">
        <f t="shared" ca="1" si="148"/>
        <v/>
      </c>
      <c r="N121" s="141" t="str">
        <f t="shared" si="149"/>
        <v/>
      </c>
      <c r="O121" s="140" t="str">
        <f t="shared" ca="1" si="150"/>
        <v/>
      </c>
      <c r="P121" s="141" t="str">
        <f t="shared" si="151"/>
        <v/>
      </c>
      <c r="Q121" s="140" t="str">
        <f t="shared" ca="1" si="152"/>
        <v/>
      </c>
      <c r="R121" s="141" t="str">
        <f t="shared" si="153"/>
        <v/>
      </c>
      <c r="S121" s="140" t="str">
        <f t="shared" ca="1" si="154"/>
        <v/>
      </c>
      <c r="T121" s="141" t="str">
        <f t="shared" si="155"/>
        <v/>
      </c>
      <c r="U121" s="140" t="str">
        <f t="shared" ca="1" si="156"/>
        <v/>
      </c>
      <c r="V121" s="141" t="str">
        <f t="shared" si="157"/>
        <v/>
      </c>
      <c r="W121" s="140" t="str">
        <f t="shared" ca="1" si="158"/>
        <v/>
      </c>
      <c r="X121" s="141" t="str">
        <f t="shared" si="159"/>
        <v/>
      </c>
      <c r="Y121" s="140" t="str">
        <f t="shared" ca="1" si="160"/>
        <v/>
      </c>
      <c r="Z121" s="141" t="str">
        <f t="shared" si="161"/>
        <v/>
      </c>
      <c r="AA121" s="140" t="str">
        <f t="shared" ca="1" si="162"/>
        <v/>
      </c>
      <c r="AB121" s="141" t="str">
        <f t="shared" si="163"/>
        <v/>
      </c>
      <c r="AC121" s="140" t="str">
        <f t="shared" ca="1" si="164"/>
        <v/>
      </c>
      <c r="AD121" s="141" t="str">
        <f t="shared" si="165"/>
        <v/>
      </c>
      <c r="AE121" s="140" t="str">
        <f t="shared" si="166"/>
        <v/>
      </c>
      <c r="AF121" s="141" t="str">
        <f t="shared" si="167"/>
        <v/>
      </c>
      <c r="AG121" s="140" t="str">
        <f t="shared" si="168"/>
        <v/>
      </c>
      <c r="AH121" s="141" t="str">
        <f t="shared" si="169"/>
        <v/>
      </c>
      <c r="AI121" s="140" t="str">
        <f t="shared" si="170"/>
        <v/>
      </c>
      <c r="AJ121" s="141" t="str">
        <f t="shared" si="171"/>
        <v/>
      </c>
      <c r="AL121" s="196" t="e">
        <f t="shared" ca="1" si="176"/>
        <v>#DIV/0!</v>
      </c>
      <c r="AM121" s="70" t="e">
        <f t="shared" ca="1" si="177"/>
        <v>#DIV/0!</v>
      </c>
      <c r="AN121" s="256" t="e">
        <f t="shared" ca="1" si="178"/>
        <v>#DIV/0!</v>
      </c>
      <c r="AO121" s="256" t="e">
        <f t="shared" ca="1" si="179"/>
        <v>#DIV/0!</v>
      </c>
    </row>
    <row r="122" spans="1:41" s="133" customFormat="1" ht="21" hidden="1" customHeight="1">
      <c r="A122" s="257"/>
      <c r="B122" s="139" t="str">
        <f t="shared" si="180"/>
        <v/>
      </c>
      <c r="C122" s="140" t="str">
        <f t="shared" si="138"/>
        <v/>
      </c>
      <c r="D122" s="141" t="str">
        <f t="shared" si="139"/>
        <v/>
      </c>
      <c r="E122" s="140" t="str">
        <f t="shared" si="140"/>
        <v/>
      </c>
      <c r="F122" s="141" t="str">
        <f t="shared" si="141"/>
        <v/>
      </c>
      <c r="G122" s="140" t="str">
        <f t="shared" si="142"/>
        <v/>
      </c>
      <c r="H122" s="141" t="str">
        <f t="shared" si="143"/>
        <v/>
      </c>
      <c r="I122" s="140" t="str">
        <f t="shared" si="144"/>
        <v/>
      </c>
      <c r="J122" s="141" t="str">
        <f t="shared" si="145"/>
        <v/>
      </c>
      <c r="K122" s="140" t="str">
        <f t="shared" ca="1" si="146"/>
        <v/>
      </c>
      <c r="L122" s="141" t="str">
        <f t="shared" si="147"/>
        <v/>
      </c>
      <c r="M122" s="140" t="str">
        <f t="shared" ca="1" si="148"/>
        <v/>
      </c>
      <c r="N122" s="141" t="str">
        <f t="shared" si="149"/>
        <v/>
      </c>
      <c r="O122" s="140" t="str">
        <f t="shared" ca="1" si="150"/>
        <v/>
      </c>
      <c r="P122" s="141" t="str">
        <f t="shared" si="151"/>
        <v/>
      </c>
      <c r="Q122" s="140" t="str">
        <f t="shared" ca="1" si="152"/>
        <v/>
      </c>
      <c r="R122" s="141" t="str">
        <f t="shared" si="153"/>
        <v/>
      </c>
      <c r="S122" s="140" t="str">
        <f t="shared" ca="1" si="154"/>
        <v/>
      </c>
      <c r="T122" s="141" t="str">
        <f t="shared" si="155"/>
        <v/>
      </c>
      <c r="U122" s="140" t="str">
        <f t="shared" ca="1" si="156"/>
        <v/>
      </c>
      <c r="V122" s="141" t="str">
        <f t="shared" si="157"/>
        <v/>
      </c>
      <c r="W122" s="140" t="str">
        <f t="shared" ca="1" si="158"/>
        <v/>
      </c>
      <c r="X122" s="141" t="str">
        <f t="shared" si="159"/>
        <v/>
      </c>
      <c r="Y122" s="140" t="str">
        <f t="shared" ca="1" si="160"/>
        <v/>
      </c>
      <c r="Z122" s="141" t="str">
        <f t="shared" si="161"/>
        <v/>
      </c>
      <c r="AA122" s="140" t="str">
        <f t="shared" ca="1" si="162"/>
        <v/>
      </c>
      <c r="AB122" s="141" t="str">
        <f t="shared" si="163"/>
        <v/>
      </c>
      <c r="AC122" s="140" t="str">
        <f t="shared" ca="1" si="164"/>
        <v/>
      </c>
      <c r="AD122" s="141" t="str">
        <f t="shared" si="165"/>
        <v/>
      </c>
      <c r="AE122" s="140" t="str">
        <f t="shared" si="166"/>
        <v/>
      </c>
      <c r="AF122" s="141" t="str">
        <f t="shared" si="167"/>
        <v/>
      </c>
      <c r="AG122" s="140" t="str">
        <f t="shared" si="168"/>
        <v/>
      </c>
      <c r="AH122" s="141" t="str">
        <f t="shared" si="169"/>
        <v/>
      </c>
      <c r="AI122" s="140" t="str">
        <f t="shared" si="170"/>
        <v/>
      </c>
      <c r="AJ122" s="141" t="str">
        <f t="shared" si="171"/>
        <v/>
      </c>
      <c r="AL122" s="196" t="e">
        <f t="shared" ca="1" si="176"/>
        <v>#DIV/0!</v>
      </c>
      <c r="AM122" s="70" t="e">
        <f t="shared" ca="1" si="177"/>
        <v>#DIV/0!</v>
      </c>
      <c r="AN122" s="256" t="e">
        <f t="shared" ca="1" si="178"/>
        <v>#DIV/0!</v>
      </c>
      <c r="AO122" s="256" t="e">
        <f t="shared" ca="1" si="179"/>
        <v>#DIV/0!</v>
      </c>
    </row>
    <row r="123" spans="1:41" s="133" customFormat="1" ht="21" hidden="1" customHeight="1">
      <c r="A123" s="257"/>
      <c r="B123" s="139" t="str">
        <f t="shared" si="180"/>
        <v/>
      </c>
      <c r="C123" s="140" t="str">
        <f t="shared" si="138"/>
        <v/>
      </c>
      <c r="D123" s="141" t="str">
        <f t="shared" si="139"/>
        <v/>
      </c>
      <c r="E123" s="140" t="str">
        <f t="shared" si="140"/>
        <v/>
      </c>
      <c r="F123" s="141" t="str">
        <f t="shared" si="141"/>
        <v/>
      </c>
      <c r="G123" s="140" t="str">
        <f t="shared" si="142"/>
        <v/>
      </c>
      <c r="H123" s="141" t="str">
        <f t="shared" si="143"/>
        <v/>
      </c>
      <c r="I123" s="140" t="str">
        <f t="shared" si="144"/>
        <v/>
      </c>
      <c r="J123" s="141" t="str">
        <f t="shared" si="145"/>
        <v/>
      </c>
      <c r="K123" s="140" t="str">
        <f t="shared" ca="1" si="146"/>
        <v/>
      </c>
      <c r="L123" s="141" t="str">
        <f t="shared" si="147"/>
        <v/>
      </c>
      <c r="M123" s="140" t="str">
        <f t="shared" ca="1" si="148"/>
        <v/>
      </c>
      <c r="N123" s="141" t="str">
        <f t="shared" si="149"/>
        <v/>
      </c>
      <c r="O123" s="140" t="str">
        <f t="shared" ca="1" si="150"/>
        <v/>
      </c>
      <c r="P123" s="141" t="str">
        <f t="shared" si="151"/>
        <v/>
      </c>
      <c r="Q123" s="140" t="str">
        <f t="shared" ca="1" si="152"/>
        <v/>
      </c>
      <c r="R123" s="141" t="str">
        <f t="shared" si="153"/>
        <v/>
      </c>
      <c r="S123" s="140" t="str">
        <f t="shared" ca="1" si="154"/>
        <v/>
      </c>
      <c r="T123" s="141" t="str">
        <f t="shared" si="155"/>
        <v/>
      </c>
      <c r="U123" s="140" t="str">
        <f t="shared" ca="1" si="156"/>
        <v/>
      </c>
      <c r="V123" s="141" t="str">
        <f t="shared" si="157"/>
        <v/>
      </c>
      <c r="W123" s="140" t="str">
        <f t="shared" ca="1" si="158"/>
        <v/>
      </c>
      <c r="X123" s="141" t="str">
        <f t="shared" si="159"/>
        <v/>
      </c>
      <c r="Y123" s="140" t="str">
        <f t="shared" ca="1" si="160"/>
        <v/>
      </c>
      <c r="Z123" s="141" t="str">
        <f t="shared" si="161"/>
        <v/>
      </c>
      <c r="AA123" s="140" t="str">
        <f t="shared" ca="1" si="162"/>
        <v/>
      </c>
      <c r="AB123" s="141" t="str">
        <f t="shared" si="163"/>
        <v/>
      </c>
      <c r="AC123" s="140" t="str">
        <f t="shared" ca="1" si="164"/>
        <v/>
      </c>
      <c r="AD123" s="141" t="str">
        <f t="shared" si="165"/>
        <v/>
      </c>
      <c r="AE123" s="140" t="str">
        <f t="shared" si="166"/>
        <v/>
      </c>
      <c r="AF123" s="141" t="str">
        <f t="shared" si="167"/>
        <v/>
      </c>
      <c r="AG123" s="140" t="str">
        <f t="shared" si="168"/>
        <v/>
      </c>
      <c r="AH123" s="141" t="str">
        <f t="shared" si="169"/>
        <v/>
      </c>
      <c r="AI123" s="140" t="str">
        <f t="shared" si="170"/>
        <v/>
      </c>
      <c r="AJ123" s="141" t="str">
        <f t="shared" si="171"/>
        <v/>
      </c>
      <c r="AL123" s="196" t="e">
        <f t="shared" ca="1" si="176"/>
        <v>#DIV/0!</v>
      </c>
      <c r="AM123" s="70" t="e">
        <f t="shared" ca="1" si="177"/>
        <v>#DIV/0!</v>
      </c>
      <c r="AN123" s="256" t="e">
        <f t="shared" ca="1" si="178"/>
        <v>#DIV/0!</v>
      </c>
      <c r="AO123" s="256" t="e">
        <f t="shared" ca="1" si="179"/>
        <v>#DIV/0!</v>
      </c>
    </row>
    <row r="124" spans="1:41" s="133" customFormat="1" ht="21" hidden="1" customHeight="1">
      <c r="A124" s="257"/>
      <c r="B124" s="139" t="str">
        <f t="shared" si="180"/>
        <v/>
      </c>
      <c r="C124" s="140" t="str">
        <f t="shared" si="138"/>
        <v/>
      </c>
      <c r="D124" s="141" t="str">
        <f t="shared" si="139"/>
        <v/>
      </c>
      <c r="E124" s="140" t="str">
        <f t="shared" si="140"/>
        <v/>
      </c>
      <c r="F124" s="141" t="str">
        <f t="shared" si="141"/>
        <v/>
      </c>
      <c r="G124" s="140" t="str">
        <f t="shared" si="142"/>
        <v/>
      </c>
      <c r="H124" s="141" t="str">
        <f t="shared" si="143"/>
        <v/>
      </c>
      <c r="I124" s="140" t="str">
        <f t="shared" si="144"/>
        <v/>
      </c>
      <c r="J124" s="141" t="str">
        <f t="shared" si="145"/>
        <v/>
      </c>
      <c r="K124" s="140" t="str">
        <f t="shared" ca="1" si="146"/>
        <v/>
      </c>
      <c r="L124" s="141" t="str">
        <f t="shared" si="147"/>
        <v/>
      </c>
      <c r="M124" s="140" t="str">
        <f t="shared" ca="1" si="148"/>
        <v/>
      </c>
      <c r="N124" s="141" t="str">
        <f t="shared" si="149"/>
        <v/>
      </c>
      <c r="O124" s="140" t="str">
        <f t="shared" ca="1" si="150"/>
        <v/>
      </c>
      <c r="P124" s="141" t="str">
        <f t="shared" si="151"/>
        <v/>
      </c>
      <c r="Q124" s="140" t="str">
        <f t="shared" ca="1" si="152"/>
        <v/>
      </c>
      <c r="R124" s="141" t="str">
        <f t="shared" si="153"/>
        <v/>
      </c>
      <c r="S124" s="140" t="str">
        <f t="shared" ca="1" si="154"/>
        <v/>
      </c>
      <c r="T124" s="141" t="str">
        <f t="shared" si="155"/>
        <v/>
      </c>
      <c r="U124" s="140" t="str">
        <f t="shared" ca="1" si="156"/>
        <v/>
      </c>
      <c r="V124" s="141" t="str">
        <f t="shared" si="157"/>
        <v/>
      </c>
      <c r="W124" s="140" t="str">
        <f t="shared" ca="1" si="158"/>
        <v/>
      </c>
      <c r="X124" s="141" t="str">
        <f t="shared" si="159"/>
        <v/>
      </c>
      <c r="Y124" s="140" t="str">
        <f t="shared" ca="1" si="160"/>
        <v/>
      </c>
      <c r="Z124" s="141" t="str">
        <f t="shared" si="161"/>
        <v/>
      </c>
      <c r="AA124" s="140" t="str">
        <f t="shared" ca="1" si="162"/>
        <v/>
      </c>
      <c r="AB124" s="141" t="str">
        <f t="shared" si="163"/>
        <v/>
      </c>
      <c r="AC124" s="140" t="str">
        <f t="shared" ca="1" si="164"/>
        <v/>
      </c>
      <c r="AD124" s="141" t="str">
        <f t="shared" si="165"/>
        <v/>
      </c>
      <c r="AE124" s="140" t="str">
        <f t="shared" si="166"/>
        <v/>
      </c>
      <c r="AF124" s="141" t="str">
        <f t="shared" si="167"/>
        <v/>
      </c>
      <c r="AG124" s="140" t="str">
        <f t="shared" si="168"/>
        <v/>
      </c>
      <c r="AH124" s="141" t="str">
        <f t="shared" si="169"/>
        <v/>
      </c>
      <c r="AI124" s="140" t="str">
        <f t="shared" si="170"/>
        <v/>
      </c>
      <c r="AJ124" s="141" t="str">
        <f t="shared" si="171"/>
        <v/>
      </c>
      <c r="AL124" s="196" t="e">
        <f t="shared" ca="1" si="176"/>
        <v>#DIV/0!</v>
      </c>
      <c r="AM124" s="70" t="e">
        <f t="shared" ca="1" si="177"/>
        <v>#DIV/0!</v>
      </c>
      <c r="AN124" s="256" t="e">
        <f t="shared" ca="1" si="178"/>
        <v>#DIV/0!</v>
      </c>
      <c r="AO124" s="256" t="e">
        <f t="shared" ca="1" si="179"/>
        <v>#DIV/0!</v>
      </c>
    </row>
    <row r="125" spans="1:41" s="133" customFormat="1" ht="21" hidden="1" customHeight="1">
      <c r="A125" s="257"/>
      <c r="B125" s="139" t="str">
        <f t="shared" si="180"/>
        <v/>
      </c>
      <c r="C125" s="140" t="str">
        <f t="shared" si="138"/>
        <v/>
      </c>
      <c r="D125" s="141" t="str">
        <f t="shared" si="139"/>
        <v/>
      </c>
      <c r="E125" s="140" t="str">
        <f t="shared" si="140"/>
        <v/>
      </c>
      <c r="F125" s="141" t="str">
        <f t="shared" si="141"/>
        <v/>
      </c>
      <c r="G125" s="140" t="str">
        <f t="shared" si="142"/>
        <v/>
      </c>
      <c r="H125" s="141" t="str">
        <f t="shared" si="143"/>
        <v/>
      </c>
      <c r="I125" s="140" t="str">
        <f t="shared" si="144"/>
        <v/>
      </c>
      <c r="J125" s="141" t="str">
        <f t="shared" si="145"/>
        <v/>
      </c>
      <c r="K125" s="140" t="str">
        <f t="shared" ca="1" si="146"/>
        <v/>
      </c>
      <c r="L125" s="141" t="str">
        <f t="shared" si="147"/>
        <v/>
      </c>
      <c r="M125" s="140" t="str">
        <f t="shared" ca="1" si="148"/>
        <v/>
      </c>
      <c r="N125" s="141" t="str">
        <f t="shared" si="149"/>
        <v/>
      </c>
      <c r="O125" s="140" t="str">
        <f t="shared" ca="1" si="150"/>
        <v/>
      </c>
      <c r="P125" s="141" t="str">
        <f t="shared" si="151"/>
        <v/>
      </c>
      <c r="Q125" s="140" t="str">
        <f t="shared" ca="1" si="152"/>
        <v/>
      </c>
      <c r="R125" s="141" t="str">
        <f t="shared" si="153"/>
        <v/>
      </c>
      <c r="S125" s="140" t="str">
        <f t="shared" ca="1" si="154"/>
        <v/>
      </c>
      <c r="T125" s="141" t="str">
        <f t="shared" si="155"/>
        <v/>
      </c>
      <c r="U125" s="140" t="str">
        <f t="shared" ca="1" si="156"/>
        <v/>
      </c>
      <c r="V125" s="141" t="str">
        <f t="shared" si="157"/>
        <v/>
      </c>
      <c r="W125" s="140" t="str">
        <f t="shared" ca="1" si="158"/>
        <v/>
      </c>
      <c r="X125" s="141" t="str">
        <f t="shared" si="159"/>
        <v/>
      </c>
      <c r="Y125" s="140" t="str">
        <f t="shared" ca="1" si="160"/>
        <v/>
      </c>
      <c r="Z125" s="141" t="str">
        <f t="shared" si="161"/>
        <v/>
      </c>
      <c r="AA125" s="140" t="str">
        <f t="shared" ca="1" si="162"/>
        <v/>
      </c>
      <c r="AB125" s="141" t="str">
        <f t="shared" si="163"/>
        <v/>
      </c>
      <c r="AC125" s="140" t="str">
        <f t="shared" ca="1" si="164"/>
        <v/>
      </c>
      <c r="AD125" s="141" t="str">
        <f t="shared" si="165"/>
        <v/>
      </c>
      <c r="AE125" s="140" t="str">
        <f t="shared" si="166"/>
        <v/>
      </c>
      <c r="AF125" s="141" t="str">
        <f t="shared" si="167"/>
        <v/>
      </c>
      <c r="AG125" s="140" t="str">
        <f t="shared" si="168"/>
        <v/>
      </c>
      <c r="AH125" s="141" t="str">
        <f t="shared" si="169"/>
        <v/>
      </c>
      <c r="AI125" s="140" t="str">
        <f t="shared" si="170"/>
        <v/>
      </c>
      <c r="AJ125" s="141" t="str">
        <f t="shared" si="171"/>
        <v/>
      </c>
      <c r="AL125" s="196" t="e">
        <f t="shared" ca="1" si="176"/>
        <v>#DIV/0!</v>
      </c>
      <c r="AM125" s="70" t="e">
        <f t="shared" ca="1" si="177"/>
        <v>#DIV/0!</v>
      </c>
      <c r="AN125" s="256" t="e">
        <f t="shared" ca="1" si="178"/>
        <v>#DIV/0!</v>
      </c>
      <c r="AO125" s="256" t="e">
        <f t="shared" ca="1" si="179"/>
        <v>#DIV/0!</v>
      </c>
    </row>
    <row r="126" spans="1:41" s="133" customFormat="1" ht="21" hidden="1" customHeight="1">
      <c r="A126" s="257"/>
      <c r="B126" s="139" t="str">
        <f t="shared" si="180"/>
        <v/>
      </c>
      <c r="C126" s="140" t="str">
        <f t="shared" si="138"/>
        <v/>
      </c>
      <c r="D126" s="141" t="str">
        <f t="shared" si="139"/>
        <v/>
      </c>
      <c r="E126" s="140" t="str">
        <f t="shared" si="140"/>
        <v/>
      </c>
      <c r="F126" s="141" t="str">
        <f t="shared" si="141"/>
        <v/>
      </c>
      <c r="G126" s="140" t="str">
        <f t="shared" si="142"/>
        <v/>
      </c>
      <c r="H126" s="141" t="str">
        <f t="shared" si="143"/>
        <v/>
      </c>
      <c r="I126" s="140" t="str">
        <f t="shared" si="144"/>
        <v/>
      </c>
      <c r="J126" s="141" t="str">
        <f t="shared" si="145"/>
        <v/>
      </c>
      <c r="K126" s="140" t="str">
        <f t="shared" ca="1" si="146"/>
        <v/>
      </c>
      <c r="L126" s="141" t="str">
        <f t="shared" si="147"/>
        <v/>
      </c>
      <c r="M126" s="140" t="str">
        <f t="shared" ca="1" si="148"/>
        <v/>
      </c>
      <c r="N126" s="141" t="str">
        <f t="shared" si="149"/>
        <v/>
      </c>
      <c r="O126" s="140" t="str">
        <f t="shared" ca="1" si="150"/>
        <v/>
      </c>
      <c r="P126" s="141" t="str">
        <f t="shared" si="151"/>
        <v/>
      </c>
      <c r="Q126" s="140" t="str">
        <f t="shared" ca="1" si="152"/>
        <v/>
      </c>
      <c r="R126" s="141" t="str">
        <f t="shared" si="153"/>
        <v/>
      </c>
      <c r="S126" s="140" t="str">
        <f t="shared" ca="1" si="154"/>
        <v/>
      </c>
      <c r="T126" s="141" t="str">
        <f t="shared" si="155"/>
        <v/>
      </c>
      <c r="U126" s="140" t="str">
        <f t="shared" ca="1" si="156"/>
        <v/>
      </c>
      <c r="V126" s="141" t="str">
        <f t="shared" si="157"/>
        <v/>
      </c>
      <c r="W126" s="140" t="str">
        <f t="shared" ca="1" si="158"/>
        <v/>
      </c>
      <c r="X126" s="141" t="str">
        <f t="shared" si="159"/>
        <v/>
      </c>
      <c r="Y126" s="140" t="str">
        <f t="shared" ca="1" si="160"/>
        <v/>
      </c>
      <c r="Z126" s="141" t="str">
        <f t="shared" si="161"/>
        <v/>
      </c>
      <c r="AA126" s="140" t="str">
        <f t="shared" ca="1" si="162"/>
        <v/>
      </c>
      <c r="AB126" s="141" t="str">
        <f t="shared" si="163"/>
        <v/>
      </c>
      <c r="AC126" s="140" t="str">
        <f t="shared" ca="1" si="164"/>
        <v/>
      </c>
      <c r="AD126" s="141" t="str">
        <f t="shared" si="165"/>
        <v/>
      </c>
      <c r="AE126" s="140" t="str">
        <f t="shared" si="166"/>
        <v/>
      </c>
      <c r="AF126" s="141" t="str">
        <f t="shared" si="167"/>
        <v/>
      </c>
      <c r="AG126" s="140" t="str">
        <f t="shared" si="168"/>
        <v/>
      </c>
      <c r="AH126" s="141" t="str">
        <f t="shared" si="169"/>
        <v/>
      </c>
      <c r="AI126" s="140" t="str">
        <f t="shared" si="170"/>
        <v/>
      </c>
      <c r="AJ126" s="141" t="str">
        <f t="shared" si="171"/>
        <v/>
      </c>
      <c r="AL126" s="196" t="e">
        <f t="shared" ca="1" si="176"/>
        <v>#DIV/0!</v>
      </c>
      <c r="AM126" s="70" t="e">
        <f t="shared" ca="1" si="177"/>
        <v>#DIV/0!</v>
      </c>
      <c r="AN126" s="256" t="e">
        <f t="shared" ca="1" si="178"/>
        <v>#DIV/0!</v>
      </c>
      <c r="AO126" s="256" t="e">
        <f t="shared" ca="1" si="179"/>
        <v>#DIV/0!</v>
      </c>
    </row>
    <row r="127" spans="1:41" s="133" customFormat="1" ht="21" hidden="1" customHeight="1">
      <c r="A127" s="257"/>
      <c r="B127" s="139" t="str">
        <f t="shared" si="180"/>
        <v/>
      </c>
      <c r="C127" s="140" t="str">
        <f t="shared" si="138"/>
        <v/>
      </c>
      <c r="D127" s="141" t="str">
        <f t="shared" si="139"/>
        <v/>
      </c>
      <c r="E127" s="140" t="str">
        <f t="shared" si="140"/>
        <v/>
      </c>
      <c r="F127" s="141" t="str">
        <f t="shared" si="141"/>
        <v/>
      </c>
      <c r="G127" s="140" t="str">
        <f t="shared" si="142"/>
        <v/>
      </c>
      <c r="H127" s="141" t="str">
        <f t="shared" si="143"/>
        <v/>
      </c>
      <c r="I127" s="140" t="str">
        <f t="shared" si="144"/>
        <v/>
      </c>
      <c r="J127" s="141" t="str">
        <f t="shared" si="145"/>
        <v/>
      </c>
      <c r="K127" s="140" t="str">
        <f t="shared" ca="1" si="146"/>
        <v/>
      </c>
      <c r="L127" s="141" t="str">
        <f t="shared" si="147"/>
        <v/>
      </c>
      <c r="M127" s="140" t="str">
        <f t="shared" ca="1" si="148"/>
        <v/>
      </c>
      <c r="N127" s="141" t="str">
        <f t="shared" si="149"/>
        <v/>
      </c>
      <c r="O127" s="140" t="str">
        <f t="shared" ca="1" si="150"/>
        <v/>
      </c>
      <c r="P127" s="141" t="str">
        <f t="shared" si="151"/>
        <v/>
      </c>
      <c r="Q127" s="140" t="str">
        <f t="shared" ca="1" si="152"/>
        <v/>
      </c>
      <c r="R127" s="141" t="str">
        <f t="shared" si="153"/>
        <v/>
      </c>
      <c r="S127" s="140" t="str">
        <f t="shared" ca="1" si="154"/>
        <v/>
      </c>
      <c r="T127" s="141" t="str">
        <f t="shared" si="155"/>
        <v/>
      </c>
      <c r="U127" s="140" t="str">
        <f t="shared" ca="1" si="156"/>
        <v/>
      </c>
      <c r="V127" s="141" t="str">
        <f t="shared" si="157"/>
        <v/>
      </c>
      <c r="W127" s="140" t="str">
        <f t="shared" ca="1" si="158"/>
        <v/>
      </c>
      <c r="X127" s="141" t="str">
        <f t="shared" si="159"/>
        <v/>
      </c>
      <c r="Y127" s="140" t="str">
        <f t="shared" ca="1" si="160"/>
        <v/>
      </c>
      <c r="Z127" s="141" t="str">
        <f t="shared" si="161"/>
        <v/>
      </c>
      <c r="AA127" s="140" t="str">
        <f t="shared" ca="1" si="162"/>
        <v/>
      </c>
      <c r="AB127" s="141" t="str">
        <f t="shared" si="163"/>
        <v/>
      </c>
      <c r="AC127" s="140" t="str">
        <f t="shared" ca="1" si="164"/>
        <v/>
      </c>
      <c r="AD127" s="141" t="str">
        <f t="shared" si="165"/>
        <v/>
      </c>
      <c r="AE127" s="140" t="str">
        <f t="shared" si="166"/>
        <v/>
      </c>
      <c r="AF127" s="141" t="str">
        <f t="shared" si="167"/>
        <v/>
      </c>
      <c r="AG127" s="140" t="str">
        <f t="shared" si="168"/>
        <v/>
      </c>
      <c r="AH127" s="141" t="str">
        <f t="shared" si="169"/>
        <v/>
      </c>
      <c r="AI127" s="140" t="str">
        <f t="shared" si="170"/>
        <v/>
      </c>
      <c r="AJ127" s="141" t="str">
        <f t="shared" si="171"/>
        <v/>
      </c>
      <c r="AL127" s="196" t="e">
        <f t="shared" ca="1" si="176"/>
        <v>#DIV/0!</v>
      </c>
      <c r="AM127" s="70" t="e">
        <f t="shared" ca="1" si="177"/>
        <v>#DIV/0!</v>
      </c>
      <c r="AN127" s="256" t="e">
        <f t="shared" ca="1" si="178"/>
        <v>#DIV/0!</v>
      </c>
      <c r="AO127" s="256" t="e">
        <f t="shared" ca="1" si="179"/>
        <v>#DIV/0!</v>
      </c>
    </row>
    <row r="128" spans="1:41" s="133" customFormat="1" ht="21" hidden="1" customHeight="1">
      <c r="A128" s="257"/>
      <c r="B128" s="139" t="str">
        <f t="shared" si="180"/>
        <v/>
      </c>
      <c r="C128" s="140" t="str">
        <f t="shared" si="138"/>
        <v/>
      </c>
      <c r="D128" s="141" t="str">
        <f t="shared" si="139"/>
        <v/>
      </c>
      <c r="E128" s="140" t="str">
        <f t="shared" si="140"/>
        <v/>
      </c>
      <c r="F128" s="141" t="str">
        <f t="shared" si="141"/>
        <v/>
      </c>
      <c r="G128" s="140" t="str">
        <f t="shared" si="142"/>
        <v/>
      </c>
      <c r="H128" s="141" t="str">
        <f t="shared" si="143"/>
        <v/>
      </c>
      <c r="I128" s="140" t="str">
        <f t="shared" si="144"/>
        <v/>
      </c>
      <c r="J128" s="141" t="str">
        <f t="shared" si="145"/>
        <v/>
      </c>
      <c r="K128" s="140" t="str">
        <f t="shared" ca="1" si="146"/>
        <v/>
      </c>
      <c r="L128" s="141" t="str">
        <f t="shared" si="147"/>
        <v/>
      </c>
      <c r="M128" s="140" t="str">
        <f t="shared" ca="1" si="148"/>
        <v/>
      </c>
      <c r="N128" s="141" t="str">
        <f t="shared" si="149"/>
        <v/>
      </c>
      <c r="O128" s="140" t="str">
        <f t="shared" ca="1" si="150"/>
        <v/>
      </c>
      <c r="P128" s="141" t="str">
        <f t="shared" si="151"/>
        <v/>
      </c>
      <c r="Q128" s="140" t="str">
        <f t="shared" ca="1" si="152"/>
        <v/>
      </c>
      <c r="R128" s="141" t="str">
        <f t="shared" si="153"/>
        <v/>
      </c>
      <c r="S128" s="140" t="str">
        <f t="shared" ca="1" si="154"/>
        <v/>
      </c>
      <c r="T128" s="141" t="str">
        <f t="shared" si="155"/>
        <v/>
      </c>
      <c r="U128" s="140" t="str">
        <f t="shared" ca="1" si="156"/>
        <v/>
      </c>
      <c r="V128" s="141" t="str">
        <f t="shared" si="157"/>
        <v/>
      </c>
      <c r="W128" s="140" t="str">
        <f t="shared" ca="1" si="158"/>
        <v/>
      </c>
      <c r="X128" s="141" t="str">
        <f t="shared" si="159"/>
        <v/>
      </c>
      <c r="Y128" s="140" t="str">
        <f t="shared" ca="1" si="160"/>
        <v/>
      </c>
      <c r="Z128" s="141" t="str">
        <f t="shared" si="161"/>
        <v/>
      </c>
      <c r="AA128" s="140" t="str">
        <f t="shared" ca="1" si="162"/>
        <v/>
      </c>
      <c r="AB128" s="141" t="str">
        <f t="shared" si="163"/>
        <v/>
      </c>
      <c r="AC128" s="140" t="str">
        <f t="shared" ca="1" si="164"/>
        <v/>
      </c>
      <c r="AD128" s="141" t="str">
        <f t="shared" si="165"/>
        <v/>
      </c>
      <c r="AE128" s="140" t="str">
        <f t="shared" si="166"/>
        <v/>
      </c>
      <c r="AF128" s="141" t="str">
        <f t="shared" si="167"/>
        <v/>
      </c>
      <c r="AG128" s="140" t="str">
        <f t="shared" si="168"/>
        <v/>
      </c>
      <c r="AH128" s="141" t="str">
        <f t="shared" si="169"/>
        <v/>
      </c>
      <c r="AI128" s="140" t="str">
        <f t="shared" si="170"/>
        <v/>
      </c>
      <c r="AJ128" s="141" t="str">
        <f t="shared" si="171"/>
        <v/>
      </c>
      <c r="AL128" s="196" t="e">
        <f t="shared" ca="1" si="176"/>
        <v>#DIV/0!</v>
      </c>
      <c r="AM128" s="70" t="e">
        <f t="shared" ca="1" si="177"/>
        <v>#DIV/0!</v>
      </c>
      <c r="AN128" s="256" t="e">
        <f t="shared" ca="1" si="178"/>
        <v>#DIV/0!</v>
      </c>
      <c r="AO128" s="256" t="e">
        <f t="shared" ca="1" si="179"/>
        <v>#DIV/0!</v>
      </c>
    </row>
    <row r="129" spans="1:41" s="133" customFormat="1" ht="21" hidden="1" customHeight="1">
      <c r="A129" s="257"/>
      <c r="B129" s="139" t="str">
        <f t="shared" si="180"/>
        <v/>
      </c>
      <c r="C129" s="140" t="str">
        <f t="shared" si="138"/>
        <v/>
      </c>
      <c r="D129" s="141" t="str">
        <f t="shared" si="139"/>
        <v/>
      </c>
      <c r="E129" s="140" t="str">
        <f t="shared" si="140"/>
        <v/>
      </c>
      <c r="F129" s="141" t="str">
        <f t="shared" si="141"/>
        <v/>
      </c>
      <c r="G129" s="140" t="str">
        <f t="shared" si="142"/>
        <v/>
      </c>
      <c r="H129" s="141" t="str">
        <f t="shared" si="143"/>
        <v/>
      </c>
      <c r="I129" s="140" t="str">
        <f t="shared" si="144"/>
        <v/>
      </c>
      <c r="J129" s="141" t="str">
        <f t="shared" si="145"/>
        <v/>
      </c>
      <c r="K129" s="140" t="str">
        <f t="shared" ca="1" si="146"/>
        <v/>
      </c>
      <c r="L129" s="141" t="str">
        <f t="shared" si="147"/>
        <v/>
      </c>
      <c r="M129" s="140" t="str">
        <f t="shared" ca="1" si="148"/>
        <v/>
      </c>
      <c r="N129" s="141" t="str">
        <f t="shared" si="149"/>
        <v/>
      </c>
      <c r="O129" s="140" t="str">
        <f t="shared" ca="1" si="150"/>
        <v/>
      </c>
      <c r="P129" s="141" t="str">
        <f t="shared" si="151"/>
        <v/>
      </c>
      <c r="Q129" s="140" t="str">
        <f t="shared" ca="1" si="152"/>
        <v/>
      </c>
      <c r="R129" s="141" t="str">
        <f t="shared" si="153"/>
        <v/>
      </c>
      <c r="S129" s="140" t="str">
        <f t="shared" ca="1" si="154"/>
        <v/>
      </c>
      <c r="T129" s="141" t="str">
        <f t="shared" si="155"/>
        <v/>
      </c>
      <c r="U129" s="140" t="str">
        <f t="shared" ca="1" si="156"/>
        <v/>
      </c>
      <c r="V129" s="141" t="str">
        <f t="shared" si="157"/>
        <v/>
      </c>
      <c r="W129" s="140" t="str">
        <f t="shared" ca="1" si="158"/>
        <v/>
      </c>
      <c r="X129" s="141" t="str">
        <f t="shared" si="159"/>
        <v/>
      </c>
      <c r="Y129" s="140" t="str">
        <f t="shared" ca="1" si="160"/>
        <v/>
      </c>
      <c r="Z129" s="141" t="str">
        <f t="shared" si="161"/>
        <v/>
      </c>
      <c r="AA129" s="140" t="str">
        <f t="shared" ca="1" si="162"/>
        <v/>
      </c>
      <c r="AB129" s="141" t="str">
        <f t="shared" si="163"/>
        <v/>
      </c>
      <c r="AC129" s="140" t="str">
        <f t="shared" ca="1" si="164"/>
        <v/>
      </c>
      <c r="AD129" s="141" t="str">
        <f t="shared" si="165"/>
        <v/>
      </c>
      <c r="AE129" s="140" t="str">
        <f t="shared" si="166"/>
        <v/>
      </c>
      <c r="AF129" s="141" t="str">
        <f t="shared" si="167"/>
        <v/>
      </c>
      <c r="AG129" s="140" t="str">
        <f t="shared" si="168"/>
        <v/>
      </c>
      <c r="AH129" s="141" t="str">
        <f t="shared" si="169"/>
        <v/>
      </c>
      <c r="AI129" s="140" t="str">
        <f t="shared" si="170"/>
        <v/>
      </c>
      <c r="AJ129" s="141" t="str">
        <f t="shared" si="171"/>
        <v/>
      </c>
      <c r="AL129" s="196" t="e">
        <f t="shared" ca="1" si="176"/>
        <v>#DIV/0!</v>
      </c>
      <c r="AM129" s="70" t="e">
        <f t="shared" ca="1" si="177"/>
        <v>#DIV/0!</v>
      </c>
      <c r="AN129" s="256" t="e">
        <f t="shared" ca="1" si="178"/>
        <v>#DIV/0!</v>
      </c>
      <c r="AO129" s="256" t="e">
        <f t="shared" ca="1" si="179"/>
        <v>#DIV/0!</v>
      </c>
    </row>
    <row r="130" spans="1:41" s="133" customFormat="1" ht="21" hidden="1" customHeight="1">
      <c r="A130" s="257"/>
      <c r="B130" s="139" t="str">
        <f t="shared" si="180"/>
        <v/>
      </c>
      <c r="C130" s="140" t="str">
        <f t="shared" si="138"/>
        <v/>
      </c>
      <c r="D130" s="141" t="str">
        <f t="shared" si="139"/>
        <v/>
      </c>
      <c r="E130" s="140" t="str">
        <f t="shared" si="140"/>
        <v/>
      </c>
      <c r="F130" s="141" t="str">
        <f t="shared" si="141"/>
        <v/>
      </c>
      <c r="G130" s="140" t="str">
        <f t="shared" si="142"/>
        <v/>
      </c>
      <c r="H130" s="141" t="str">
        <f t="shared" si="143"/>
        <v/>
      </c>
      <c r="I130" s="140" t="str">
        <f t="shared" si="144"/>
        <v/>
      </c>
      <c r="J130" s="141" t="str">
        <f t="shared" si="145"/>
        <v/>
      </c>
      <c r="K130" s="140" t="str">
        <f t="shared" ca="1" si="146"/>
        <v/>
      </c>
      <c r="L130" s="141" t="str">
        <f t="shared" si="147"/>
        <v/>
      </c>
      <c r="M130" s="140" t="str">
        <f t="shared" ca="1" si="148"/>
        <v/>
      </c>
      <c r="N130" s="141" t="str">
        <f t="shared" si="149"/>
        <v/>
      </c>
      <c r="O130" s="140" t="str">
        <f t="shared" ca="1" si="150"/>
        <v/>
      </c>
      <c r="P130" s="141" t="str">
        <f t="shared" si="151"/>
        <v/>
      </c>
      <c r="Q130" s="140" t="str">
        <f t="shared" ca="1" si="152"/>
        <v/>
      </c>
      <c r="R130" s="141" t="str">
        <f t="shared" si="153"/>
        <v/>
      </c>
      <c r="S130" s="140" t="str">
        <f t="shared" ca="1" si="154"/>
        <v/>
      </c>
      <c r="T130" s="141" t="str">
        <f t="shared" si="155"/>
        <v/>
      </c>
      <c r="U130" s="140" t="str">
        <f t="shared" ca="1" si="156"/>
        <v/>
      </c>
      <c r="V130" s="141" t="str">
        <f t="shared" si="157"/>
        <v/>
      </c>
      <c r="W130" s="140" t="str">
        <f t="shared" ca="1" si="158"/>
        <v/>
      </c>
      <c r="X130" s="141" t="str">
        <f t="shared" si="159"/>
        <v/>
      </c>
      <c r="Y130" s="140" t="str">
        <f t="shared" ca="1" si="160"/>
        <v/>
      </c>
      <c r="Z130" s="141" t="str">
        <f t="shared" si="161"/>
        <v/>
      </c>
      <c r="AA130" s="140" t="str">
        <f t="shared" ca="1" si="162"/>
        <v/>
      </c>
      <c r="AB130" s="141" t="str">
        <f t="shared" si="163"/>
        <v/>
      </c>
      <c r="AC130" s="140" t="str">
        <f t="shared" ca="1" si="164"/>
        <v/>
      </c>
      <c r="AD130" s="141" t="str">
        <f t="shared" si="165"/>
        <v/>
      </c>
      <c r="AE130" s="140" t="str">
        <f t="shared" si="166"/>
        <v/>
      </c>
      <c r="AF130" s="141" t="str">
        <f t="shared" si="167"/>
        <v/>
      </c>
      <c r="AG130" s="140" t="str">
        <f t="shared" si="168"/>
        <v/>
      </c>
      <c r="AH130" s="141" t="str">
        <f t="shared" si="169"/>
        <v/>
      </c>
      <c r="AI130" s="140" t="str">
        <f t="shared" si="170"/>
        <v/>
      </c>
      <c r="AJ130" s="141" t="str">
        <f t="shared" si="171"/>
        <v/>
      </c>
      <c r="AL130" s="196" t="e">
        <f t="shared" ca="1" si="176"/>
        <v>#DIV/0!</v>
      </c>
      <c r="AM130" s="70" t="e">
        <f t="shared" ca="1" si="177"/>
        <v>#DIV/0!</v>
      </c>
      <c r="AN130" s="256" t="e">
        <f t="shared" ca="1" si="178"/>
        <v>#DIV/0!</v>
      </c>
      <c r="AO130" s="256" t="e">
        <f t="shared" ca="1" si="179"/>
        <v>#DIV/0!</v>
      </c>
    </row>
    <row r="131" spans="1:41" s="133" customFormat="1" ht="21" hidden="1" customHeight="1">
      <c r="A131" s="257"/>
      <c r="B131" s="139" t="str">
        <f t="shared" si="180"/>
        <v/>
      </c>
      <c r="C131" s="140" t="str">
        <f t="shared" si="138"/>
        <v/>
      </c>
      <c r="D131" s="141" t="str">
        <f t="shared" si="139"/>
        <v/>
      </c>
      <c r="E131" s="140" t="str">
        <f t="shared" si="140"/>
        <v/>
      </c>
      <c r="F131" s="141" t="str">
        <f t="shared" si="141"/>
        <v/>
      </c>
      <c r="G131" s="140" t="str">
        <f t="shared" si="142"/>
        <v/>
      </c>
      <c r="H131" s="141" t="str">
        <f t="shared" si="143"/>
        <v/>
      </c>
      <c r="I131" s="140" t="str">
        <f t="shared" si="144"/>
        <v/>
      </c>
      <c r="J131" s="141" t="str">
        <f t="shared" si="145"/>
        <v/>
      </c>
      <c r="K131" s="140" t="str">
        <f t="shared" ca="1" si="146"/>
        <v/>
      </c>
      <c r="L131" s="141" t="str">
        <f t="shared" si="147"/>
        <v/>
      </c>
      <c r="M131" s="140" t="str">
        <f t="shared" ca="1" si="148"/>
        <v/>
      </c>
      <c r="N131" s="141" t="str">
        <f t="shared" si="149"/>
        <v/>
      </c>
      <c r="O131" s="140" t="str">
        <f t="shared" ca="1" si="150"/>
        <v/>
      </c>
      <c r="P131" s="141" t="str">
        <f t="shared" si="151"/>
        <v/>
      </c>
      <c r="Q131" s="140" t="str">
        <f t="shared" ca="1" si="152"/>
        <v/>
      </c>
      <c r="R131" s="141" t="str">
        <f t="shared" si="153"/>
        <v/>
      </c>
      <c r="S131" s="140" t="str">
        <f t="shared" ca="1" si="154"/>
        <v/>
      </c>
      <c r="T131" s="141" t="str">
        <f t="shared" si="155"/>
        <v/>
      </c>
      <c r="U131" s="140" t="str">
        <f t="shared" ca="1" si="156"/>
        <v/>
      </c>
      <c r="V131" s="141" t="str">
        <f t="shared" si="157"/>
        <v/>
      </c>
      <c r="W131" s="140" t="str">
        <f t="shared" ca="1" si="158"/>
        <v/>
      </c>
      <c r="X131" s="141" t="str">
        <f t="shared" si="159"/>
        <v/>
      </c>
      <c r="Y131" s="140" t="str">
        <f t="shared" ca="1" si="160"/>
        <v/>
      </c>
      <c r="Z131" s="141" t="str">
        <f t="shared" si="161"/>
        <v/>
      </c>
      <c r="AA131" s="140" t="str">
        <f t="shared" ca="1" si="162"/>
        <v/>
      </c>
      <c r="AB131" s="141" t="str">
        <f t="shared" si="163"/>
        <v/>
      </c>
      <c r="AC131" s="140" t="str">
        <f t="shared" ca="1" si="164"/>
        <v/>
      </c>
      <c r="AD131" s="141" t="str">
        <f t="shared" si="165"/>
        <v/>
      </c>
      <c r="AE131" s="140" t="str">
        <f t="shared" si="166"/>
        <v/>
      </c>
      <c r="AF131" s="141" t="str">
        <f t="shared" si="167"/>
        <v/>
      </c>
      <c r="AG131" s="140" t="str">
        <f t="shared" si="168"/>
        <v/>
      </c>
      <c r="AH131" s="141" t="str">
        <f t="shared" si="169"/>
        <v/>
      </c>
      <c r="AI131" s="140" t="str">
        <f t="shared" si="170"/>
        <v/>
      </c>
      <c r="AJ131" s="141" t="str">
        <f t="shared" si="171"/>
        <v/>
      </c>
      <c r="AL131" s="196" t="e">
        <f t="shared" ca="1" si="176"/>
        <v>#DIV/0!</v>
      </c>
      <c r="AM131" s="70" t="e">
        <f t="shared" ca="1" si="177"/>
        <v>#DIV/0!</v>
      </c>
      <c r="AN131" s="256" t="e">
        <f t="shared" ca="1" si="178"/>
        <v>#DIV/0!</v>
      </c>
      <c r="AO131" s="256" t="e">
        <f t="shared" ca="1" si="179"/>
        <v>#DIV/0!</v>
      </c>
    </row>
    <row r="132" spans="1:41" s="133" customFormat="1" ht="21" hidden="1" customHeight="1">
      <c r="A132" s="257"/>
      <c r="B132" s="139" t="str">
        <f t="shared" si="180"/>
        <v/>
      </c>
      <c r="C132" s="140" t="str">
        <f t="shared" si="138"/>
        <v/>
      </c>
      <c r="D132" s="141" t="str">
        <f t="shared" si="139"/>
        <v/>
      </c>
      <c r="E132" s="140" t="str">
        <f t="shared" si="140"/>
        <v/>
      </c>
      <c r="F132" s="141" t="str">
        <f t="shared" si="141"/>
        <v/>
      </c>
      <c r="G132" s="140" t="str">
        <f t="shared" si="142"/>
        <v/>
      </c>
      <c r="H132" s="141" t="str">
        <f t="shared" si="143"/>
        <v/>
      </c>
      <c r="I132" s="140" t="str">
        <f t="shared" si="144"/>
        <v/>
      </c>
      <c r="J132" s="141" t="str">
        <f t="shared" si="145"/>
        <v/>
      </c>
      <c r="K132" s="140" t="str">
        <f t="shared" ca="1" si="146"/>
        <v/>
      </c>
      <c r="L132" s="141" t="str">
        <f t="shared" si="147"/>
        <v/>
      </c>
      <c r="M132" s="140" t="str">
        <f t="shared" ca="1" si="148"/>
        <v/>
      </c>
      <c r="N132" s="141" t="str">
        <f t="shared" si="149"/>
        <v/>
      </c>
      <c r="O132" s="140" t="str">
        <f t="shared" ca="1" si="150"/>
        <v/>
      </c>
      <c r="P132" s="141" t="str">
        <f t="shared" si="151"/>
        <v/>
      </c>
      <c r="Q132" s="140" t="str">
        <f t="shared" ca="1" si="152"/>
        <v/>
      </c>
      <c r="R132" s="141" t="str">
        <f t="shared" si="153"/>
        <v/>
      </c>
      <c r="S132" s="140" t="str">
        <f t="shared" ca="1" si="154"/>
        <v/>
      </c>
      <c r="T132" s="141" t="str">
        <f t="shared" si="155"/>
        <v/>
      </c>
      <c r="U132" s="140" t="str">
        <f t="shared" ca="1" si="156"/>
        <v/>
      </c>
      <c r="V132" s="141" t="str">
        <f t="shared" si="157"/>
        <v/>
      </c>
      <c r="W132" s="140" t="str">
        <f t="shared" ca="1" si="158"/>
        <v/>
      </c>
      <c r="X132" s="141" t="str">
        <f t="shared" si="159"/>
        <v/>
      </c>
      <c r="Y132" s="140" t="str">
        <f t="shared" ca="1" si="160"/>
        <v/>
      </c>
      <c r="Z132" s="141" t="str">
        <f t="shared" si="161"/>
        <v/>
      </c>
      <c r="AA132" s="140" t="str">
        <f t="shared" ca="1" si="162"/>
        <v/>
      </c>
      <c r="AB132" s="141" t="str">
        <f t="shared" si="163"/>
        <v/>
      </c>
      <c r="AC132" s="140" t="str">
        <f t="shared" ca="1" si="164"/>
        <v/>
      </c>
      <c r="AD132" s="141" t="str">
        <f t="shared" si="165"/>
        <v/>
      </c>
      <c r="AE132" s="140" t="str">
        <f t="shared" si="166"/>
        <v/>
      </c>
      <c r="AF132" s="141" t="str">
        <f t="shared" si="167"/>
        <v/>
      </c>
      <c r="AG132" s="140" t="str">
        <f t="shared" si="168"/>
        <v/>
      </c>
      <c r="AH132" s="141" t="str">
        <f t="shared" si="169"/>
        <v/>
      </c>
      <c r="AI132" s="140" t="str">
        <f t="shared" si="170"/>
        <v/>
      </c>
      <c r="AJ132" s="141" t="str">
        <f t="shared" si="171"/>
        <v/>
      </c>
      <c r="AL132" s="196" t="e">
        <f t="shared" ca="1" si="176"/>
        <v>#DIV/0!</v>
      </c>
      <c r="AM132" s="70" t="e">
        <f t="shared" ca="1" si="177"/>
        <v>#DIV/0!</v>
      </c>
      <c r="AN132" s="256" t="e">
        <f t="shared" ca="1" si="178"/>
        <v>#DIV/0!</v>
      </c>
      <c r="AO132" s="256" t="e">
        <f t="shared" ca="1" si="179"/>
        <v>#DIV/0!</v>
      </c>
    </row>
    <row r="133" spans="1:41" s="133" customFormat="1" ht="21" hidden="1" customHeight="1">
      <c r="A133" s="257"/>
      <c r="B133" s="139" t="str">
        <f t="shared" si="180"/>
        <v/>
      </c>
      <c r="C133" s="140" t="str">
        <f t="shared" si="138"/>
        <v/>
      </c>
      <c r="D133" s="141" t="str">
        <f t="shared" si="139"/>
        <v/>
      </c>
      <c r="E133" s="140" t="str">
        <f t="shared" si="140"/>
        <v/>
      </c>
      <c r="F133" s="141" t="str">
        <f t="shared" si="141"/>
        <v/>
      </c>
      <c r="G133" s="140" t="str">
        <f t="shared" si="142"/>
        <v/>
      </c>
      <c r="H133" s="141" t="str">
        <f t="shared" si="143"/>
        <v/>
      </c>
      <c r="I133" s="140" t="str">
        <f t="shared" si="144"/>
        <v/>
      </c>
      <c r="J133" s="141" t="str">
        <f t="shared" si="145"/>
        <v/>
      </c>
      <c r="K133" s="140" t="str">
        <f t="shared" ca="1" si="146"/>
        <v/>
      </c>
      <c r="L133" s="141" t="str">
        <f t="shared" si="147"/>
        <v/>
      </c>
      <c r="M133" s="140" t="str">
        <f t="shared" ca="1" si="148"/>
        <v/>
      </c>
      <c r="N133" s="141" t="str">
        <f t="shared" si="149"/>
        <v/>
      </c>
      <c r="O133" s="140" t="str">
        <f t="shared" ca="1" si="150"/>
        <v/>
      </c>
      <c r="P133" s="141" t="str">
        <f t="shared" si="151"/>
        <v/>
      </c>
      <c r="Q133" s="140" t="str">
        <f t="shared" ca="1" si="152"/>
        <v/>
      </c>
      <c r="R133" s="141" t="str">
        <f t="shared" si="153"/>
        <v/>
      </c>
      <c r="S133" s="140" t="str">
        <f t="shared" ca="1" si="154"/>
        <v/>
      </c>
      <c r="T133" s="141" t="str">
        <f t="shared" si="155"/>
        <v/>
      </c>
      <c r="U133" s="140" t="str">
        <f t="shared" ca="1" si="156"/>
        <v/>
      </c>
      <c r="V133" s="141" t="str">
        <f t="shared" si="157"/>
        <v/>
      </c>
      <c r="W133" s="140" t="str">
        <f t="shared" ca="1" si="158"/>
        <v/>
      </c>
      <c r="X133" s="141" t="str">
        <f t="shared" si="159"/>
        <v/>
      </c>
      <c r="Y133" s="140" t="str">
        <f t="shared" ca="1" si="160"/>
        <v/>
      </c>
      <c r="Z133" s="141" t="str">
        <f t="shared" si="161"/>
        <v/>
      </c>
      <c r="AA133" s="140" t="str">
        <f t="shared" ca="1" si="162"/>
        <v/>
      </c>
      <c r="AB133" s="141" t="str">
        <f t="shared" si="163"/>
        <v/>
      </c>
      <c r="AC133" s="140" t="str">
        <f t="shared" ca="1" si="164"/>
        <v/>
      </c>
      <c r="AD133" s="141" t="str">
        <f t="shared" si="165"/>
        <v/>
      </c>
      <c r="AE133" s="140" t="str">
        <f t="shared" si="166"/>
        <v/>
      </c>
      <c r="AF133" s="141" t="str">
        <f t="shared" si="167"/>
        <v/>
      </c>
      <c r="AG133" s="140" t="str">
        <f t="shared" si="168"/>
        <v/>
      </c>
      <c r="AH133" s="141" t="str">
        <f t="shared" si="169"/>
        <v/>
      </c>
      <c r="AI133" s="140" t="str">
        <f t="shared" si="170"/>
        <v/>
      </c>
      <c r="AJ133" s="141" t="str">
        <f t="shared" si="171"/>
        <v/>
      </c>
      <c r="AL133" s="196" t="e">
        <f t="shared" ca="1" si="176"/>
        <v>#DIV/0!</v>
      </c>
      <c r="AM133" s="70" t="e">
        <f t="shared" ca="1" si="177"/>
        <v>#DIV/0!</v>
      </c>
      <c r="AN133" s="256" t="e">
        <f t="shared" ca="1" si="178"/>
        <v>#DIV/0!</v>
      </c>
      <c r="AO133" s="256" t="e">
        <f t="shared" ca="1" si="179"/>
        <v>#DIV/0!</v>
      </c>
    </row>
    <row r="134" spans="1:41" s="133" customFormat="1" ht="21" hidden="1" customHeight="1">
      <c r="A134" s="257"/>
      <c r="B134" s="139" t="str">
        <f t="shared" si="180"/>
        <v/>
      </c>
      <c r="C134" s="140" t="str">
        <f t="shared" si="138"/>
        <v/>
      </c>
      <c r="D134" s="141" t="str">
        <f t="shared" si="139"/>
        <v/>
      </c>
      <c r="E134" s="140" t="str">
        <f t="shared" si="140"/>
        <v/>
      </c>
      <c r="F134" s="141" t="str">
        <f t="shared" si="141"/>
        <v/>
      </c>
      <c r="G134" s="140" t="str">
        <f t="shared" si="142"/>
        <v/>
      </c>
      <c r="H134" s="141" t="str">
        <f t="shared" si="143"/>
        <v/>
      </c>
      <c r="I134" s="140" t="str">
        <f t="shared" si="144"/>
        <v/>
      </c>
      <c r="J134" s="141" t="str">
        <f t="shared" si="145"/>
        <v/>
      </c>
      <c r="K134" s="140" t="str">
        <f t="shared" ca="1" si="146"/>
        <v/>
      </c>
      <c r="L134" s="141" t="str">
        <f t="shared" si="147"/>
        <v/>
      </c>
      <c r="M134" s="140" t="str">
        <f t="shared" ca="1" si="148"/>
        <v/>
      </c>
      <c r="N134" s="141" t="str">
        <f t="shared" si="149"/>
        <v/>
      </c>
      <c r="O134" s="140" t="str">
        <f t="shared" ca="1" si="150"/>
        <v/>
      </c>
      <c r="P134" s="141" t="str">
        <f t="shared" si="151"/>
        <v/>
      </c>
      <c r="Q134" s="140" t="str">
        <f t="shared" ca="1" si="152"/>
        <v/>
      </c>
      <c r="R134" s="141" t="str">
        <f t="shared" si="153"/>
        <v/>
      </c>
      <c r="S134" s="140" t="str">
        <f t="shared" ca="1" si="154"/>
        <v/>
      </c>
      <c r="T134" s="141" t="str">
        <f t="shared" si="155"/>
        <v/>
      </c>
      <c r="U134" s="140" t="str">
        <f t="shared" ca="1" si="156"/>
        <v/>
      </c>
      <c r="V134" s="141" t="str">
        <f t="shared" si="157"/>
        <v/>
      </c>
      <c r="W134" s="140" t="str">
        <f t="shared" ca="1" si="158"/>
        <v/>
      </c>
      <c r="X134" s="141" t="str">
        <f t="shared" si="159"/>
        <v/>
      </c>
      <c r="Y134" s="140" t="str">
        <f t="shared" ca="1" si="160"/>
        <v/>
      </c>
      <c r="Z134" s="141" t="str">
        <f t="shared" si="161"/>
        <v/>
      </c>
      <c r="AA134" s="140" t="str">
        <f t="shared" ca="1" si="162"/>
        <v/>
      </c>
      <c r="AB134" s="141" t="str">
        <f t="shared" si="163"/>
        <v/>
      </c>
      <c r="AC134" s="140" t="str">
        <f t="shared" ca="1" si="164"/>
        <v/>
      </c>
      <c r="AD134" s="141" t="str">
        <f t="shared" si="165"/>
        <v/>
      </c>
      <c r="AE134" s="140" t="str">
        <f t="shared" si="166"/>
        <v/>
      </c>
      <c r="AF134" s="141" t="str">
        <f t="shared" si="167"/>
        <v/>
      </c>
      <c r="AG134" s="140" t="str">
        <f t="shared" si="168"/>
        <v/>
      </c>
      <c r="AH134" s="141" t="str">
        <f t="shared" si="169"/>
        <v/>
      </c>
      <c r="AI134" s="140" t="str">
        <f t="shared" si="170"/>
        <v/>
      </c>
      <c r="AJ134" s="141" t="str">
        <f t="shared" si="171"/>
        <v/>
      </c>
      <c r="AL134" s="196" t="e">
        <f t="shared" ca="1" si="176"/>
        <v>#DIV/0!</v>
      </c>
      <c r="AM134" s="70" t="e">
        <f t="shared" ca="1" si="177"/>
        <v>#DIV/0!</v>
      </c>
      <c r="AN134" s="256" t="e">
        <f t="shared" ca="1" si="178"/>
        <v>#DIV/0!</v>
      </c>
      <c r="AO134" s="256" t="e">
        <f t="shared" ca="1" si="179"/>
        <v>#DIV/0!</v>
      </c>
    </row>
    <row r="135" spans="1:41" s="133" customFormat="1" ht="26.25" hidden="1" customHeight="1">
      <c r="A135" s="257"/>
      <c r="B135" s="139" t="str">
        <f t="shared" si="180"/>
        <v/>
      </c>
      <c r="C135" s="140" t="str">
        <f t="shared" si="138"/>
        <v/>
      </c>
      <c r="D135" s="141" t="str">
        <f t="shared" si="139"/>
        <v/>
      </c>
      <c r="E135" s="140" t="str">
        <f t="shared" si="140"/>
        <v/>
      </c>
      <c r="F135" s="141" t="str">
        <f t="shared" si="141"/>
        <v/>
      </c>
      <c r="G135" s="140" t="str">
        <f t="shared" si="142"/>
        <v/>
      </c>
      <c r="H135" s="141" t="str">
        <f t="shared" si="143"/>
        <v/>
      </c>
      <c r="I135" s="140" t="str">
        <f t="shared" si="144"/>
        <v/>
      </c>
      <c r="J135" s="141" t="str">
        <f t="shared" si="145"/>
        <v/>
      </c>
      <c r="K135" s="140" t="str">
        <f t="shared" ca="1" si="146"/>
        <v/>
      </c>
      <c r="L135" s="141" t="str">
        <f t="shared" si="147"/>
        <v/>
      </c>
      <c r="M135" s="140" t="str">
        <f t="shared" ca="1" si="148"/>
        <v/>
      </c>
      <c r="N135" s="141" t="str">
        <f t="shared" si="149"/>
        <v/>
      </c>
      <c r="O135" s="140" t="str">
        <f t="shared" ca="1" si="150"/>
        <v/>
      </c>
      <c r="P135" s="141" t="str">
        <f t="shared" si="151"/>
        <v/>
      </c>
      <c r="Q135" s="140" t="str">
        <f t="shared" ca="1" si="152"/>
        <v/>
      </c>
      <c r="R135" s="141" t="str">
        <f t="shared" si="153"/>
        <v/>
      </c>
      <c r="S135" s="140" t="str">
        <f t="shared" ca="1" si="154"/>
        <v/>
      </c>
      <c r="T135" s="141" t="str">
        <f t="shared" si="155"/>
        <v/>
      </c>
      <c r="U135" s="140" t="str">
        <f t="shared" ca="1" si="156"/>
        <v/>
      </c>
      <c r="V135" s="141" t="str">
        <f t="shared" si="157"/>
        <v/>
      </c>
      <c r="W135" s="140" t="str">
        <f t="shared" ca="1" si="158"/>
        <v/>
      </c>
      <c r="X135" s="141" t="str">
        <f t="shared" si="159"/>
        <v/>
      </c>
      <c r="Y135" s="140" t="str">
        <f t="shared" ca="1" si="160"/>
        <v/>
      </c>
      <c r="Z135" s="141" t="str">
        <f t="shared" si="161"/>
        <v/>
      </c>
      <c r="AA135" s="140" t="str">
        <f t="shared" ca="1" si="162"/>
        <v/>
      </c>
      <c r="AB135" s="141" t="str">
        <f t="shared" si="163"/>
        <v/>
      </c>
      <c r="AC135" s="140" t="str">
        <f t="shared" ca="1" si="164"/>
        <v/>
      </c>
      <c r="AD135" s="141" t="str">
        <f t="shared" si="165"/>
        <v/>
      </c>
      <c r="AE135" s="140" t="str">
        <f t="shared" si="166"/>
        <v/>
      </c>
      <c r="AF135" s="141" t="str">
        <f t="shared" si="167"/>
        <v/>
      </c>
      <c r="AG135" s="140" t="str">
        <f t="shared" si="168"/>
        <v/>
      </c>
      <c r="AH135" s="141" t="str">
        <f t="shared" si="169"/>
        <v/>
      </c>
      <c r="AI135" s="140" t="str">
        <f t="shared" si="170"/>
        <v/>
      </c>
      <c r="AJ135" s="141" t="str">
        <f t="shared" si="171"/>
        <v/>
      </c>
      <c r="AL135" s="196" t="e">
        <f t="shared" ca="1" si="176"/>
        <v>#DIV/0!</v>
      </c>
      <c r="AM135" s="70" t="e">
        <f t="shared" ca="1" si="177"/>
        <v>#DIV/0!</v>
      </c>
      <c r="AN135" s="256" t="e">
        <f t="shared" ca="1" si="178"/>
        <v>#DIV/0!</v>
      </c>
      <c r="AO135" s="256" t="e">
        <f t="shared" ca="1" si="179"/>
        <v>#DIV/0!</v>
      </c>
    </row>
    <row r="136" spans="1:41" ht="24.75" hidden="1" customHeight="1">
      <c r="A136" s="257"/>
      <c r="B136" s="139" t="str">
        <f t="shared" ref="B136:B140" si="181">IF(A136="","",IF($K$4="Media aritmética",ROUND(AVERAGE(C136,E136,G136,I136,K136,M136,O136,Q136,S136,U136,W136,Y136,AA136,AC136,AE136,AG136,AI136),2),ROUND(_xlfn.STDEV.P(C136,E136,G136,I136,K136,M136,O136,Q136,S136,U136,W136,Y136,AA136,AC136,AE136,AG136,AI136),2)))</f>
        <v/>
      </c>
      <c r="C136" s="140" t="str">
        <f t="shared" si="138"/>
        <v/>
      </c>
      <c r="D136" s="141" t="str">
        <f t="shared" si="139"/>
        <v/>
      </c>
      <c r="E136" s="140" t="str">
        <f t="shared" si="140"/>
        <v/>
      </c>
      <c r="F136" s="141" t="str">
        <f t="shared" si="141"/>
        <v/>
      </c>
      <c r="G136" s="140" t="str">
        <f t="shared" si="142"/>
        <v/>
      </c>
      <c r="H136" s="141" t="str">
        <f t="shared" si="143"/>
        <v/>
      </c>
      <c r="I136" s="140" t="str">
        <f t="shared" si="144"/>
        <v/>
      </c>
      <c r="J136" s="141" t="str">
        <f t="shared" si="145"/>
        <v/>
      </c>
      <c r="K136" s="140" t="str">
        <f t="shared" ca="1" si="146"/>
        <v/>
      </c>
      <c r="L136" s="141" t="str">
        <f t="shared" si="147"/>
        <v/>
      </c>
      <c r="M136" s="140" t="str">
        <f t="shared" ca="1" si="148"/>
        <v/>
      </c>
      <c r="N136" s="141" t="str">
        <f t="shared" si="149"/>
        <v/>
      </c>
      <c r="O136" s="140" t="str">
        <f t="shared" ca="1" si="150"/>
        <v/>
      </c>
      <c r="P136" s="141" t="str">
        <f t="shared" si="151"/>
        <v/>
      </c>
      <c r="Q136" s="140" t="str">
        <f t="shared" ca="1" si="152"/>
        <v/>
      </c>
      <c r="R136" s="141" t="str">
        <f t="shared" si="153"/>
        <v/>
      </c>
      <c r="S136" s="140" t="str">
        <f t="shared" ca="1" si="154"/>
        <v/>
      </c>
      <c r="T136" s="141" t="str">
        <f t="shared" si="155"/>
        <v/>
      </c>
      <c r="U136" s="140" t="str">
        <f t="shared" ca="1" si="156"/>
        <v/>
      </c>
      <c r="V136" s="141" t="str">
        <f t="shared" si="157"/>
        <v/>
      </c>
      <c r="W136" s="140" t="str">
        <f t="shared" ca="1" si="158"/>
        <v/>
      </c>
      <c r="X136" s="141" t="str">
        <f t="shared" si="159"/>
        <v/>
      </c>
      <c r="Y136" s="140" t="str">
        <f t="shared" ca="1" si="160"/>
        <v/>
      </c>
      <c r="Z136" s="141" t="str">
        <f t="shared" si="161"/>
        <v/>
      </c>
      <c r="AA136" s="140" t="str">
        <f t="shared" ca="1" si="162"/>
        <v/>
      </c>
      <c r="AB136" s="141" t="str">
        <f t="shared" si="163"/>
        <v/>
      </c>
      <c r="AC136" s="140" t="str">
        <f t="shared" ca="1" si="164"/>
        <v/>
      </c>
      <c r="AD136" s="141" t="str">
        <f t="shared" si="165"/>
        <v/>
      </c>
      <c r="AL136" s="196" t="e">
        <f t="shared" ca="1" si="176"/>
        <v>#DIV/0!</v>
      </c>
      <c r="AM136" s="70" t="e">
        <f t="shared" ca="1" si="177"/>
        <v>#DIV/0!</v>
      </c>
      <c r="AN136" s="256" t="e">
        <f t="shared" ca="1" si="178"/>
        <v>#DIV/0!</v>
      </c>
      <c r="AO136" s="256" t="e">
        <f t="shared" ca="1" si="179"/>
        <v>#DIV/0!</v>
      </c>
    </row>
    <row r="137" spans="1:41" ht="21" hidden="1" customHeight="1">
      <c r="A137" s="257"/>
      <c r="B137" s="139" t="str">
        <f t="shared" si="181"/>
        <v/>
      </c>
      <c r="C137" s="140" t="str">
        <f t="shared" si="138"/>
        <v/>
      </c>
      <c r="D137" s="141" t="str">
        <f t="shared" si="139"/>
        <v/>
      </c>
      <c r="E137" s="140" t="str">
        <f t="shared" si="140"/>
        <v/>
      </c>
      <c r="F137" s="141" t="str">
        <f t="shared" si="141"/>
        <v/>
      </c>
      <c r="G137" s="140" t="str">
        <f t="shared" si="142"/>
        <v/>
      </c>
      <c r="H137" s="141" t="str">
        <f t="shared" si="143"/>
        <v/>
      </c>
      <c r="I137" s="140" t="str">
        <f t="shared" si="144"/>
        <v/>
      </c>
      <c r="J137" s="141" t="str">
        <f t="shared" si="145"/>
        <v/>
      </c>
      <c r="K137" s="140" t="str">
        <f t="shared" ca="1" si="146"/>
        <v/>
      </c>
      <c r="L137" s="141" t="str">
        <f t="shared" si="147"/>
        <v/>
      </c>
      <c r="M137" s="140" t="str">
        <f t="shared" ca="1" si="148"/>
        <v/>
      </c>
      <c r="N137" s="141" t="str">
        <f t="shared" si="149"/>
        <v/>
      </c>
      <c r="O137" s="140" t="str">
        <f t="shared" ref="O137:O140" ca="1" si="182">IF($O$8="Habilitado",IF($A137="","",ROUND(VLOOKUP($A137,OFERENTE_7,15,FALSE),2)),"")</f>
        <v/>
      </c>
      <c r="P137" s="141" t="str">
        <f t="shared" si="151"/>
        <v/>
      </c>
      <c r="Q137" s="140" t="str">
        <f t="shared" ca="1" si="152"/>
        <v/>
      </c>
      <c r="R137" s="141" t="str">
        <f t="shared" si="153"/>
        <v/>
      </c>
      <c r="S137" s="140" t="str">
        <f t="shared" ca="1" si="154"/>
        <v/>
      </c>
      <c r="T137" s="141" t="str">
        <f t="shared" si="155"/>
        <v/>
      </c>
      <c r="U137" s="140" t="str">
        <f t="shared" ca="1" si="156"/>
        <v/>
      </c>
      <c r="V137" s="141" t="str">
        <f t="shared" si="157"/>
        <v/>
      </c>
      <c r="W137" s="140" t="str">
        <f t="shared" ca="1" si="158"/>
        <v/>
      </c>
      <c r="X137" s="141" t="str">
        <f t="shared" si="159"/>
        <v/>
      </c>
      <c r="Y137" s="140" t="str">
        <f t="shared" ca="1" si="160"/>
        <v/>
      </c>
      <c r="Z137" s="141" t="str">
        <f t="shared" si="161"/>
        <v/>
      </c>
      <c r="AA137" s="140" t="str">
        <f t="shared" ca="1" si="162"/>
        <v/>
      </c>
      <c r="AB137" s="141" t="str">
        <f t="shared" si="163"/>
        <v/>
      </c>
      <c r="AC137" s="140" t="str">
        <f t="shared" ca="1" si="164"/>
        <v/>
      </c>
      <c r="AD137" s="141" t="str">
        <f t="shared" si="165"/>
        <v/>
      </c>
      <c r="AL137" s="196" t="e">
        <f t="shared" ca="1" si="176"/>
        <v>#DIV/0!</v>
      </c>
      <c r="AM137" s="70" t="e">
        <f t="shared" ca="1" si="177"/>
        <v>#DIV/0!</v>
      </c>
      <c r="AN137" s="256" t="e">
        <f t="shared" ca="1" si="178"/>
        <v>#DIV/0!</v>
      </c>
      <c r="AO137" s="256" t="e">
        <f t="shared" ca="1" si="179"/>
        <v>#DIV/0!</v>
      </c>
    </row>
    <row r="138" spans="1:41" ht="24.75" hidden="1" customHeight="1">
      <c r="A138" s="257"/>
      <c r="B138" s="139" t="str">
        <f t="shared" si="181"/>
        <v/>
      </c>
      <c r="C138" s="140" t="str">
        <f t="shared" si="138"/>
        <v/>
      </c>
      <c r="D138" s="141" t="str">
        <f t="shared" si="139"/>
        <v/>
      </c>
      <c r="E138" s="140" t="str">
        <f t="shared" si="140"/>
        <v/>
      </c>
      <c r="F138" s="141" t="str">
        <f t="shared" si="141"/>
        <v/>
      </c>
      <c r="G138" s="140" t="str">
        <f t="shared" si="142"/>
        <v/>
      </c>
      <c r="H138" s="141" t="str">
        <f t="shared" si="143"/>
        <v/>
      </c>
      <c r="I138" s="140" t="str">
        <f t="shared" si="144"/>
        <v/>
      </c>
      <c r="J138" s="141" t="str">
        <f t="shared" si="145"/>
        <v/>
      </c>
      <c r="K138" s="140" t="str">
        <f t="shared" ca="1" si="146"/>
        <v/>
      </c>
      <c r="L138" s="141" t="str">
        <f t="shared" si="147"/>
        <v/>
      </c>
      <c r="M138" s="140" t="str">
        <f t="shared" ca="1" si="148"/>
        <v/>
      </c>
      <c r="N138" s="141" t="str">
        <f t="shared" si="149"/>
        <v/>
      </c>
      <c r="O138" s="140" t="str">
        <f t="shared" ca="1" si="182"/>
        <v/>
      </c>
      <c r="P138" s="141" t="str">
        <f t="shared" si="151"/>
        <v/>
      </c>
      <c r="Q138" s="140" t="str">
        <f t="shared" ca="1" si="152"/>
        <v/>
      </c>
      <c r="R138" s="141" t="str">
        <f t="shared" si="153"/>
        <v/>
      </c>
      <c r="S138" s="140" t="str">
        <f t="shared" ca="1" si="154"/>
        <v/>
      </c>
      <c r="T138" s="141" t="str">
        <f t="shared" si="155"/>
        <v/>
      </c>
      <c r="U138" s="140" t="str">
        <f t="shared" ca="1" si="156"/>
        <v/>
      </c>
      <c r="V138" s="141" t="str">
        <f t="shared" si="157"/>
        <v/>
      </c>
      <c r="W138" s="140" t="str">
        <f t="shared" ca="1" si="158"/>
        <v/>
      </c>
      <c r="X138" s="141" t="str">
        <f t="shared" si="159"/>
        <v/>
      </c>
      <c r="Y138" s="140" t="str">
        <f t="shared" ca="1" si="160"/>
        <v/>
      </c>
      <c r="Z138" s="141" t="str">
        <f t="shared" si="161"/>
        <v/>
      </c>
      <c r="AA138" s="140" t="str">
        <f t="shared" ca="1" si="162"/>
        <v/>
      </c>
      <c r="AB138" s="141" t="str">
        <f t="shared" si="163"/>
        <v/>
      </c>
      <c r="AC138" s="140" t="str">
        <f t="shared" ca="1" si="164"/>
        <v/>
      </c>
      <c r="AD138" s="141" t="str">
        <f t="shared" si="165"/>
        <v/>
      </c>
      <c r="AL138" s="196" t="e">
        <f t="shared" ca="1" si="176"/>
        <v>#DIV/0!</v>
      </c>
      <c r="AM138" s="70" t="e">
        <f t="shared" ca="1" si="177"/>
        <v>#DIV/0!</v>
      </c>
      <c r="AN138" s="256" t="e">
        <f t="shared" ca="1" si="178"/>
        <v>#DIV/0!</v>
      </c>
      <c r="AO138" s="256" t="e">
        <f t="shared" ca="1" si="179"/>
        <v>#DIV/0!</v>
      </c>
    </row>
    <row r="139" spans="1:41" ht="22.5" hidden="1" customHeight="1">
      <c r="A139" s="257"/>
      <c r="B139" s="139" t="str">
        <f t="shared" si="181"/>
        <v/>
      </c>
      <c r="C139" s="140" t="str">
        <f t="shared" si="138"/>
        <v/>
      </c>
      <c r="D139" s="141" t="str">
        <f t="shared" si="139"/>
        <v/>
      </c>
      <c r="E139" s="140" t="str">
        <f t="shared" si="140"/>
        <v/>
      </c>
      <c r="F139" s="141" t="str">
        <f t="shared" si="141"/>
        <v/>
      </c>
      <c r="G139" s="140" t="str">
        <f t="shared" si="142"/>
        <v/>
      </c>
      <c r="H139" s="141" t="str">
        <f t="shared" si="143"/>
        <v/>
      </c>
      <c r="I139" s="140" t="str">
        <f t="shared" si="144"/>
        <v/>
      </c>
      <c r="J139" s="141" t="str">
        <f t="shared" si="145"/>
        <v/>
      </c>
      <c r="K139" s="140" t="str">
        <f t="shared" ca="1" si="146"/>
        <v/>
      </c>
      <c r="L139" s="141" t="str">
        <f t="shared" si="147"/>
        <v/>
      </c>
      <c r="M139" s="140" t="str">
        <f t="shared" ca="1" si="148"/>
        <v/>
      </c>
      <c r="N139" s="141" t="str">
        <f t="shared" si="149"/>
        <v/>
      </c>
      <c r="O139" s="140" t="str">
        <f t="shared" ca="1" si="182"/>
        <v/>
      </c>
      <c r="P139" s="141" t="str">
        <f t="shared" si="151"/>
        <v/>
      </c>
      <c r="Q139" s="140" t="str">
        <f t="shared" ca="1" si="152"/>
        <v/>
      </c>
      <c r="R139" s="141" t="str">
        <f t="shared" si="153"/>
        <v/>
      </c>
      <c r="S139" s="140" t="str">
        <f t="shared" ca="1" si="154"/>
        <v/>
      </c>
      <c r="T139" s="141" t="str">
        <f t="shared" si="155"/>
        <v/>
      </c>
      <c r="U139" s="140" t="str">
        <f t="shared" ca="1" si="156"/>
        <v/>
      </c>
      <c r="V139" s="141" t="str">
        <f t="shared" si="157"/>
        <v/>
      </c>
      <c r="W139" s="140" t="str">
        <f t="shared" ca="1" si="158"/>
        <v/>
      </c>
      <c r="X139" s="141" t="str">
        <f t="shared" si="159"/>
        <v/>
      </c>
      <c r="Y139" s="140" t="str">
        <f t="shared" ca="1" si="160"/>
        <v/>
      </c>
      <c r="Z139" s="141" t="str">
        <f t="shared" si="161"/>
        <v/>
      </c>
      <c r="AA139" s="140" t="str">
        <f t="shared" ca="1" si="162"/>
        <v/>
      </c>
      <c r="AB139" s="141" t="str">
        <f t="shared" si="163"/>
        <v/>
      </c>
      <c r="AC139" s="140" t="str">
        <f t="shared" ca="1" si="164"/>
        <v/>
      </c>
      <c r="AD139" s="141" t="str">
        <f t="shared" si="165"/>
        <v/>
      </c>
      <c r="AL139" s="196" t="e">
        <f t="shared" ca="1" si="176"/>
        <v>#DIV/0!</v>
      </c>
      <c r="AM139" s="70" t="e">
        <f t="shared" ca="1" si="177"/>
        <v>#DIV/0!</v>
      </c>
      <c r="AN139" s="256" t="e">
        <f t="shared" ca="1" si="178"/>
        <v>#DIV/0!</v>
      </c>
      <c r="AO139" s="256" t="e">
        <f t="shared" ca="1" si="179"/>
        <v>#DIV/0!</v>
      </c>
    </row>
    <row r="140" spans="1:41" ht="22.5" hidden="1" customHeight="1">
      <c r="A140" s="257"/>
      <c r="B140" s="139" t="str">
        <f t="shared" si="181"/>
        <v/>
      </c>
      <c r="C140" s="140" t="str">
        <f t="shared" si="138"/>
        <v/>
      </c>
      <c r="D140" s="141" t="str">
        <f t="shared" si="139"/>
        <v/>
      </c>
      <c r="E140" s="140" t="str">
        <f t="shared" si="140"/>
        <v/>
      </c>
      <c r="F140" s="141" t="str">
        <f t="shared" si="141"/>
        <v/>
      </c>
      <c r="G140" s="140" t="str">
        <f t="shared" si="142"/>
        <v/>
      </c>
      <c r="H140" s="141" t="str">
        <f t="shared" si="143"/>
        <v/>
      </c>
      <c r="I140" s="140" t="str">
        <f t="shared" si="144"/>
        <v/>
      </c>
      <c r="J140" s="141" t="str">
        <f t="shared" si="145"/>
        <v/>
      </c>
      <c r="K140" s="140" t="str">
        <f t="shared" ca="1" si="146"/>
        <v/>
      </c>
      <c r="L140" s="141" t="str">
        <f t="shared" si="147"/>
        <v/>
      </c>
      <c r="M140" s="140" t="str">
        <f t="shared" ca="1" si="148"/>
        <v/>
      </c>
      <c r="N140" s="141" t="str">
        <f t="shared" si="149"/>
        <v/>
      </c>
      <c r="O140" s="140" t="str">
        <f t="shared" ca="1" si="182"/>
        <v/>
      </c>
      <c r="P140" s="141" t="str">
        <f t="shared" si="151"/>
        <v/>
      </c>
      <c r="Q140" s="140" t="str">
        <f t="shared" ca="1" si="152"/>
        <v/>
      </c>
      <c r="R140" s="141" t="str">
        <f t="shared" si="153"/>
        <v/>
      </c>
      <c r="S140" s="140" t="str">
        <f t="shared" ca="1" si="154"/>
        <v/>
      </c>
      <c r="T140" s="141" t="str">
        <f t="shared" si="155"/>
        <v/>
      </c>
      <c r="U140" s="140" t="str">
        <f t="shared" ca="1" si="156"/>
        <v/>
      </c>
      <c r="V140" s="141" t="str">
        <f t="shared" si="157"/>
        <v/>
      </c>
      <c r="W140" s="140" t="str">
        <f t="shared" ca="1" si="158"/>
        <v/>
      </c>
      <c r="X140" s="141" t="str">
        <f t="shared" si="159"/>
        <v/>
      </c>
      <c r="Y140" s="140" t="str">
        <f t="shared" ca="1" si="160"/>
        <v/>
      </c>
      <c r="Z140" s="141" t="str">
        <f t="shared" si="161"/>
        <v/>
      </c>
      <c r="AA140" s="140" t="str">
        <f t="shared" ca="1" si="162"/>
        <v/>
      </c>
      <c r="AB140" s="141" t="str">
        <f t="shared" si="163"/>
        <v/>
      </c>
      <c r="AC140" s="140" t="str">
        <f t="shared" ca="1" si="164"/>
        <v/>
      </c>
      <c r="AD140" s="141" t="str">
        <f t="shared" si="165"/>
        <v/>
      </c>
      <c r="AL140" s="196" t="e">
        <f t="shared" ca="1" si="176"/>
        <v>#DIV/0!</v>
      </c>
      <c r="AM140" s="70" t="e">
        <f t="shared" ca="1" si="177"/>
        <v>#DIV/0!</v>
      </c>
      <c r="AN140" s="256" t="e">
        <f t="shared" ca="1" si="178"/>
        <v>#DIV/0!</v>
      </c>
      <c r="AO140" s="256" t="e">
        <f t="shared" ca="1" si="179"/>
        <v>#DIV/0!</v>
      </c>
    </row>
  </sheetData>
  <sheetProtection algorithmName="SHA-512" hashValue="AdvH4tqp8B9au06mmCI5Atq6WYYbLeABl0Em/APOQgU1q2G53AiZbPi2sJEmR/7onoqnmxTzl1F351foV/B3/w==" saltValue="cNMNLhTvZBmdzZ4fygmE6g==" spinCount="100000" sheet="1" objects="1" scenarios="1"/>
  <mergeCells count="99">
    <mergeCell ref="I7:J7"/>
    <mergeCell ref="I8:J8"/>
    <mergeCell ref="S8:T8"/>
    <mergeCell ref="U8:V8"/>
    <mergeCell ref="K7:L7"/>
    <mergeCell ref="A1:Z1"/>
    <mergeCell ref="A3:B3"/>
    <mergeCell ref="E3:H3"/>
    <mergeCell ref="K3:M3"/>
    <mergeCell ref="E4:F4"/>
    <mergeCell ref="G4:H4"/>
    <mergeCell ref="K4:M5"/>
    <mergeCell ref="E5:F5"/>
    <mergeCell ref="G5:H5"/>
    <mergeCell ref="A7:A8"/>
    <mergeCell ref="C7:D7"/>
    <mergeCell ref="E7:F7"/>
    <mergeCell ref="G7:H7"/>
    <mergeCell ref="AI7:AJ7"/>
    <mergeCell ref="M7:N7"/>
    <mergeCell ref="O7:P7"/>
    <mergeCell ref="Q7:R7"/>
    <mergeCell ref="S7:T7"/>
    <mergeCell ref="U7:V7"/>
    <mergeCell ref="W7:X7"/>
    <mergeCell ref="Y7:Z7"/>
    <mergeCell ref="AA7:AB7"/>
    <mergeCell ref="AC7:AD7"/>
    <mergeCell ref="AE7:AF7"/>
    <mergeCell ref="AG7:AH7"/>
    <mergeCell ref="W8:X8"/>
    <mergeCell ref="Y8:Z8"/>
    <mergeCell ref="AA8:AB8"/>
    <mergeCell ref="A9:B9"/>
    <mergeCell ref="C9:D9"/>
    <mergeCell ref="E9:F9"/>
    <mergeCell ref="G9:H9"/>
    <mergeCell ref="I9:J9"/>
    <mergeCell ref="C8:D8"/>
    <mergeCell ref="E8:F8"/>
    <mergeCell ref="G8:H8"/>
    <mergeCell ref="O9:P9"/>
    <mergeCell ref="K8:L8"/>
    <mergeCell ref="M8:N8"/>
    <mergeCell ref="O8:P8"/>
    <mergeCell ref="Q8:R8"/>
    <mergeCell ref="AE8:AF8"/>
    <mergeCell ref="AI9:AJ9"/>
    <mergeCell ref="AC9:AD9"/>
    <mergeCell ref="AE9:AF9"/>
    <mergeCell ref="AG9:AH9"/>
    <mergeCell ref="AI8:AJ8"/>
    <mergeCell ref="AC8:AD8"/>
    <mergeCell ref="AG8:AH8"/>
    <mergeCell ref="A10:B10"/>
    <mergeCell ref="C10:D10"/>
    <mergeCell ref="E10:F10"/>
    <mergeCell ref="G10:H10"/>
    <mergeCell ref="I10:J10"/>
    <mergeCell ref="K10:L10"/>
    <mergeCell ref="M10:N10"/>
    <mergeCell ref="W9:X9"/>
    <mergeCell ref="Y9:Z9"/>
    <mergeCell ref="AA9:AB9"/>
    <mergeCell ref="K9:L9"/>
    <mergeCell ref="M9:N9"/>
    <mergeCell ref="Q9:R9"/>
    <mergeCell ref="S9:T9"/>
    <mergeCell ref="U9:V9"/>
    <mergeCell ref="AE10:AF10"/>
    <mergeCell ref="AG10:AH10"/>
    <mergeCell ref="AI10:AJ10"/>
    <mergeCell ref="O10:P10"/>
    <mergeCell ref="Q10:R10"/>
    <mergeCell ref="S10:T10"/>
    <mergeCell ref="U10:V10"/>
    <mergeCell ref="W10:X10"/>
    <mergeCell ref="Y10:Z10"/>
    <mergeCell ref="M11:N11"/>
    <mergeCell ref="O11:P11"/>
    <mergeCell ref="Q11:R11"/>
    <mergeCell ref="AA10:AB10"/>
    <mergeCell ref="AC10:AD10"/>
    <mergeCell ref="AE11:AF11"/>
    <mergeCell ref="AG11:AH11"/>
    <mergeCell ref="AI11:AJ11"/>
    <mergeCell ref="A103:C103"/>
    <mergeCell ref="S11:T11"/>
    <mergeCell ref="U11:V11"/>
    <mergeCell ref="W11:X11"/>
    <mergeCell ref="Y11:Z11"/>
    <mergeCell ref="AA11:AB11"/>
    <mergeCell ref="AC11:AD11"/>
    <mergeCell ref="A11:B11"/>
    <mergeCell ref="C11:D11"/>
    <mergeCell ref="E11:F11"/>
    <mergeCell ref="G11:H11"/>
    <mergeCell ref="I11:J11"/>
    <mergeCell ref="K11:L1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2:V46"/>
  <sheetViews>
    <sheetView showGridLines="0" tabSelected="1" topLeftCell="A4" zoomScaleNormal="100" workbookViewId="0">
      <selection activeCell="H53" sqref="H53"/>
    </sheetView>
  </sheetViews>
  <sheetFormatPr baseColWidth="10" defaultColWidth="11.42578125" defaultRowHeight="15.75"/>
  <cols>
    <col min="1" max="1" width="4.42578125" style="81" customWidth="1"/>
    <col min="2" max="2" width="8" style="81" customWidth="1"/>
    <col min="3" max="3" width="19.5703125" style="81" customWidth="1"/>
    <col min="4" max="4" width="18.5703125" style="81" customWidth="1"/>
    <col min="5" max="5" width="5.42578125" style="81" customWidth="1"/>
    <col min="6" max="6" width="10" style="81" customWidth="1"/>
    <col min="7" max="7" width="17" style="81" customWidth="1"/>
    <col min="8" max="8" width="23.42578125" style="81" customWidth="1"/>
    <col min="9" max="9" width="11.28515625" style="81" bestFit="1" customWidth="1"/>
    <col min="10" max="10" width="13.140625" style="81" bestFit="1" customWidth="1"/>
    <col min="11" max="11" width="20.42578125" style="81" customWidth="1"/>
    <col min="12" max="13" width="10" style="81" customWidth="1"/>
    <col min="14" max="14" width="15.5703125" style="81" customWidth="1"/>
    <col min="15" max="15" width="13.85546875" style="81" customWidth="1"/>
    <col min="16" max="16" width="18.85546875" style="81" customWidth="1"/>
    <col min="17" max="17" width="18.42578125" style="81" customWidth="1"/>
    <col min="18" max="18" width="35" style="81" customWidth="1"/>
    <col min="19" max="19" width="13.7109375" style="80" customWidth="1"/>
    <col min="20" max="20" width="8.28515625" style="80" customWidth="1"/>
    <col min="21" max="22" width="13.7109375" style="81" hidden="1" customWidth="1"/>
    <col min="23" max="16384" width="11.42578125" style="81"/>
  </cols>
  <sheetData>
    <row r="2" spans="2:22" ht="25.5" customHeight="1">
      <c r="B2" s="1165" t="str">
        <f>+'1_ENTREGA'!A1</f>
        <v>UNIVERSIDAD DE ANTIOQUIA</v>
      </c>
      <c r="C2" s="1166"/>
      <c r="D2" s="1166"/>
      <c r="E2" s="1166"/>
      <c r="F2" s="1166"/>
      <c r="G2" s="1166"/>
      <c r="H2" s="1166"/>
      <c r="I2" s="1166"/>
      <c r="J2" s="1166"/>
      <c r="K2" s="1166"/>
      <c r="L2" s="1166"/>
      <c r="M2" s="1166"/>
      <c r="N2" s="1166"/>
      <c r="O2" s="1166"/>
      <c r="P2" s="1166"/>
      <c r="Q2" s="1166"/>
      <c r="R2" s="1167"/>
    </row>
    <row r="3" spans="2:22" ht="48" customHeight="1">
      <c r="B3" s="1168" t="str">
        <f>+'1_ENTREGA'!A2</f>
        <v>Invitación Pública N° VA-033-2021</v>
      </c>
      <c r="C3" s="1169"/>
      <c r="D3" s="1169"/>
      <c r="E3" s="1169"/>
      <c r="F3" s="1169"/>
      <c r="G3" s="1169"/>
      <c r="H3" s="1169"/>
      <c r="I3" s="1169"/>
      <c r="J3" s="1169"/>
      <c r="K3" s="1169"/>
      <c r="L3" s="1169"/>
      <c r="M3" s="1169"/>
      <c r="N3" s="1169"/>
      <c r="O3" s="1169"/>
      <c r="P3" s="1169"/>
      <c r="Q3" s="1169"/>
      <c r="R3" s="1170"/>
    </row>
    <row r="4" spans="2:22" ht="69" customHeight="1">
      <c r="B4" s="1168"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del Proyecto nueva sede FNSP etapa1, ubicada en el Municipio de Medellín.</v>
      </c>
      <c r="C4" s="1169"/>
      <c r="D4" s="1169"/>
      <c r="E4" s="1169"/>
      <c r="F4" s="1169"/>
      <c r="G4" s="1169"/>
      <c r="H4" s="1169"/>
      <c r="I4" s="1169"/>
      <c r="J4" s="1169"/>
      <c r="K4" s="1169"/>
      <c r="L4" s="1169"/>
      <c r="M4" s="1169"/>
      <c r="N4" s="1169"/>
      <c r="O4" s="1169"/>
      <c r="P4" s="1169"/>
      <c r="Q4" s="1169"/>
      <c r="R4" s="1170"/>
    </row>
    <row r="5" spans="2:22" ht="26.25" customHeight="1">
      <c r="B5" s="1171" t="s">
        <v>67</v>
      </c>
      <c r="C5" s="1172"/>
      <c r="D5" s="1172"/>
      <c r="E5" s="1172"/>
      <c r="F5" s="1172"/>
      <c r="G5" s="1172"/>
      <c r="H5" s="1172"/>
      <c r="I5" s="1172"/>
      <c r="J5" s="1172"/>
      <c r="K5" s="1172"/>
      <c r="L5" s="1172"/>
      <c r="M5" s="1172"/>
      <c r="N5" s="1172"/>
      <c r="O5" s="1172"/>
      <c r="P5" s="1172"/>
      <c r="Q5" s="1172"/>
      <c r="R5" s="1173"/>
    </row>
    <row r="6" spans="2:22" ht="16.5" thickBot="1">
      <c r="B6" s="82"/>
      <c r="C6" s="82"/>
      <c r="D6" s="82"/>
      <c r="E6" s="82"/>
      <c r="F6" s="82"/>
      <c r="G6" s="82"/>
      <c r="H6" s="82"/>
      <c r="I6" s="82"/>
      <c r="J6" s="82"/>
      <c r="K6" s="82"/>
      <c r="L6" s="82"/>
      <c r="M6" s="82"/>
      <c r="N6" s="82"/>
      <c r="O6" s="82"/>
      <c r="P6" s="82"/>
      <c r="Q6" s="82"/>
    </row>
    <row r="7" spans="2:22" ht="18" customHeight="1" thickBot="1">
      <c r="B7" s="1174" t="s">
        <v>369</v>
      </c>
      <c r="C7" s="1174"/>
      <c r="D7" s="181">
        <v>3906.1</v>
      </c>
      <c r="E7" s="1174" t="s">
        <v>68</v>
      </c>
      <c r="F7" s="1174"/>
      <c r="G7" s="1174"/>
      <c r="H7" s="1175" t="s">
        <v>69</v>
      </c>
      <c r="I7" s="1175"/>
      <c r="J7" s="1175"/>
      <c r="K7" s="1175"/>
      <c r="L7" s="1175"/>
      <c r="M7"/>
      <c r="N7"/>
      <c r="O7" s="82"/>
      <c r="P7" s="83" t="s">
        <v>70</v>
      </c>
      <c r="Q7" s="84">
        <f>'6.2.2.1. EXPERIENCIA GRAL'!N6</f>
        <v>1239018064</v>
      </c>
      <c r="R7" s="143"/>
      <c r="S7" s="144"/>
    </row>
    <row r="8" spans="2:22" ht="20.25" customHeight="1" thickBot="1">
      <c r="B8" s="1176" t="s">
        <v>71</v>
      </c>
      <c r="C8" s="1176"/>
      <c r="D8" s="182">
        <v>44539</v>
      </c>
      <c r="E8" s="183">
        <v>1</v>
      </c>
      <c r="F8" s="1177" t="s">
        <v>72</v>
      </c>
      <c r="G8" s="1177"/>
      <c r="H8" s="695">
        <f>IF(($D$7-TRUNC($D$7))&lt;=0.5,1,2)</f>
        <v>1</v>
      </c>
      <c r="I8" s="1178" t="str">
        <f>IF(H8=3,VLOOKUP(H8,$E$8:$F$9,2,FALSE),IF(H8=2,VLOOKUP(H8,$E$8:$F$9,2,FALSE),IF(H8=1,VLOOKUP(H8,$E$8:$F$9,2,FALSE),"NINGUNO")))</f>
        <v>Media aritmética</v>
      </c>
      <c r="J8" s="1178"/>
      <c r="K8" s="1179">
        <f ca="1">IFERROR(IF($I$8="Media aritmética",ROUND(SUM(G16:G19)/Q8,2),ROUND(_xlfn.STDEV.P(G16:G19),2)),"")</f>
        <v>434212557</v>
      </c>
      <c r="L8" s="1179"/>
      <c r="M8"/>
      <c r="N8"/>
      <c r="O8" s="82"/>
      <c r="P8" s="85" t="s">
        <v>73</v>
      </c>
      <c r="Q8" s="86">
        <f ca="1">IFERROR(COUNTIF(F16:F32,"H"),0)</f>
        <v>3</v>
      </c>
      <c r="R8" s="143"/>
    </row>
    <row r="9" spans="2:22" ht="16.5" customHeight="1" thickBot="1">
      <c r="B9" s="1176" t="s">
        <v>349</v>
      </c>
      <c r="C9" s="1176"/>
      <c r="D9" s="184">
        <v>431388535</v>
      </c>
      <c r="E9" s="183">
        <v>2</v>
      </c>
      <c r="F9" s="1177" t="s">
        <v>74</v>
      </c>
      <c r="G9" s="1177"/>
      <c r="H9" s="82"/>
      <c r="I9" s="1180" t="s">
        <v>432</v>
      </c>
      <c r="J9" s="1180"/>
      <c r="K9" s="1180">
        <f ca="1">IFERROR(IF($I$8="Media aritmética",ROUND(SUM(H16:H19)/Q8,2),ROUND(_xlfn.STDEV.P(H16:H19),2)),"")</f>
        <v>2.33</v>
      </c>
      <c r="L9" s="1180"/>
      <c r="M9"/>
      <c r="N9"/>
      <c r="O9" s="87"/>
      <c r="P9" s="82"/>
      <c r="Q9" s="82"/>
    </row>
    <row r="10" spans="2:22" ht="21" customHeight="1" thickBot="1">
      <c r="B10" s="1176" t="s">
        <v>350</v>
      </c>
      <c r="C10" s="1176"/>
      <c r="D10" s="184">
        <v>444730448</v>
      </c>
      <c r="E10" s="82"/>
      <c r="F10" s="82"/>
      <c r="G10" s="82"/>
      <c r="H10" s="82"/>
      <c r="I10" s="82"/>
      <c r="J10" s="82"/>
      <c r="K10" s="82"/>
      <c r="L10" s="82"/>
      <c r="M10" s="82"/>
      <c r="N10" s="82"/>
      <c r="O10" s="82"/>
      <c r="P10" s="82"/>
      <c r="Q10" s="82"/>
    </row>
    <row r="11" spans="2:22" ht="18.75" customHeight="1" thickBot="1">
      <c r="B11" s="1176" t="s">
        <v>182</v>
      </c>
      <c r="C11" s="1176"/>
      <c r="D11" s="296">
        <v>2.36</v>
      </c>
      <c r="E11" s="82"/>
      <c r="F11" s="82"/>
      <c r="G11" s="82"/>
      <c r="H11" s="82"/>
      <c r="I11" s="82"/>
      <c r="J11" s="82"/>
      <c r="K11" s="82"/>
      <c r="L11" s="82"/>
      <c r="M11" s="82"/>
      <c r="N11" s="82"/>
      <c r="O11" s="82"/>
      <c r="P11" s="82"/>
      <c r="Q11" s="82"/>
    </row>
    <row r="12" spans="2:22" ht="20.25" customHeight="1" thickBot="1">
      <c r="B12" s="1176" t="s">
        <v>351</v>
      </c>
      <c r="C12" s="1176"/>
      <c r="D12" s="296">
        <v>2.29</v>
      </c>
      <c r="E12" s="82"/>
      <c r="F12" s="82"/>
      <c r="G12" s="82"/>
      <c r="H12" s="82"/>
      <c r="I12" s="82"/>
      <c r="J12" s="82"/>
      <c r="K12" s="82"/>
      <c r="L12" s="82"/>
      <c r="M12" s="82"/>
      <c r="N12" s="82"/>
      <c r="O12" s="82"/>
      <c r="P12" s="82"/>
      <c r="Q12" s="82"/>
    </row>
    <row r="13" spans="2:22" ht="20.25" customHeight="1" thickBot="1">
      <c r="B13" s="1176" t="s">
        <v>370</v>
      </c>
      <c r="C13" s="1176"/>
      <c r="D13" s="685">
        <v>1239018064</v>
      </c>
      <c r="E13" s="82"/>
      <c r="F13" s="82"/>
      <c r="G13" s="82"/>
      <c r="I13" s="1161" t="s">
        <v>75</v>
      </c>
      <c r="J13" s="1162"/>
      <c r="K13" s="1162"/>
      <c r="L13" s="1163"/>
      <c r="M13" s="267"/>
      <c r="N13" s="88" t="s">
        <v>57</v>
      </c>
      <c r="O13" s="82"/>
    </row>
    <row r="14" spans="2:22" ht="18" customHeight="1">
      <c r="B14" s="89"/>
      <c r="C14" s="87"/>
      <c r="D14" s="89"/>
      <c r="E14" s="87"/>
      <c r="F14" s="90" t="s">
        <v>76</v>
      </c>
      <c r="G14" s="87"/>
      <c r="I14" s="185">
        <v>100</v>
      </c>
      <c r="J14" s="185">
        <v>120</v>
      </c>
      <c r="K14" s="185">
        <v>80</v>
      </c>
      <c r="L14" s="185">
        <v>100</v>
      </c>
      <c r="M14" s="185">
        <v>100</v>
      </c>
      <c r="N14" s="88">
        <f>+SUM(I14:M14)</f>
        <v>500</v>
      </c>
      <c r="O14" s="82"/>
    </row>
    <row r="15" spans="2:22" ht="47.25" customHeight="1">
      <c r="B15" s="91" t="s">
        <v>77</v>
      </c>
      <c r="C15" s="1161" t="s">
        <v>78</v>
      </c>
      <c r="D15" s="1162"/>
      <c r="E15" s="1163"/>
      <c r="F15" s="92" t="s">
        <v>79</v>
      </c>
      <c r="G15" s="91" t="s">
        <v>80</v>
      </c>
      <c r="H15" s="91" t="s">
        <v>180</v>
      </c>
      <c r="I15" s="93" t="s">
        <v>81</v>
      </c>
      <c r="J15" s="93" t="s">
        <v>82</v>
      </c>
      <c r="K15" s="93" t="s">
        <v>83</v>
      </c>
      <c r="L15" s="93" t="s">
        <v>84</v>
      </c>
      <c r="M15" s="93" t="s">
        <v>181</v>
      </c>
      <c r="N15" s="94" t="s">
        <v>85</v>
      </c>
      <c r="O15" s="94" t="s">
        <v>86</v>
      </c>
      <c r="P15" s="1161" t="s">
        <v>87</v>
      </c>
      <c r="Q15" s="1162"/>
      <c r="R15" s="1163"/>
      <c r="U15" s="1164" t="s">
        <v>88</v>
      </c>
      <c r="V15" s="1164"/>
    </row>
    <row r="16" spans="2:22" s="102" customFormat="1" ht="92.25" customHeight="1">
      <c r="B16" s="95">
        <f>+IF('[2]1_ENTREGA'!A8="","",'[2]1_ENTREGA'!A8)</f>
        <v>1</v>
      </c>
      <c r="C16" s="1151" t="str">
        <f>IF(B16="","",VLOOKUP(B16,LISTA_OFERENTES,2,FALSE))</f>
        <v>INTERVE S.A.S.</v>
      </c>
      <c r="D16" s="1152"/>
      <c r="E16" s="1153"/>
      <c r="F16" s="96" t="str">
        <f t="shared" ref="F16:F32" si="0">IFERROR(IF(VLOOKUP(B16,ESTATUS,10,FALSE)=0, " ",VLOOKUP(B16,ESTATUS,10,FALSE))," ")</f>
        <v>NH</v>
      </c>
      <c r="G16" s="97" t="str">
        <f>IF(OR(F16="NH",F16=""),"",IF(VLOOKUP(B16,V_UNITARIOS,2,FALSE)&gt;$D$10,"REVISAR",ROUND(VLOOKUP(B16,V_UNITARIOS,2,FALSE),0)))</f>
        <v/>
      </c>
      <c r="H16" s="98"/>
      <c r="I16" s="99" t="str">
        <f>IF(G16="","",IF($I$8="Media aritmética",(G16&lt;=$K$8)*100+(G16&gt;$K$8)*0,IF(AND((AVERAGE($G$16:$G$29)-$K$8/2&lt;=G16),(G16&lt;=(AVERAGE($G$16:$G$29)+$K$8/2))),100,0)))</f>
        <v/>
      </c>
      <c r="J16" s="99" t="str">
        <f t="shared" ref="J16:J32" si="1">+IF(F16="H",HLOOKUP(B16,PT_2,3,FALSE),"")</f>
        <v/>
      </c>
      <c r="K16" s="99" t="str">
        <f t="shared" ref="K16:K32" si="2">+IF(F16="H",HLOOKUP(B16,PT_2,4,FALSE),"")</f>
        <v/>
      </c>
      <c r="L16" s="99" t="str">
        <f>IF(H16="","",IF($I$8="Media aritmética",(H16&lt;=$K$9)*100+(H16&gt;$K$9)*0,IF(AND((AVERAGE($H$17:$H$30)-$K$9/2&lt;=H16),(H16&lt;=(AVERAGE($H$16:$H$29)+$K$9/2))),100,0)))</f>
        <v/>
      </c>
      <c r="M16" s="99"/>
      <c r="N16" s="100" t="str">
        <f t="shared" ref="N16:N32" si="3">IF(OR(F16="",F16="NH"),"",SUM(I16:M16))</f>
        <v/>
      </c>
      <c r="O16" s="101" t="str">
        <f t="shared" ref="O16:O32" si="4">IFERROR(IF(OR(F16=" ",F16="NH")," ",VLOOKUP(N16,ORDEN,2,FALSE))," ")</f>
        <v xml:space="preserve"> </v>
      </c>
      <c r="P16" s="1148" t="str">
        <f>+RESUMEN!K5</f>
        <v>Se inhabilita la propuesta conforme lo dispuesto en los Términos de Referencia: 
16. Rechazo y eliminación de propuestas comerciales:
16.7 Cuando el valor de la propuesta corregida supera el presupuesto oficial o los valores límites establecidos en el numeral 14.2.1 para Pt1y Pt3.
16.9 Cuando el proponente, habiendo sido requerido por la Universidad para aportar documentos, suministrar información o hacer aclaraciones conforme a lo establecido en esta Invitación, no los allegue dentro del término fijado para el efecto en la respectiva comunicación, o que habiéndolos aportado no estén conformes con lo exigido en la comunicación.
16.18 El OFERENTE no presente la Garantía de Seriedad de la propuesta o no cumpla con lo estipulado para dicha garantía.</v>
      </c>
      <c r="Q16" s="1149"/>
      <c r="R16" s="1150"/>
      <c r="U16" s="103">
        <f ca="1">IFERROR(LARGE($N$16:$N$19,V16)," ")</f>
        <v>308.57142857142856</v>
      </c>
      <c r="V16" s="104">
        <v>1</v>
      </c>
    </row>
    <row r="17" spans="2:22" s="102" customFormat="1">
      <c r="B17" s="95">
        <f>+IF('[2]1_ENTREGA'!A9="","",'[2]1_ENTREGA'!A9)</f>
        <v>2</v>
      </c>
      <c r="C17" s="1151" t="str">
        <f t="shared" ref="C17:C31" si="5">IF(B17="","",VLOOKUP(B17,LISTA_OFERENTES,2,FALSE))</f>
        <v>CONSORCIO VALCO - ACI</v>
      </c>
      <c r="D17" s="1152"/>
      <c r="E17" s="1153"/>
      <c r="F17" s="96" t="str">
        <f t="shared" si="0"/>
        <v>H</v>
      </c>
      <c r="G17" s="97">
        <v>434689842</v>
      </c>
      <c r="H17" s="698">
        <v>2.3199999999999998</v>
      </c>
      <c r="I17" s="99">
        <f t="shared" ref="I17:I33" ca="1" si="6">IF(G17="","",IF($I$8="Media aritmética",(G17&lt;=$K$8)*100+(G17&gt;$K$8)*0,IF(AND((AVERAGE($G$16:$G$29)-$K$8/2&lt;=G17),(G17&lt;=(AVERAGE($G$16:$G$29)+$K$8/2))),100,0)))</f>
        <v>0</v>
      </c>
      <c r="J17" s="99">
        <f t="shared" ca="1" si="1"/>
        <v>68.571428571428569</v>
      </c>
      <c r="K17" s="99">
        <f t="shared" ca="1" si="2"/>
        <v>40</v>
      </c>
      <c r="L17" s="99">
        <f t="shared" ref="L17:L32" ca="1" si="7">IF(H17="","",IF($I$8="Media aritmética",(H17&lt;=$K$9)*100+(H17&gt;$K$9)*0,IF(AND((AVERAGE($H$17:$H$30)-$K$9/2&lt;=H17),(H17&lt;=(AVERAGE($H$16:$H$29)+$K$9/2))),100,0)))</f>
        <v>100</v>
      </c>
      <c r="M17" s="99">
        <v>100</v>
      </c>
      <c r="N17" s="100">
        <f t="shared" ca="1" si="3"/>
        <v>308.57142857142856</v>
      </c>
      <c r="O17" s="101">
        <f t="shared" ca="1" si="4"/>
        <v>1</v>
      </c>
      <c r="P17" s="1148" t="str">
        <f>+RESUMEN!K6</f>
        <v>Cumple con todos los requisitos habilitantes para la fase II</v>
      </c>
      <c r="Q17" s="1149"/>
      <c r="R17" s="1150"/>
      <c r="U17" s="103">
        <f t="shared" ref="U17:U32" ca="1" si="8">IFERROR(LARGE($N$16:$N$19,V17)," ")</f>
        <v>225.71428571428572</v>
      </c>
      <c r="V17" s="104">
        <v>2</v>
      </c>
    </row>
    <row r="18" spans="2:22" s="102" customFormat="1">
      <c r="B18" s="95">
        <f>+IF('[2]1_ENTREGA'!A10="","",'[2]1_ENTREGA'!A10)</f>
        <v>3</v>
      </c>
      <c r="C18" s="1151" t="str">
        <f t="shared" si="5"/>
        <v>ARQ S.A.S.</v>
      </c>
      <c r="D18" s="1152"/>
      <c r="E18" s="1153"/>
      <c r="F18" s="96" t="str">
        <f t="shared" si="0"/>
        <v>H</v>
      </c>
      <c r="G18" s="97">
        <v>435321650</v>
      </c>
      <c r="H18" s="698">
        <v>2.3199999999999998</v>
      </c>
      <c r="I18" s="99">
        <f t="shared" ca="1" si="6"/>
        <v>0</v>
      </c>
      <c r="J18" s="99">
        <f t="shared" ca="1" si="1"/>
        <v>34.285714285714285</v>
      </c>
      <c r="K18" s="99">
        <f t="shared" ca="1" si="2"/>
        <v>40</v>
      </c>
      <c r="L18" s="99">
        <f t="shared" ca="1" si="7"/>
        <v>100</v>
      </c>
      <c r="M18" s="99">
        <v>0</v>
      </c>
      <c r="N18" s="100">
        <f t="shared" ca="1" si="3"/>
        <v>174.28571428571428</v>
      </c>
      <c r="O18" s="101">
        <f t="shared" ca="1" si="4"/>
        <v>3</v>
      </c>
      <c r="P18" s="1148" t="str">
        <f>+RESUMEN!K7</f>
        <v>Cumple con todos los requisitos habilitantes para la fase II</v>
      </c>
      <c r="Q18" s="1149"/>
      <c r="R18" s="1150"/>
      <c r="U18" s="103">
        <f t="shared" ca="1" si="8"/>
        <v>174.28571428571428</v>
      </c>
      <c r="V18" s="104">
        <v>3</v>
      </c>
    </row>
    <row r="19" spans="2:22" s="102" customFormat="1">
      <c r="B19" s="95">
        <f>+IF('[2]1_ENTREGA'!A11="","",'[2]1_ENTREGA'!A11)</f>
        <v>4</v>
      </c>
      <c r="C19" s="1151" t="str">
        <f t="shared" si="5"/>
        <v>PREVEO S.A.S.</v>
      </c>
      <c r="D19" s="1152"/>
      <c r="E19" s="1153"/>
      <c r="F19" s="96" t="str">
        <f t="shared" si="0"/>
        <v>H</v>
      </c>
      <c r="G19" s="97">
        <v>432626179</v>
      </c>
      <c r="H19" s="698">
        <v>2.34</v>
      </c>
      <c r="I19" s="99">
        <f t="shared" ca="1" si="6"/>
        <v>100</v>
      </c>
      <c r="J19" s="99">
        <f t="shared" ca="1" si="1"/>
        <v>85.714285714285708</v>
      </c>
      <c r="K19" s="99">
        <f t="shared" ca="1" si="2"/>
        <v>40</v>
      </c>
      <c r="L19" s="99">
        <f t="shared" ca="1" si="7"/>
        <v>0</v>
      </c>
      <c r="M19" s="99">
        <v>0</v>
      </c>
      <c r="N19" s="100">
        <f t="shared" ca="1" si="3"/>
        <v>225.71428571428572</v>
      </c>
      <c r="O19" s="101">
        <f t="shared" ca="1" si="4"/>
        <v>2</v>
      </c>
      <c r="P19" s="1148" t="str">
        <f>+RESUMEN!K8</f>
        <v>Cumple con todos los requisitos habilitantes para la fase II</v>
      </c>
      <c r="Q19" s="1149"/>
      <c r="R19" s="1150"/>
      <c r="U19" s="103" t="str">
        <f t="shared" ca="1" si="8"/>
        <v xml:space="preserve"> </v>
      </c>
      <c r="V19" s="104">
        <v>4</v>
      </c>
    </row>
    <row r="20" spans="2:22" s="102" customFormat="1" hidden="1">
      <c r="B20" s="95">
        <f>+IF('[2]1_ENTREGA'!A12="","",'[2]1_ENTREGA'!A12)</f>
        <v>5</v>
      </c>
      <c r="C20" s="1151">
        <f t="shared" si="5"/>
        <v>0</v>
      </c>
      <c r="D20" s="1152"/>
      <c r="E20" s="1153"/>
      <c r="F20" s="96" t="str">
        <f t="shared" ca="1" si="0"/>
        <v xml:space="preserve"> </v>
      </c>
      <c r="G20" s="97">
        <f t="shared" ref="G20:G32" ca="1" si="9">IF(OR(F20="NH",F20=""),"",IF(VLOOKUP(B20,V_UNITARIOS,2,FALSE)&gt;$D$10,"REVISAR",ROUND(VLOOKUP(B20,V_UNITARIOS,2,FALSE),0)))</f>
        <v>0</v>
      </c>
      <c r="H20" s="98">
        <f t="shared" ref="H20:H32" ca="1" si="10">IF(OR(F20="NH",F20=""),"",IF(VLOOKUP(B20,AU,2,FALSE)&gt;$D$10,"REVISAR",VLOOKUP(B20,AU,2,FALSE)))</f>
        <v>0</v>
      </c>
      <c r="I20" s="99">
        <f t="shared" ca="1" si="6"/>
        <v>100</v>
      </c>
      <c r="J20" s="99" t="str">
        <f t="shared" ca="1" si="1"/>
        <v/>
      </c>
      <c r="K20" s="99" t="str">
        <f t="shared" ca="1" si="2"/>
        <v/>
      </c>
      <c r="L20" s="99">
        <f t="shared" ca="1" si="7"/>
        <v>100</v>
      </c>
      <c r="M20" s="99"/>
      <c r="N20" s="100">
        <f t="shared" ca="1" si="3"/>
        <v>200</v>
      </c>
      <c r="O20" s="101" t="str">
        <f t="shared" ca="1" si="4"/>
        <v xml:space="preserve"> </v>
      </c>
      <c r="P20" s="1148">
        <f>+RESUMEN!K9</f>
        <v>0</v>
      </c>
      <c r="Q20" s="1149"/>
      <c r="R20" s="1150"/>
      <c r="U20" s="103" t="str">
        <f t="shared" ca="1" si="8"/>
        <v xml:space="preserve"> </v>
      </c>
      <c r="V20" s="104">
        <v>5</v>
      </c>
    </row>
    <row r="21" spans="2:22" s="102" customFormat="1" hidden="1">
      <c r="B21" s="95">
        <f>+IF('[2]1_ENTREGA'!A13="","",'[2]1_ENTREGA'!A13)</f>
        <v>6</v>
      </c>
      <c r="C21" s="1151">
        <f t="shared" si="5"/>
        <v>0</v>
      </c>
      <c r="D21" s="1152"/>
      <c r="E21" s="1153"/>
      <c r="F21" s="96" t="str">
        <f t="shared" ca="1" si="0"/>
        <v xml:space="preserve"> </v>
      </c>
      <c r="G21" s="97">
        <f t="shared" ca="1" si="9"/>
        <v>0</v>
      </c>
      <c r="H21" s="98">
        <f t="shared" ca="1" si="10"/>
        <v>0</v>
      </c>
      <c r="I21" s="99">
        <f t="shared" ca="1" si="6"/>
        <v>100</v>
      </c>
      <c r="J21" s="99" t="str">
        <f t="shared" ca="1" si="1"/>
        <v/>
      </c>
      <c r="K21" s="99" t="str">
        <f t="shared" ca="1" si="2"/>
        <v/>
      </c>
      <c r="L21" s="99">
        <f t="shared" ca="1" si="7"/>
        <v>100</v>
      </c>
      <c r="M21" s="99"/>
      <c r="N21" s="100">
        <f t="shared" ca="1" si="3"/>
        <v>200</v>
      </c>
      <c r="O21" s="101" t="str">
        <f t="shared" ca="1" si="4"/>
        <v xml:space="preserve"> </v>
      </c>
      <c r="P21" s="1148">
        <f>+RESUMEN!K10</f>
        <v>0</v>
      </c>
      <c r="Q21" s="1149"/>
      <c r="R21" s="1150"/>
      <c r="U21" s="103" t="str">
        <f t="shared" ca="1" si="8"/>
        <v xml:space="preserve"> </v>
      </c>
      <c r="V21" s="104">
        <v>6</v>
      </c>
    </row>
    <row r="22" spans="2:22" s="102" customFormat="1" ht="109.5" hidden="1" customHeight="1">
      <c r="B22" s="95">
        <f>+IF('[2]1_ENTREGA'!A14="","",'[2]1_ENTREGA'!A14)</f>
        <v>7</v>
      </c>
      <c r="C22" s="1151">
        <f t="shared" si="5"/>
        <v>0</v>
      </c>
      <c r="D22" s="1152"/>
      <c r="E22" s="1153"/>
      <c r="F22" s="96" t="str">
        <f t="shared" ca="1" si="0"/>
        <v xml:space="preserve"> </v>
      </c>
      <c r="G22" s="97">
        <f t="shared" ca="1" si="9"/>
        <v>0</v>
      </c>
      <c r="H22" s="98">
        <f t="shared" ca="1" si="10"/>
        <v>0</v>
      </c>
      <c r="I22" s="99">
        <f t="shared" ca="1" si="6"/>
        <v>100</v>
      </c>
      <c r="J22" s="99" t="str">
        <f t="shared" ca="1" si="1"/>
        <v/>
      </c>
      <c r="K22" s="99" t="str">
        <f t="shared" ca="1" si="2"/>
        <v/>
      </c>
      <c r="L22" s="99">
        <f t="shared" ca="1" si="7"/>
        <v>100</v>
      </c>
      <c r="M22" s="99"/>
      <c r="N22" s="100">
        <f t="shared" ca="1" si="3"/>
        <v>200</v>
      </c>
      <c r="O22" s="101" t="str">
        <f t="shared" ca="1" si="4"/>
        <v xml:space="preserve"> </v>
      </c>
      <c r="P22" s="1158">
        <f>+RESUMEN!K11</f>
        <v>0</v>
      </c>
      <c r="Q22" s="1159"/>
      <c r="R22" s="1160"/>
      <c r="U22" s="103" t="str">
        <f t="shared" ca="1" si="8"/>
        <v xml:space="preserve"> </v>
      </c>
      <c r="V22" s="104">
        <v>7</v>
      </c>
    </row>
    <row r="23" spans="2:22" s="102" customFormat="1" hidden="1">
      <c r="B23" s="95">
        <f>+IF('[2]1_ENTREGA'!A15="","",'[2]1_ENTREGA'!A15)</f>
        <v>8</v>
      </c>
      <c r="C23" s="1151">
        <f t="shared" si="5"/>
        <v>0</v>
      </c>
      <c r="D23" s="1152"/>
      <c r="E23" s="1153"/>
      <c r="F23" s="96" t="str">
        <f t="shared" ca="1" si="0"/>
        <v xml:space="preserve"> </v>
      </c>
      <c r="G23" s="97">
        <f t="shared" ca="1" si="9"/>
        <v>0</v>
      </c>
      <c r="H23" s="98">
        <f t="shared" ca="1" si="10"/>
        <v>0</v>
      </c>
      <c r="I23" s="99">
        <f t="shared" ca="1" si="6"/>
        <v>100</v>
      </c>
      <c r="J23" s="99" t="str">
        <f t="shared" ca="1" si="1"/>
        <v/>
      </c>
      <c r="K23" s="99" t="str">
        <f t="shared" ca="1" si="2"/>
        <v/>
      </c>
      <c r="L23" s="99">
        <f t="shared" ca="1" si="7"/>
        <v>100</v>
      </c>
      <c r="M23" s="99"/>
      <c r="N23" s="100">
        <f t="shared" ca="1" si="3"/>
        <v>200</v>
      </c>
      <c r="O23" s="101" t="str">
        <f t="shared" ca="1" si="4"/>
        <v xml:space="preserve"> </v>
      </c>
      <c r="P23" s="1148">
        <f>+RESUMEN!K12</f>
        <v>0</v>
      </c>
      <c r="Q23" s="1149"/>
      <c r="R23" s="1150"/>
      <c r="U23" s="103" t="str">
        <f t="shared" ca="1" si="8"/>
        <v xml:space="preserve"> </v>
      </c>
      <c r="V23" s="104">
        <v>8</v>
      </c>
    </row>
    <row r="24" spans="2:22" s="102" customFormat="1" ht="15" hidden="1" customHeight="1">
      <c r="B24" s="95">
        <f>+IF('[2]1_ENTREGA'!A16="","",'[2]1_ENTREGA'!A16)</f>
        <v>9</v>
      </c>
      <c r="C24" s="1151">
        <f t="shared" si="5"/>
        <v>0</v>
      </c>
      <c r="D24" s="1152"/>
      <c r="E24" s="1153"/>
      <c r="F24" s="96" t="str">
        <f t="shared" ca="1" si="0"/>
        <v xml:space="preserve"> </v>
      </c>
      <c r="G24" s="97">
        <f t="shared" ca="1" si="9"/>
        <v>0</v>
      </c>
      <c r="H24" s="98">
        <f t="shared" ca="1" si="10"/>
        <v>0</v>
      </c>
      <c r="I24" s="99">
        <f t="shared" ca="1" si="6"/>
        <v>100</v>
      </c>
      <c r="J24" s="99" t="str">
        <f t="shared" ca="1" si="1"/>
        <v/>
      </c>
      <c r="K24" s="99" t="str">
        <f t="shared" ca="1" si="2"/>
        <v/>
      </c>
      <c r="L24" s="99">
        <f t="shared" ca="1" si="7"/>
        <v>100</v>
      </c>
      <c r="M24" s="99"/>
      <c r="N24" s="100">
        <f t="shared" ca="1" si="3"/>
        <v>200</v>
      </c>
      <c r="O24" s="101" t="str">
        <f t="shared" ca="1" si="4"/>
        <v xml:space="preserve"> </v>
      </c>
      <c r="P24" s="1148">
        <f>+RESUMEN!K13</f>
        <v>0</v>
      </c>
      <c r="Q24" s="1149"/>
      <c r="R24" s="1150"/>
      <c r="U24" s="103" t="str">
        <f t="shared" ca="1" si="8"/>
        <v xml:space="preserve"> </v>
      </c>
      <c r="V24" s="104">
        <v>9</v>
      </c>
    </row>
    <row r="25" spans="2:22" s="102" customFormat="1" hidden="1">
      <c r="B25" s="95">
        <f>+IF('[2]1_ENTREGA'!A17="","",'[2]1_ENTREGA'!A17)</f>
        <v>10</v>
      </c>
      <c r="C25" s="1151">
        <f t="shared" si="5"/>
        <v>0</v>
      </c>
      <c r="D25" s="1152"/>
      <c r="E25" s="1153"/>
      <c r="F25" s="96" t="str">
        <f t="shared" ca="1" si="0"/>
        <v xml:space="preserve"> </v>
      </c>
      <c r="G25" s="97">
        <f t="shared" ca="1" si="9"/>
        <v>0</v>
      </c>
      <c r="H25" s="98">
        <f t="shared" ca="1" si="10"/>
        <v>0</v>
      </c>
      <c r="I25" s="99">
        <f t="shared" ca="1" si="6"/>
        <v>100</v>
      </c>
      <c r="J25" s="99" t="str">
        <f t="shared" ca="1" si="1"/>
        <v/>
      </c>
      <c r="K25" s="99" t="str">
        <f t="shared" ca="1" si="2"/>
        <v/>
      </c>
      <c r="L25" s="99">
        <f t="shared" ca="1" si="7"/>
        <v>100</v>
      </c>
      <c r="M25" s="99"/>
      <c r="N25" s="100">
        <f t="shared" ca="1" si="3"/>
        <v>200</v>
      </c>
      <c r="O25" s="101" t="str">
        <f t="shared" ca="1" si="4"/>
        <v xml:space="preserve"> </v>
      </c>
      <c r="P25" s="1148">
        <f>+RESUMEN!K14</f>
        <v>0</v>
      </c>
      <c r="Q25" s="1149"/>
      <c r="R25" s="1150"/>
      <c r="U25" s="103" t="str">
        <f t="shared" ca="1" si="8"/>
        <v xml:space="preserve"> </v>
      </c>
      <c r="V25" s="104">
        <v>10</v>
      </c>
    </row>
    <row r="26" spans="2:22" s="102" customFormat="1" hidden="1">
      <c r="B26" s="95">
        <f>+IF('[2]1_ENTREGA'!A18="","",'[2]1_ENTREGA'!A18)</f>
        <v>11</v>
      </c>
      <c r="C26" s="1151">
        <f t="shared" si="5"/>
        <v>0</v>
      </c>
      <c r="D26" s="1152"/>
      <c r="E26" s="1153"/>
      <c r="F26" s="96" t="str">
        <f t="shared" ca="1" si="0"/>
        <v xml:space="preserve"> </v>
      </c>
      <c r="G26" s="97">
        <f t="shared" ca="1" si="9"/>
        <v>0</v>
      </c>
      <c r="H26" s="98">
        <f t="shared" ca="1" si="10"/>
        <v>0</v>
      </c>
      <c r="I26" s="99">
        <f t="shared" ca="1" si="6"/>
        <v>100</v>
      </c>
      <c r="J26" s="99" t="str">
        <f t="shared" ca="1" si="1"/>
        <v/>
      </c>
      <c r="K26" s="99" t="str">
        <f t="shared" ca="1" si="2"/>
        <v/>
      </c>
      <c r="L26" s="99">
        <f t="shared" ca="1" si="7"/>
        <v>100</v>
      </c>
      <c r="M26" s="99"/>
      <c r="N26" s="100">
        <f t="shared" ca="1" si="3"/>
        <v>200</v>
      </c>
      <c r="O26" s="101" t="str">
        <f t="shared" ca="1" si="4"/>
        <v xml:space="preserve"> </v>
      </c>
      <c r="P26" s="1148">
        <f>+RESUMEN!K15</f>
        <v>0</v>
      </c>
      <c r="Q26" s="1149"/>
      <c r="R26" s="1150"/>
      <c r="U26" s="103" t="str">
        <f t="shared" ca="1" si="8"/>
        <v xml:space="preserve"> </v>
      </c>
      <c r="V26" s="104">
        <v>11</v>
      </c>
    </row>
    <row r="27" spans="2:22" s="102" customFormat="1" hidden="1">
      <c r="B27" s="95">
        <f>+IF('[2]1_ENTREGA'!A19="","",'[2]1_ENTREGA'!A19)</f>
        <v>12</v>
      </c>
      <c r="C27" s="1151">
        <f t="shared" si="5"/>
        <v>0</v>
      </c>
      <c r="D27" s="1152"/>
      <c r="E27" s="1153"/>
      <c r="F27" s="96" t="str">
        <f t="shared" ca="1" si="0"/>
        <v xml:space="preserve"> </v>
      </c>
      <c r="G27" s="97">
        <f t="shared" ca="1" si="9"/>
        <v>0</v>
      </c>
      <c r="H27" s="98">
        <f t="shared" ca="1" si="10"/>
        <v>0</v>
      </c>
      <c r="I27" s="99">
        <f t="shared" ca="1" si="6"/>
        <v>100</v>
      </c>
      <c r="J27" s="99" t="str">
        <f t="shared" ca="1" si="1"/>
        <v/>
      </c>
      <c r="K27" s="99" t="str">
        <f t="shared" ca="1" si="2"/>
        <v/>
      </c>
      <c r="L27" s="99">
        <f t="shared" ca="1" si="7"/>
        <v>100</v>
      </c>
      <c r="M27" s="99"/>
      <c r="N27" s="100">
        <f t="shared" ca="1" si="3"/>
        <v>200</v>
      </c>
      <c r="O27" s="101" t="str">
        <f t="shared" ca="1" si="4"/>
        <v xml:space="preserve"> </v>
      </c>
      <c r="P27" s="1148">
        <f>+RESUMEN!K16</f>
        <v>0</v>
      </c>
      <c r="Q27" s="1149"/>
      <c r="R27" s="1150"/>
      <c r="U27" s="103" t="str">
        <f t="shared" ca="1" si="8"/>
        <v xml:space="preserve"> </v>
      </c>
      <c r="V27" s="104">
        <v>12</v>
      </c>
    </row>
    <row r="28" spans="2:22" s="102" customFormat="1" ht="147" hidden="1" customHeight="1">
      <c r="B28" s="95">
        <f>+IF('[2]1_ENTREGA'!A20="","",'[2]1_ENTREGA'!A20)</f>
        <v>13</v>
      </c>
      <c r="C28" s="1151">
        <f t="shared" si="5"/>
        <v>0</v>
      </c>
      <c r="D28" s="1152"/>
      <c r="E28" s="1153"/>
      <c r="F28" s="96" t="str">
        <f t="shared" ca="1" si="0"/>
        <v xml:space="preserve"> </v>
      </c>
      <c r="G28" s="97">
        <f t="shared" ca="1" si="9"/>
        <v>0</v>
      </c>
      <c r="H28" s="98">
        <f t="shared" ca="1" si="10"/>
        <v>0</v>
      </c>
      <c r="I28" s="99">
        <f t="shared" ca="1" si="6"/>
        <v>100</v>
      </c>
      <c r="J28" s="99" t="str">
        <f t="shared" ca="1" si="1"/>
        <v/>
      </c>
      <c r="K28" s="99" t="str">
        <f t="shared" ca="1" si="2"/>
        <v/>
      </c>
      <c r="L28" s="99">
        <f t="shared" ca="1" si="7"/>
        <v>100</v>
      </c>
      <c r="M28" s="99"/>
      <c r="N28" s="100">
        <f t="shared" ca="1" si="3"/>
        <v>200</v>
      </c>
      <c r="O28" s="101" t="str">
        <f t="shared" ca="1" si="4"/>
        <v xml:space="preserve"> </v>
      </c>
      <c r="P28" s="1148">
        <f>+RESUMEN!K17</f>
        <v>0</v>
      </c>
      <c r="Q28" s="1149"/>
      <c r="R28" s="1150"/>
      <c r="U28" s="103" t="str">
        <f t="shared" ca="1" si="8"/>
        <v xml:space="preserve"> </v>
      </c>
      <c r="V28" s="104">
        <v>13</v>
      </c>
    </row>
    <row r="29" spans="2:22" s="102" customFormat="1" hidden="1">
      <c r="B29" s="95">
        <f>+IF('[2]1_ENTREGA'!A21="","",'[2]1_ENTREGA'!A21)</f>
        <v>14</v>
      </c>
      <c r="C29" s="1151">
        <f t="shared" si="5"/>
        <v>0</v>
      </c>
      <c r="D29" s="1152"/>
      <c r="E29" s="1153"/>
      <c r="F29" s="96" t="str">
        <f t="shared" ca="1" si="0"/>
        <v xml:space="preserve"> </v>
      </c>
      <c r="G29" s="97">
        <f t="shared" ca="1" si="9"/>
        <v>0</v>
      </c>
      <c r="H29" s="98">
        <f t="shared" ca="1" si="10"/>
        <v>0</v>
      </c>
      <c r="I29" s="99">
        <f t="shared" ca="1" si="6"/>
        <v>100</v>
      </c>
      <c r="J29" s="99" t="str">
        <f t="shared" ca="1" si="1"/>
        <v/>
      </c>
      <c r="K29" s="99" t="str">
        <f t="shared" ca="1" si="2"/>
        <v/>
      </c>
      <c r="L29" s="99">
        <f t="shared" ca="1" si="7"/>
        <v>100</v>
      </c>
      <c r="M29" s="99"/>
      <c r="N29" s="100">
        <f t="shared" ca="1" si="3"/>
        <v>200</v>
      </c>
      <c r="O29" s="101" t="str">
        <f t="shared" ca="1" si="4"/>
        <v xml:space="preserve"> </v>
      </c>
      <c r="P29" s="1148">
        <f>+RESUMEN!K18</f>
        <v>0</v>
      </c>
      <c r="Q29" s="1149"/>
      <c r="R29" s="1150"/>
      <c r="U29" s="103" t="str">
        <f t="shared" ca="1" si="8"/>
        <v xml:space="preserve"> </v>
      </c>
      <c r="V29" s="104">
        <v>14</v>
      </c>
    </row>
    <row r="30" spans="2:22" s="102" customFormat="1" hidden="1">
      <c r="B30" s="95">
        <f>+IF('[2]1_ENTREGA'!A22="","",'[2]1_ENTREGA'!A22)</f>
        <v>15</v>
      </c>
      <c r="C30" s="1151">
        <f t="shared" si="5"/>
        <v>0</v>
      </c>
      <c r="D30" s="1152"/>
      <c r="E30" s="1153"/>
      <c r="F30" s="96" t="str">
        <f t="shared" si="0"/>
        <v xml:space="preserve"> </v>
      </c>
      <c r="G30" s="97">
        <f t="shared" si="9"/>
        <v>0</v>
      </c>
      <c r="H30" s="98" t="e">
        <f t="shared" si="10"/>
        <v>#N/A</v>
      </c>
      <c r="I30" s="99">
        <f t="shared" ca="1" si="6"/>
        <v>100</v>
      </c>
      <c r="J30" s="99" t="str">
        <f t="shared" si="1"/>
        <v/>
      </c>
      <c r="K30" s="99" t="str">
        <f t="shared" si="2"/>
        <v/>
      </c>
      <c r="L30" s="99" t="e">
        <f t="shared" si="7"/>
        <v>#N/A</v>
      </c>
      <c r="M30" s="99"/>
      <c r="N30" s="100" t="e">
        <f t="shared" ca="1" si="3"/>
        <v>#N/A</v>
      </c>
      <c r="O30" s="101" t="str">
        <f t="shared" si="4"/>
        <v xml:space="preserve"> </v>
      </c>
      <c r="P30" s="1154"/>
      <c r="Q30" s="1155"/>
      <c r="R30" s="1156"/>
      <c r="U30" s="103" t="str">
        <f t="shared" ca="1" si="8"/>
        <v xml:space="preserve"> </v>
      </c>
      <c r="V30" s="104">
        <v>15</v>
      </c>
    </row>
    <row r="31" spans="2:22" s="102" customFormat="1" hidden="1">
      <c r="B31" s="95">
        <f>+IF('[2]1_ENTREGA'!A23="","",'[2]1_ENTREGA'!A23)</f>
        <v>16</v>
      </c>
      <c r="C31" s="1151">
        <f t="shared" si="5"/>
        <v>0</v>
      </c>
      <c r="D31" s="1152"/>
      <c r="E31" s="1153"/>
      <c r="F31" s="96" t="str">
        <f t="shared" si="0"/>
        <v xml:space="preserve"> </v>
      </c>
      <c r="G31" s="97">
        <f t="shared" si="9"/>
        <v>0</v>
      </c>
      <c r="H31" s="98" t="e">
        <f t="shared" si="10"/>
        <v>#N/A</v>
      </c>
      <c r="I31" s="99">
        <f t="shared" ca="1" si="6"/>
        <v>100</v>
      </c>
      <c r="J31" s="99" t="str">
        <f t="shared" si="1"/>
        <v/>
      </c>
      <c r="K31" s="99" t="str">
        <f t="shared" si="2"/>
        <v/>
      </c>
      <c r="L31" s="99" t="e">
        <f t="shared" si="7"/>
        <v>#N/A</v>
      </c>
      <c r="M31" s="99"/>
      <c r="N31" s="100" t="e">
        <f t="shared" ca="1" si="3"/>
        <v>#N/A</v>
      </c>
      <c r="O31" s="101" t="str">
        <f t="shared" si="4"/>
        <v xml:space="preserve"> </v>
      </c>
      <c r="P31" s="1154"/>
      <c r="Q31" s="1155"/>
      <c r="R31" s="1156"/>
      <c r="U31" s="103" t="str">
        <f t="shared" ca="1" si="8"/>
        <v xml:space="preserve"> </v>
      </c>
      <c r="V31" s="104">
        <v>16</v>
      </c>
    </row>
    <row r="32" spans="2:22" s="102" customFormat="1" hidden="1">
      <c r="B32" s="95">
        <f>+IF('[2]1_ENTREGA'!A24="","",'[2]1_ENTREGA'!A24)</f>
        <v>17</v>
      </c>
      <c r="C32" s="1151">
        <f t="shared" ref="C32" si="11">IF(B32="","",VLOOKUP(B32,LISTA_OFERENTES,2,FALSE))</f>
        <v>0</v>
      </c>
      <c r="D32" s="1152"/>
      <c r="E32" s="1153"/>
      <c r="F32" s="96" t="str">
        <f t="shared" si="0"/>
        <v xml:space="preserve"> </v>
      </c>
      <c r="G32" s="97">
        <f t="shared" si="9"/>
        <v>0</v>
      </c>
      <c r="H32" s="98" t="e">
        <f t="shared" si="10"/>
        <v>#N/A</v>
      </c>
      <c r="I32" s="99">
        <f t="shared" ca="1" si="6"/>
        <v>100</v>
      </c>
      <c r="J32" s="99" t="str">
        <f t="shared" si="1"/>
        <v/>
      </c>
      <c r="K32" s="99" t="str">
        <f t="shared" si="2"/>
        <v/>
      </c>
      <c r="L32" s="99" t="e">
        <f t="shared" si="7"/>
        <v>#N/A</v>
      </c>
      <c r="M32" s="99"/>
      <c r="N32" s="100" t="e">
        <f t="shared" ca="1" si="3"/>
        <v>#N/A</v>
      </c>
      <c r="O32" s="101" t="str">
        <f t="shared" si="4"/>
        <v xml:space="preserve"> </v>
      </c>
      <c r="P32" s="186"/>
      <c r="Q32" s="187"/>
      <c r="R32" s="188"/>
      <c r="U32" s="103" t="str">
        <f t="shared" ca="1" si="8"/>
        <v xml:space="preserve"> </v>
      </c>
      <c r="V32" s="104">
        <v>17</v>
      </c>
    </row>
    <row r="33" spans="2:13">
      <c r="G33" s="195"/>
      <c r="I33" s="81" t="str">
        <f t="shared" si="6"/>
        <v/>
      </c>
    </row>
    <row r="34" spans="2:13">
      <c r="F34" s="81" t="s">
        <v>89</v>
      </c>
    </row>
    <row r="35" spans="2:13" ht="12" customHeight="1"/>
    <row r="36" spans="2:13" hidden="1">
      <c r="G36" s="81" t="s">
        <v>150</v>
      </c>
      <c r="H36" s="193">
        <f ca="1">AVERAGE(G16:G29)</f>
        <v>100202897.76923077</v>
      </c>
    </row>
    <row r="37" spans="2:13" hidden="1">
      <c r="G37" s="81" t="s">
        <v>151</v>
      </c>
      <c r="H37" s="193">
        <f ca="1">_xlfn.STDEV.P(G16:G29)</f>
        <v>182945460.36272576</v>
      </c>
      <c r="K37" s="263"/>
      <c r="L37" s="105"/>
      <c r="M37" s="105"/>
    </row>
    <row r="38" spans="2:13" hidden="1">
      <c r="G38" s="81" t="s">
        <v>140</v>
      </c>
      <c r="H38" s="193">
        <f ca="1">+H36+(H37/2)</f>
        <v>191675627.95059365</v>
      </c>
      <c r="I38" s="193"/>
      <c r="J38" s="193"/>
      <c r="K38" s="193"/>
    </row>
    <row r="39" spans="2:13" hidden="1">
      <c r="G39" s="81" t="s">
        <v>141</v>
      </c>
      <c r="H39" s="193">
        <f ca="1">H36-(H37/2)</f>
        <v>8730167.5878678858</v>
      </c>
      <c r="K39" s="193"/>
    </row>
    <row r="40" spans="2:13" hidden="1">
      <c r="B40" s="95">
        <v>1</v>
      </c>
      <c r="C40" s="1151" t="s">
        <v>152</v>
      </c>
      <c r="D40" s="1152"/>
      <c r="E40" s="1153"/>
      <c r="F40" s="1157">
        <f>+PRESUPUESTO!Z38</f>
        <v>1245063901.3399999</v>
      </c>
      <c r="G40" s="1157"/>
      <c r="H40" s="681">
        <f>+$F$45-F40</f>
        <v>-6045837.3399999142</v>
      </c>
    </row>
    <row r="41" spans="2:13" hidden="1">
      <c r="B41" s="95">
        <v>2</v>
      </c>
      <c r="C41" s="1151" t="s">
        <v>237</v>
      </c>
      <c r="D41" s="1152"/>
      <c r="E41" s="1153"/>
      <c r="F41" s="1157">
        <f>+PRESUPUESTO!AW38</f>
        <v>1225474415</v>
      </c>
      <c r="G41" s="1157"/>
      <c r="H41" s="143">
        <f t="shared" ref="H41:H43" si="12">+$F$45-F41</f>
        <v>13543649</v>
      </c>
    </row>
    <row r="42" spans="2:13" hidden="1">
      <c r="B42" s="95">
        <v>3</v>
      </c>
      <c r="C42" s="1151" t="s">
        <v>238</v>
      </c>
      <c r="D42" s="1152"/>
      <c r="E42" s="1153"/>
      <c r="F42" s="1157">
        <f>+PRESUPUESTO!BT38</f>
        <v>1227218711.3199999</v>
      </c>
      <c r="G42" s="1157"/>
      <c r="H42" s="143">
        <f t="shared" si="12"/>
        <v>11799352.680000067</v>
      </c>
    </row>
    <row r="43" spans="2:13" hidden="1">
      <c r="B43" s="95">
        <v>4</v>
      </c>
      <c r="C43" s="1151" t="s">
        <v>239</v>
      </c>
      <c r="D43" s="1152"/>
      <c r="E43" s="1153"/>
      <c r="F43" s="1157">
        <f>+PRESUPUESTO!CQ38</f>
        <v>1230073558.21</v>
      </c>
      <c r="G43" s="1157"/>
      <c r="H43" s="143">
        <f t="shared" si="12"/>
        <v>8944505.7899999619</v>
      </c>
    </row>
    <row r="44" spans="2:13" hidden="1"/>
    <row r="45" spans="2:13" hidden="1">
      <c r="F45" s="1147">
        <v>1239018064</v>
      </c>
      <c r="G45" s="1147"/>
    </row>
    <row r="46" spans="2:13" hidden="1"/>
  </sheetData>
  <sheetProtection algorithmName="SHA-512" hashValue="+eIDlX7FIylL7s93CFt/+Uw/wjC61qLPlto6TYyPwY3Y/gSuaycCXUOngdyjmpeXLUnmwIhFMsTTpWqmq+jpwA==" saltValue="5U9pQk10STIaVZNXMS6A5A==" spinCount="100000" sheet="1" objects="1" scenarios="1"/>
  <mergeCells count="65">
    <mergeCell ref="B10:C10"/>
    <mergeCell ref="B12:C12"/>
    <mergeCell ref="C40:E40"/>
    <mergeCell ref="C41:E41"/>
    <mergeCell ref="C42:E42"/>
    <mergeCell ref="B11:C11"/>
    <mergeCell ref="C20:E20"/>
    <mergeCell ref="C23:E23"/>
    <mergeCell ref="C26:E26"/>
    <mergeCell ref="C32:E32"/>
    <mergeCell ref="C29:E29"/>
    <mergeCell ref="B13:C13"/>
    <mergeCell ref="C28:E28"/>
    <mergeCell ref="B8:C8"/>
    <mergeCell ref="F8:G8"/>
    <mergeCell ref="I8:J8"/>
    <mergeCell ref="K8:L8"/>
    <mergeCell ref="B9:C9"/>
    <mergeCell ref="F9:G9"/>
    <mergeCell ref="I9:J9"/>
    <mergeCell ref="K9:L9"/>
    <mergeCell ref="B2:R2"/>
    <mergeCell ref="B3:R3"/>
    <mergeCell ref="B4:R4"/>
    <mergeCell ref="B5:R5"/>
    <mergeCell ref="B7:C7"/>
    <mergeCell ref="E7:G7"/>
    <mergeCell ref="H7:L7"/>
    <mergeCell ref="U15:V15"/>
    <mergeCell ref="C17:E17"/>
    <mergeCell ref="P17:R17"/>
    <mergeCell ref="C18:E18"/>
    <mergeCell ref="P18:R18"/>
    <mergeCell ref="C16:E16"/>
    <mergeCell ref="P16:R16"/>
    <mergeCell ref="I13:L13"/>
    <mergeCell ref="C15:E15"/>
    <mergeCell ref="P15:R15"/>
    <mergeCell ref="C19:E19"/>
    <mergeCell ref="P19:R19"/>
    <mergeCell ref="P20:R20"/>
    <mergeCell ref="C21:E21"/>
    <mergeCell ref="P21:R21"/>
    <mergeCell ref="C22:E22"/>
    <mergeCell ref="P22:R22"/>
    <mergeCell ref="P28:R28"/>
    <mergeCell ref="P23:R23"/>
    <mergeCell ref="C24:E24"/>
    <mergeCell ref="P24:R24"/>
    <mergeCell ref="C25:E25"/>
    <mergeCell ref="P25:R25"/>
    <mergeCell ref="P26:R26"/>
    <mergeCell ref="C27:E27"/>
    <mergeCell ref="P27:R27"/>
    <mergeCell ref="F45:G45"/>
    <mergeCell ref="P29:R29"/>
    <mergeCell ref="C30:E30"/>
    <mergeCell ref="P30:R30"/>
    <mergeCell ref="C31:E31"/>
    <mergeCell ref="P31:R31"/>
    <mergeCell ref="C43:E43"/>
    <mergeCell ref="F40:G40"/>
    <mergeCell ref="F41:G41"/>
    <mergeCell ref="F42:G42"/>
    <mergeCell ref="F43:G43"/>
  </mergeCells>
  <conditionalFormatting sqref="O16:O32">
    <cfRule type="cellIs" dxfId="14" priority="3" operator="equal">
      <formula>1</formula>
    </cfRule>
  </conditionalFormatting>
  <conditionalFormatting sqref="F16:F32">
    <cfRule type="cellIs" dxfId="13" priority="1" operator="equal">
      <formula>"NH"</formula>
    </cfRule>
    <cfRule type="cellIs" dxfId="12" priority="2" operator="equal">
      <formula>"H"</formula>
    </cfRule>
  </conditionalFormatting>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1"/>
  <sheetViews>
    <sheetView zoomScale="85" zoomScaleNormal="85" workbookViewId="0">
      <selection activeCell="F22" sqref="F22"/>
    </sheetView>
  </sheetViews>
  <sheetFormatPr baseColWidth="10" defaultColWidth="11.42578125" defaultRowHeight="14.25"/>
  <cols>
    <col min="1" max="1" width="6.5703125" style="8" customWidth="1"/>
    <col min="2" max="2" width="19.5703125" style="702" customWidth="1"/>
    <col min="3" max="3" width="29.42578125" style="8" bestFit="1" customWidth="1"/>
    <col min="4" max="4" width="12.85546875" style="8" bestFit="1" customWidth="1"/>
    <col min="5" max="5" width="21" style="8" customWidth="1"/>
    <col min="6" max="6" width="20.7109375" style="8" bestFit="1" customWidth="1"/>
    <col min="7" max="7" width="21.85546875" style="8" customWidth="1"/>
    <col min="8" max="8" width="23.28515625" style="8" bestFit="1" customWidth="1"/>
    <col min="9" max="9" width="21.140625" style="8" bestFit="1" customWidth="1"/>
    <col min="10" max="16384" width="11.42578125" style="8"/>
  </cols>
  <sheetData>
    <row r="1" spans="1:10" ht="34.5" customHeight="1">
      <c r="A1" s="743"/>
      <c r="B1" s="745" t="s">
        <v>0</v>
      </c>
      <c r="C1" s="745"/>
      <c r="D1" s="745"/>
      <c r="E1" s="745"/>
      <c r="F1" s="745"/>
      <c r="G1" s="745"/>
      <c r="H1" s="745"/>
      <c r="I1" s="746"/>
    </row>
    <row r="2" spans="1:10" ht="32.25" customHeight="1">
      <c r="A2" s="744"/>
      <c r="B2" s="747" t="str">
        <f>+'1_ENTREGA'!A2</f>
        <v>Invitación Pública N° VA-033-2021</v>
      </c>
      <c r="C2" s="747"/>
      <c r="D2" s="747"/>
      <c r="E2" s="747"/>
      <c r="F2" s="747"/>
      <c r="G2" s="747"/>
      <c r="H2" s="747"/>
      <c r="I2" s="748"/>
    </row>
    <row r="3" spans="1:10" ht="70.5" customHeight="1">
      <c r="A3" s="744"/>
      <c r="B3" s="749"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del Proyecto nueva sede FNSP etapa1, ubicada en el Municipio de Medellín.</v>
      </c>
      <c r="C3" s="749"/>
      <c r="D3" s="749"/>
      <c r="E3" s="749"/>
      <c r="F3" s="749"/>
      <c r="G3" s="749"/>
      <c r="H3" s="749"/>
      <c r="I3" s="750"/>
    </row>
    <row r="4" spans="1:10" ht="18" customHeight="1">
      <c r="A4" s="751" t="s">
        <v>5</v>
      </c>
      <c r="B4" s="752"/>
      <c r="C4" s="752"/>
      <c r="D4" s="752"/>
      <c r="E4" s="752"/>
      <c r="F4" s="752"/>
      <c r="G4" s="752"/>
      <c r="H4" s="752"/>
      <c r="I4" s="753"/>
    </row>
    <row r="5" spans="1:10" ht="33" customHeight="1">
      <c r="A5" s="754" t="s">
        <v>236</v>
      </c>
      <c r="B5" s="755"/>
      <c r="C5" s="756"/>
      <c r="D5" s="151"/>
      <c r="E5" s="9"/>
      <c r="F5" s="9"/>
      <c r="G5" s="9"/>
      <c r="H5" s="9"/>
      <c r="I5" s="10"/>
    </row>
    <row r="6" spans="1:10" ht="33" customHeight="1">
      <c r="A6" s="757" t="s">
        <v>153</v>
      </c>
      <c r="B6" s="758"/>
      <c r="C6" s="759"/>
      <c r="D6" s="197"/>
      <c r="E6" s="198"/>
      <c r="F6" s="198"/>
      <c r="G6" s="198"/>
      <c r="H6" s="198"/>
      <c r="I6" s="199"/>
    </row>
    <row r="7" spans="1:10" ht="53.25" customHeight="1">
      <c r="A7" s="339" t="s">
        <v>6</v>
      </c>
      <c r="B7" s="340" t="s">
        <v>7</v>
      </c>
      <c r="C7" s="339" t="s">
        <v>8</v>
      </c>
      <c r="D7" s="340" t="s">
        <v>9</v>
      </c>
      <c r="E7" s="340" t="s">
        <v>126</v>
      </c>
      <c r="F7" s="340" t="s">
        <v>155</v>
      </c>
      <c r="G7" s="340" t="s">
        <v>156</v>
      </c>
      <c r="H7" s="340" t="s">
        <v>157</v>
      </c>
      <c r="I7" s="340" t="s">
        <v>10</v>
      </c>
    </row>
    <row r="8" spans="1:10" ht="15.75">
      <c r="A8" s="341">
        <f>IF('[2]1_ENTREGA'!A8="","",'[2]1_ENTREGA'!A8)</f>
        <v>1</v>
      </c>
      <c r="B8" s="699">
        <v>44537.503530092596</v>
      </c>
      <c r="C8" s="338" t="str">
        <f t="shared" ref="C8:C21" si="0">IF(A8="","",VLOOKUP(A8,LISTA_OFERENTES,2,FALSE))</f>
        <v>INTERVE S.A.S.</v>
      </c>
      <c r="D8" s="343">
        <v>890920656</v>
      </c>
      <c r="E8" s="344">
        <v>100155885</v>
      </c>
      <c r="F8" s="345">
        <v>438009481</v>
      </c>
      <c r="G8" s="342" t="s">
        <v>268</v>
      </c>
      <c r="H8" s="345">
        <v>1245063901</v>
      </c>
      <c r="I8" s="338"/>
    </row>
    <row r="9" spans="1:10" ht="15.75">
      <c r="A9" s="341">
        <f>IF('[2]1_ENTREGA'!A9="","",'[2]1_ENTREGA'!A9)</f>
        <v>2</v>
      </c>
      <c r="B9" s="699">
        <v>44537.512013888889</v>
      </c>
      <c r="C9" s="338" t="str">
        <f>IF(A9="","",VLOOKUP(A9,LISTA_OFERENTES,2,FALSE))</f>
        <v>CONSORCIO VALCO - ACI</v>
      </c>
      <c r="D9" s="343">
        <v>9007251345</v>
      </c>
      <c r="E9" s="344" t="s">
        <v>265</v>
      </c>
      <c r="F9" s="345">
        <v>434689842</v>
      </c>
      <c r="G9" s="342" t="s">
        <v>269</v>
      </c>
      <c r="H9" s="345">
        <v>1225474415</v>
      </c>
      <c r="I9" s="338"/>
    </row>
    <row r="10" spans="1:10" ht="15.75">
      <c r="A10" s="341">
        <f>IF('[2]1_ENTREGA'!A10="","",'[2]1_ENTREGA'!A10)</f>
        <v>3</v>
      </c>
      <c r="B10" s="699">
        <v>44537.523344907408</v>
      </c>
      <c r="C10" s="338" t="str">
        <f t="shared" si="0"/>
        <v>ARQ S.A.S.</v>
      </c>
      <c r="D10" s="343">
        <v>8001684773</v>
      </c>
      <c r="E10" s="344" t="s">
        <v>266</v>
      </c>
      <c r="F10" s="345">
        <v>435321650</v>
      </c>
      <c r="G10" s="342" t="s">
        <v>269</v>
      </c>
      <c r="H10" s="345">
        <v>1227218711</v>
      </c>
      <c r="I10" s="338"/>
    </row>
    <row r="11" spans="1:10" ht="21.75" customHeight="1">
      <c r="A11" s="341">
        <f>IF('[2]1_ENTREGA'!A11="","",'[2]1_ENTREGA'!A11)</f>
        <v>4</v>
      </c>
      <c r="B11" s="699">
        <v>44537.553310185183</v>
      </c>
      <c r="C11" s="338" t="str">
        <f t="shared" si="0"/>
        <v>PREVEO S.A.S.</v>
      </c>
      <c r="D11" s="343">
        <v>9003464841</v>
      </c>
      <c r="E11" s="344" t="s">
        <v>267</v>
      </c>
      <c r="F11" s="345">
        <v>432626179</v>
      </c>
      <c r="G11" s="342" t="s">
        <v>268</v>
      </c>
      <c r="H11" s="345">
        <v>1230073558</v>
      </c>
      <c r="I11" s="338"/>
      <c r="J11" s="150"/>
    </row>
    <row r="12" spans="1:10" ht="28.5" hidden="1" customHeight="1" thickBot="1">
      <c r="A12" s="204">
        <f>IF('[2]1_ENTREGA'!A12="","",'[2]1_ENTREGA'!A12)</f>
        <v>5</v>
      </c>
      <c r="B12" s="268"/>
      <c r="C12" s="269">
        <f t="shared" si="0"/>
        <v>0</v>
      </c>
      <c r="D12" s="270"/>
      <c r="E12" s="212"/>
      <c r="F12" s="271"/>
      <c r="G12" s="272"/>
      <c r="H12" s="273"/>
      <c r="I12" s="274"/>
      <c r="J12" s="150"/>
    </row>
    <row r="13" spans="1:10" ht="28.5" hidden="1" customHeight="1" thickBot="1">
      <c r="A13" s="204">
        <f>IF('[2]1_ENTREGA'!A13="","",'[2]1_ENTREGA'!A13)</f>
        <v>6</v>
      </c>
      <c r="B13" s="207"/>
      <c r="C13" s="191">
        <f t="shared" si="0"/>
        <v>0</v>
      </c>
      <c r="D13" s="206"/>
      <c r="E13" s="212"/>
      <c r="F13" s="200"/>
      <c r="G13" s="211"/>
      <c r="H13" s="201"/>
      <c r="I13" s="202"/>
    </row>
    <row r="14" spans="1:10" ht="28.5" hidden="1" customHeight="1" thickBot="1">
      <c r="A14" s="204">
        <f>IF('[2]1_ENTREGA'!A14="","",'[2]1_ENTREGA'!A14)</f>
        <v>7</v>
      </c>
      <c r="B14" s="207"/>
      <c r="C14" s="191">
        <f t="shared" si="0"/>
        <v>0</v>
      </c>
      <c r="D14" s="206"/>
      <c r="E14" s="212"/>
      <c r="F14" s="200"/>
      <c r="G14" s="211"/>
      <c r="H14" s="201"/>
      <c r="I14" s="202"/>
    </row>
    <row r="15" spans="1:10" ht="28.5" hidden="1" customHeight="1" thickBot="1">
      <c r="A15" s="204">
        <f>IF('[2]1_ENTREGA'!A15="","",'[2]1_ENTREGA'!A15)</f>
        <v>8</v>
      </c>
      <c r="B15" s="207"/>
      <c r="C15" s="191">
        <f t="shared" si="0"/>
        <v>0</v>
      </c>
      <c r="D15" s="206"/>
      <c r="E15" s="212"/>
      <c r="F15" s="200"/>
      <c r="G15" s="211"/>
      <c r="H15" s="201"/>
      <c r="I15" s="202"/>
    </row>
    <row r="16" spans="1:10" ht="28.5" hidden="1" customHeight="1" thickBot="1">
      <c r="A16" s="204">
        <f>IF('[2]1_ENTREGA'!A16="","",'[2]1_ENTREGA'!A16)</f>
        <v>9</v>
      </c>
      <c r="B16" s="207"/>
      <c r="C16" s="191">
        <f t="shared" si="0"/>
        <v>0</v>
      </c>
      <c r="D16" s="206"/>
      <c r="E16" s="212"/>
      <c r="F16" s="200"/>
      <c r="G16" s="211"/>
      <c r="H16" s="201"/>
      <c r="I16" s="202"/>
    </row>
    <row r="17" spans="1:9" ht="28.5" hidden="1" customHeight="1" thickBot="1">
      <c r="A17" s="204">
        <f>IF('[2]1_ENTREGA'!A17="","",'[2]1_ENTREGA'!A17)</f>
        <v>10</v>
      </c>
      <c r="B17" s="207"/>
      <c r="C17" s="191">
        <f t="shared" si="0"/>
        <v>0</v>
      </c>
      <c r="D17" s="206"/>
      <c r="E17" s="212"/>
      <c r="F17" s="200"/>
      <c r="G17" s="211"/>
      <c r="H17" s="201"/>
      <c r="I17" s="202"/>
    </row>
    <row r="18" spans="1:9" ht="28.5" hidden="1" customHeight="1" thickBot="1">
      <c r="A18" s="204">
        <f>IF('[2]1_ENTREGA'!A18="","",'[2]1_ENTREGA'!A18)</f>
        <v>11</v>
      </c>
      <c r="B18" s="207"/>
      <c r="C18" s="191">
        <f t="shared" si="0"/>
        <v>0</v>
      </c>
      <c r="D18" s="206"/>
      <c r="E18" s="213"/>
      <c r="F18" s="200"/>
      <c r="G18" s="211"/>
      <c r="H18" s="201"/>
      <c r="I18" s="202"/>
    </row>
    <row r="19" spans="1:9" ht="28.5" hidden="1" customHeight="1" thickBot="1">
      <c r="A19" s="204">
        <f>IF('[2]1_ENTREGA'!A19="","",'[2]1_ENTREGA'!A19)</f>
        <v>12</v>
      </c>
      <c r="B19" s="207"/>
      <c r="C19" s="191">
        <f t="shared" si="0"/>
        <v>0</v>
      </c>
      <c r="D19" s="206"/>
      <c r="E19" s="212"/>
      <c r="F19" s="200"/>
      <c r="G19" s="211"/>
      <c r="H19" s="201"/>
      <c r="I19" s="202"/>
    </row>
    <row r="20" spans="1:9" ht="28.5" hidden="1" customHeight="1" thickBot="1">
      <c r="A20" s="204">
        <f>IF('[2]1_ENTREGA'!A20="","",'[2]1_ENTREGA'!A20)</f>
        <v>13</v>
      </c>
      <c r="B20" s="207"/>
      <c r="C20" s="191">
        <f t="shared" si="0"/>
        <v>0</v>
      </c>
      <c r="D20" s="206"/>
      <c r="E20" s="212"/>
      <c r="F20" s="200"/>
      <c r="G20" s="211"/>
      <c r="H20" s="201"/>
      <c r="I20" s="202"/>
    </row>
    <row r="21" spans="1:9" ht="28.5" hidden="1" customHeight="1" thickBot="1">
      <c r="A21" s="205">
        <f>IF('[2]1_ENTREGA'!A21="","",'[2]1_ENTREGA'!A21)</f>
        <v>14</v>
      </c>
      <c r="B21" s="208"/>
      <c r="C21" s="209">
        <f t="shared" si="0"/>
        <v>0</v>
      </c>
      <c r="D21" s="210"/>
      <c r="E21" s="212"/>
      <c r="F21" s="200"/>
      <c r="G21" s="211"/>
      <c r="H21" s="201"/>
      <c r="I21" s="203"/>
    </row>
    <row r="22" spans="1:9" ht="15" thickBot="1">
      <c r="A22" s="11"/>
      <c r="B22" s="700"/>
      <c r="C22" s="11"/>
      <c r="D22" s="11"/>
      <c r="E22" s="11"/>
      <c r="F22" s="11"/>
      <c r="G22" s="11"/>
      <c r="H22" s="11"/>
      <c r="I22" s="11"/>
    </row>
    <row r="23" spans="1:9" ht="56.25" customHeight="1" thickBot="1">
      <c r="A23" s="739" t="s">
        <v>154</v>
      </c>
      <c r="B23" s="740"/>
      <c r="C23" s="740"/>
      <c r="D23" s="741"/>
      <c r="E23" s="741"/>
      <c r="F23" s="741"/>
      <c r="G23" s="741"/>
      <c r="H23" s="741"/>
      <c r="I23" s="742"/>
    </row>
    <row r="25" spans="1:9">
      <c r="B25" s="701"/>
    </row>
    <row r="26" spans="1:9">
      <c r="B26" s="701"/>
    </row>
    <row r="27" spans="1:9">
      <c r="B27" s="701"/>
    </row>
    <row r="28" spans="1:9">
      <c r="B28" s="701"/>
    </row>
    <row r="29" spans="1:9">
      <c r="B29" s="701"/>
    </row>
    <row r="30" spans="1:9">
      <c r="B30" s="701"/>
    </row>
    <row r="31" spans="1:9">
      <c r="B31" s="701"/>
    </row>
  </sheetData>
  <sheetProtection algorithmName="SHA-512" hashValue="p8zOt89Rl+mHeTAtEtD3+FiuDrog8Lyi1j5wAeAPPpULC9Z+Ze3zeL3PhKD5i6ELEk8XQUGgL/s0TEl6e3fvzg==" saltValue="ZNKfK3zMOKgiUIxhqei1yw==" spinCount="100000" sheet="1" objects="1" scenarios="1"/>
  <mergeCells count="8">
    <mergeCell ref="A23:I23"/>
    <mergeCell ref="A1:A3"/>
    <mergeCell ref="B1:I1"/>
    <mergeCell ref="B2:I2"/>
    <mergeCell ref="B3:I3"/>
    <mergeCell ref="A4:I4"/>
    <mergeCell ref="A5:C5"/>
    <mergeCell ref="A6:C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8"/>
  <sheetViews>
    <sheetView zoomScale="70" zoomScaleNormal="70" workbookViewId="0">
      <pane xSplit="2" ySplit="5" topLeftCell="D6" activePane="bottomRight" state="frozen"/>
      <selection pane="topRight" activeCell="C1" sqref="C1"/>
      <selection pane="bottomLeft" activeCell="A6" sqref="A6"/>
      <selection pane="bottomRight" activeCell="D8" sqref="D8"/>
    </sheetView>
  </sheetViews>
  <sheetFormatPr baseColWidth="10" defaultColWidth="11.42578125" defaultRowHeight="15"/>
  <cols>
    <col min="1" max="1" width="10.7109375" style="317" bestFit="1" customWidth="1"/>
    <col min="2" max="3" width="87.85546875" style="317" customWidth="1"/>
    <col min="4" max="7" width="66.42578125" style="317" customWidth="1"/>
    <col min="8" max="17" width="66.42578125" style="317" hidden="1" customWidth="1"/>
    <col min="18" max="16384" width="11.42578125" style="303"/>
  </cols>
  <sheetData>
    <row r="1" spans="1:17" ht="41.25" customHeight="1">
      <c r="A1" s="302"/>
      <c r="B1" s="152" t="s">
        <v>11</v>
      </c>
      <c r="C1" s="152"/>
      <c r="D1" s="152"/>
      <c r="E1" s="152"/>
      <c r="F1" s="152"/>
      <c r="G1" s="152"/>
      <c r="H1" s="152"/>
      <c r="I1" s="152"/>
      <c r="J1" s="152"/>
      <c r="K1" s="152"/>
      <c r="L1" s="152"/>
      <c r="M1" s="152"/>
      <c r="N1" s="152"/>
      <c r="O1" s="152"/>
      <c r="P1" s="152"/>
      <c r="Q1" s="152"/>
    </row>
    <row r="2" spans="1:17" ht="15.75">
      <c r="A2" s="153"/>
      <c r="B2" s="154"/>
      <c r="C2" s="154"/>
      <c r="D2" s="154"/>
      <c r="E2" s="154"/>
      <c r="F2" s="154"/>
      <c r="G2" s="154"/>
      <c r="H2" s="154"/>
      <c r="I2" s="154"/>
      <c r="J2" s="154"/>
      <c r="K2" s="154"/>
      <c r="L2" s="154"/>
      <c r="M2" s="154"/>
      <c r="N2" s="154"/>
      <c r="O2" s="154"/>
      <c r="P2" s="154"/>
      <c r="Q2" s="154"/>
    </row>
    <row r="3" spans="1:17" ht="15.75">
      <c r="A3" s="304"/>
      <c r="B3" s="155" t="s">
        <v>2</v>
      </c>
      <c r="C3" s="155"/>
      <c r="D3" s="156">
        <v>1</v>
      </c>
      <c r="E3" s="156">
        <v>2</v>
      </c>
      <c r="F3" s="156">
        <v>3</v>
      </c>
      <c r="G3" s="156">
        <v>4</v>
      </c>
      <c r="H3" s="156">
        <v>5</v>
      </c>
      <c r="I3" s="156">
        <v>6</v>
      </c>
      <c r="J3" s="156">
        <v>7</v>
      </c>
      <c r="K3" s="156">
        <v>8</v>
      </c>
      <c r="L3" s="156">
        <v>9</v>
      </c>
      <c r="M3" s="156">
        <v>10</v>
      </c>
      <c r="N3" s="156">
        <v>11</v>
      </c>
      <c r="O3" s="156">
        <v>12</v>
      </c>
      <c r="P3" s="156">
        <v>13</v>
      </c>
      <c r="Q3" s="156">
        <v>14</v>
      </c>
    </row>
    <row r="4" spans="1:17" ht="15.75">
      <c r="A4" s="304"/>
      <c r="B4" s="155" t="s">
        <v>8</v>
      </c>
      <c r="C4" s="155"/>
      <c r="D4" s="156" t="str">
        <f t="shared" ref="D4:J4" si="0">+VLOOKUP(D3,LISTA_OFERENTES,2,FALSE)</f>
        <v>INTERVE S.A.S.</v>
      </c>
      <c r="E4" s="156" t="str">
        <f t="shared" si="0"/>
        <v>CONSORCIO VALCO - ACI</v>
      </c>
      <c r="F4" s="156" t="str">
        <f t="shared" si="0"/>
        <v>ARQ S.A.S.</v>
      </c>
      <c r="G4" s="156" t="str">
        <f t="shared" si="0"/>
        <v>PREVEO S.A.S.</v>
      </c>
      <c r="H4" s="156">
        <f t="shared" si="0"/>
        <v>0</v>
      </c>
      <c r="I4" s="156">
        <f t="shared" si="0"/>
        <v>0</v>
      </c>
      <c r="J4" s="156">
        <f t="shared" si="0"/>
        <v>0</v>
      </c>
      <c r="K4" s="156">
        <f t="shared" ref="K4:M4" si="1">+VLOOKUP(K3,LISTA_OFERENTES,2,FALSE)</f>
        <v>0</v>
      </c>
      <c r="L4" s="156">
        <f t="shared" si="1"/>
        <v>0</v>
      </c>
      <c r="M4" s="156">
        <f t="shared" si="1"/>
        <v>0</v>
      </c>
      <c r="N4" s="156">
        <f t="shared" ref="N4:Q4" si="2">+VLOOKUP(N3,LISTA_OFERENTES,2,FALSE)</f>
        <v>0</v>
      </c>
      <c r="O4" s="156">
        <f t="shared" si="2"/>
        <v>0</v>
      </c>
      <c r="P4" s="156">
        <f t="shared" si="2"/>
        <v>0</v>
      </c>
      <c r="Q4" s="156">
        <f t="shared" si="2"/>
        <v>0</v>
      </c>
    </row>
    <row r="5" spans="1:17" ht="20.25" customHeight="1">
      <c r="A5" s="304"/>
      <c r="B5" s="155" t="s">
        <v>12</v>
      </c>
      <c r="C5" s="155"/>
      <c r="D5" s="156">
        <f>VLOOKUP(D3,'2_APERTURA DE SOBRES'!$A$7:$H$151,4,)</f>
        <v>890920656</v>
      </c>
      <c r="E5" s="156">
        <f>VLOOKUP(E3,'2_APERTURA DE SOBRES'!$A$7:$H$151,4,)</f>
        <v>9007251345</v>
      </c>
      <c r="F5" s="156">
        <f>VLOOKUP(F3,'2_APERTURA DE SOBRES'!$A$7:$H$151,4,)</f>
        <v>8001684773</v>
      </c>
      <c r="G5" s="156">
        <f>VLOOKUP(G3,'2_APERTURA DE SOBRES'!$A$7:$H$151,4,)</f>
        <v>9003464841</v>
      </c>
      <c r="H5" s="156">
        <f>VLOOKUP(H3,'2_APERTURA DE SOBRES'!$A$7:$H$151,4,)</f>
        <v>0</v>
      </c>
      <c r="I5" s="156">
        <f>VLOOKUP(I3,'2_APERTURA DE SOBRES'!$A$7:$H$151,4,)</f>
        <v>0</v>
      </c>
      <c r="J5" s="156">
        <f>VLOOKUP(J3,'2_APERTURA DE SOBRES'!$A$7:$H$151,4,)</f>
        <v>0</v>
      </c>
      <c r="K5" s="156">
        <f>VLOOKUP(K3,'2_APERTURA DE SOBRES'!$A$7:$H$151,4,)</f>
        <v>0</v>
      </c>
      <c r="L5" s="156">
        <f>VLOOKUP(L3,'2_APERTURA DE SOBRES'!$A$7:$H$151,4,)</f>
        <v>0</v>
      </c>
      <c r="M5" s="156">
        <f>VLOOKUP(M3,'2_APERTURA DE SOBRES'!$A$7:$H$151,4,)</f>
        <v>0</v>
      </c>
      <c r="N5" s="156">
        <f>VLOOKUP(N3,'2_APERTURA DE SOBRES'!$A$7:$H$151,4,)</f>
        <v>0</v>
      </c>
      <c r="O5" s="156">
        <f>VLOOKUP(O3,'2_APERTURA DE SOBRES'!$A$7:$H$151,4,)</f>
        <v>0</v>
      </c>
      <c r="P5" s="156">
        <f>VLOOKUP(P3,'2_APERTURA DE SOBRES'!$A$7:$H$151,4,)</f>
        <v>0</v>
      </c>
      <c r="Q5" s="156">
        <f>VLOOKUP(Q3,'2_APERTURA DE SOBRES'!$A$7:$H$151,4,)</f>
        <v>0</v>
      </c>
    </row>
    <row r="6" spans="1:17" ht="36.75" customHeight="1">
      <c r="A6" s="305"/>
      <c r="B6" s="157" t="s">
        <v>158</v>
      </c>
      <c r="C6" s="157"/>
      <c r="D6" s="158"/>
      <c r="E6" s="158"/>
      <c r="F6" s="158"/>
      <c r="G6" s="158"/>
      <c r="H6" s="158"/>
      <c r="I6" s="158"/>
      <c r="J6" s="158"/>
      <c r="K6" s="158"/>
      <c r="L6" s="158"/>
      <c r="M6" s="158"/>
      <c r="N6" s="158"/>
      <c r="O6" s="158"/>
      <c r="P6" s="158"/>
      <c r="Q6" s="158"/>
    </row>
    <row r="7" spans="1:17" ht="33" customHeight="1">
      <c r="A7" s="159" t="s">
        <v>13</v>
      </c>
      <c r="B7" s="160" t="s">
        <v>159</v>
      </c>
      <c r="C7" s="160" t="s">
        <v>240</v>
      </c>
      <c r="D7" s="306"/>
      <c r="E7" s="306"/>
      <c r="F7" s="306"/>
      <c r="G7" s="306"/>
      <c r="H7" s="306"/>
      <c r="I7" s="306"/>
      <c r="J7" s="306"/>
      <c r="K7" s="306"/>
      <c r="L7" s="306"/>
      <c r="M7" s="306"/>
      <c r="N7" s="306"/>
      <c r="O7" s="306"/>
      <c r="P7" s="306"/>
      <c r="Q7" s="306"/>
    </row>
    <row r="8" spans="1:17" ht="285">
      <c r="A8" s="307">
        <v>1</v>
      </c>
      <c r="B8" s="161" t="s">
        <v>241</v>
      </c>
      <c r="C8" s="336" t="s">
        <v>242</v>
      </c>
      <c r="D8" s="335" t="s">
        <v>393</v>
      </c>
      <c r="E8" s="686" t="s">
        <v>383</v>
      </c>
      <c r="F8" s="687" t="s">
        <v>394</v>
      </c>
      <c r="G8" s="687" t="s">
        <v>395</v>
      </c>
      <c r="H8" s="163"/>
      <c r="I8" s="163"/>
      <c r="J8" s="163"/>
      <c r="K8" s="163"/>
      <c r="L8" s="163"/>
      <c r="M8" s="163"/>
      <c r="N8" s="163"/>
      <c r="O8" s="163"/>
      <c r="P8" s="163"/>
      <c r="Q8" s="163"/>
    </row>
    <row r="9" spans="1:17" ht="158.25" customHeight="1">
      <c r="A9" s="307">
        <v>2</v>
      </c>
      <c r="B9" s="161" t="s">
        <v>243</v>
      </c>
      <c r="C9" s="161" t="s">
        <v>244</v>
      </c>
      <c r="D9" s="688" t="s">
        <v>396</v>
      </c>
      <c r="E9" s="686" t="s">
        <v>383</v>
      </c>
      <c r="F9" s="308" t="s">
        <v>397</v>
      </c>
      <c r="G9" s="308" t="s">
        <v>398</v>
      </c>
      <c r="H9" s="163"/>
      <c r="I9" s="163"/>
      <c r="J9" s="163"/>
      <c r="K9" s="163"/>
      <c r="L9" s="163"/>
      <c r="M9" s="163"/>
      <c r="N9" s="163"/>
      <c r="O9" s="163"/>
      <c r="P9" s="163"/>
      <c r="Q9" s="163"/>
    </row>
    <row r="10" spans="1:17" ht="66.75" customHeight="1">
      <c r="A10" s="307">
        <v>3</v>
      </c>
      <c r="B10" s="161" t="s">
        <v>134</v>
      </c>
      <c r="C10" s="161" t="s">
        <v>245</v>
      </c>
      <c r="D10" s="688" t="s">
        <v>399</v>
      </c>
      <c r="E10" s="686" t="s">
        <v>383</v>
      </c>
      <c r="F10" s="688" t="s">
        <v>400</v>
      </c>
      <c r="G10" s="308" t="s">
        <v>401</v>
      </c>
      <c r="H10" s="163"/>
      <c r="I10" s="163"/>
      <c r="J10" s="163"/>
      <c r="K10" s="163"/>
      <c r="L10" s="163"/>
      <c r="M10" s="163"/>
      <c r="N10" s="163"/>
      <c r="O10" s="163"/>
      <c r="P10" s="163"/>
      <c r="Q10" s="163"/>
    </row>
    <row r="11" spans="1:17" ht="53.25" customHeight="1">
      <c r="A11" s="307">
        <v>4</v>
      </c>
      <c r="B11" s="161" t="s">
        <v>135</v>
      </c>
      <c r="C11" s="161" t="s">
        <v>246</v>
      </c>
      <c r="D11" s="688" t="s">
        <v>402</v>
      </c>
      <c r="E11" s="686" t="s">
        <v>383</v>
      </c>
      <c r="F11" s="688" t="s">
        <v>403</v>
      </c>
      <c r="G11" s="688" t="s">
        <v>404</v>
      </c>
      <c r="H11" s="163"/>
      <c r="I11" s="163"/>
      <c r="J11" s="163"/>
      <c r="K11" s="163"/>
      <c r="L11" s="163"/>
      <c r="M11" s="163"/>
      <c r="N11" s="163"/>
      <c r="O11" s="163"/>
      <c r="P11" s="163"/>
      <c r="Q11" s="163"/>
    </row>
    <row r="12" spans="1:17" ht="42" customHeight="1">
      <c r="A12" s="307">
        <v>5</v>
      </c>
      <c r="B12" s="161" t="s">
        <v>132</v>
      </c>
      <c r="C12" s="337" t="s">
        <v>247</v>
      </c>
      <c r="D12" s="688" t="s">
        <v>405</v>
      </c>
      <c r="E12" s="686" t="s">
        <v>383</v>
      </c>
      <c r="F12" s="688" t="s">
        <v>406</v>
      </c>
      <c r="G12" s="688" t="s">
        <v>407</v>
      </c>
      <c r="H12" s="163"/>
      <c r="I12" s="163"/>
      <c r="J12" s="163"/>
      <c r="K12" s="163"/>
      <c r="L12" s="163"/>
      <c r="M12" s="163"/>
      <c r="N12" s="163"/>
      <c r="O12" s="163"/>
      <c r="P12" s="163"/>
      <c r="Q12" s="163"/>
    </row>
    <row r="13" spans="1:17" ht="35.25" customHeight="1">
      <c r="A13" s="307">
        <v>6</v>
      </c>
      <c r="B13" s="161" t="s">
        <v>133</v>
      </c>
      <c r="C13" s="161" t="s">
        <v>248</v>
      </c>
      <c r="D13" s="308" t="s">
        <v>408</v>
      </c>
      <c r="E13" s="686" t="s">
        <v>383</v>
      </c>
      <c r="F13" s="308" t="s">
        <v>408</v>
      </c>
      <c r="G13" s="308" t="s">
        <v>408</v>
      </c>
      <c r="H13" s="163"/>
      <c r="I13" s="163"/>
      <c r="J13" s="163"/>
      <c r="K13" s="163"/>
      <c r="L13" s="163"/>
      <c r="M13" s="163"/>
      <c r="N13" s="163"/>
      <c r="O13" s="163"/>
      <c r="P13" s="163"/>
      <c r="Q13" s="163"/>
    </row>
    <row r="14" spans="1:17" ht="94.5" customHeight="1">
      <c r="A14" s="307">
        <v>7</v>
      </c>
      <c r="B14" s="161" t="s">
        <v>249</v>
      </c>
      <c r="C14" s="161" t="s">
        <v>251</v>
      </c>
      <c r="D14" s="308" t="s">
        <v>409</v>
      </c>
      <c r="E14" s="686" t="s">
        <v>383</v>
      </c>
      <c r="F14" s="308" t="s">
        <v>410</v>
      </c>
      <c r="G14" s="308" t="s">
        <v>411</v>
      </c>
      <c r="H14" s="163"/>
      <c r="I14" s="163"/>
      <c r="J14" s="163"/>
      <c r="K14" s="163"/>
      <c r="L14" s="163"/>
      <c r="M14" s="163"/>
      <c r="N14" s="163"/>
      <c r="O14" s="163"/>
      <c r="P14" s="163"/>
      <c r="Q14" s="163"/>
    </row>
    <row r="15" spans="1:17" ht="79.5" customHeight="1">
      <c r="A15" s="307">
        <v>8</v>
      </c>
      <c r="B15" s="161" t="s">
        <v>160</v>
      </c>
      <c r="C15" s="161" t="s">
        <v>252</v>
      </c>
      <c r="D15" s="308" t="s">
        <v>412</v>
      </c>
      <c r="E15" s="686" t="s">
        <v>383</v>
      </c>
      <c r="F15" s="308" t="s">
        <v>408</v>
      </c>
      <c r="G15" s="308" t="s">
        <v>408</v>
      </c>
      <c r="H15" s="163"/>
      <c r="I15" s="163"/>
      <c r="J15" s="163"/>
      <c r="K15" s="163"/>
      <c r="L15" s="163"/>
      <c r="M15" s="163"/>
      <c r="N15" s="163"/>
      <c r="O15" s="163"/>
      <c r="P15" s="163"/>
      <c r="Q15" s="163"/>
    </row>
    <row r="16" spans="1:17" ht="15.75">
      <c r="A16" s="307"/>
      <c r="B16" s="161" t="s">
        <v>14</v>
      </c>
      <c r="C16" s="161"/>
      <c r="D16" s="688" t="s">
        <v>413</v>
      </c>
      <c r="E16" s="686" t="s">
        <v>383</v>
      </c>
      <c r="F16" s="688" t="s">
        <v>414</v>
      </c>
      <c r="G16" s="300" t="s">
        <v>414</v>
      </c>
      <c r="H16" s="162"/>
      <c r="I16" s="309"/>
      <c r="J16" s="163"/>
      <c r="K16" s="309"/>
      <c r="L16" s="163"/>
      <c r="M16" s="309"/>
      <c r="N16" s="309"/>
      <c r="O16" s="163"/>
      <c r="P16" s="163"/>
      <c r="Q16" s="163"/>
    </row>
    <row r="17" spans="1:17" ht="15.75">
      <c r="A17" s="307"/>
      <c r="B17" s="161" t="s">
        <v>15</v>
      </c>
      <c r="C17" s="161"/>
      <c r="D17" s="688" t="s">
        <v>415</v>
      </c>
      <c r="E17" s="686" t="s">
        <v>383</v>
      </c>
      <c r="F17" s="688" t="s">
        <v>266</v>
      </c>
      <c r="G17" s="300" t="s">
        <v>267</v>
      </c>
      <c r="H17" s="162"/>
      <c r="I17" s="309"/>
      <c r="J17" s="163"/>
      <c r="K17" s="309"/>
      <c r="L17" s="163"/>
      <c r="M17" s="309"/>
      <c r="N17" s="309"/>
      <c r="O17" s="163"/>
      <c r="P17" s="163"/>
      <c r="Q17" s="163"/>
    </row>
    <row r="18" spans="1:17" ht="15.75">
      <c r="A18" s="307"/>
      <c r="B18" s="161" t="s">
        <v>16</v>
      </c>
      <c r="C18" s="161"/>
      <c r="D18" s="689">
        <v>123901806.40000001</v>
      </c>
      <c r="E18" s="686" t="s">
        <v>383</v>
      </c>
      <c r="F18" s="689">
        <v>123901806.40000001</v>
      </c>
      <c r="G18" s="689">
        <v>123901806.40000001</v>
      </c>
      <c r="H18" s="258"/>
      <c r="I18" s="258"/>
      <c r="J18" s="163"/>
      <c r="K18" s="310"/>
      <c r="L18" s="163"/>
      <c r="M18" s="310"/>
      <c r="N18" s="310"/>
      <c r="O18" s="163"/>
      <c r="P18" s="163"/>
      <c r="Q18" s="163"/>
    </row>
    <row r="19" spans="1:17" ht="15.75">
      <c r="A19" s="307"/>
      <c r="B19" s="161" t="s">
        <v>17</v>
      </c>
      <c r="C19" s="161"/>
      <c r="D19" s="688" t="s">
        <v>416</v>
      </c>
      <c r="E19" s="686" t="s">
        <v>383</v>
      </c>
      <c r="F19" s="688" t="s">
        <v>417</v>
      </c>
      <c r="G19" s="300" t="s">
        <v>418</v>
      </c>
      <c r="H19" s="162"/>
      <c r="I19" s="309"/>
      <c r="J19" s="163"/>
      <c r="K19" s="309"/>
      <c r="L19" s="163"/>
      <c r="M19" s="309"/>
      <c r="N19" s="309"/>
      <c r="O19" s="163"/>
      <c r="P19" s="163"/>
      <c r="Q19" s="163"/>
    </row>
    <row r="20" spans="1:17" ht="15.75">
      <c r="A20" s="311"/>
      <c r="B20" s="164"/>
      <c r="C20" s="164"/>
      <c r="D20" s="308" t="s">
        <v>228</v>
      </c>
      <c r="E20" s="688" t="s">
        <v>383</v>
      </c>
      <c r="F20" s="308" t="s">
        <v>139</v>
      </c>
      <c r="G20" s="308" t="s">
        <v>139</v>
      </c>
      <c r="H20" s="163"/>
      <c r="I20" s="163"/>
      <c r="J20" s="163"/>
      <c r="K20" s="163"/>
      <c r="L20" s="163"/>
      <c r="M20" s="163"/>
      <c r="N20" s="163"/>
      <c r="O20" s="163"/>
      <c r="P20" s="163"/>
      <c r="Q20" s="163"/>
    </row>
    <row r="21" spans="1:17" s="314" customFormat="1" ht="15.75">
      <c r="A21" s="163"/>
      <c r="B21" s="165"/>
      <c r="C21" s="165"/>
      <c r="D21" s="690"/>
      <c r="E21" s="691"/>
      <c r="F21" s="691"/>
      <c r="G21" s="691"/>
      <c r="H21" s="312"/>
      <c r="I21" s="313"/>
      <c r="J21" s="313"/>
      <c r="K21" s="313"/>
      <c r="L21" s="313"/>
      <c r="M21" s="313"/>
      <c r="N21" s="313"/>
      <c r="O21" s="313"/>
      <c r="P21" s="313"/>
      <c r="Q21" s="313"/>
    </row>
    <row r="22" spans="1:17" ht="24.75" customHeight="1">
      <c r="A22" s="166" t="s">
        <v>13</v>
      </c>
      <c r="B22" s="167" t="s">
        <v>250</v>
      </c>
      <c r="C22" s="167"/>
      <c r="D22" s="692"/>
      <c r="E22" s="692"/>
      <c r="F22" s="692"/>
      <c r="G22" s="692"/>
      <c r="H22" s="315"/>
      <c r="I22" s="315"/>
      <c r="J22" s="315"/>
      <c r="K22" s="315"/>
      <c r="L22" s="315"/>
      <c r="M22" s="315"/>
      <c r="N22" s="315"/>
      <c r="O22" s="315"/>
      <c r="P22" s="315"/>
      <c r="Q22" s="315"/>
    </row>
    <row r="23" spans="1:17" ht="298.5" customHeight="1">
      <c r="A23" s="316">
        <v>1</v>
      </c>
      <c r="B23" s="192" t="s">
        <v>253</v>
      </c>
      <c r="C23" s="192" t="s">
        <v>254</v>
      </c>
      <c r="D23" s="686" t="s">
        <v>383</v>
      </c>
      <c r="E23" s="335" t="s">
        <v>419</v>
      </c>
      <c r="F23" s="686" t="s">
        <v>383</v>
      </c>
      <c r="G23" s="686" t="s">
        <v>383</v>
      </c>
      <c r="H23" s="163"/>
      <c r="I23" s="163"/>
      <c r="J23" s="163"/>
      <c r="K23" s="163"/>
      <c r="L23" s="163"/>
      <c r="M23" s="163"/>
      <c r="N23" s="163"/>
      <c r="O23" s="163"/>
      <c r="P23" s="163"/>
      <c r="Q23" s="163"/>
    </row>
    <row r="24" spans="1:17" ht="154.5" customHeight="1">
      <c r="A24" s="316">
        <v>2</v>
      </c>
      <c r="B24" s="192" t="s">
        <v>255</v>
      </c>
      <c r="C24" s="192" t="s">
        <v>256</v>
      </c>
      <c r="D24" s="686" t="s">
        <v>383</v>
      </c>
      <c r="E24" s="335" t="s">
        <v>420</v>
      </c>
      <c r="F24" s="686" t="s">
        <v>383</v>
      </c>
      <c r="G24" s="686" t="s">
        <v>383</v>
      </c>
      <c r="H24" s="163"/>
      <c r="I24" s="163"/>
      <c r="J24" s="163"/>
      <c r="K24" s="163"/>
      <c r="L24" s="163"/>
      <c r="M24" s="163"/>
      <c r="N24" s="163"/>
      <c r="O24" s="163"/>
      <c r="P24" s="163"/>
      <c r="Q24" s="163"/>
    </row>
    <row r="25" spans="1:17" ht="81.75" customHeight="1">
      <c r="A25" s="316">
        <v>3</v>
      </c>
      <c r="B25" s="168" t="s">
        <v>257</v>
      </c>
      <c r="C25" s="168" t="s">
        <v>258</v>
      </c>
      <c r="D25" s="686" t="s">
        <v>383</v>
      </c>
      <c r="E25" s="335" t="s">
        <v>421</v>
      </c>
      <c r="F25" s="686" t="s">
        <v>383</v>
      </c>
      <c r="G25" s="686" t="s">
        <v>383</v>
      </c>
      <c r="H25" s="163"/>
      <c r="I25" s="163"/>
      <c r="J25" s="163"/>
      <c r="K25" s="163"/>
      <c r="L25" s="163"/>
      <c r="M25" s="163"/>
      <c r="N25" s="163"/>
      <c r="O25" s="163"/>
      <c r="P25" s="163"/>
      <c r="Q25" s="163"/>
    </row>
    <row r="26" spans="1:17" ht="58.5" customHeight="1">
      <c r="A26" s="316">
        <v>4</v>
      </c>
      <c r="B26" s="168" t="s">
        <v>259</v>
      </c>
      <c r="C26" s="168" t="s">
        <v>260</v>
      </c>
      <c r="D26" s="686" t="s">
        <v>383</v>
      </c>
      <c r="E26" s="335" t="s">
        <v>422</v>
      </c>
      <c r="F26" s="686" t="s">
        <v>383</v>
      </c>
      <c r="G26" s="686" t="s">
        <v>383</v>
      </c>
      <c r="H26" s="163"/>
      <c r="I26" s="163"/>
      <c r="J26" s="163"/>
      <c r="K26" s="163"/>
      <c r="L26" s="163"/>
      <c r="M26" s="163"/>
      <c r="N26" s="163"/>
      <c r="O26" s="163"/>
      <c r="P26" s="163"/>
      <c r="Q26" s="163"/>
    </row>
    <row r="27" spans="1:17" ht="63" customHeight="1">
      <c r="A27" s="316">
        <v>5</v>
      </c>
      <c r="B27" s="168" t="s">
        <v>261</v>
      </c>
      <c r="C27" s="168" t="s">
        <v>262</v>
      </c>
      <c r="D27" s="686" t="s">
        <v>383</v>
      </c>
      <c r="E27" s="335" t="s">
        <v>423</v>
      </c>
      <c r="F27" s="686" t="s">
        <v>383</v>
      </c>
      <c r="G27" s="686" t="s">
        <v>383</v>
      </c>
      <c r="H27" s="163"/>
      <c r="I27" s="163"/>
      <c r="J27" s="264"/>
      <c r="K27" s="163"/>
      <c r="L27" s="163"/>
      <c r="M27" s="163"/>
      <c r="N27" s="163"/>
      <c r="O27" s="163"/>
      <c r="P27" s="163"/>
      <c r="Q27" s="163"/>
    </row>
    <row r="28" spans="1:17" ht="31.5">
      <c r="A28" s="316">
        <v>6</v>
      </c>
      <c r="B28" s="168" t="s">
        <v>263</v>
      </c>
      <c r="C28" s="168" t="s">
        <v>248</v>
      </c>
      <c r="D28" s="686" t="s">
        <v>383</v>
      </c>
      <c r="E28" s="693" t="s">
        <v>424</v>
      </c>
      <c r="F28" s="686" t="s">
        <v>383</v>
      </c>
      <c r="G28" s="686" t="s">
        <v>383</v>
      </c>
      <c r="H28" s="163"/>
      <c r="I28" s="163"/>
      <c r="J28" s="163"/>
      <c r="K28" s="163"/>
      <c r="L28" s="163"/>
      <c r="M28" s="163"/>
      <c r="N28" s="163"/>
      <c r="O28" s="163"/>
      <c r="P28" s="163"/>
      <c r="Q28" s="163"/>
    </row>
    <row r="29" spans="1:17" ht="115.5" customHeight="1">
      <c r="A29" s="316">
        <v>7</v>
      </c>
      <c r="B29" s="168" t="s">
        <v>264</v>
      </c>
      <c r="C29" s="168" t="s">
        <v>251</v>
      </c>
      <c r="D29" s="686" t="s">
        <v>383</v>
      </c>
      <c r="E29" s="335" t="s">
        <v>425</v>
      </c>
      <c r="F29" s="686" t="s">
        <v>383</v>
      </c>
      <c r="G29" s="686" t="s">
        <v>383</v>
      </c>
      <c r="H29" s="163"/>
      <c r="I29" s="163"/>
      <c r="J29" s="163"/>
      <c r="K29" s="163"/>
      <c r="L29" s="163"/>
      <c r="M29" s="163"/>
      <c r="N29" s="163"/>
      <c r="O29" s="163"/>
      <c r="P29" s="163"/>
      <c r="Q29" s="163"/>
    </row>
    <row r="30" spans="1:17" ht="96.75" customHeight="1">
      <c r="A30" s="760">
        <v>8</v>
      </c>
      <c r="B30" s="168" t="s">
        <v>127</v>
      </c>
      <c r="C30" s="168" t="s">
        <v>252</v>
      </c>
      <c r="D30" s="686" t="s">
        <v>383</v>
      </c>
      <c r="E30" s="308" t="s">
        <v>424</v>
      </c>
      <c r="F30" s="686" t="s">
        <v>383</v>
      </c>
      <c r="G30" s="686" t="s">
        <v>383</v>
      </c>
      <c r="H30" s="163"/>
      <c r="I30" s="163"/>
      <c r="J30" s="163"/>
      <c r="K30" s="163"/>
      <c r="L30" s="163"/>
      <c r="M30" s="163"/>
      <c r="N30" s="163"/>
      <c r="O30" s="163"/>
      <c r="P30" s="163"/>
      <c r="Q30" s="163"/>
    </row>
    <row r="31" spans="1:17" ht="15.75">
      <c r="A31" s="761"/>
      <c r="B31" s="168" t="s">
        <v>14</v>
      </c>
      <c r="C31" s="168"/>
      <c r="D31" s="686" t="s">
        <v>383</v>
      </c>
      <c r="E31" s="686" t="s">
        <v>413</v>
      </c>
      <c r="F31" s="686" t="s">
        <v>383</v>
      </c>
      <c r="G31" s="686" t="s">
        <v>383</v>
      </c>
      <c r="H31" s="163"/>
      <c r="I31" s="163"/>
      <c r="J31" s="162"/>
      <c r="K31" s="163"/>
      <c r="L31" s="162"/>
      <c r="M31" s="163"/>
      <c r="N31" s="163"/>
      <c r="O31" s="162"/>
      <c r="P31" s="162"/>
      <c r="Q31" s="162"/>
    </row>
    <row r="32" spans="1:17" ht="30">
      <c r="A32" s="761"/>
      <c r="B32" s="168" t="s">
        <v>15</v>
      </c>
      <c r="C32" s="168"/>
      <c r="D32" s="686" t="s">
        <v>383</v>
      </c>
      <c r="E32" s="686" t="s">
        <v>426</v>
      </c>
      <c r="F32" s="686" t="s">
        <v>383</v>
      </c>
      <c r="G32" s="686" t="s">
        <v>383</v>
      </c>
      <c r="H32" s="163"/>
      <c r="I32" s="163"/>
      <c r="J32" s="162"/>
      <c r="K32" s="163"/>
      <c r="L32" s="162"/>
      <c r="M32" s="163"/>
      <c r="N32" s="163"/>
      <c r="O32" s="162"/>
      <c r="P32" s="162"/>
      <c r="Q32" s="162"/>
    </row>
    <row r="33" spans="1:17" ht="15.75">
      <c r="A33" s="761"/>
      <c r="B33" s="168" t="s">
        <v>16</v>
      </c>
      <c r="C33" s="168"/>
      <c r="D33" s="686" t="s">
        <v>383</v>
      </c>
      <c r="E33" s="694">
        <v>124000000</v>
      </c>
      <c r="F33" s="686" t="s">
        <v>383</v>
      </c>
      <c r="G33" s="686" t="s">
        <v>383</v>
      </c>
      <c r="H33" s="163"/>
      <c r="I33" s="163"/>
      <c r="J33" s="258"/>
      <c r="K33" s="163"/>
      <c r="L33" s="258"/>
      <c r="M33" s="163"/>
      <c r="N33" s="163"/>
      <c r="O33" s="258"/>
      <c r="P33" s="258"/>
      <c r="Q33" s="258"/>
    </row>
    <row r="34" spans="1:17" ht="15.75">
      <c r="A34" s="762"/>
      <c r="B34" s="168" t="s">
        <v>17</v>
      </c>
      <c r="C34" s="168"/>
      <c r="D34" s="686" t="s">
        <v>383</v>
      </c>
      <c r="E34" s="686" t="s">
        <v>427</v>
      </c>
      <c r="F34" s="686" t="s">
        <v>383</v>
      </c>
      <c r="G34" s="686" t="s">
        <v>383</v>
      </c>
      <c r="H34" s="163"/>
      <c r="I34" s="163"/>
      <c r="J34" s="162"/>
      <c r="K34" s="163"/>
      <c r="L34" s="162"/>
      <c r="M34" s="163"/>
      <c r="N34" s="163"/>
      <c r="O34" s="162"/>
      <c r="P34" s="162"/>
      <c r="Q34" s="162"/>
    </row>
    <row r="35" spans="1:17" s="170" customFormat="1" ht="15.75">
      <c r="A35" s="166"/>
      <c r="B35" s="169" t="s">
        <v>18</v>
      </c>
      <c r="C35" s="169"/>
      <c r="D35" s="688" t="s">
        <v>383</v>
      </c>
      <c r="E35" s="163" t="s">
        <v>139</v>
      </c>
      <c r="F35" s="688" t="s">
        <v>383</v>
      </c>
      <c r="G35" s="688" t="s">
        <v>383</v>
      </c>
      <c r="H35" s="163"/>
      <c r="I35" s="163"/>
      <c r="J35" s="163"/>
      <c r="K35" s="163"/>
      <c r="L35" s="163"/>
      <c r="M35" s="163"/>
      <c r="N35" s="163"/>
      <c r="O35" s="163"/>
      <c r="P35" s="163"/>
      <c r="Q35" s="163"/>
    </row>
    <row r="37" spans="1:17">
      <c r="D37" s="318"/>
    </row>
    <row r="38" spans="1:17">
      <c r="D38" s="318"/>
    </row>
  </sheetData>
  <sheetProtection algorithmName="SHA-512" hashValue="WDNGU+FcZQJRYukTd2k8WfK/apOeCIK8IrPjwB7hxAw1IjKjK5fLUxCeaB0eVAlqWMBdmPOJtAEku/W5m0LD8Q==" saltValue="Z62n9wsprWG5NwpqnHMEYA==" spinCount="100000" sheet="1" objects="1" scenarios="1"/>
  <mergeCells count="1">
    <mergeCell ref="A30:A34"/>
  </mergeCells>
  <conditionalFormatting sqref="K8:K15 J8:J20 L8:L20 O8:Q20 H8:I15 M8:M15 N9:N15">
    <cfRule type="cellIs" dxfId="7078" priority="175" operator="equal">
      <formula>"NO CUMPLE"</formula>
    </cfRule>
    <cfRule type="cellIs" dxfId="7077" priority="176" operator="equal">
      <formula>"CUMPLE"</formula>
    </cfRule>
  </conditionalFormatting>
  <conditionalFormatting sqref="H35">
    <cfRule type="cellIs" dxfId="7076" priority="111" operator="equal">
      <formula>"NO CUMPLE"</formula>
    </cfRule>
    <cfRule type="cellIs" dxfId="7075" priority="112" operator="equal">
      <formula>"CUMPLE"</formula>
    </cfRule>
  </conditionalFormatting>
  <conditionalFormatting sqref="K20">
    <cfRule type="cellIs" dxfId="7074" priority="105" operator="equal">
      <formula>"NO CUMPLE"</formula>
    </cfRule>
    <cfRule type="cellIs" dxfId="7073" priority="106" operator="equal">
      <formula>"CUMPLE"</formula>
    </cfRule>
  </conditionalFormatting>
  <conditionalFormatting sqref="M20">
    <cfRule type="cellIs" dxfId="7072" priority="101" operator="equal">
      <formula>"NO CUMPLE"</formula>
    </cfRule>
    <cfRule type="cellIs" dxfId="7071" priority="102" operator="equal">
      <formula>"CUMPLE"</formula>
    </cfRule>
  </conditionalFormatting>
  <conditionalFormatting sqref="Q23:Q30">
    <cfRule type="cellIs" dxfId="7070" priority="65" operator="equal">
      <formula>"NO CUMPLE"</formula>
    </cfRule>
    <cfRule type="cellIs" dxfId="7069" priority="66" operator="equal">
      <formula>"CUMPLE"</formula>
    </cfRule>
  </conditionalFormatting>
  <conditionalFormatting sqref="L23:L30 O23:O30 H23:J26 H28:J30 H23:I35">
    <cfRule type="cellIs" dxfId="7068" priority="75" operator="equal">
      <formula>"NO CUMPLE"</formula>
    </cfRule>
    <cfRule type="cellIs" dxfId="7067" priority="76" operator="equal">
      <formula>"CUMPLE"</formula>
    </cfRule>
  </conditionalFormatting>
  <conditionalFormatting sqref="L35">
    <cfRule type="cellIs" dxfId="7066" priority="73" operator="equal">
      <formula>"NO CUMPLE"</formula>
    </cfRule>
    <cfRule type="cellIs" dxfId="7065" priority="74" operator="equal">
      <formula>"CUMPLE"</formula>
    </cfRule>
  </conditionalFormatting>
  <conditionalFormatting sqref="O35">
    <cfRule type="cellIs" dxfId="7064" priority="71" operator="equal">
      <formula>"NO CUMPLE"</formula>
    </cfRule>
    <cfRule type="cellIs" dxfId="7063" priority="72" operator="equal">
      <formula>"CUMPLE"</formula>
    </cfRule>
  </conditionalFormatting>
  <conditionalFormatting sqref="P35">
    <cfRule type="cellIs" dxfId="7062" priority="69" operator="equal">
      <formula>"NO CUMPLE"</formula>
    </cfRule>
    <cfRule type="cellIs" dxfId="7061" priority="70" operator="equal">
      <formula>"CUMPLE"</formula>
    </cfRule>
  </conditionalFormatting>
  <conditionalFormatting sqref="P23:P30">
    <cfRule type="cellIs" dxfId="7060" priority="67" operator="equal">
      <formula>"NO CUMPLE"</formula>
    </cfRule>
    <cfRule type="cellIs" dxfId="7059" priority="68" operator="equal">
      <formula>"CUMPLE"</formula>
    </cfRule>
  </conditionalFormatting>
  <conditionalFormatting sqref="Q35">
    <cfRule type="cellIs" dxfId="7058" priority="63" operator="equal">
      <formula>"NO CUMPLE"</formula>
    </cfRule>
    <cfRule type="cellIs" dxfId="7057" priority="64" operator="equal">
      <formula>"CUMPLE"</formula>
    </cfRule>
  </conditionalFormatting>
  <conditionalFormatting sqref="K23:K35">
    <cfRule type="cellIs" dxfId="7056" priority="59" operator="equal">
      <formula>"NO CUMPLE"</formula>
    </cfRule>
    <cfRule type="cellIs" dxfId="7055" priority="60" operator="equal">
      <formula>"CUMPLE"</formula>
    </cfRule>
  </conditionalFormatting>
  <conditionalFormatting sqref="H20">
    <cfRule type="cellIs" dxfId="7054" priority="37" operator="equal">
      <formula>"NO CUMPLE"</formula>
    </cfRule>
    <cfRule type="cellIs" dxfId="7053" priority="38" operator="equal">
      <formula>"CUMPLE"</formula>
    </cfRule>
  </conditionalFormatting>
  <conditionalFormatting sqref="I20">
    <cfRule type="cellIs" dxfId="7052" priority="33" operator="equal">
      <formula>"NO CUMPLE"</formula>
    </cfRule>
    <cfRule type="cellIs" dxfId="7051" priority="34" operator="equal">
      <formula>"CUMPLE"</formula>
    </cfRule>
  </conditionalFormatting>
  <conditionalFormatting sqref="M23:N35">
    <cfRule type="cellIs" dxfId="7050" priority="29" operator="equal">
      <formula>"NO CUMPLE"</formula>
    </cfRule>
    <cfRule type="cellIs" dxfId="7049" priority="30" operator="equal">
      <formula>"CUMPLE"</formula>
    </cfRule>
  </conditionalFormatting>
  <conditionalFormatting sqref="N8">
    <cfRule type="cellIs" dxfId="7048" priority="25" operator="equal">
      <formula>"NO CUMPLE"</formula>
    </cfRule>
    <cfRule type="cellIs" dxfId="7047" priority="26" operator="equal">
      <formula>"CUMPLE"</formula>
    </cfRule>
  </conditionalFormatting>
  <conditionalFormatting sqref="N20">
    <cfRule type="cellIs" dxfId="7046" priority="21" operator="equal">
      <formula>"NO CUMPLE"</formula>
    </cfRule>
    <cfRule type="cellIs" dxfId="7045" priority="22" operator="equal">
      <formula>"CUMPLE"</formula>
    </cfRule>
  </conditionalFormatting>
  <conditionalFormatting sqref="J35">
    <cfRule type="cellIs" dxfId="7044" priority="19" operator="equal">
      <formula>"NO CUMPLE"</formula>
    </cfRule>
    <cfRule type="cellIs" dxfId="7043" priority="20" operator="equal">
      <formula>"CUMPLE"</formula>
    </cfRule>
  </conditionalFormatting>
  <conditionalFormatting sqref="E31:E34 E23:E29">
    <cfRule type="cellIs" dxfId="7042" priority="3" operator="equal">
      <formula>"NO CUMPLE"</formula>
    </cfRule>
    <cfRule type="cellIs" dxfId="7041" priority="4" operator="equal">
      <formula>"CUMPLE"</formula>
    </cfRule>
  </conditionalFormatting>
  <conditionalFormatting sqref="E30">
    <cfRule type="cellIs" dxfId="7040" priority="1" operator="equal">
      <formula>"NO CUMPLE"</formula>
    </cfRule>
    <cfRule type="cellIs" dxfId="7039" priority="2" operator="equal">
      <formula>"CUMPLE"</formula>
    </cfRule>
  </conditionalFormatting>
  <conditionalFormatting sqref="E35">
    <cfRule type="cellIs" dxfId="7038" priority="13" operator="equal">
      <formula>"NO CUMPLE"</formula>
    </cfRule>
    <cfRule type="cellIs" dxfId="7037" priority="14" operator="equal">
      <formula>"CUMPLE"</formula>
    </cfRule>
  </conditionalFormatting>
  <conditionalFormatting sqref="G20 D8:F20 G8:G15">
    <cfRule type="cellIs" dxfId="7036" priority="11" operator="equal">
      <formula>"NO CUMPLE"</formula>
    </cfRule>
    <cfRule type="cellIs" dxfId="7035" priority="12" operator="equal">
      <formula>"CUMPLE"</formula>
    </cfRule>
  </conditionalFormatting>
  <conditionalFormatting sqref="G18">
    <cfRule type="cellIs" dxfId="7034" priority="9" operator="equal">
      <formula>"NO CUMPLE"</formula>
    </cfRule>
    <cfRule type="cellIs" dxfId="7033" priority="10" operator="equal">
      <formula>"CUMPLE"</formula>
    </cfRule>
  </conditionalFormatting>
  <conditionalFormatting sqref="D23:D35">
    <cfRule type="cellIs" dxfId="7032" priority="7" operator="equal">
      <formula>"NO CUMPLE"</formula>
    </cfRule>
    <cfRule type="cellIs" dxfId="7031" priority="8" operator="equal">
      <formula>"CUMPLE"</formula>
    </cfRule>
  </conditionalFormatting>
  <conditionalFormatting sqref="F23:G35">
    <cfRule type="cellIs" dxfId="7030" priority="5" operator="equal">
      <formula>"NO CUMPLE"</formula>
    </cfRule>
    <cfRule type="cellIs" dxfId="7029" priority="6" operator="equal">
      <formula>"CUMPLE"</formula>
    </cfRule>
  </conditionalFormatting>
  <dataValidations count="2">
    <dataValidation type="list" allowBlank="1" showInputMessage="1" showErrorMessage="1" sqref="O23:Q30 M8:N15 K8:K15 J35 O35:Q35 L35 K20 L23:L30 M20:N20 J23:J26 J28:J30 E35" xr:uid="{00000000-0002-0000-0200-000000000000}">
      <formula1>"CUMPLE,NO CUMPLE"</formula1>
    </dataValidation>
    <dataValidation type="list" allowBlank="1" showInputMessage="1" showErrorMessage="1" sqref="H20:I20 K23:K35 H8:I15 M23:N35 J8:J20 O8:Q20 L8:L20 H23:I35" xr:uid="{00000000-0002-0000-0200-000001000000}">
      <formula1>"CUMPLE,NO CUMPLE,N/A"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I315"/>
  <sheetViews>
    <sheetView topLeftCell="D68" zoomScale="55" zoomScaleNormal="55" workbookViewId="0">
      <selection activeCell="O85" sqref="O85:O87"/>
    </sheetView>
  </sheetViews>
  <sheetFormatPr baseColWidth="10" defaultColWidth="11.42578125" defaultRowHeight="15"/>
  <cols>
    <col min="1" max="1" width="6" style="12" customWidth="1"/>
    <col min="2" max="2" width="6.85546875" style="12" bestFit="1" customWidth="1"/>
    <col min="3" max="3" width="27.85546875" style="13" customWidth="1"/>
    <col min="4" max="4" width="17" style="13" customWidth="1"/>
    <col min="5" max="5" width="23.140625" style="24" customWidth="1"/>
    <col min="6" max="6" width="29.42578125" style="25" customWidth="1"/>
    <col min="7" max="7" width="17.42578125" style="25" customWidth="1"/>
    <col min="8" max="9" width="16.7109375" style="13" customWidth="1"/>
    <col min="10" max="10" width="18.42578125" style="13" bestFit="1" customWidth="1"/>
    <col min="11" max="11" width="11.28515625" style="13" customWidth="1"/>
    <col min="12" max="12" width="18.42578125" style="13" customWidth="1"/>
    <col min="13" max="13" width="12" style="13" customWidth="1"/>
    <col min="14" max="14" width="24.7109375" style="13" customWidth="1"/>
    <col min="15" max="15" width="25.42578125" style="13" customWidth="1"/>
    <col min="16" max="16" width="47.7109375" style="13" customWidth="1"/>
    <col min="17" max="17" width="32.28515625" style="13" customWidth="1"/>
    <col min="18" max="18" width="24.42578125" style="13" customWidth="1"/>
    <col min="19" max="19" width="22.140625" style="13" customWidth="1"/>
    <col min="20" max="20" width="65.140625" style="13" customWidth="1"/>
    <col min="21" max="21" width="24" style="13" customWidth="1"/>
    <col min="22" max="22" width="11.42578125" style="13"/>
    <col min="23" max="23" width="11.42578125" style="29" customWidth="1"/>
    <col min="24" max="24" width="39.42578125" style="29" customWidth="1"/>
    <col min="25" max="25" width="22.85546875" style="29" customWidth="1"/>
    <col min="26" max="26" width="32.42578125" style="29" customWidth="1"/>
    <col min="27" max="29" width="11.42578125" style="13" customWidth="1"/>
    <col min="30" max="30" width="35.140625" style="13" customWidth="1"/>
    <col min="31" max="31" width="23.42578125" style="13" customWidth="1"/>
    <col min="32" max="36" width="11.42578125" style="13" customWidth="1"/>
    <col min="37" max="16384" width="11.42578125" style="13"/>
  </cols>
  <sheetData>
    <row r="1" spans="1:35" ht="39.950000000000003" customHeight="1">
      <c r="B1" s="835" t="s">
        <v>19</v>
      </c>
      <c r="C1" s="836"/>
      <c r="D1" s="836"/>
      <c r="E1" s="836"/>
      <c r="F1" s="836"/>
      <c r="G1" s="836"/>
      <c r="H1" s="836"/>
      <c r="I1" s="836"/>
      <c r="J1" s="836"/>
      <c r="K1" s="836"/>
      <c r="L1" s="836"/>
      <c r="M1" s="836"/>
      <c r="N1" s="836"/>
      <c r="O1" s="836"/>
      <c r="P1" s="836"/>
      <c r="Q1" s="836"/>
      <c r="R1" s="836"/>
      <c r="S1" s="837"/>
      <c r="W1" s="13"/>
      <c r="X1" s="13"/>
      <c r="Y1" s="13"/>
      <c r="Z1" s="13"/>
    </row>
    <row r="2" spans="1:35" s="16" customFormat="1" ht="12.75" customHeight="1">
      <c r="A2" s="14"/>
      <c r="B2" s="14"/>
      <c r="C2" s="15"/>
      <c r="D2" s="15"/>
      <c r="E2" s="15"/>
      <c r="F2" s="15"/>
      <c r="G2" s="15"/>
      <c r="H2" s="15"/>
      <c r="I2" s="13"/>
      <c r="J2" s="13"/>
      <c r="K2" s="13"/>
      <c r="L2" s="13"/>
      <c r="M2" s="13"/>
    </row>
    <row r="3" spans="1:35" s="16" customFormat="1" ht="193.5" customHeight="1">
      <c r="B3" s="838" t="s">
        <v>270</v>
      </c>
      <c r="C3" s="839"/>
      <c r="D3" s="839"/>
      <c r="E3" s="839"/>
      <c r="F3" s="839"/>
      <c r="G3" s="839"/>
      <c r="H3" s="839"/>
      <c r="I3" s="839"/>
      <c r="J3" s="839"/>
      <c r="K3" s="839"/>
      <c r="L3" s="839"/>
      <c r="M3" s="839"/>
      <c r="N3" s="839"/>
      <c r="O3" s="839"/>
      <c r="P3" s="839"/>
      <c r="Q3" s="839"/>
      <c r="R3" s="839"/>
      <c r="S3" s="840"/>
    </row>
    <row r="4" spans="1:35" s="16" customFormat="1" ht="12.75" customHeight="1">
      <c r="F4" s="841"/>
      <c r="G4" s="841"/>
      <c r="H4" s="841"/>
      <c r="I4" s="841"/>
      <c r="J4" s="841"/>
      <c r="K4" s="841"/>
      <c r="L4" s="841"/>
      <c r="M4" s="841"/>
      <c r="N4" s="841"/>
      <c r="O4" s="13"/>
      <c r="P4" s="13"/>
    </row>
    <row r="5" spans="1:35" s="16" customFormat="1" ht="30.75" customHeight="1">
      <c r="F5" s="842" t="s">
        <v>128</v>
      </c>
      <c r="G5" s="843"/>
      <c r="H5" s="17" t="s">
        <v>20</v>
      </c>
      <c r="L5" s="844" t="s">
        <v>21</v>
      </c>
      <c r="M5" s="844"/>
      <c r="N5" s="845" t="s">
        <v>22</v>
      </c>
      <c r="O5" s="845"/>
      <c r="P5" s="17" t="s">
        <v>23</v>
      </c>
    </row>
    <row r="6" spans="1:35" s="16" customFormat="1" ht="15.75">
      <c r="F6" s="846">
        <v>908526</v>
      </c>
      <c r="G6" s="847"/>
      <c r="H6" s="319">
        <v>1.5</v>
      </c>
      <c r="L6" s="844"/>
      <c r="M6" s="844"/>
      <c r="N6" s="848">
        <v>1239018064</v>
      </c>
      <c r="O6" s="848"/>
      <c r="P6" s="320">
        <f>+ROUND(N6/$F$6,0)</f>
        <v>1364</v>
      </c>
    </row>
    <row r="7" spans="1:35" s="16" customFormat="1" ht="12.75" customHeight="1">
      <c r="A7" s="19"/>
      <c r="B7" s="19"/>
      <c r="C7" s="20"/>
      <c r="D7" s="21"/>
      <c r="E7" s="22"/>
      <c r="F7" s="259"/>
      <c r="G7" s="13"/>
      <c r="H7" s="13"/>
      <c r="I7" s="23"/>
      <c r="J7" s="13"/>
      <c r="K7" s="13"/>
      <c r="L7" s="13"/>
      <c r="M7" s="13"/>
    </row>
    <row r="8" spans="1:35">
      <c r="W8" s="13"/>
      <c r="X8" s="13"/>
      <c r="Y8" s="13"/>
      <c r="Z8" s="13"/>
    </row>
    <row r="9" spans="1:35">
      <c r="W9" s="13"/>
      <c r="X9" s="13"/>
      <c r="Y9" s="13"/>
      <c r="Z9" s="13"/>
    </row>
    <row r="10" spans="1:35" ht="74.25" customHeight="1">
      <c r="B10" s="301">
        <v>1</v>
      </c>
      <c r="C10" s="821" t="s">
        <v>165</v>
      </c>
      <c r="D10" s="822"/>
      <c r="E10" s="823"/>
      <c r="F10" s="824" t="str">
        <f>IFERROR(VLOOKUP(B10,LISTA_OFERENTES,2,FALSE)," ")</f>
        <v>INTERVE S.A.S.</v>
      </c>
      <c r="G10" s="825"/>
      <c r="H10" s="825"/>
      <c r="I10" s="825"/>
      <c r="J10" s="825"/>
      <c r="K10" s="825"/>
      <c r="L10" s="825"/>
      <c r="M10" s="825"/>
      <c r="N10" s="825"/>
      <c r="O10" s="826"/>
      <c r="P10" s="827" t="s">
        <v>25</v>
      </c>
      <c r="Q10" s="828"/>
      <c r="R10" s="829"/>
      <c r="S10" s="321">
        <f>5-(INT(COUNTBLANK(C13:C27))-10)</f>
        <v>5</v>
      </c>
    </row>
    <row r="11" spans="1:35" s="15" customFormat="1" ht="33.75" customHeight="1">
      <c r="B11" s="830" t="s">
        <v>26</v>
      </c>
      <c r="C11" s="813" t="s">
        <v>27</v>
      </c>
      <c r="D11" s="813" t="s">
        <v>28</v>
      </c>
      <c r="E11" s="813" t="s">
        <v>29</v>
      </c>
      <c r="F11" s="813" t="s">
        <v>30</v>
      </c>
      <c r="G11" s="813" t="s">
        <v>31</v>
      </c>
      <c r="H11" s="813" t="s">
        <v>32</v>
      </c>
      <c r="I11" s="813" t="s">
        <v>33</v>
      </c>
      <c r="J11" s="832" t="s">
        <v>34</v>
      </c>
      <c r="K11" s="833"/>
      <c r="L11" s="833"/>
      <c r="M11" s="834"/>
      <c r="N11" s="813" t="s">
        <v>35</v>
      </c>
      <c r="O11" s="813" t="s">
        <v>36</v>
      </c>
      <c r="P11" s="832" t="s">
        <v>37</v>
      </c>
      <c r="Q11" s="834"/>
      <c r="R11" s="813" t="s">
        <v>38</v>
      </c>
      <c r="S11" s="813" t="s">
        <v>39</v>
      </c>
      <c r="T11" s="813" t="s">
        <v>286</v>
      </c>
      <c r="U11" s="813" t="s">
        <v>129</v>
      </c>
      <c r="V11" s="47"/>
      <c r="W11" s="849" t="s">
        <v>40</v>
      </c>
      <c r="X11" s="850"/>
      <c r="Y11" s="851"/>
      <c r="Z11" s="322" t="s">
        <v>41</v>
      </c>
    </row>
    <row r="12" spans="1:35" s="15" customFormat="1" ht="91.5" customHeight="1">
      <c r="B12" s="831"/>
      <c r="C12" s="814"/>
      <c r="D12" s="814"/>
      <c r="E12" s="814"/>
      <c r="F12" s="814"/>
      <c r="G12" s="814"/>
      <c r="H12" s="814"/>
      <c r="I12" s="814"/>
      <c r="J12" s="815" t="s">
        <v>42</v>
      </c>
      <c r="K12" s="816"/>
      <c r="L12" s="816"/>
      <c r="M12" s="817"/>
      <c r="N12" s="814"/>
      <c r="O12" s="814"/>
      <c r="P12" s="323" t="s">
        <v>10</v>
      </c>
      <c r="Q12" s="323" t="s">
        <v>43</v>
      </c>
      <c r="R12" s="814"/>
      <c r="S12" s="814"/>
      <c r="T12" s="814"/>
      <c r="U12" s="814"/>
      <c r="V12" s="47"/>
      <c r="W12" s="324">
        <v>1</v>
      </c>
      <c r="X12" s="325" t="str">
        <f>IFERROR(VLOOKUP(W12,LISTA_OFERENTES,2,FALSE)," ")</f>
        <v>INTERVE S.A.S.</v>
      </c>
      <c r="Y12" s="325" t="str">
        <f ca="1">VLOOKUP(X12,BANDERA,2,FALSE)</f>
        <v>CUMPLE</v>
      </c>
      <c r="Z12" s="59" t="str">
        <f ca="1">IF(Y12="CUMPLE","H","NH")</f>
        <v>H</v>
      </c>
      <c r="AD12" s="325" t="str">
        <f>X12</f>
        <v>INTERVE S.A.S.</v>
      </c>
      <c r="AE12" s="326" t="str">
        <f ca="1">INDIRECT("T"&amp;AH12)</f>
        <v>CUMPLE</v>
      </c>
      <c r="AG12" s="59" t="s">
        <v>44</v>
      </c>
      <c r="AH12" s="57">
        <v>28</v>
      </c>
      <c r="AI12" s="327"/>
    </row>
    <row r="13" spans="1:35" s="330" customFormat="1" ht="24.95" customHeight="1">
      <c r="A13" s="328"/>
      <c r="B13" s="774">
        <v>1</v>
      </c>
      <c r="C13" s="777">
        <v>4</v>
      </c>
      <c r="D13" s="777">
        <v>23</v>
      </c>
      <c r="E13" s="852">
        <v>40911</v>
      </c>
      <c r="F13" s="777" t="s">
        <v>272</v>
      </c>
      <c r="G13" s="780">
        <v>5803.53</v>
      </c>
      <c r="H13" s="783" t="s">
        <v>221</v>
      </c>
      <c r="I13" s="786">
        <v>1</v>
      </c>
      <c r="J13" s="329" t="s">
        <v>139</v>
      </c>
      <c r="K13" s="57">
        <v>801016</v>
      </c>
      <c r="L13" s="329"/>
      <c r="M13" s="57"/>
      <c r="N13" s="789" t="s">
        <v>143</v>
      </c>
      <c r="O13" s="789" t="s">
        <v>230</v>
      </c>
      <c r="P13" s="792"/>
      <c r="Q13" s="795" t="s">
        <v>145</v>
      </c>
      <c r="R13" s="795" t="s">
        <v>146</v>
      </c>
      <c r="S13" s="798">
        <f>IF(COUNTIF(J13:K15,"CUMPLE")&gt;=1,(G13*I13),0)* (IF(N13="PRESENTÓ CERTIFICADO",1,0))* (IF(O13="ACORDE A ITEM 6.2.2.1 (T.R.)",1,0) )* ( IF(OR(Q13="SIN OBSERVACIÓN", Q13="REQUERIMIENTOS SUBSANADOS"),1,0)) *(IF(OR(R13="NINGUNO", R13="CUMPLEN CON LO SOLICITADO"),1,0))</f>
        <v>5803.53</v>
      </c>
      <c r="T13" s="818" t="s">
        <v>147</v>
      </c>
      <c r="U13" s="801">
        <f t="shared" ref="U13" si="0">IF(COUNTIF(J13:K15,"CUMPLE")&gt;=1,1,0)</f>
        <v>1</v>
      </c>
      <c r="W13" s="324">
        <v>2</v>
      </c>
      <c r="X13" s="325" t="str">
        <f t="shared" ref="X13:X25" si="1">IFERROR(VLOOKUP(W13,LISTA_OFERENTES,2,FALSE)," ")</f>
        <v>CONSORCIO VALCO - ACI</v>
      </c>
      <c r="Y13" s="325" t="str">
        <f t="shared" ref="Y13:Y27" ca="1" si="2">VLOOKUP(X13,BANDERA,2,FALSE)</f>
        <v>CUMPLE</v>
      </c>
      <c r="Z13" s="59" t="str">
        <f t="shared" ref="Z13:Z25" ca="1" si="3">IF(Y13="CUMPLE","H","NH")</f>
        <v>H</v>
      </c>
      <c r="AD13" s="325" t="str">
        <f t="shared" ref="AD13:AD28" si="4">X13</f>
        <v>CONSORCIO VALCO - ACI</v>
      </c>
      <c r="AE13" s="326" t="str">
        <f ca="1">INDIRECT("T"&amp;AH13)</f>
        <v>CUMPLE</v>
      </c>
      <c r="AF13" s="331"/>
      <c r="AG13" s="59" t="s">
        <v>44</v>
      </c>
      <c r="AH13" s="57">
        <f>AH12+AI$13</f>
        <v>50</v>
      </c>
      <c r="AI13" s="795">
        <v>22</v>
      </c>
    </row>
    <row r="14" spans="1:35" s="330" customFormat="1" ht="24.95" customHeight="1">
      <c r="A14" s="328"/>
      <c r="B14" s="775"/>
      <c r="C14" s="778"/>
      <c r="D14" s="778"/>
      <c r="E14" s="778"/>
      <c r="F14" s="778"/>
      <c r="G14" s="781"/>
      <c r="H14" s="784"/>
      <c r="I14" s="787"/>
      <c r="J14" s="329" t="s">
        <v>139</v>
      </c>
      <c r="K14" s="57">
        <v>811015</v>
      </c>
      <c r="L14" s="802"/>
      <c r="M14" s="795"/>
      <c r="N14" s="790"/>
      <c r="O14" s="790"/>
      <c r="P14" s="793"/>
      <c r="Q14" s="796"/>
      <c r="R14" s="796"/>
      <c r="S14" s="799"/>
      <c r="T14" s="819"/>
      <c r="U14" s="801"/>
      <c r="W14" s="324">
        <v>3</v>
      </c>
      <c r="X14" s="325" t="str">
        <f t="shared" si="1"/>
        <v>ARQ S.A.S.</v>
      </c>
      <c r="Y14" s="325" t="str">
        <f t="shared" ca="1" si="2"/>
        <v>CUMPLE</v>
      </c>
      <c r="Z14" s="59" t="str">
        <f t="shared" ca="1" si="3"/>
        <v>H</v>
      </c>
      <c r="AD14" s="325" t="str">
        <f t="shared" si="4"/>
        <v>ARQ S.A.S.</v>
      </c>
      <c r="AE14" s="326" t="str">
        <f t="shared" ref="AE14:AE28" ca="1" si="5">INDIRECT("T"&amp;AH14)</f>
        <v>CUMPLE</v>
      </c>
      <c r="AF14" s="331"/>
      <c r="AG14" s="59" t="s">
        <v>44</v>
      </c>
      <c r="AH14" s="57">
        <f>AH13+AI$13</f>
        <v>72</v>
      </c>
      <c r="AI14" s="796"/>
    </row>
    <row r="15" spans="1:35" s="330" customFormat="1" ht="24.95" customHeight="1">
      <c r="A15" s="328"/>
      <c r="B15" s="776"/>
      <c r="C15" s="779"/>
      <c r="D15" s="779"/>
      <c r="E15" s="779"/>
      <c r="F15" s="779"/>
      <c r="G15" s="782"/>
      <c r="H15" s="785"/>
      <c r="I15" s="788"/>
      <c r="J15" s="329" t="s">
        <v>139</v>
      </c>
      <c r="K15" s="57">
        <v>841116</v>
      </c>
      <c r="L15" s="803"/>
      <c r="M15" s="797"/>
      <c r="N15" s="791"/>
      <c r="O15" s="791"/>
      <c r="P15" s="794"/>
      <c r="Q15" s="797"/>
      <c r="R15" s="797"/>
      <c r="S15" s="800"/>
      <c r="T15" s="819"/>
      <c r="U15" s="801"/>
      <c r="W15" s="324">
        <v>4</v>
      </c>
      <c r="X15" s="325" t="str">
        <f t="shared" si="1"/>
        <v>PREVEO S.A.S.</v>
      </c>
      <c r="Y15" s="325" t="str">
        <f t="shared" ca="1" si="2"/>
        <v>CUMPLE</v>
      </c>
      <c r="Z15" s="59" t="str">
        <f t="shared" ca="1" si="3"/>
        <v>H</v>
      </c>
      <c r="AD15" s="325" t="str">
        <f t="shared" si="4"/>
        <v>PREVEO S.A.S.</v>
      </c>
      <c r="AE15" s="326" t="str">
        <f t="shared" ca="1" si="5"/>
        <v>CUMPLE</v>
      </c>
      <c r="AF15" s="331"/>
      <c r="AG15" s="59" t="s">
        <v>44</v>
      </c>
      <c r="AH15" s="57">
        <f>AH14+AI$13</f>
        <v>94</v>
      </c>
      <c r="AI15" s="796"/>
    </row>
    <row r="16" spans="1:35" s="330" customFormat="1" ht="24.95" customHeight="1">
      <c r="A16" s="328"/>
      <c r="B16" s="774">
        <v>2</v>
      </c>
      <c r="C16" s="804">
        <v>19</v>
      </c>
      <c r="D16" s="804">
        <v>41</v>
      </c>
      <c r="E16" s="853">
        <v>42013</v>
      </c>
      <c r="F16" s="804" t="s">
        <v>273</v>
      </c>
      <c r="G16" s="807">
        <v>1278.9100000000001</v>
      </c>
      <c r="H16" s="783" t="s">
        <v>221</v>
      </c>
      <c r="I16" s="810">
        <v>1</v>
      </c>
      <c r="J16" s="329" t="s">
        <v>139</v>
      </c>
      <c r="K16" s="57">
        <f>+$K$13</f>
        <v>801016</v>
      </c>
      <c r="L16" s="329"/>
      <c r="M16" s="57"/>
      <c r="N16" s="789" t="s">
        <v>143</v>
      </c>
      <c r="O16" s="789" t="s">
        <v>230</v>
      </c>
      <c r="P16" s="792"/>
      <c r="Q16" s="795" t="s">
        <v>145</v>
      </c>
      <c r="R16" s="795" t="s">
        <v>146</v>
      </c>
      <c r="S16" s="798">
        <f t="shared" ref="S16" si="6">IF(COUNTIF(J16:K18,"CUMPLE")&gt;=1,(G16*I16),0)* (IF(N16="PRESENTÓ CERTIFICADO",1,0))* (IF(O16="ACORDE A ITEM 6.2.2.1 (T.R.)",1,0) )* ( IF(OR(Q16="SIN OBSERVACIÓN", Q16="REQUERIMIENTOS SUBSANADOS"),1,0)) *(IF(OR(R16="NINGUNO", R16="CUMPLEN CON LO SOLICITADO"),1,0))</f>
        <v>1278.9100000000001</v>
      </c>
      <c r="T16" s="819"/>
      <c r="U16" s="801">
        <f t="shared" ref="U16:U25" si="7">IF(COUNTIF(J16:K18,"CUMPLE")&gt;=1,1,0)</f>
        <v>1</v>
      </c>
      <c r="W16" s="324">
        <v>5</v>
      </c>
      <c r="X16" s="325">
        <f t="shared" si="1"/>
        <v>0</v>
      </c>
      <c r="Y16" s="325" t="str">
        <f t="shared" ca="1" si="2"/>
        <v>NO CUMPLE</v>
      </c>
      <c r="Z16" s="59" t="str">
        <f t="shared" ca="1" si="3"/>
        <v>NH</v>
      </c>
      <c r="AD16" s="325">
        <f t="shared" si="4"/>
        <v>0</v>
      </c>
      <c r="AE16" s="326" t="str">
        <f t="shared" ca="1" si="5"/>
        <v>NO CUMPLE</v>
      </c>
      <c r="AF16" s="331"/>
      <c r="AG16" s="59" t="s">
        <v>44</v>
      </c>
      <c r="AH16" s="57">
        <f>AH15+AI$13</f>
        <v>116</v>
      </c>
      <c r="AI16" s="796"/>
    </row>
    <row r="17" spans="1:35" s="330" customFormat="1" ht="24.95" customHeight="1">
      <c r="A17" s="328"/>
      <c r="B17" s="775"/>
      <c r="C17" s="805"/>
      <c r="D17" s="805"/>
      <c r="E17" s="805"/>
      <c r="F17" s="805"/>
      <c r="G17" s="808"/>
      <c r="H17" s="784"/>
      <c r="I17" s="811"/>
      <c r="J17" s="329" t="s">
        <v>139</v>
      </c>
      <c r="K17" s="57">
        <f>+$K$14</f>
        <v>811015</v>
      </c>
      <c r="L17" s="802"/>
      <c r="M17" s="795"/>
      <c r="N17" s="790"/>
      <c r="O17" s="790"/>
      <c r="P17" s="793"/>
      <c r="Q17" s="796"/>
      <c r="R17" s="796"/>
      <c r="S17" s="799"/>
      <c r="T17" s="819"/>
      <c r="U17" s="801"/>
      <c r="W17" s="324">
        <v>6</v>
      </c>
      <c r="X17" s="325">
        <f t="shared" si="1"/>
        <v>0</v>
      </c>
      <c r="Y17" s="325" t="str">
        <f t="shared" ca="1" si="2"/>
        <v>NO CUMPLE</v>
      </c>
      <c r="Z17" s="59" t="str">
        <f t="shared" ca="1" si="3"/>
        <v>NH</v>
      </c>
      <c r="AD17" s="325">
        <f t="shared" si="4"/>
        <v>0</v>
      </c>
      <c r="AE17" s="326" t="str">
        <f t="shared" ca="1" si="5"/>
        <v>NO CUMPLE</v>
      </c>
      <c r="AF17" s="331"/>
      <c r="AG17" s="59" t="s">
        <v>44</v>
      </c>
      <c r="AH17" s="57">
        <f>AH16+AI$13</f>
        <v>138</v>
      </c>
      <c r="AI17" s="796"/>
    </row>
    <row r="18" spans="1:35" s="330" customFormat="1" ht="24.95" customHeight="1">
      <c r="A18" s="328"/>
      <c r="B18" s="776"/>
      <c r="C18" s="806"/>
      <c r="D18" s="806"/>
      <c r="E18" s="806"/>
      <c r="F18" s="806"/>
      <c r="G18" s="809"/>
      <c r="H18" s="785"/>
      <c r="I18" s="812"/>
      <c r="J18" s="329" t="s">
        <v>139</v>
      </c>
      <c r="K18" s="57">
        <f>+$K$15</f>
        <v>841116</v>
      </c>
      <c r="L18" s="803"/>
      <c r="M18" s="797"/>
      <c r="N18" s="791"/>
      <c r="O18" s="791"/>
      <c r="P18" s="794"/>
      <c r="Q18" s="797"/>
      <c r="R18" s="797"/>
      <c r="S18" s="800"/>
      <c r="T18" s="819"/>
      <c r="U18" s="801"/>
      <c r="W18" s="324">
        <v>7</v>
      </c>
      <c r="X18" s="325">
        <f t="shared" si="1"/>
        <v>0</v>
      </c>
      <c r="Y18" s="325" t="str">
        <f t="shared" ca="1" si="2"/>
        <v>NO CUMPLE</v>
      </c>
      <c r="Z18" s="59" t="str">
        <f t="shared" ca="1" si="3"/>
        <v>NH</v>
      </c>
      <c r="AD18" s="325">
        <f t="shared" si="4"/>
        <v>0</v>
      </c>
      <c r="AE18" s="326" t="str">
        <f t="shared" ca="1" si="5"/>
        <v>NO CUMPLE</v>
      </c>
      <c r="AF18" s="332"/>
      <c r="AG18" s="59" t="s">
        <v>44</v>
      </c>
      <c r="AH18" s="57">
        <f t="shared" ref="AH18:AH28" si="8">AH17+AI$13</f>
        <v>160</v>
      </c>
      <c r="AI18" s="796"/>
    </row>
    <row r="19" spans="1:35" s="330" customFormat="1" ht="24.95" customHeight="1">
      <c r="A19" s="328"/>
      <c r="B19" s="774">
        <v>3</v>
      </c>
      <c r="C19" s="777">
        <v>36</v>
      </c>
      <c r="D19" s="777">
        <v>51</v>
      </c>
      <c r="E19" s="777" t="s">
        <v>227</v>
      </c>
      <c r="F19" s="777" t="s">
        <v>274</v>
      </c>
      <c r="G19" s="780">
        <v>2099.61</v>
      </c>
      <c r="H19" s="783" t="s">
        <v>221</v>
      </c>
      <c r="I19" s="786">
        <v>1</v>
      </c>
      <c r="J19" s="329" t="s">
        <v>139</v>
      </c>
      <c r="K19" s="57">
        <f>+$K$13</f>
        <v>801016</v>
      </c>
      <c r="L19" s="329"/>
      <c r="M19" s="57"/>
      <c r="N19" s="789" t="s">
        <v>143</v>
      </c>
      <c r="O19" s="789" t="s">
        <v>230</v>
      </c>
      <c r="P19" s="792"/>
      <c r="Q19" s="795" t="s">
        <v>145</v>
      </c>
      <c r="R19" s="795" t="s">
        <v>146</v>
      </c>
      <c r="S19" s="798">
        <f t="shared" ref="S19" si="9">IF(COUNTIF(J19:K21,"CUMPLE")&gt;=1,(G19*I19),0)* (IF(N19="PRESENTÓ CERTIFICADO",1,0))* (IF(O19="ACORDE A ITEM 6.2.2.1 (T.R.)",1,0) )* ( IF(OR(Q19="SIN OBSERVACIÓN", Q19="REQUERIMIENTOS SUBSANADOS"),1,0)) *(IF(OR(R19="NINGUNO", R19="CUMPLEN CON LO SOLICITADO"),1,0))</f>
        <v>2099.61</v>
      </c>
      <c r="T19" s="819"/>
      <c r="U19" s="801">
        <f t="shared" si="7"/>
        <v>1</v>
      </c>
      <c r="W19" s="324">
        <v>8</v>
      </c>
      <c r="X19" s="325">
        <f t="shared" si="1"/>
        <v>0</v>
      </c>
      <c r="Y19" s="325" t="str">
        <f t="shared" ca="1" si="2"/>
        <v>NO CUMPLE</v>
      </c>
      <c r="Z19" s="59" t="str">
        <f t="shared" ca="1" si="3"/>
        <v>NH</v>
      </c>
      <c r="AD19" s="325">
        <f t="shared" si="4"/>
        <v>0</v>
      </c>
      <c r="AE19" s="326" t="str">
        <f t="shared" ca="1" si="5"/>
        <v>NO CUMPLE</v>
      </c>
      <c r="AF19" s="332"/>
      <c r="AG19" s="59" t="s">
        <v>44</v>
      </c>
      <c r="AH19" s="57">
        <f t="shared" si="8"/>
        <v>182</v>
      </c>
      <c r="AI19" s="796"/>
    </row>
    <row r="20" spans="1:35" s="330" customFormat="1" ht="24.95" customHeight="1">
      <c r="A20" s="328"/>
      <c r="B20" s="775"/>
      <c r="C20" s="778"/>
      <c r="D20" s="778"/>
      <c r="E20" s="778"/>
      <c r="F20" s="778"/>
      <c r="G20" s="781"/>
      <c r="H20" s="784"/>
      <c r="I20" s="787"/>
      <c r="J20" s="329" t="s">
        <v>139</v>
      </c>
      <c r="K20" s="57">
        <f>+$K$14</f>
        <v>811015</v>
      </c>
      <c r="L20" s="802"/>
      <c r="M20" s="795"/>
      <c r="N20" s="790"/>
      <c r="O20" s="790"/>
      <c r="P20" s="793"/>
      <c r="Q20" s="796"/>
      <c r="R20" s="796"/>
      <c r="S20" s="799"/>
      <c r="T20" s="819"/>
      <c r="U20" s="801"/>
      <c r="W20" s="324">
        <v>9</v>
      </c>
      <c r="X20" s="325">
        <f t="shared" si="1"/>
        <v>0</v>
      </c>
      <c r="Y20" s="325" t="str">
        <f t="shared" ca="1" si="2"/>
        <v>NO CUMPLE</v>
      </c>
      <c r="Z20" s="59" t="str">
        <f t="shared" ca="1" si="3"/>
        <v>NH</v>
      </c>
      <c r="AD20" s="325">
        <f t="shared" si="4"/>
        <v>0</v>
      </c>
      <c r="AE20" s="326" t="str">
        <f t="shared" ca="1" si="5"/>
        <v>CUMPLE</v>
      </c>
      <c r="AF20" s="332"/>
      <c r="AG20" s="59" t="s">
        <v>44</v>
      </c>
      <c r="AH20" s="57">
        <f t="shared" si="8"/>
        <v>204</v>
      </c>
      <c r="AI20" s="796"/>
    </row>
    <row r="21" spans="1:35" s="330" customFormat="1" ht="24.95" customHeight="1">
      <c r="A21" s="328"/>
      <c r="B21" s="776"/>
      <c r="C21" s="779"/>
      <c r="D21" s="779"/>
      <c r="E21" s="779"/>
      <c r="F21" s="779"/>
      <c r="G21" s="782"/>
      <c r="H21" s="785"/>
      <c r="I21" s="788"/>
      <c r="J21" s="329" t="s">
        <v>139</v>
      </c>
      <c r="K21" s="57">
        <f>+$K$15</f>
        <v>841116</v>
      </c>
      <c r="L21" s="803"/>
      <c r="M21" s="797"/>
      <c r="N21" s="791"/>
      <c r="O21" s="791"/>
      <c r="P21" s="794"/>
      <c r="Q21" s="797"/>
      <c r="R21" s="797"/>
      <c r="S21" s="800"/>
      <c r="T21" s="819"/>
      <c r="U21" s="801"/>
      <c r="W21" s="324">
        <v>10</v>
      </c>
      <c r="X21" s="325">
        <f t="shared" si="1"/>
        <v>0</v>
      </c>
      <c r="Y21" s="325" t="str">
        <f t="shared" ca="1" si="2"/>
        <v>NO CUMPLE</v>
      </c>
      <c r="Z21" s="59" t="str">
        <f t="shared" ca="1" si="3"/>
        <v>NH</v>
      </c>
      <c r="AD21" s="325">
        <f t="shared" si="4"/>
        <v>0</v>
      </c>
      <c r="AE21" s="326" t="str">
        <f t="shared" ca="1" si="5"/>
        <v>NO CUMPLE</v>
      </c>
      <c r="AF21" s="332"/>
      <c r="AG21" s="59" t="s">
        <v>44</v>
      </c>
      <c r="AH21" s="57">
        <f t="shared" si="8"/>
        <v>226</v>
      </c>
      <c r="AI21" s="796"/>
    </row>
    <row r="22" spans="1:35" s="330" customFormat="1" ht="24.95" customHeight="1">
      <c r="A22" s="328"/>
      <c r="B22" s="774">
        <v>4</v>
      </c>
      <c r="C22" s="804">
        <v>56</v>
      </c>
      <c r="D22" s="804">
        <v>62</v>
      </c>
      <c r="E22" s="853">
        <v>41068</v>
      </c>
      <c r="F22" s="804" t="s">
        <v>229</v>
      </c>
      <c r="G22" s="807">
        <v>651.88</v>
      </c>
      <c r="H22" s="783" t="s">
        <v>221</v>
      </c>
      <c r="I22" s="810">
        <v>1</v>
      </c>
      <c r="J22" s="329" t="s">
        <v>139</v>
      </c>
      <c r="K22" s="57">
        <f>+$K$13</f>
        <v>801016</v>
      </c>
      <c r="L22" s="329"/>
      <c r="M22" s="57"/>
      <c r="N22" s="789" t="s">
        <v>143</v>
      </c>
      <c r="O22" s="789" t="s">
        <v>230</v>
      </c>
      <c r="P22" s="792"/>
      <c r="Q22" s="795" t="s">
        <v>145</v>
      </c>
      <c r="R22" s="795" t="s">
        <v>146</v>
      </c>
      <c r="S22" s="798">
        <f t="shared" ref="S22" si="10">IF(COUNTIF(J22:K24,"CUMPLE")&gt;=1,(G22*I22),0)* (IF(N22="PRESENTÓ CERTIFICADO",1,0))* (IF(O22="ACORDE A ITEM 6.2.2.1 (T.R.)",1,0) )* ( IF(OR(Q22="SIN OBSERVACIÓN", Q22="REQUERIMIENTOS SUBSANADOS"),1,0)) *(IF(OR(R22="NINGUNO", R22="CUMPLEN CON LO SOLICITADO"),1,0))</f>
        <v>651.88</v>
      </c>
      <c r="T22" s="819"/>
      <c r="U22" s="801">
        <f t="shared" si="7"/>
        <v>1</v>
      </c>
      <c r="W22" s="324">
        <v>11</v>
      </c>
      <c r="X22" s="325">
        <f t="shared" si="1"/>
        <v>0</v>
      </c>
      <c r="Y22" s="325" t="str">
        <f t="shared" ca="1" si="2"/>
        <v>NO CUMPLE</v>
      </c>
      <c r="Z22" s="59" t="str">
        <f t="shared" ca="1" si="3"/>
        <v>NH</v>
      </c>
      <c r="AD22" s="325">
        <f t="shared" si="4"/>
        <v>0</v>
      </c>
      <c r="AE22" s="326" t="str">
        <f t="shared" ca="1" si="5"/>
        <v>NO CUMPLE</v>
      </c>
      <c r="AF22" s="332"/>
      <c r="AG22" s="59" t="s">
        <v>44</v>
      </c>
      <c r="AH22" s="57">
        <f t="shared" si="8"/>
        <v>248</v>
      </c>
      <c r="AI22" s="796"/>
    </row>
    <row r="23" spans="1:35" s="330" customFormat="1" ht="24.95" customHeight="1">
      <c r="A23" s="328"/>
      <c r="B23" s="775"/>
      <c r="C23" s="805"/>
      <c r="D23" s="805"/>
      <c r="E23" s="805"/>
      <c r="F23" s="805"/>
      <c r="G23" s="808"/>
      <c r="H23" s="784"/>
      <c r="I23" s="811"/>
      <c r="J23" s="329" t="s">
        <v>139</v>
      </c>
      <c r="K23" s="57">
        <f>+$K$14</f>
        <v>811015</v>
      </c>
      <c r="L23" s="802"/>
      <c r="M23" s="795"/>
      <c r="N23" s="790"/>
      <c r="O23" s="790"/>
      <c r="P23" s="793"/>
      <c r="Q23" s="796"/>
      <c r="R23" s="796"/>
      <c r="S23" s="799"/>
      <c r="T23" s="819"/>
      <c r="U23" s="801"/>
      <c r="W23" s="324">
        <v>12</v>
      </c>
      <c r="X23" s="325">
        <f t="shared" si="1"/>
        <v>0</v>
      </c>
      <c r="Y23" s="325" t="str">
        <f t="shared" ca="1" si="2"/>
        <v>NO CUMPLE</v>
      </c>
      <c r="Z23" s="59" t="str">
        <f t="shared" ca="1" si="3"/>
        <v>NH</v>
      </c>
      <c r="AD23" s="325">
        <f t="shared" si="4"/>
        <v>0</v>
      </c>
      <c r="AE23" s="326" t="str">
        <f t="shared" ca="1" si="5"/>
        <v>NO CUMPLE</v>
      </c>
      <c r="AF23" s="332"/>
      <c r="AG23" s="59" t="s">
        <v>44</v>
      </c>
      <c r="AH23" s="57">
        <f t="shared" si="8"/>
        <v>270</v>
      </c>
      <c r="AI23" s="796"/>
    </row>
    <row r="24" spans="1:35" s="330" customFormat="1" ht="24.95" customHeight="1">
      <c r="A24" s="328"/>
      <c r="B24" s="776"/>
      <c r="C24" s="806"/>
      <c r="D24" s="806"/>
      <c r="E24" s="806"/>
      <c r="F24" s="806"/>
      <c r="G24" s="809"/>
      <c r="H24" s="785"/>
      <c r="I24" s="812"/>
      <c r="J24" s="329" t="s">
        <v>139</v>
      </c>
      <c r="K24" s="57">
        <f>+$K$15</f>
        <v>841116</v>
      </c>
      <c r="L24" s="803"/>
      <c r="M24" s="797"/>
      <c r="N24" s="791"/>
      <c r="O24" s="791"/>
      <c r="P24" s="794"/>
      <c r="Q24" s="797"/>
      <c r="R24" s="797"/>
      <c r="S24" s="800"/>
      <c r="T24" s="819"/>
      <c r="U24" s="801"/>
      <c r="W24" s="324">
        <v>13</v>
      </c>
      <c r="X24" s="325">
        <f t="shared" si="1"/>
        <v>0</v>
      </c>
      <c r="Y24" s="325" t="str">
        <f t="shared" ca="1" si="2"/>
        <v>NO CUMPLE</v>
      </c>
      <c r="Z24" s="59" t="str">
        <f t="shared" ca="1" si="3"/>
        <v>NH</v>
      </c>
      <c r="AD24" s="325">
        <f t="shared" si="4"/>
        <v>0</v>
      </c>
      <c r="AE24" s="326" t="str">
        <f t="shared" ca="1" si="5"/>
        <v>NO CUMPLE</v>
      </c>
      <c r="AF24" s="332"/>
      <c r="AG24" s="59" t="s">
        <v>44</v>
      </c>
      <c r="AH24" s="57">
        <f t="shared" si="8"/>
        <v>292</v>
      </c>
      <c r="AI24" s="796"/>
    </row>
    <row r="25" spans="1:35" s="330" customFormat="1" ht="24.95" customHeight="1">
      <c r="A25" s="328"/>
      <c r="B25" s="774">
        <v>5</v>
      </c>
      <c r="C25" s="777">
        <v>9</v>
      </c>
      <c r="D25" s="777">
        <v>33</v>
      </c>
      <c r="E25" s="777" t="s">
        <v>271</v>
      </c>
      <c r="F25" s="777" t="s">
        <v>275</v>
      </c>
      <c r="G25" s="780">
        <v>1247.55</v>
      </c>
      <c r="H25" s="783" t="s">
        <v>221</v>
      </c>
      <c r="I25" s="786">
        <v>1</v>
      </c>
      <c r="J25" s="329" t="s">
        <v>139</v>
      </c>
      <c r="K25" s="57">
        <f>+$K$13</f>
        <v>801016</v>
      </c>
      <c r="L25" s="329"/>
      <c r="M25" s="57"/>
      <c r="N25" s="789" t="s">
        <v>143</v>
      </c>
      <c r="O25" s="789"/>
      <c r="P25" s="792" t="s">
        <v>325</v>
      </c>
      <c r="Q25" s="795" t="s">
        <v>285</v>
      </c>
      <c r="R25" s="795" t="s">
        <v>297</v>
      </c>
      <c r="S25" s="798">
        <f t="shared" ref="S25" si="11">IF(COUNTIF(J25:K27,"CUMPLE")&gt;=1,(G25*I25),0)* (IF(N25="PRESENTÓ CERTIFICADO",1,0))* (IF(O25="ACORDE A ITEM 6.2.2.1 (T.R.)",1,0) )* ( IF(OR(Q25="SIN OBSERVACIÓN", Q25="REQUERIMIENTOS SUBSANADOS"),1,0)) *(IF(OR(R25="NINGUNO", R25="CUMPLEN CON LO SOLICITADO"),1,0))</f>
        <v>0</v>
      </c>
      <c r="T25" s="819"/>
      <c r="U25" s="801">
        <f t="shared" si="7"/>
        <v>1</v>
      </c>
      <c r="W25" s="324">
        <v>14</v>
      </c>
      <c r="X25" s="325">
        <f t="shared" si="1"/>
        <v>0</v>
      </c>
      <c r="Y25" s="325" t="str">
        <f t="shared" ca="1" si="2"/>
        <v>NO CUMPLE</v>
      </c>
      <c r="Z25" s="59" t="str">
        <f t="shared" ca="1" si="3"/>
        <v>NH</v>
      </c>
      <c r="AD25" s="325">
        <f t="shared" si="4"/>
        <v>0</v>
      </c>
      <c r="AE25" s="326" t="str">
        <f t="shared" ca="1" si="5"/>
        <v>NO CUMPLE</v>
      </c>
      <c r="AF25" s="332"/>
      <c r="AG25" s="59" t="s">
        <v>44</v>
      </c>
      <c r="AH25" s="57">
        <f t="shared" si="8"/>
        <v>314</v>
      </c>
      <c r="AI25" s="796"/>
    </row>
    <row r="26" spans="1:35" s="330" customFormat="1" ht="24.95" customHeight="1">
      <c r="A26" s="328"/>
      <c r="B26" s="775"/>
      <c r="C26" s="778"/>
      <c r="D26" s="778"/>
      <c r="E26" s="778"/>
      <c r="F26" s="778"/>
      <c r="G26" s="781"/>
      <c r="H26" s="784"/>
      <c r="I26" s="787"/>
      <c r="J26" s="329" t="s">
        <v>139</v>
      </c>
      <c r="K26" s="57">
        <f>+$K$14</f>
        <v>811015</v>
      </c>
      <c r="L26" s="802"/>
      <c r="M26" s="795"/>
      <c r="N26" s="790"/>
      <c r="O26" s="790"/>
      <c r="P26" s="793"/>
      <c r="Q26" s="796"/>
      <c r="R26" s="796"/>
      <c r="S26" s="799"/>
      <c r="T26" s="819"/>
      <c r="U26" s="801"/>
      <c r="W26" s="324">
        <v>15</v>
      </c>
      <c r="X26" s="325">
        <f t="shared" ref="X26:X28" si="12">IFERROR(VLOOKUP(W26,LISTA_OFERENTES,2,FALSE)," ")</f>
        <v>0</v>
      </c>
      <c r="Y26" s="325" t="str">
        <f t="shared" ca="1" si="2"/>
        <v>NO CUMPLE</v>
      </c>
      <c r="Z26" s="59" t="str">
        <f ca="1">IF(Y26="CUMPLE","H","NH")</f>
        <v>NH</v>
      </c>
      <c r="AD26" s="325">
        <f t="shared" si="4"/>
        <v>0</v>
      </c>
      <c r="AE26" s="326">
        <f t="shared" ca="1" si="5"/>
        <v>0</v>
      </c>
      <c r="AF26" s="332"/>
      <c r="AG26" s="59" t="s">
        <v>44</v>
      </c>
      <c r="AH26" s="57">
        <f t="shared" si="8"/>
        <v>336</v>
      </c>
      <c r="AI26" s="796"/>
    </row>
    <row r="27" spans="1:35" s="330" customFormat="1" ht="24.95" customHeight="1">
      <c r="A27" s="328"/>
      <c r="B27" s="776"/>
      <c r="C27" s="779"/>
      <c r="D27" s="779"/>
      <c r="E27" s="779"/>
      <c r="F27" s="779"/>
      <c r="G27" s="782"/>
      <c r="H27" s="785"/>
      <c r="I27" s="788"/>
      <c r="J27" s="329" t="s">
        <v>139</v>
      </c>
      <c r="K27" s="57">
        <f>+$K$15</f>
        <v>841116</v>
      </c>
      <c r="L27" s="803"/>
      <c r="M27" s="797"/>
      <c r="N27" s="791"/>
      <c r="O27" s="791"/>
      <c r="P27" s="794"/>
      <c r="Q27" s="797"/>
      <c r="R27" s="797"/>
      <c r="S27" s="800"/>
      <c r="T27" s="820"/>
      <c r="U27" s="801"/>
      <c r="W27" s="324">
        <v>16</v>
      </c>
      <c r="X27" s="325">
        <f t="shared" si="12"/>
        <v>0</v>
      </c>
      <c r="Y27" s="325" t="str">
        <f t="shared" ca="1" si="2"/>
        <v>NO CUMPLE</v>
      </c>
      <c r="Z27" s="59" t="str">
        <f ca="1">IF(Y27="CUMPLE","H","NH")</f>
        <v>NH</v>
      </c>
      <c r="AD27" s="325">
        <f t="shared" si="4"/>
        <v>0</v>
      </c>
      <c r="AE27" s="326">
        <f t="shared" ca="1" si="5"/>
        <v>0</v>
      </c>
      <c r="AG27" s="59" t="s">
        <v>44</v>
      </c>
      <c r="AH27" s="57">
        <f t="shared" si="8"/>
        <v>358</v>
      </c>
      <c r="AI27" s="796"/>
    </row>
    <row r="28" spans="1:35" ht="24.95" customHeight="1">
      <c r="A28" s="13"/>
      <c r="B28" s="763" t="str">
        <f>IF(S29=" "," ",IF(S29&gt;=$H$6,"CUMPLE CON LA EXPERIENCIA REQUERIDA","NO CUMPLE CON LA EXPERIENCIA REQUERIDA"))</f>
        <v>CUMPLE CON LA EXPERIENCIA REQUERIDA</v>
      </c>
      <c r="C28" s="764"/>
      <c r="D28" s="764"/>
      <c r="E28" s="764"/>
      <c r="F28" s="764"/>
      <c r="G28" s="764"/>
      <c r="H28" s="764"/>
      <c r="I28" s="764"/>
      <c r="J28" s="764"/>
      <c r="K28" s="764"/>
      <c r="L28" s="764"/>
      <c r="M28" s="764"/>
      <c r="N28" s="764"/>
      <c r="O28" s="765"/>
      <c r="P28" s="769" t="s">
        <v>45</v>
      </c>
      <c r="Q28" s="770"/>
      <c r="R28" s="771"/>
      <c r="S28" s="333">
        <f>IF(T13="SI",SUM(S13:S27),0)</f>
        <v>9833.9299999999985</v>
      </c>
      <c r="T28" s="772" t="str">
        <f>IF(S29=" "," ",IF(S29&gt;=$H$6,"CUMPLE","NO CUMPLE"))</f>
        <v>CUMPLE</v>
      </c>
      <c r="W28" s="324">
        <v>17</v>
      </c>
      <c r="X28" s="325">
        <f t="shared" si="12"/>
        <v>0</v>
      </c>
      <c r="Y28" s="325" t="str">
        <f t="shared" ref="Y28" ca="1" si="13">VLOOKUP(X28,BANDERA,2,FALSE)</f>
        <v>NO CUMPLE</v>
      </c>
      <c r="Z28" s="59" t="str">
        <f t="shared" ref="Z28" ca="1" si="14">IF(Y28="CUMPLE","H","NH")</f>
        <v>NH</v>
      </c>
      <c r="AA28" s="330"/>
      <c r="AB28" s="330"/>
      <c r="AC28" s="330"/>
      <c r="AD28" s="325">
        <f t="shared" si="4"/>
        <v>0</v>
      </c>
      <c r="AE28" s="326">
        <f t="shared" ca="1" si="5"/>
        <v>0</v>
      </c>
      <c r="AF28" s="330"/>
      <c r="AG28" s="59" t="s">
        <v>44</v>
      </c>
      <c r="AH28" s="57">
        <f t="shared" si="8"/>
        <v>380</v>
      </c>
      <c r="AI28" s="797"/>
    </row>
    <row r="29" spans="1:35" s="330" customFormat="1" ht="24.95" customHeight="1">
      <c r="B29" s="766"/>
      <c r="C29" s="767"/>
      <c r="D29" s="767"/>
      <c r="E29" s="767"/>
      <c r="F29" s="767"/>
      <c r="G29" s="767"/>
      <c r="H29" s="767"/>
      <c r="I29" s="767"/>
      <c r="J29" s="767"/>
      <c r="K29" s="767"/>
      <c r="L29" s="767"/>
      <c r="M29" s="767"/>
      <c r="N29" s="767"/>
      <c r="O29" s="768"/>
      <c r="P29" s="769" t="s">
        <v>46</v>
      </c>
      <c r="Q29" s="770"/>
      <c r="R29" s="771"/>
      <c r="S29" s="333">
        <f>IFERROR((S28/$P$6)," ")</f>
        <v>7.2096260997067434</v>
      </c>
      <c r="T29" s="773"/>
      <c r="W29" s="29"/>
      <c r="X29" s="29"/>
      <c r="Y29" s="29"/>
      <c r="Z29" s="29"/>
      <c r="AD29" s="13"/>
      <c r="AE29" s="13"/>
      <c r="AF29" s="13"/>
      <c r="AG29" s="13"/>
      <c r="AH29" s="13"/>
      <c r="AI29" s="13"/>
    </row>
    <row r="30" spans="1:35" s="330" customFormat="1" ht="30" customHeight="1">
      <c r="W30" s="29"/>
      <c r="X30" s="29"/>
      <c r="Y30" s="29"/>
      <c r="Z30" s="29"/>
      <c r="AD30" s="13"/>
      <c r="AE30" s="13"/>
      <c r="AF30" s="13"/>
      <c r="AG30" s="13"/>
      <c r="AH30" s="13"/>
      <c r="AI30" s="13"/>
    </row>
    <row r="31" spans="1:35" ht="30" customHeight="1">
      <c r="AA31" s="330"/>
      <c r="AB31" s="330"/>
      <c r="AC31" s="330"/>
    </row>
    <row r="32" spans="1:35" ht="56.25" customHeight="1">
      <c r="B32" s="301">
        <v>2</v>
      </c>
      <c r="C32" s="821" t="str">
        <f>+C10</f>
        <v xml:space="preserve">EXPERIENCIA GENERAL </v>
      </c>
      <c r="D32" s="822"/>
      <c r="E32" s="823"/>
      <c r="F32" s="824" t="str">
        <f>IFERROR(VLOOKUP(B32,LISTA_OFERENTES,2,FALSE)," ")</f>
        <v>CONSORCIO VALCO - ACI</v>
      </c>
      <c r="G32" s="825"/>
      <c r="H32" s="825"/>
      <c r="I32" s="825"/>
      <c r="J32" s="825"/>
      <c r="K32" s="825"/>
      <c r="L32" s="825"/>
      <c r="M32" s="825"/>
      <c r="N32" s="825"/>
      <c r="O32" s="826"/>
      <c r="P32" s="827" t="s">
        <v>25</v>
      </c>
      <c r="Q32" s="828"/>
      <c r="R32" s="829"/>
      <c r="S32" s="321">
        <f>5-(INT(COUNTBLANK(C35:C49))-10)</f>
        <v>2</v>
      </c>
      <c r="AA32" s="330"/>
      <c r="AB32" s="330"/>
      <c r="AC32" s="330"/>
    </row>
    <row r="33" spans="1:35" s="331" customFormat="1" ht="64.5" customHeight="1">
      <c r="B33" s="830" t="s">
        <v>26</v>
      </c>
      <c r="C33" s="813" t="s">
        <v>27</v>
      </c>
      <c r="D33" s="813" t="s">
        <v>28</v>
      </c>
      <c r="E33" s="813" t="s">
        <v>29</v>
      </c>
      <c r="F33" s="813" t="s">
        <v>30</v>
      </c>
      <c r="G33" s="813" t="s">
        <v>31</v>
      </c>
      <c r="H33" s="813" t="s">
        <v>32</v>
      </c>
      <c r="I33" s="813" t="s">
        <v>33</v>
      </c>
      <c r="J33" s="832" t="s">
        <v>34</v>
      </c>
      <c r="K33" s="833"/>
      <c r="L33" s="833"/>
      <c r="M33" s="834"/>
      <c r="N33" s="813" t="s">
        <v>35</v>
      </c>
      <c r="O33" s="813" t="s">
        <v>36</v>
      </c>
      <c r="P33" s="832" t="s">
        <v>37</v>
      </c>
      <c r="Q33" s="834"/>
      <c r="R33" s="813" t="s">
        <v>38</v>
      </c>
      <c r="S33" s="813" t="s">
        <v>39</v>
      </c>
      <c r="T33" s="813" t="str">
        <f>+$T$11</f>
        <v>Haber ejecutado contratos en COLOMBIA o en el EXTERIOR que dentro de su objeto o alcance incluyan:
Interventoría a obras de Construcción de edificaciones de los grupos de uso I, II, III o IV, conforme al
título A de la NSR-10.
Obligatorio estar en 811015</v>
      </c>
      <c r="U33" s="813" t="str">
        <f>+$U$11</f>
        <v xml:space="preserve">VERIFICACIÓN CONDICIÓN DE EXPERIENCIA  </v>
      </c>
      <c r="V33" s="334"/>
      <c r="W33" s="29"/>
      <c r="X33" s="29"/>
      <c r="Y33" s="29"/>
      <c r="Z33" s="29"/>
      <c r="AA33" s="330"/>
      <c r="AB33" s="330"/>
      <c r="AC33" s="330"/>
      <c r="AD33" s="13"/>
      <c r="AE33" s="13"/>
      <c r="AF33" s="13"/>
      <c r="AG33" s="13"/>
      <c r="AH33" s="13"/>
      <c r="AI33" s="13"/>
    </row>
    <row r="34" spans="1:35" s="331" customFormat="1" ht="75.75" customHeight="1">
      <c r="B34" s="831"/>
      <c r="C34" s="814"/>
      <c r="D34" s="814"/>
      <c r="E34" s="814"/>
      <c r="F34" s="814"/>
      <c r="G34" s="814"/>
      <c r="H34" s="814"/>
      <c r="I34" s="814"/>
      <c r="J34" s="815" t="s">
        <v>42</v>
      </c>
      <c r="K34" s="816"/>
      <c r="L34" s="816"/>
      <c r="M34" s="817"/>
      <c r="N34" s="814"/>
      <c r="O34" s="814"/>
      <c r="P34" s="323" t="s">
        <v>10</v>
      </c>
      <c r="Q34" s="323" t="s">
        <v>43</v>
      </c>
      <c r="R34" s="814"/>
      <c r="S34" s="814"/>
      <c r="T34" s="814"/>
      <c r="U34" s="814"/>
      <c r="V34" s="334"/>
      <c r="W34" s="29"/>
      <c r="X34" s="29"/>
      <c r="Y34" s="29"/>
      <c r="Z34" s="29"/>
      <c r="AA34" s="330"/>
      <c r="AB34" s="330"/>
      <c r="AC34" s="330"/>
      <c r="AD34" s="13"/>
      <c r="AE34" s="13"/>
      <c r="AF34" s="13"/>
      <c r="AG34" s="13"/>
      <c r="AH34" s="13"/>
      <c r="AI34" s="13"/>
    </row>
    <row r="35" spans="1:35" s="330" customFormat="1" ht="30.75" customHeight="1">
      <c r="A35" s="328"/>
      <c r="B35" s="774">
        <v>1</v>
      </c>
      <c r="C35" s="777">
        <v>348</v>
      </c>
      <c r="D35" s="777">
        <v>437</v>
      </c>
      <c r="E35" s="777">
        <v>1291500</v>
      </c>
      <c r="F35" s="777" t="s">
        <v>277</v>
      </c>
      <c r="G35" s="780">
        <v>3742.4</v>
      </c>
      <c r="H35" s="783" t="s">
        <v>221</v>
      </c>
      <c r="I35" s="786">
        <v>1</v>
      </c>
      <c r="J35" s="329" t="s">
        <v>139</v>
      </c>
      <c r="K35" s="57">
        <f>+$K$13</f>
        <v>801016</v>
      </c>
      <c r="L35" s="329"/>
      <c r="M35" s="57">
        <f t="shared" ref="M35" si="15">+$M$13</f>
        <v>0</v>
      </c>
      <c r="N35" s="789" t="s">
        <v>143</v>
      </c>
      <c r="O35" s="789" t="s">
        <v>230</v>
      </c>
      <c r="P35" s="792"/>
      <c r="Q35" s="795" t="s">
        <v>145</v>
      </c>
      <c r="R35" s="795" t="s">
        <v>146</v>
      </c>
      <c r="S35" s="798">
        <f>IF(COUNTIF(J35:K37,"CUMPLE")&gt;=1,(G35*I35),0)* (IF(N35="PRESENTÓ CERTIFICADO",1,0))* (IF(O35="ACORDE A ITEM 6.2.2.1 (T.R.)",1,0) )* ( IF(OR(Q35="SIN OBSERVACIÓN", Q35="REQUERIMIENTOS SUBSANADOS"),1,0)) *(IF(OR(R35="NINGUNO", R35="CUMPLEN CON LO SOLICITADO"),1,0))</f>
        <v>3742.4</v>
      </c>
      <c r="T35" s="818" t="s">
        <v>147</v>
      </c>
      <c r="U35" s="801">
        <f t="shared" ref="U35:U47" si="16">IF(COUNTIF(J35:K37,"CUMPLE")&gt;=1,1,0)</f>
        <v>1</v>
      </c>
      <c r="W35" s="29"/>
      <c r="X35" s="29"/>
      <c r="Y35" s="29"/>
      <c r="Z35" s="29"/>
      <c r="AD35" s="13"/>
      <c r="AE35" s="13"/>
      <c r="AF35" s="13"/>
      <c r="AG35" s="13"/>
      <c r="AH35" s="13"/>
      <c r="AI35" s="13"/>
    </row>
    <row r="36" spans="1:35" s="330" customFormat="1" ht="30.75" customHeight="1">
      <c r="A36" s="328"/>
      <c r="B36" s="775"/>
      <c r="C36" s="778"/>
      <c r="D36" s="778"/>
      <c r="E36" s="778"/>
      <c r="F36" s="778"/>
      <c r="G36" s="781"/>
      <c r="H36" s="784"/>
      <c r="I36" s="787"/>
      <c r="J36" s="329" t="s">
        <v>139</v>
      </c>
      <c r="K36" s="57">
        <f>+$K$14</f>
        <v>811015</v>
      </c>
      <c r="L36" s="802"/>
      <c r="M36" s="795">
        <f t="shared" ref="M36" si="17">+$M$14</f>
        <v>0</v>
      </c>
      <c r="N36" s="790"/>
      <c r="O36" s="790"/>
      <c r="P36" s="793"/>
      <c r="Q36" s="796"/>
      <c r="R36" s="796"/>
      <c r="S36" s="799"/>
      <c r="T36" s="819"/>
      <c r="U36" s="801"/>
      <c r="W36" s="29"/>
      <c r="X36" s="29"/>
      <c r="Y36" s="29"/>
      <c r="Z36" s="29"/>
      <c r="AD36" s="13"/>
      <c r="AE36" s="13"/>
      <c r="AF36" s="13"/>
      <c r="AG36" s="13"/>
      <c r="AH36" s="13"/>
      <c r="AI36" s="13"/>
    </row>
    <row r="37" spans="1:35" s="330" customFormat="1" ht="30.75" customHeight="1">
      <c r="A37" s="328"/>
      <c r="B37" s="776"/>
      <c r="C37" s="779"/>
      <c r="D37" s="779"/>
      <c r="E37" s="779"/>
      <c r="F37" s="779"/>
      <c r="G37" s="782"/>
      <c r="H37" s="785"/>
      <c r="I37" s="788"/>
      <c r="J37" s="329" t="s">
        <v>139</v>
      </c>
      <c r="K37" s="57">
        <f>+$K$15</f>
        <v>841116</v>
      </c>
      <c r="L37" s="803"/>
      <c r="M37" s="797"/>
      <c r="N37" s="791"/>
      <c r="O37" s="791"/>
      <c r="P37" s="794"/>
      <c r="Q37" s="797"/>
      <c r="R37" s="797"/>
      <c r="S37" s="800"/>
      <c r="T37" s="819"/>
      <c r="U37" s="801"/>
      <c r="W37" s="29"/>
      <c r="X37" s="29"/>
      <c r="Y37" s="29"/>
      <c r="Z37" s="29"/>
      <c r="AD37" s="13"/>
      <c r="AE37" s="13"/>
      <c r="AF37" s="13"/>
      <c r="AG37" s="13"/>
      <c r="AH37" s="13"/>
      <c r="AI37" s="13"/>
    </row>
    <row r="38" spans="1:35" s="330" customFormat="1" ht="25.5" customHeight="1">
      <c r="A38" s="328"/>
      <c r="B38" s="774">
        <v>2</v>
      </c>
      <c r="C38" s="804">
        <v>469</v>
      </c>
      <c r="D38" s="804">
        <v>456</v>
      </c>
      <c r="E38" s="804" t="s">
        <v>276</v>
      </c>
      <c r="F38" s="804" t="s">
        <v>277</v>
      </c>
      <c r="G38" s="807">
        <v>3043.21</v>
      </c>
      <c r="H38" s="783" t="s">
        <v>221</v>
      </c>
      <c r="I38" s="786">
        <v>1</v>
      </c>
      <c r="J38" s="329" t="s">
        <v>139</v>
      </c>
      <c r="K38" s="57">
        <f>+$K$13</f>
        <v>801016</v>
      </c>
      <c r="L38" s="329"/>
      <c r="M38" s="57">
        <f t="shared" ref="M38" si="18">+$M$13</f>
        <v>0</v>
      </c>
      <c r="N38" s="789" t="s">
        <v>143</v>
      </c>
      <c r="O38" s="789" t="s">
        <v>230</v>
      </c>
      <c r="P38" s="792"/>
      <c r="Q38" s="795" t="s">
        <v>145</v>
      </c>
      <c r="R38" s="795" t="s">
        <v>146</v>
      </c>
      <c r="S38" s="798">
        <f t="shared" ref="S38" si="19">IF(COUNTIF(J38:K40,"CUMPLE")&gt;=1,(G38*I38),0)* (IF(N38="PRESENTÓ CERTIFICADO",1,0))* (IF(O38="ACORDE A ITEM 6.2.2.1 (T.R.)",1,0) )* ( IF(OR(Q38="SIN OBSERVACIÓN", Q38="REQUERIMIENTOS SUBSANADOS"),1,0)) *(IF(OR(R38="NINGUNO", R38="CUMPLEN CON LO SOLICITADO"),1,0))</f>
        <v>3043.21</v>
      </c>
      <c r="T38" s="819"/>
      <c r="U38" s="801">
        <f t="shared" si="16"/>
        <v>1</v>
      </c>
      <c r="W38" s="29"/>
      <c r="X38" s="29"/>
      <c r="Y38" s="29"/>
      <c r="Z38" s="29"/>
      <c r="AD38" s="13"/>
      <c r="AE38" s="13"/>
      <c r="AF38" s="13"/>
      <c r="AG38" s="13"/>
      <c r="AH38" s="13"/>
      <c r="AI38" s="13"/>
    </row>
    <row r="39" spans="1:35" s="330" customFormat="1" ht="25.5" customHeight="1">
      <c r="A39" s="328"/>
      <c r="B39" s="775"/>
      <c r="C39" s="805"/>
      <c r="D39" s="805"/>
      <c r="E39" s="805"/>
      <c r="F39" s="805"/>
      <c r="G39" s="808"/>
      <c r="H39" s="784"/>
      <c r="I39" s="787"/>
      <c r="J39" s="329" t="s">
        <v>139</v>
      </c>
      <c r="K39" s="57">
        <f>+$K$14</f>
        <v>811015</v>
      </c>
      <c r="L39" s="802"/>
      <c r="M39" s="795">
        <f t="shared" ref="M39" si="20">+$M$14</f>
        <v>0</v>
      </c>
      <c r="N39" s="790"/>
      <c r="O39" s="790"/>
      <c r="P39" s="793"/>
      <c r="Q39" s="796"/>
      <c r="R39" s="796"/>
      <c r="S39" s="799"/>
      <c r="T39" s="819"/>
      <c r="U39" s="801"/>
      <c r="W39" s="29"/>
      <c r="X39" s="29"/>
      <c r="Y39" s="29"/>
      <c r="Z39" s="29"/>
      <c r="AD39" s="13"/>
      <c r="AE39" s="13"/>
      <c r="AF39" s="13"/>
      <c r="AG39" s="13"/>
      <c r="AH39" s="13"/>
      <c r="AI39" s="13"/>
    </row>
    <row r="40" spans="1:35" s="330" customFormat="1" ht="25.5" customHeight="1">
      <c r="A40" s="328"/>
      <c r="B40" s="776"/>
      <c r="C40" s="806"/>
      <c r="D40" s="806"/>
      <c r="E40" s="806"/>
      <c r="F40" s="806"/>
      <c r="G40" s="809"/>
      <c r="H40" s="785"/>
      <c r="I40" s="788"/>
      <c r="J40" s="329" t="s">
        <v>228</v>
      </c>
      <c r="K40" s="57">
        <f>+$K$15</f>
        <v>841116</v>
      </c>
      <c r="L40" s="803"/>
      <c r="M40" s="797"/>
      <c r="N40" s="791"/>
      <c r="O40" s="791"/>
      <c r="P40" s="794"/>
      <c r="Q40" s="797"/>
      <c r="R40" s="797"/>
      <c r="S40" s="800"/>
      <c r="T40" s="819"/>
      <c r="U40" s="801"/>
      <c r="W40" s="29"/>
      <c r="X40" s="29"/>
      <c r="Y40" s="29"/>
      <c r="Z40" s="29"/>
      <c r="AD40" s="13"/>
      <c r="AE40" s="13"/>
      <c r="AF40" s="13"/>
      <c r="AG40" s="13"/>
      <c r="AH40" s="13"/>
      <c r="AI40" s="13"/>
    </row>
    <row r="41" spans="1:35" s="330" customFormat="1" ht="24.95" hidden="1" customHeight="1">
      <c r="A41" s="328"/>
      <c r="B41" s="774">
        <v>3</v>
      </c>
      <c r="C41" s="777"/>
      <c r="D41" s="777"/>
      <c r="E41" s="777"/>
      <c r="F41" s="777"/>
      <c r="G41" s="780"/>
      <c r="H41" s="783"/>
      <c r="I41" s="786"/>
      <c r="J41" s="329"/>
      <c r="K41" s="57">
        <f>+$K$13</f>
        <v>801016</v>
      </c>
      <c r="L41" s="329"/>
      <c r="M41" s="57">
        <f t="shared" ref="M41" si="21">+$M$13</f>
        <v>0</v>
      </c>
      <c r="N41" s="789"/>
      <c r="O41" s="789"/>
      <c r="P41" s="792"/>
      <c r="Q41" s="795"/>
      <c r="R41" s="795"/>
      <c r="S41" s="798">
        <f t="shared" ref="S41" si="22">IF(COUNTIF(J41:K43,"CUMPLE")&gt;=1,(G41*I41),0)* (IF(N41="PRESENTÓ CERTIFICADO",1,0))* (IF(O41="ACORDE A ITEM 6.2.2.1 (T.R.)",1,0) )* ( IF(OR(Q41="SIN OBSERVACIÓN", Q41="REQUERIMIENTOS SUBSANADOS"),1,0)) *(IF(OR(R41="NINGUNO", R41="CUMPLEN CON LO SOLICITADO"),1,0))</f>
        <v>0</v>
      </c>
      <c r="T41" s="819"/>
      <c r="U41" s="801">
        <f t="shared" si="16"/>
        <v>0</v>
      </c>
      <c r="W41" s="29"/>
      <c r="X41" s="29"/>
      <c r="Y41" s="29"/>
      <c r="Z41" s="29"/>
      <c r="AA41" s="13"/>
      <c r="AB41" s="13"/>
      <c r="AC41" s="13"/>
      <c r="AD41" s="13"/>
      <c r="AE41" s="13"/>
      <c r="AF41" s="13"/>
      <c r="AG41" s="13"/>
      <c r="AH41" s="13"/>
      <c r="AI41" s="13"/>
    </row>
    <row r="42" spans="1:35" s="330" customFormat="1" ht="24.95" hidden="1" customHeight="1">
      <c r="A42" s="328"/>
      <c r="B42" s="775"/>
      <c r="C42" s="778"/>
      <c r="D42" s="778"/>
      <c r="E42" s="778"/>
      <c r="F42" s="778"/>
      <c r="G42" s="781"/>
      <c r="H42" s="784"/>
      <c r="I42" s="787"/>
      <c r="J42" s="329"/>
      <c r="K42" s="57">
        <f>+$K$14</f>
        <v>811015</v>
      </c>
      <c r="L42" s="802"/>
      <c r="M42" s="795">
        <f t="shared" ref="M42" si="23">+$M$14</f>
        <v>0</v>
      </c>
      <c r="N42" s="790"/>
      <c r="O42" s="790"/>
      <c r="P42" s="793"/>
      <c r="Q42" s="796"/>
      <c r="R42" s="796"/>
      <c r="S42" s="799"/>
      <c r="T42" s="819"/>
      <c r="U42" s="801"/>
      <c r="W42" s="29"/>
      <c r="X42" s="29"/>
      <c r="Y42" s="29"/>
      <c r="Z42" s="29"/>
      <c r="AH42" s="13"/>
      <c r="AI42" s="13"/>
    </row>
    <row r="43" spans="1:35" s="330" customFormat="1" ht="24.95" hidden="1" customHeight="1">
      <c r="A43" s="328"/>
      <c r="B43" s="776"/>
      <c r="C43" s="779"/>
      <c r="D43" s="779"/>
      <c r="E43" s="779"/>
      <c r="F43" s="779"/>
      <c r="G43" s="782"/>
      <c r="H43" s="785"/>
      <c r="I43" s="788"/>
      <c r="J43" s="329"/>
      <c r="K43" s="57">
        <f>+$K$15</f>
        <v>841116</v>
      </c>
      <c r="L43" s="803"/>
      <c r="M43" s="797"/>
      <c r="N43" s="791"/>
      <c r="O43" s="791"/>
      <c r="P43" s="794"/>
      <c r="Q43" s="797"/>
      <c r="R43" s="797"/>
      <c r="S43" s="800"/>
      <c r="T43" s="819"/>
      <c r="U43" s="801"/>
      <c r="W43" s="29"/>
      <c r="X43" s="29"/>
      <c r="Y43" s="29"/>
      <c r="Z43" s="29"/>
    </row>
    <row r="44" spans="1:35" s="330" customFormat="1" ht="24.95" hidden="1" customHeight="1">
      <c r="A44" s="328"/>
      <c r="B44" s="774">
        <v>4</v>
      </c>
      <c r="C44" s="804"/>
      <c r="D44" s="804"/>
      <c r="E44" s="804"/>
      <c r="F44" s="804"/>
      <c r="G44" s="807"/>
      <c r="H44" s="783"/>
      <c r="I44" s="810"/>
      <c r="J44" s="329"/>
      <c r="K44" s="57">
        <f>+$K$13</f>
        <v>801016</v>
      </c>
      <c r="L44" s="329"/>
      <c r="M44" s="57">
        <f t="shared" ref="M44" si="24">+$M$13</f>
        <v>0</v>
      </c>
      <c r="N44" s="789"/>
      <c r="O44" s="789"/>
      <c r="P44" s="792"/>
      <c r="Q44" s="795"/>
      <c r="R44" s="795"/>
      <c r="S44" s="798">
        <f t="shared" ref="S44" si="25">IF(COUNTIF(J44:K46,"CUMPLE")&gt;=1,(G44*I44),0)* (IF(N44="PRESENTÓ CERTIFICADO",1,0))* (IF(O44="ACORDE A ITEM 6.2.2.1 (T.R.)",1,0) )* ( IF(OR(Q44="SIN OBSERVACIÓN", Q44="REQUERIMIENTOS SUBSANADOS"),1,0)) *(IF(OR(R44="NINGUNO", R44="CUMPLEN CON LO SOLICITADO"),1,0))</f>
        <v>0</v>
      </c>
      <c r="T44" s="819"/>
      <c r="U44" s="801">
        <f t="shared" si="16"/>
        <v>0</v>
      </c>
      <c r="W44" s="29"/>
      <c r="X44" s="29"/>
      <c r="Y44" s="29"/>
      <c r="Z44" s="29"/>
      <c r="AA44" s="13"/>
      <c r="AB44" s="13"/>
      <c r="AC44" s="13"/>
      <c r="AD44" s="13"/>
      <c r="AE44" s="13"/>
      <c r="AF44" s="13"/>
      <c r="AG44" s="13"/>
    </row>
    <row r="45" spans="1:35" s="330" customFormat="1" ht="24.95" hidden="1" customHeight="1">
      <c r="A45" s="328"/>
      <c r="B45" s="775"/>
      <c r="C45" s="805"/>
      <c r="D45" s="805"/>
      <c r="E45" s="805"/>
      <c r="F45" s="805"/>
      <c r="G45" s="808"/>
      <c r="H45" s="784"/>
      <c r="I45" s="811"/>
      <c r="J45" s="329"/>
      <c r="K45" s="57">
        <f>+$K$14</f>
        <v>811015</v>
      </c>
      <c r="L45" s="802"/>
      <c r="M45" s="795">
        <f t="shared" ref="M45" si="26">+$M$14</f>
        <v>0</v>
      </c>
      <c r="N45" s="790"/>
      <c r="O45" s="790"/>
      <c r="P45" s="793"/>
      <c r="Q45" s="796"/>
      <c r="R45" s="796"/>
      <c r="S45" s="799"/>
      <c r="T45" s="819"/>
      <c r="U45" s="801"/>
      <c r="W45" s="29"/>
      <c r="X45" s="29"/>
      <c r="Y45" s="29"/>
      <c r="Z45" s="29"/>
      <c r="AA45" s="13"/>
      <c r="AB45" s="13"/>
      <c r="AC45" s="13"/>
      <c r="AD45" s="13"/>
      <c r="AE45" s="13"/>
      <c r="AF45" s="13"/>
      <c r="AG45" s="13"/>
    </row>
    <row r="46" spans="1:35" s="330" customFormat="1" ht="24.95" hidden="1" customHeight="1">
      <c r="A46" s="328"/>
      <c r="B46" s="776"/>
      <c r="C46" s="806"/>
      <c r="D46" s="806"/>
      <c r="E46" s="806"/>
      <c r="F46" s="806"/>
      <c r="G46" s="809"/>
      <c r="H46" s="785"/>
      <c r="I46" s="812"/>
      <c r="J46" s="329"/>
      <c r="K46" s="57">
        <f>+$K$15</f>
        <v>841116</v>
      </c>
      <c r="L46" s="803"/>
      <c r="M46" s="797"/>
      <c r="N46" s="791"/>
      <c r="O46" s="791"/>
      <c r="P46" s="794"/>
      <c r="Q46" s="797"/>
      <c r="R46" s="797"/>
      <c r="S46" s="800"/>
      <c r="T46" s="819"/>
      <c r="U46" s="801"/>
      <c r="W46" s="29"/>
      <c r="X46" s="29"/>
      <c r="Y46" s="29"/>
      <c r="Z46" s="29"/>
      <c r="AA46" s="29"/>
      <c r="AB46" s="29"/>
      <c r="AC46" s="29"/>
      <c r="AD46" s="331"/>
      <c r="AE46" s="331"/>
      <c r="AF46" s="331"/>
      <c r="AG46" s="331"/>
    </row>
    <row r="47" spans="1:35" s="330" customFormat="1" ht="24.95" hidden="1" customHeight="1">
      <c r="A47" s="328"/>
      <c r="B47" s="774">
        <v>5</v>
      </c>
      <c r="C47" s="777"/>
      <c r="D47" s="777"/>
      <c r="E47" s="777"/>
      <c r="F47" s="777"/>
      <c r="G47" s="780"/>
      <c r="H47" s="783"/>
      <c r="I47" s="786"/>
      <c r="J47" s="329"/>
      <c r="K47" s="57">
        <f>+$K$13</f>
        <v>801016</v>
      </c>
      <c r="L47" s="329"/>
      <c r="M47" s="57">
        <f t="shared" ref="M47" si="27">+$M$13</f>
        <v>0</v>
      </c>
      <c r="N47" s="789"/>
      <c r="O47" s="789"/>
      <c r="P47" s="792"/>
      <c r="Q47" s="795"/>
      <c r="R47" s="795"/>
      <c r="S47" s="798">
        <f t="shared" ref="S47" si="28">IF(COUNTIF(J47:K49,"CUMPLE")&gt;=1,(G47*I47),0)* (IF(N47="PRESENTÓ CERTIFICADO",1,0))* (IF(O47="ACORDE A ITEM 6.2.2.1 (T.R.)",1,0) )* ( IF(OR(Q47="SIN OBSERVACIÓN", Q47="REQUERIMIENTOS SUBSANADOS"),1,0)) *(IF(OR(R47="NINGUNO", R47="CUMPLEN CON LO SOLICITADO"),1,0))</f>
        <v>0</v>
      </c>
      <c r="T47" s="819"/>
      <c r="U47" s="801">
        <f t="shared" si="16"/>
        <v>0</v>
      </c>
      <c r="W47" s="29"/>
      <c r="X47" s="29"/>
      <c r="Y47" s="29"/>
      <c r="Z47" s="29"/>
      <c r="AA47" s="29"/>
      <c r="AB47" s="29"/>
      <c r="AC47" s="29"/>
      <c r="AD47" s="331"/>
      <c r="AE47" s="331"/>
      <c r="AF47" s="331"/>
      <c r="AG47" s="331"/>
    </row>
    <row r="48" spans="1:35" s="330" customFormat="1" ht="24.95" hidden="1" customHeight="1">
      <c r="A48" s="328"/>
      <c r="B48" s="775"/>
      <c r="C48" s="778"/>
      <c r="D48" s="778"/>
      <c r="E48" s="778"/>
      <c r="F48" s="778"/>
      <c r="G48" s="781"/>
      <c r="H48" s="784"/>
      <c r="I48" s="787"/>
      <c r="J48" s="329"/>
      <c r="K48" s="57">
        <f>+$K$14</f>
        <v>811015</v>
      </c>
      <c r="L48" s="802"/>
      <c r="M48" s="795">
        <f t="shared" ref="M48" si="29">+$M$14</f>
        <v>0</v>
      </c>
      <c r="N48" s="790"/>
      <c r="O48" s="790"/>
      <c r="P48" s="793"/>
      <c r="Q48" s="796"/>
      <c r="R48" s="796"/>
      <c r="S48" s="799"/>
      <c r="T48" s="819"/>
      <c r="U48" s="801"/>
      <c r="W48" s="29"/>
      <c r="X48" s="29"/>
      <c r="Y48" s="29"/>
      <c r="Z48" s="29"/>
      <c r="AA48" s="29"/>
      <c r="AB48" s="29"/>
      <c r="AC48" s="29"/>
    </row>
    <row r="49" spans="1:35" s="330" customFormat="1" ht="24.95" hidden="1" customHeight="1">
      <c r="A49" s="328"/>
      <c r="B49" s="776"/>
      <c r="C49" s="779"/>
      <c r="D49" s="779"/>
      <c r="E49" s="779"/>
      <c r="F49" s="779"/>
      <c r="G49" s="782"/>
      <c r="H49" s="785"/>
      <c r="I49" s="788"/>
      <c r="J49" s="329"/>
      <c r="K49" s="57">
        <f>+$K$15</f>
        <v>841116</v>
      </c>
      <c r="L49" s="803"/>
      <c r="M49" s="797"/>
      <c r="N49" s="791"/>
      <c r="O49" s="791"/>
      <c r="P49" s="794"/>
      <c r="Q49" s="797"/>
      <c r="R49" s="797"/>
      <c r="S49" s="800"/>
      <c r="T49" s="820"/>
      <c r="U49" s="801"/>
      <c r="W49" s="29"/>
      <c r="X49" s="29"/>
      <c r="Y49" s="29"/>
      <c r="Z49" s="29"/>
      <c r="AA49" s="29"/>
      <c r="AB49" s="29"/>
      <c r="AC49" s="29"/>
    </row>
    <row r="50" spans="1:35" ht="24.95" customHeight="1">
      <c r="A50" s="13"/>
      <c r="B50" s="763" t="str">
        <f>IF(S51=" "," ",IF(S51&gt;=$H$6,"CUMPLE CON LA EXPERIENCIA REQUERIDA","NO CUMPLE CON LA EXPERIENCIA REQUERIDA"))</f>
        <v>CUMPLE CON LA EXPERIENCIA REQUERIDA</v>
      </c>
      <c r="C50" s="764"/>
      <c r="D50" s="764"/>
      <c r="E50" s="764"/>
      <c r="F50" s="764"/>
      <c r="G50" s="764"/>
      <c r="H50" s="764"/>
      <c r="I50" s="764"/>
      <c r="J50" s="764"/>
      <c r="K50" s="764"/>
      <c r="L50" s="764"/>
      <c r="M50" s="764"/>
      <c r="N50" s="764"/>
      <c r="O50" s="765"/>
      <c r="P50" s="769" t="s">
        <v>45</v>
      </c>
      <c r="Q50" s="770"/>
      <c r="R50" s="771"/>
      <c r="S50" s="333">
        <f>IF(T35="SI",SUM(S35:S49),0)</f>
        <v>6785.6100000000006</v>
      </c>
      <c r="T50" s="772" t="str">
        <f>IF(S51=" "," ",IF(S51&gt;=$H$6,"CUMPLE","NO CUMPLE"))</f>
        <v>CUMPLE</v>
      </c>
      <c r="AA50" s="29"/>
      <c r="AB50" s="29"/>
      <c r="AC50" s="29"/>
      <c r="AD50" s="330"/>
      <c r="AE50" s="330"/>
      <c r="AF50" s="330"/>
      <c r="AG50" s="330"/>
      <c r="AH50" s="330"/>
    </row>
    <row r="51" spans="1:35" s="330" customFormat="1" ht="24.95" customHeight="1">
      <c r="B51" s="766"/>
      <c r="C51" s="767"/>
      <c r="D51" s="767"/>
      <c r="E51" s="767"/>
      <c r="F51" s="767"/>
      <c r="G51" s="767"/>
      <c r="H51" s="767"/>
      <c r="I51" s="767"/>
      <c r="J51" s="767"/>
      <c r="K51" s="767"/>
      <c r="L51" s="767"/>
      <c r="M51" s="767"/>
      <c r="N51" s="767"/>
      <c r="O51" s="768"/>
      <c r="P51" s="769" t="s">
        <v>46</v>
      </c>
      <c r="Q51" s="770"/>
      <c r="R51" s="771"/>
      <c r="S51" s="333">
        <f>IFERROR((S50/$P$6)," ")</f>
        <v>4.9747873900293262</v>
      </c>
      <c r="T51" s="773"/>
      <c r="W51" s="29"/>
      <c r="X51" s="29"/>
      <c r="Y51" s="29"/>
      <c r="Z51" s="29"/>
      <c r="AA51" s="29"/>
      <c r="AB51" s="29"/>
      <c r="AC51" s="29"/>
    </row>
    <row r="52" spans="1:35" ht="30" customHeight="1">
      <c r="AA52" s="29"/>
      <c r="AB52" s="29"/>
      <c r="AC52" s="29"/>
      <c r="AD52" s="330"/>
      <c r="AE52" s="330"/>
      <c r="AF52" s="330"/>
      <c r="AG52" s="330"/>
    </row>
    <row r="53" spans="1:35" ht="30" customHeight="1">
      <c r="AA53" s="29"/>
      <c r="AB53" s="29"/>
      <c r="AC53" s="29"/>
      <c r="AD53" s="330"/>
      <c r="AE53" s="330"/>
      <c r="AF53" s="330"/>
      <c r="AG53" s="330"/>
      <c r="AH53" s="330"/>
    </row>
    <row r="54" spans="1:35" ht="61.5" customHeight="1">
      <c r="B54" s="301">
        <v>3</v>
      </c>
      <c r="C54" s="821" t="str">
        <f>+C32</f>
        <v xml:space="preserve">EXPERIENCIA GENERAL </v>
      </c>
      <c r="D54" s="822"/>
      <c r="E54" s="823"/>
      <c r="F54" s="824" t="str">
        <f>IFERROR(VLOOKUP(B54,LISTA_OFERENTES,2,FALSE)," ")</f>
        <v>ARQ S.A.S.</v>
      </c>
      <c r="G54" s="825"/>
      <c r="H54" s="825"/>
      <c r="I54" s="825"/>
      <c r="J54" s="825"/>
      <c r="K54" s="825"/>
      <c r="L54" s="825"/>
      <c r="M54" s="825"/>
      <c r="N54" s="825"/>
      <c r="O54" s="826"/>
      <c r="P54" s="827" t="s">
        <v>25</v>
      </c>
      <c r="Q54" s="828"/>
      <c r="R54" s="829"/>
      <c r="S54" s="321">
        <f>5-(INT(COUNTBLANK(C57:C71))-10)</f>
        <v>4</v>
      </c>
      <c r="AA54" s="29"/>
      <c r="AB54" s="29"/>
      <c r="AC54" s="29"/>
      <c r="AD54" s="330"/>
      <c r="AE54" s="330"/>
      <c r="AF54" s="330"/>
      <c r="AG54" s="330"/>
    </row>
    <row r="55" spans="1:35" s="331" customFormat="1" ht="50.25" customHeight="1">
      <c r="B55" s="830" t="s">
        <v>26</v>
      </c>
      <c r="C55" s="813" t="s">
        <v>27</v>
      </c>
      <c r="D55" s="813" t="s">
        <v>28</v>
      </c>
      <c r="E55" s="813" t="s">
        <v>29</v>
      </c>
      <c r="F55" s="813" t="s">
        <v>30</v>
      </c>
      <c r="G55" s="813" t="s">
        <v>31</v>
      </c>
      <c r="H55" s="813" t="s">
        <v>32</v>
      </c>
      <c r="I55" s="813" t="s">
        <v>33</v>
      </c>
      <c r="J55" s="832" t="s">
        <v>34</v>
      </c>
      <c r="K55" s="833"/>
      <c r="L55" s="833"/>
      <c r="M55" s="834"/>
      <c r="N55" s="813" t="s">
        <v>35</v>
      </c>
      <c r="O55" s="813" t="s">
        <v>36</v>
      </c>
      <c r="P55" s="832" t="s">
        <v>37</v>
      </c>
      <c r="Q55" s="834"/>
      <c r="R55" s="813" t="s">
        <v>38</v>
      </c>
      <c r="S55" s="813" t="s">
        <v>39</v>
      </c>
      <c r="T55" s="813" t="str">
        <f>+$T$11</f>
        <v>Haber ejecutado contratos en COLOMBIA o en el EXTERIOR que dentro de su objeto o alcance incluyan:
Interventoría a obras de Construcción de edificaciones de los grupos de uso I, II, III o IV, conforme al
título A de la NSR-10.
Obligatorio estar en 811015</v>
      </c>
      <c r="U55" s="813" t="str">
        <f>+$U$11</f>
        <v xml:space="preserve">VERIFICACIÓN CONDICIÓN DE EXPERIENCIA  </v>
      </c>
      <c r="V55" s="334"/>
      <c r="W55" s="29"/>
      <c r="X55" s="29"/>
      <c r="Y55" s="29"/>
      <c r="Z55" s="29"/>
      <c r="AA55" s="29"/>
      <c r="AB55" s="29"/>
      <c r="AC55" s="29"/>
      <c r="AD55" s="330"/>
      <c r="AE55" s="330"/>
      <c r="AF55" s="330"/>
      <c r="AG55" s="330"/>
      <c r="AH55" s="13"/>
    </row>
    <row r="56" spans="1:35" s="331" customFormat="1" ht="81.75" customHeight="1">
      <c r="B56" s="831"/>
      <c r="C56" s="814"/>
      <c r="D56" s="814"/>
      <c r="E56" s="814"/>
      <c r="F56" s="814"/>
      <c r="G56" s="814"/>
      <c r="H56" s="814"/>
      <c r="I56" s="814"/>
      <c r="J56" s="815" t="s">
        <v>42</v>
      </c>
      <c r="K56" s="816"/>
      <c r="L56" s="816"/>
      <c r="M56" s="817"/>
      <c r="N56" s="814"/>
      <c r="O56" s="814"/>
      <c r="P56" s="323" t="s">
        <v>10</v>
      </c>
      <c r="Q56" s="323" t="s">
        <v>43</v>
      </c>
      <c r="R56" s="814"/>
      <c r="S56" s="814"/>
      <c r="T56" s="814"/>
      <c r="U56" s="814"/>
      <c r="V56" s="334"/>
      <c r="W56" s="29"/>
      <c r="X56" s="29"/>
      <c r="Y56" s="29"/>
      <c r="Z56" s="29"/>
      <c r="AA56" s="29"/>
      <c r="AB56" s="29"/>
      <c r="AC56" s="29"/>
      <c r="AD56" s="330"/>
      <c r="AE56" s="330"/>
      <c r="AF56" s="330"/>
      <c r="AG56" s="330"/>
      <c r="AH56" s="13"/>
    </row>
    <row r="57" spans="1:35" s="330" customFormat="1" ht="24.95" customHeight="1">
      <c r="A57" s="328"/>
      <c r="B57" s="774">
        <v>1</v>
      </c>
      <c r="C57" s="777">
        <v>99</v>
      </c>
      <c r="D57" s="777">
        <v>44</v>
      </c>
      <c r="E57" s="777" t="s">
        <v>372</v>
      </c>
      <c r="F57" s="777" t="s">
        <v>377</v>
      </c>
      <c r="G57" s="780">
        <v>2630.91</v>
      </c>
      <c r="H57" s="783" t="s">
        <v>221</v>
      </c>
      <c r="I57" s="786">
        <v>1</v>
      </c>
      <c r="J57" s="329" t="s">
        <v>139</v>
      </c>
      <c r="K57" s="57">
        <f>+$K$13</f>
        <v>801016</v>
      </c>
      <c r="L57" s="329"/>
      <c r="M57" s="57">
        <f>+$M$13</f>
        <v>0</v>
      </c>
      <c r="N57" s="789" t="s">
        <v>143</v>
      </c>
      <c r="O57" s="789" t="s">
        <v>230</v>
      </c>
      <c r="P57" s="792"/>
      <c r="Q57" s="795" t="s">
        <v>145</v>
      </c>
      <c r="R57" s="795" t="s">
        <v>146</v>
      </c>
      <c r="S57" s="798">
        <f t="shared" ref="S57" si="30">IF(COUNTIF(J57:K59,"CUMPLE")&gt;=1,(G57*I57),0)* (IF(N57="PRESENTÓ CERTIFICADO",1,0))* (IF(O57="ACORDE A ITEM 6.2.2.1 (T.R.)",1,0) )* ( IF(OR(Q57="SIN OBSERVACIÓN", Q57="REQUERIMIENTOS SUBSANADOS"),1,0)) *(IF(OR(R57="NINGUNO", R57="CUMPLEN CON LO SOLICITADO"),1,0))</f>
        <v>2630.91</v>
      </c>
      <c r="T57" s="818" t="s">
        <v>147</v>
      </c>
      <c r="U57" s="801">
        <f>IF(COUNTIF(J57:K59,"CUMPLE")&gt;=1,1,0)</f>
        <v>1</v>
      </c>
      <c r="W57" s="29"/>
      <c r="X57" s="29"/>
      <c r="Y57" s="29"/>
      <c r="Z57" s="29"/>
      <c r="AD57" s="13"/>
      <c r="AE57" s="13"/>
      <c r="AF57" s="13"/>
      <c r="AG57" s="13"/>
      <c r="AH57" s="13"/>
      <c r="AI57" s="13"/>
    </row>
    <row r="58" spans="1:35" s="330" customFormat="1" ht="24.95" customHeight="1">
      <c r="A58" s="328"/>
      <c r="B58" s="775"/>
      <c r="C58" s="778"/>
      <c r="D58" s="778"/>
      <c r="E58" s="778"/>
      <c r="F58" s="778"/>
      <c r="G58" s="781"/>
      <c r="H58" s="784"/>
      <c r="I58" s="787"/>
      <c r="J58" s="329" t="s">
        <v>139</v>
      </c>
      <c r="K58" s="57">
        <f>+$K$14</f>
        <v>811015</v>
      </c>
      <c r="L58" s="802"/>
      <c r="M58" s="795">
        <f>+$M$14</f>
        <v>0</v>
      </c>
      <c r="N58" s="790"/>
      <c r="O58" s="790"/>
      <c r="P58" s="793"/>
      <c r="Q58" s="796"/>
      <c r="R58" s="796"/>
      <c r="S58" s="799"/>
      <c r="T58" s="819"/>
      <c r="U58" s="801"/>
      <c r="W58" s="29"/>
      <c r="X58" s="29"/>
      <c r="Y58" s="29"/>
      <c r="Z58" s="29"/>
      <c r="AD58" s="13"/>
      <c r="AE58" s="13"/>
      <c r="AF58" s="13"/>
      <c r="AG58" s="13"/>
      <c r="AH58" s="13"/>
      <c r="AI58" s="13"/>
    </row>
    <row r="59" spans="1:35" s="330" customFormat="1" ht="24.95" customHeight="1">
      <c r="A59" s="328"/>
      <c r="B59" s="776"/>
      <c r="C59" s="779"/>
      <c r="D59" s="779"/>
      <c r="E59" s="779"/>
      <c r="F59" s="779"/>
      <c r="G59" s="782"/>
      <c r="H59" s="785"/>
      <c r="I59" s="788"/>
      <c r="J59" s="329" t="s">
        <v>228</v>
      </c>
      <c r="K59" s="57">
        <f>+$K$15</f>
        <v>841116</v>
      </c>
      <c r="L59" s="803"/>
      <c r="M59" s="797"/>
      <c r="N59" s="791"/>
      <c r="O59" s="791"/>
      <c r="P59" s="794"/>
      <c r="Q59" s="797"/>
      <c r="R59" s="797"/>
      <c r="S59" s="800"/>
      <c r="T59" s="819"/>
      <c r="U59" s="801"/>
      <c r="W59" s="29"/>
      <c r="X59" s="29"/>
      <c r="Y59" s="29"/>
      <c r="Z59" s="29"/>
      <c r="AD59" s="13"/>
      <c r="AE59" s="13"/>
      <c r="AF59" s="13"/>
      <c r="AG59" s="13"/>
      <c r="AH59" s="13"/>
      <c r="AI59" s="13"/>
    </row>
    <row r="60" spans="1:35" s="330" customFormat="1" ht="24.95" customHeight="1">
      <c r="A60" s="328"/>
      <c r="B60" s="774">
        <v>2</v>
      </c>
      <c r="C60" s="777">
        <v>96</v>
      </c>
      <c r="D60" s="777">
        <v>42</v>
      </c>
      <c r="E60" s="777" t="s">
        <v>374</v>
      </c>
      <c r="F60" s="777" t="s">
        <v>378</v>
      </c>
      <c r="G60" s="780">
        <v>112.24</v>
      </c>
      <c r="H60" s="783" t="s">
        <v>221</v>
      </c>
      <c r="I60" s="786">
        <v>1</v>
      </c>
      <c r="J60" s="329" t="s">
        <v>139</v>
      </c>
      <c r="K60" s="57">
        <f>+$K$13</f>
        <v>801016</v>
      </c>
      <c r="L60" s="329"/>
      <c r="M60" s="57">
        <f>+$M$13</f>
        <v>0</v>
      </c>
      <c r="N60" s="789" t="s">
        <v>143</v>
      </c>
      <c r="O60" s="789" t="s">
        <v>230</v>
      </c>
      <c r="P60" s="792"/>
      <c r="Q60" s="795" t="s">
        <v>145</v>
      </c>
      <c r="R60" s="795" t="s">
        <v>146</v>
      </c>
      <c r="S60" s="798">
        <f t="shared" ref="S60" si="31">IF(COUNTIF(J60:K62,"CUMPLE")&gt;=1,(G60*I60),0)* (IF(N60="PRESENTÓ CERTIFICADO",1,0))* (IF(O60="ACORDE A ITEM 6.2.2.1 (T.R.)",1,0) )* ( IF(OR(Q60="SIN OBSERVACIÓN", Q60="REQUERIMIENTOS SUBSANADOS"),1,0)) *(IF(OR(R60="NINGUNO", R60="CUMPLEN CON LO SOLICITADO"),1,0))</f>
        <v>112.24</v>
      </c>
      <c r="T60" s="819"/>
      <c r="U60" s="801">
        <f t="shared" ref="U60:U69" si="32">IF(COUNTIF(J60:K62,"CUMPLE")&gt;=1,1,0)</f>
        <v>1</v>
      </c>
      <c r="W60" s="29"/>
      <c r="X60" s="29"/>
      <c r="Y60" s="29"/>
      <c r="Z60" s="29"/>
      <c r="AD60" s="13"/>
      <c r="AE60" s="13"/>
      <c r="AF60" s="13"/>
      <c r="AG60" s="13"/>
      <c r="AH60" s="13"/>
      <c r="AI60" s="13"/>
    </row>
    <row r="61" spans="1:35" s="330" customFormat="1" ht="24.95" customHeight="1">
      <c r="A61" s="328"/>
      <c r="B61" s="775"/>
      <c r="C61" s="778"/>
      <c r="D61" s="778"/>
      <c r="E61" s="778"/>
      <c r="F61" s="778"/>
      <c r="G61" s="781"/>
      <c r="H61" s="784"/>
      <c r="I61" s="787"/>
      <c r="J61" s="329" t="s">
        <v>139</v>
      </c>
      <c r="K61" s="57">
        <f>+$K$14</f>
        <v>811015</v>
      </c>
      <c r="L61" s="802"/>
      <c r="M61" s="795">
        <f>+$M$14</f>
        <v>0</v>
      </c>
      <c r="N61" s="790"/>
      <c r="O61" s="790"/>
      <c r="P61" s="793"/>
      <c r="Q61" s="796"/>
      <c r="R61" s="796"/>
      <c r="S61" s="799"/>
      <c r="T61" s="819"/>
      <c r="U61" s="801"/>
      <c r="W61" s="29"/>
      <c r="X61" s="29"/>
      <c r="Y61" s="29"/>
      <c r="Z61" s="29"/>
      <c r="AD61" s="13"/>
      <c r="AE61" s="13"/>
      <c r="AF61" s="13"/>
      <c r="AG61" s="13"/>
      <c r="AH61" s="13"/>
      <c r="AI61" s="13"/>
    </row>
    <row r="62" spans="1:35" s="330" customFormat="1" ht="24.95" customHeight="1">
      <c r="A62" s="328"/>
      <c r="B62" s="776"/>
      <c r="C62" s="779"/>
      <c r="D62" s="779"/>
      <c r="E62" s="779"/>
      <c r="F62" s="779"/>
      <c r="G62" s="782"/>
      <c r="H62" s="785"/>
      <c r="I62" s="788"/>
      <c r="J62" s="329" t="s">
        <v>228</v>
      </c>
      <c r="K62" s="57">
        <f>+$K$15</f>
        <v>841116</v>
      </c>
      <c r="L62" s="803"/>
      <c r="M62" s="797"/>
      <c r="N62" s="791"/>
      <c r="O62" s="791"/>
      <c r="P62" s="794"/>
      <c r="Q62" s="797"/>
      <c r="R62" s="797"/>
      <c r="S62" s="800"/>
      <c r="T62" s="819"/>
      <c r="U62" s="801"/>
      <c r="W62" s="29"/>
      <c r="X62" s="29"/>
      <c r="Y62" s="29"/>
      <c r="Z62" s="29"/>
      <c r="AD62" s="13"/>
      <c r="AE62" s="13"/>
      <c r="AF62" s="13"/>
      <c r="AG62" s="13"/>
      <c r="AH62" s="13"/>
      <c r="AI62" s="13"/>
    </row>
    <row r="63" spans="1:35" s="330" customFormat="1" ht="24.95" customHeight="1">
      <c r="A63" s="328"/>
      <c r="B63" s="774">
        <v>3</v>
      </c>
      <c r="C63" s="804">
        <v>98</v>
      </c>
      <c r="D63" s="804">
        <v>43</v>
      </c>
      <c r="E63" s="804" t="s">
        <v>375</v>
      </c>
      <c r="F63" s="804" t="s">
        <v>379</v>
      </c>
      <c r="G63" s="807">
        <v>329</v>
      </c>
      <c r="H63" s="783" t="s">
        <v>221</v>
      </c>
      <c r="I63" s="786">
        <v>1</v>
      </c>
      <c r="J63" s="329" t="s">
        <v>139</v>
      </c>
      <c r="K63" s="57">
        <f>+$K$13</f>
        <v>801016</v>
      </c>
      <c r="L63" s="329"/>
      <c r="M63" s="57">
        <f>+$M$13</f>
        <v>0</v>
      </c>
      <c r="N63" s="789" t="s">
        <v>143</v>
      </c>
      <c r="O63" s="789" t="s">
        <v>230</v>
      </c>
      <c r="P63" s="792"/>
      <c r="Q63" s="795" t="s">
        <v>145</v>
      </c>
      <c r="R63" s="795" t="s">
        <v>146</v>
      </c>
      <c r="S63" s="798">
        <f t="shared" ref="S63" si="33">IF(COUNTIF(J63:K65,"CUMPLE")&gt;=1,(G63*I63),0)* (IF(N63="PRESENTÓ CERTIFICADO",1,0))* (IF(O63="ACORDE A ITEM 6.2.2.1 (T.R.)",1,0) )* ( IF(OR(Q63="SIN OBSERVACIÓN", Q63="REQUERIMIENTOS SUBSANADOS"),1,0)) *(IF(OR(R63="NINGUNO", R63="CUMPLEN CON LO SOLICITADO"),1,0))</f>
        <v>329</v>
      </c>
      <c r="T63" s="819"/>
      <c r="U63" s="801">
        <f t="shared" si="32"/>
        <v>1</v>
      </c>
      <c r="W63" s="29"/>
      <c r="X63" s="29"/>
      <c r="Y63" s="29"/>
      <c r="Z63" s="29"/>
      <c r="AA63" s="13"/>
      <c r="AB63" s="13"/>
      <c r="AC63" s="13"/>
      <c r="AD63" s="13"/>
      <c r="AE63" s="13"/>
      <c r="AF63" s="13"/>
      <c r="AG63" s="13"/>
      <c r="AH63" s="13"/>
      <c r="AI63" s="13"/>
    </row>
    <row r="64" spans="1:35" s="330" customFormat="1" ht="24.95" customHeight="1">
      <c r="A64" s="328"/>
      <c r="B64" s="775"/>
      <c r="C64" s="805"/>
      <c r="D64" s="805"/>
      <c r="E64" s="805"/>
      <c r="F64" s="805"/>
      <c r="G64" s="808"/>
      <c r="H64" s="784"/>
      <c r="I64" s="787"/>
      <c r="J64" s="329" t="s">
        <v>139</v>
      </c>
      <c r="K64" s="57">
        <f>+$K$14</f>
        <v>811015</v>
      </c>
      <c r="L64" s="802"/>
      <c r="M64" s="795">
        <f>+$M$14</f>
        <v>0</v>
      </c>
      <c r="N64" s="790"/>
      <c r="O64" s="790"/>
      <c r="P64" s="793"/>
      <c r="Q64" s="796"/>
      <c r="R64" s="796"/>
      <c r="S64" s="799"/>
      <c r="T64" s="819"/>
      <c r="U64" s="801"/>
      <c r="W64" s="29"/>
      <c r="X64" s="29"/>
      <c r="Y64" s="29"/>
      <c r="Z64" s="29"/>
      <c r="AH64" s="13"/>
      <c r="AI64" s="13"/>
    </row>
    <row r="65" spans="1:35" s="330" customFormat="1" ht="22.5" customHeight="1">
      <c r="A65" s="328"/>
      <c r="B65" s="776"/>
      <c r="C65" s="806"/>
      <c r="D65" s="806"/>
      <c r="E65" s="806"/>
      <c r="F65" s="806"/>
      <c r="G65" s="809"/>
      <c r="H65" s="785"/>
      <c r="I65" s="788"/>
      <c r="J65" s="329" t="s">
        <v>139</v>
      </c>
      <c r="K65" s="57">
        <f>+$K$15</f>
        <v>841116</v>
      </c>
      <c r="L65" s="803"/>
      <c r="M65" s="797"/>
      <c r="N65" s="791"/>
      <c r="O65" s="791"/>
      <c r="P65" s="794"/>
      <c r="Q65" s="797"/>
      <c r="R65" s="797"/>
      <c r="S65" s="800"/>
      <c r="T65" s="819"/>
      <c r="U65" s="801"/>
      <c r="W65" s="29"/>
      <c r="X65" s="29"/>
      <c r="Y65" s="29"/>
      <c r="Z65" s="29"/>
    </row>
    <row r="66" spans="1:35" s="330" customFormat="1" ht="24.95" customHeight="1">
      <c r="A66" s="328"/>
      <c r="B66" s="774">
        <v>4</v>
      </c>
      <c r="C66" s="777">
        <v>89</v>
      </c>
      <c r="D66" s="777">
        <v>38</v>
      </c>
      <c r="E66" s="777" t="s">
        <v>376</v>
      </c>
      <c r="F66" s="777" t="s">
        <v>380</v>
      </c>
      <c r="G66" s="780">
        <v>825.64</v>
      </c>
      <c r="H66" s="783" t="s">
        <v>221</v>
      </c>
      <c r="I66" s="786">
        <v>1</v>
      </c>
      <c r="J66" s="329" t="s">
        <v>139</v>
      </c>
      <c r="K66" s="57">
        <f>+$K$13</f>
        <v>801016</v>
      </c>
      <c r="L66" s="329"/>
      <c r="M66" s="57">
        <f>+$M$13</f>
        <v>0</v>
      </c>
      <c r="N66" s="789" t="s">
        <v>143</v>
      </c>
      <c r="O66" s="789" t="s">
        <v>230</v>
      </c>
      <c r="P66" s="792"/>
      <c r="Q66" s="795" t="s">
        <v>145</v>
      </c>
      <c r="R66" s="795" t="s">
        <v>146</v>
      </c>
      <c r="S66" s="798">
        <f t="shared" ref="S66" si="34">IF(COUNTIF(J66:K68,"CUMPLE")&gt;=1,(G66*I66),0)* (IF(N66="PRESENTÓ CERTIFICADO",1,0))* (IF(O66="ACORDE A ITEM 6.2.2.1 (T.R.)",1,0) )* ( IF(OR(Q66="SIN OBSERVACIÓN", Q66="REQUERIMIENTOS SUBSANADOS"),1,0)) *(IF(OR(R66="NINGUNO", R66="CUMPLEN CON LO SOLICITADO"),1,0))</f>
        <v>825.64</v>
      </c>
      <c r="T66" s="819"/>
      <c r="U66" s="801">
        <f t="shared" si="32"/>
        <v>1</v>
      </c>
      <c r="W66" s="29"/>
      <c r="X66" s="29"/>
      <c r="Y66" s="29"/>
      <c r="Z66" s="29"/>
      <c r="AA66" s="13"/>
      <c r="AB66" s="13"/>
      <c r="AC66" s="13"/>
      <c r="AD66" s="13"/>
      <c r="AE66" s="13"/>
      <c r="AF66" s="13"/>
      <c r="AG66" s="13"/>
    </row>
    <row r="67" spans="1:35" s="330" customFormat="1" ht="24.95" customHeight="1">
      <c r="A67" s="328"/>
      <c r="B67" s="775"/>
      <c r="C67" s="778"/>
      <c r="D67" s="778"/>
      <c r="E67" s="778"/>
      <c r="F67" s="778"/>
      <c r="G67" s="781"/>
      <c r="H67" s="784"/>
      <c r="I67" s="787"/>
      <c r="J67" s="329" t="s">
        <v>139</v>
      </c>
      <c r="K67" s="57">
        <f>+$K$14</f>
        <v>811015</v>
      </c>
      <c r="L67" s="802"/>
      <c r="M67" s="795">
        <f>+$M$14</f>
        <v>0</v>
      </c>
      <c r="N67" s="790"/>
      <c r="O67" s="790"/>
      <c r="P67" s="793"/>
      <c r="Q67" s="796"/>
      <c r="R67" s="796"/>
      <c r="S67" s="799"/>
      <c r="T67" s="819"/>
      <c r="U67" s="801"/>
      <c r="W67" s="29"/>
      <c r="X67" s="29"/>
      <c r="Y67" s="29"/>
      <c r="Z67" s="29"/>
      <c r="AA67" s="13"/>
      <c r="AB67" s="13"/>
      <c r="AC67" s="13"/>
      <c r="AD67" s="13"/>
      <c r="AE67" s="13"/>
      <c r="AF67" s="13"/>
      <c r="AG67" s="13"/>
    </row>
    <row r="68" spans="1:35" s="330" customFormat="1" ht="24.95" customHeight="1">
      <c r="A68" s="328"/>
      <c r="B68" s="776"/>
      <c r="C68" s="779"/>
      <c r="D68" s="779"/>
      <c r="E68" s="779"/>
      <c r="F68" s="779"/>
      <c r="G68" s="782"/>
      <c r="H68" s="785"/>
      <c r="I68" s="788"/>
      <c r="J68" s="329" t="s">
        <v>139</v>
      </c>
      <c r="K68" s="57">
        <f>+$K$15</f>
        <v>841116</v>
      </c>
      <c r="L68" s="803"/>
      <c r="M68" s="797"/>
      <c r="N68" s="791"/>
      <c r="O68" s="791"/>
      <c r="P68" s="794"/>
      <c r="Q68" s="797"/>
      <c r="R68" s="797"/>
      <c r="S68" s="800"/>
      <c r="T68" s="819"/>
      <c r="U68" s="801"/>
      <c r="W68" s="29"/>
      <c r="X68" s="29"/>
      <c r="Y68" s="29"/>
      <c r="Z68" s="29"/>
      <c r="AA68" s="29"/>
      <c r="AB68" s="29"/>
      <c r="AC68" s="29"/>
      <c r="AD68" s="331"/>
      <c r="AE68" s="331"/>
      <c r="AF68" s="331"/>
      <c r="AG68" s="331"/>
    </row>
    <row r="69" spans="1:35" s="330" customFormat="1" ht="24.95" hidden="1" customHeight="1">
      <c r="A69" s="328"/>
      <c r="B69" s="774">
        <v>5</v>
      </c>
      <c r="C69" s="777"/>
      <c r="D69" s="777"/>
      <c r="E69" s="777"/>
      <c r="F69" s="777"/>
      <c r="G69" s="780"/>
      <c r="H69" s="783"/>
      <c r="I69" s="786"/>
      <c r="J69" s="329"/>
      <c r="K69" s="57">
        <f>+$K$13</f>
        <v>801016</v>
      </c>
      <c r="L69" s="329"/>
      <c r="M69" s="57">
        <f>+$M$13</f>
        <v>0</v>
      </c>
      <c r="N69" s="789"/>
      <c r="O69" s="789"/>
      <c r="P69" s="792"/>
      <c r="Q69" s="795"/>
      <c r="R69" s="795"/>
      <c r="S69" s="798">
        <f t="shared" ref="S69" si="35">IF(COUNTIF(J69:K71,"CUMPLE")&gt;=1,(G69*I69),0)* (IF(N69="PRESENTÓ CERTIFICADO",1,0))* (IF(O69="ACORDE A ITEM 6.2.2.1 (T.R.)",1,0) )* ( IF(OR(Q69="SIN OBSERVACIÓN", Q69="REQUERIMIENTOS SUBSANADOS"),1,0)) *(IF(OR(R69="NINGUNO", R69="CUMPLEN CON LO SOLICITADO"),1,0))</f>
        <v>0</v>
      </c>
      <c r="T69" s="819"/>
      <c r="U69" s="801">
        <f t="shared" si="32"/>
        <v>0</v>
      </c>
      <c r="W69" s="29"/>
      <c r="X69" s="29"/>
      <c r="Y69" s="29"/>
      <c r="Z69" s="29"/>
      <c r="AA69" s="29"/>
      <c r="AB69" s="29"/>
      <c r="AC69" s="29"/>
      <c r="AD69" s="331"/>
      <c r="AE69" s="331"/>
      <c r="AF69" s="331"/>
      <c r="AG69" s="331"/>
    </row>
    <row r="70" spans="1:35" s="330" customFormat="1" ht="24.95" hidden="1" customHeight="1">
      <c r="A70" s="328"/>
      <c r="B70" s="775"/>
      <c r="C70" s="778"/>
      <c r="D70" s="778"/>
      <c r="E70" s="778"/>
      <c r="F70" s="778"/>
      <c r="G70" s="781"/>
      <c r="H70" s="784"/>
      <c r="I70" s="787"/>
      <c r="J70" s="329"/>
      <c r="K70" s="57">
        <f>+$K$14</f>
        <v>811015</v>
      </c>
      <c r="L70" s="802"/>
      <c r="M70" s="795">
        <f>+$M$14</f>
        <v>0</v>
      </c>
      <c r="N70" s="790"/>
      <c r="O70" s="790"/>
      <c r="P70" s="793"/>
      <c r="Q70" s="796"/>
      <c r="R70" s="796"/>
      <c r="S70" s="799"/>
      <c r="T70" s="819"/>
      <c r="U70" s="801"/>
      <c r="W70" s="29"/>
      <c r="X70" s="29"/>
      <c r="Y70" s="29"/>
      <c r="Z70" s="29"/>
      <c r="AA70" s="29"/>
      <c r="AB70" s="29"/>
      <c r="AC70" s="29"/>
    </row>
    <row r="71" spans="1:35" s="330" customFormat="1" ht="24.95" hidden="1" customHeight="1">
      <c r="A71" s="328"/>
      <c r="B71" s="776"/>
      <c r="C71" s="779"/>
      <c r="D71" s="779"/>
      <c r="E71" s="779"/>
      <c r="F71" s="779"/>
      <c r="G71" s="782"/>
      <c r="H71" s="785"/>
      <c r="I71" s="788"/>
      <c r="J71" s="329"/>
      <c r="K71" s="57">
        <f>+$K$15</f>
        <v>841116</v>
      </c>
      <c r="L71" s="803"/>
      <c r="M71" s="797"/>
      <c r="N71" s="791"/>
      <c r="O71" s="791"/>
      <c r="P71" s="794"/>
      <c r="Q71" s="797"/>
      <c r="R71" s="797"/>
      <c r="S71" s="800"/>
      <c r="T71" s="820"/>
      <c r="U71" s="801"/>
      <c r="W71" s="29"/>
      <c r="X71" s="29"/>
      <c r="Y71" s="29"/>
      <c r="Z71" s="29"/>
      <c r="AA71" s="29"/>
      <c r="AB71" s="29"/>
      <c r="AC71" s="29"/>
    </row>
    <row r="72" spans="1:35" ht="24.95" customHeight="1">
      <c r="A72" s="13"/>
      <c r="B72" s="763" t="str">
        <f>IF(S73=" "," ",IF(S73&gt;=$H$6,"CUMPLE CON LA EXPERIENCIA REQUERIDA","NO CUMPLE CON LA EXPERIENCIA REQUERIDA"))</f>
        <v>CUMPLE CON LA EXPERIENCIA REQUERIDA</v>
      </c>
      <c r="C72" s="764"/>
      <c r="D72" s="764"/>
      <c r="E72" s="764"/>
      <c r="F72" s="764"/>
      <c r="G72" s="764"/>
      <c r="H72" s="764"/>
      <c r="I72" s="764"/>
      <c r="J72" s="764"/>
      <c r="K72" s="764"/>
      <c r="L72" s="764"/>
      <c r="M72" s="764"/>
      <c r="N72" s="764"/>
      <c r="O72" s="765"/>
      <c r="P72" s="769" t="s">
        <v>45</v>
      </c>
      <c r="Q72" s="770"/>
      <c r="R72" s="771"/>
      <c r="S72" s="333">
        <f>IF(T57="SI",SUM(S57:S71),0)</f>
        <v>3897.7899999999995</v>
      </c>
      <c r="T72" s="772" t="str">
        <f>IF(S73=" "," ",IF(S73&gt;=$H$6,"CUMPLE","NO CUMPLE"))</f>
        <v>CUMPLE</v>
      </c>
      <c r="AA72" s="29"/>
      <c r="AB72" s="29"/>
      <c r="AC72" s="29"/>
      <c r="AD72" s="330"/>
      <c r="AE72" s="330"/>
      <c r="AF72" s="330"/>
      <c r="AG72" s="330"/>
      <c r="AH72" s="330"/>
    </row>
    <row r="73" spans="1:35" s="330" customFormat="1" ht="24.95" customHeight="1">
      <c r="B73" s="766"/>
      <c r="C73" s="767"/>
      <c r="D73" s="767"/>
      <c r="E73" s="767"/>
      <c r="F73" s="767"/>
      <c r="G73" s="767"/>
      <c r="H73" s="767"/>
      <c r="I73" s="767"/>
      <c r="J73" s="767"/>
      <c r="K73" s="767"/>
      <c r="L73" s="767"/>
      <c r="M73" s="767"/>
      <c r="N73" s="767"/>
      <c r="O73" s="768"/>
      <c r="P73" s="769" t="s">
        <v>46</v>
      </c>
      <c r="Q73" s="770"/>
      <c r="R73" s="771"/>
      <c r="S73" s="333">
        <f>IFERROR((S72/$P$6)," ")</f>
        <v>2.8576173020527857</v>
      </c>
      <c r="T73" s="773"/>
      <c r="W73" s="29"/>
      <c r="X73" s="29"/>
      <c r="Y73" s="29"/>
      <c r="Z73" s="29"/>
      <c r="AA73" s="29"/>
      <c r="AB73" s="29"/>
      <c r="AC73" s="29"/>
    </row>
    <row r="74" spans="1:35" ht="30" customHeight="1">
      <c r="AA74" s="29"/>
      <c r="AB74" s="29"/>
      <c r="AC74" s="29"/>
      <c r="AD74" s="330"/>
      <c r="AE74" s="330"/>
      <c r="AF74" s="330"/>
      <c r="AG74" s="330"/>
    </row>
    <row r="75" spans="1:35" ht="30" customHeight="1">
      <c r="AA75" s="29"/>
      <c r="AB75" s="29"/>
      <c r="AC75" s="29"/>
      <c r="AD75" s="330"/>
      <c r="AE75" s="330"/>
      <c r="AF75" s="330"/>
      <c r="AG75" s="330"/>
      <c r="AH75" s="330"/>
    </row>
    <row r="76" spans="1:35" ht="62.25" customHeight="1">
      <c r="B76" s="301">
        <v>4</v>
      </c>
      <c r="C76" s="821" t="str">
        <f>+C54</f>
        <v xml:space="preserve">EXPERIENCIA GENERAL </v>
      </c>
      <c r="D76" s="822"/>
      <c r="E76" s="823"/>
      <c r="F76" s="824" t="str">
        <f>IFERROR(VLOOKUP(B76,LISTA_OFERENTES,2,FALSE)," ")</f>
        <v>PREVEO S.A.S.</v>
      </c>
      <c r="G76" s="825"/>
      <c r="H76" s="825"/>
      <c r="I76" s="825"/>
      <c r="J76" s="825"/>
      <c r="K76" s="825"/>
      <c r="L76" s="825"/>
      <c r="M76" s="825"/>
      <c r="N76" s="825"/>
      <c r="O76" s="826"/>
      <c r="P76" s="827" t="s">
        <v>25</v>
      </c>
      <c r="Q76" s="828"/>
      <c r="R76" s="829"/>
      <c r="S76" s="321">
        <f>5-(INT(COUNTBLANK(C79:C93))-10)</f>
        <v>5</v>
      </c>
      <c r="AA76" s="29"/>
      <c r="AB76" s="29"/>
      <c r="AC76" s="29"/>
      <c r="AD76" s="330"/>
      <c r="AE76" s="330"/>
      <c r="AF76" s="330"/>
      <c r="AG76" s="330"/>
    </row>
    <row r="77" spans="1:35" s="331" customFormat="1" ht="30" customHeight="1">
      <c r="B77" s="830" t="s">
        <v>26</v>
      </c>
      <c r="C77" s="813" t="s">
        <v>27</v>
      </c>
      <c r="D77" s="813" t="s">
        <v>28</v>
      </c>
      <c r="E77" s="813" t="s">
        <v>29</v>
      </c>
      <c r="F77" s="813" t="s">
        <v>30</v>
      </c>
      <c r="G77" s="813" t="s">
        <v>31</v>
      </c>
      <c r="H77" s="813" t="s">
        <v>32</v>
      </c>
      <c r="I77" s="813" t="s">
        <v>33</v>
      </c>
      <c r="J77" s="832" t="s">
        <v>34</v>
      </c>
      <c r="K77" s="833"/>
      <c r="L77" s="833"/>
      <c r="M77" s="834"/>
      <c r="N77" s="813" t="s">
        <v>35</v>
      </c>
      <c r="O77" s="813" t="s">
        <v>36</v>
      </c>
      <c r="P77" s="832" t="s">
        <v>37</v>
      </c>
      <c r="Q77" s="834"/>
      <c r="R77" s="813" t="s">
        <v>38</v>
      </c>
      <c r="S77" s="813" t="s">
        <v>39</v>
      </c>
      <c r="T77" s="813" t="str">
        <f>+$T$11</f>
        <v>Haber ejecutado contratos en COLOMBIA o en el EXTERIOR que dentro de su objeto o alcance incluyan:
Interventoría a obras de Construcción de edificaciones de los grupos de uso I, II, III o IV, conforme al
título A de la NSR-10.
Obligatorio estar en 811015</v>
      </c>
      <c r="U77" s="813" t="str">
        <f>+$U$11</f>
        <v xml:space="preserve">VERIFICACIÓN CONDICIÓN DE EXPERIENCIA  </v>
      </c>
      <c r="V77" s="334"/>
      <c r="W77" s="29"/>
      <c r="X77" s="29"/>
      <c r="Y77" s="29"/>
      <c r="Z77" s="29"/>
      <c r="AA77" s="29"/>
      <c r="AB77" s="29"/>
      <c r="AC77" s="29"/>
      <c r="AD77" s="330"/>
      <c r="AE77" s="330"/>
      <c r="AF77" s="330"/>
      <c r="AG77" s="330"/>
      <c r="AH77" s="13"/>
    </row>
    <row r="78" spans="1:35" s="331" customFormat="1" ht="105.75" customHeight="1">
      <c r="B78" s="831"/>
      <c r="C78" s="814"/>
      <c r="D78" s="814"/>
      <c r="E78" s="814"/>
      <c r="F78" s="814"/>
      <c r="G78" s="814"/>
      <c r="H78" s="814"/>
      <c r="I78" s="814"/>
      <c r="J78" s="815" t="s">
        <v>42</v>
      </c>
      <c r="K78" s="816"/>
      <c r="L78" s="816"/>
      <c r="M78" s="817"/>
      <c r="N78" s="814"/>
      <c r="O78" s="814"/>
      <c r="P78" s="323" t="s">
        <v>10</v>
      </c>
      <c r="Q78" s="323" t="s">
        <v>43</v>
      </c>
      <c r="R78" s="814"/>
      <c r="S78" s="814"/>
      <c r="T78" s="814"/>
      <c r="U78" s="814"/>
      <c r="V78" s="334"/>
      <c r="W78" s="29"/>
      <c r="X78" s="29"/>
      <c r="Y78" s="29"/>
      <c r="Z78" s="29"/>
      <c r="AA78" s="29"/>
      <c r="AB78" s="29"/>
      <c r="AC78" s="29"/>
      <c r="AD78" s="330"/>
      <c r="AE78" s="330"/>
      <c r="AF78" s="330"/>
      <c r="AG78" s="330"/>
      <c r="AH78" s="13"/>
    </row>
    <row r="79" spans="1:35" s="330" customFormat="1" ht="24.95" customHeight="1">
      <c r="A79" s="328"/>
      <c r="B79" s="774">
        <v>1</v>
      </c>
      <c r="C79" s="777">
        <v>6</v>
      </c>
      <c r="D79" s="777">
        <v>6</v>
      </c>
      <c r="E79" s="852" t="s">
        <v>278</v>
      </c>
      <c r="F79" s="777" t="s">
        <v>281</v>
      </c>
      <c r="G79" s="780">
        <v>1632.38</v>
      </c>
      <c r="H79" s="783" t="s">
        <v>221</v>
      </c>
      <c r="I79" s="786">
        <v>1</v>
      </c>
      <c r="J79" s="329" t="s">
        <v>228</v>
      </c>
      <c r="K79" s="57">
        <f>+$K$13</f>
        <v>801016</v>
      </c>
      <c r="L79" s="329"/>
      <c r="M79" s="57">
        <f>+$M$13</f>
        <v>0</v>
      </c>
      <c r="N79" s="789" t="s">
        <v>143</v>
      </c>
      <c r="O79" s="789" t="s">
        <v>230</v>
      </c>
      <c r="P79" s="792"/>
      <c r="Q79" s="795" t="s">
        <v>145</v>
      </c>
      <c r="R79" s="795" t="s">
        <v>146</v>
      </c>
      <c r="S79" s="798">
        <f t="shared" ref="S79" si="36">IF(COUNTIF(J79:K81,"CUMPLE")&gt;=1,(G79*I79),0)* (IF(N79="PRESENTÓ CERTIFICADO",1,0))* (IF(O79="ACORDE A ITEM 6.2.2.1 (T.R.)",1,0) )* ( IF(OR(Q79="SIN OBSERVACIÓN", Q79="REQUERIMIENTOS SUBSANADOS"),1,0)) *(IF(OR(R79="NINGUNO", R79="CUMPLEN CON LO SOLICITADO"),1,0))</f>
        <v>1632.38</v>
      </c>
      <c r="T79" s="818" t="s">
        <v>147</v>
      </c>
      <c r="U79" s="801">
        <f t="shared" ref="U79:U91" si="37">IF(COUNTIF(J79:K81,"CUMPLE")&gt;=1,1,0)</f>
        <v>1</v>
      </c>
      <c r="W79" s="29"/>
      <c r="X79" s="29"/>
      <c r="Y79" s="29"/>
      <c r="Z79" s="29"/>
      <c r="AD79" s="13"/>
      <c r="AE79" s="13"/>
      <c r="AF79" s="13"/>
      <c r="AG79" s="13"/>
      <c r="AH79" s="13"/>
      <c r="AI79" s="13"/>
    </row>
    <row r="80" spans="1:35" s="330" customFormat="1" ht="24.95" customHeight="1">
      <c r="A80" s="328"/>
      <c r="B80" s="775"/>
      <c r="C80" s="778"/>
      <c r="D80" s="778"/>
      <c r="E80" s="778"/>
      <c r="F80" s="778"/>
      <c r="G80" s="781"/>
      <c r="H80" s="784"/>
      <c r="I80" s="787"/>
      <c r="J80" s="329" t="s">
        <v>139</v>
      </c>
      <c r="K80" s="57">
        <f>+$K$14</f>
        <v>811015</v>
      </c>
      <c r="L80" s="802"/>
      <c r="M80" s="795">
        <f>+$M$14</f>
        <v>0</v>
      </c>
      <c r="N80" s="790"/>
      <c r="O80" s="790"/>
      <c r="P80" s="793"/>
      <c r="Q80" s="796"/>
      <c r="R80" s="796"/>
      <c r="S80" s="799"/>
      <c r="T80" s="819"/>
      <c r="U80" s="801"/>
      <c r="W80" s="29"/>
      <c r="X80" s="29"/>
      <c r="Y80" s="29"/>
      <c r="Z80" s="29"/>
      <c r="AD80" s="13"/>
      <c r="AE80" s="13"/>
      <c r="AF80" s="13"/>
      <c r="AG80" s="13"/>
      <c r="AH80" s="13"/>
      <c r="AI80" s="13"/>
    </row>
    <row r="81" spans="1:35" s="330" customFormat="1" ht="24.95" customHeight="1">
      <c r="A81" s="328"/>
      <c r="B81" s="776"/>
      <c r="C81" s="779"/>
      <c r="D81" s="779"/>
      <c r="E81" s="779"/>
      <c r="F81" s="779"/>
      <c r="G81" s="782"/>
      <c r="H81" s="785"/>
      <c r="I81" s="788"/>
      <c r="J81" s="329" t="s">
        <v>228</v>
      </c>
      <c r="K81" s="57">
        <f>+$K$15</f>
        <v>841116</v>
      </c>
      <c r="L81" s="803"/>
      <c r="M81" s="797"/>
      <c r="N81" s="791"/>
      <c r="O81" s="791"/>
      <c r="P81" s="794"/>
      <c r="Q81" s="797"/>
      <c r="R81" s="797"/>
      <c r="S81" s="800"/>
      <c r="T81" s="819"/>
      <c r="U81" s="801"/>
      <c r="W81" s="29"/>
      <c r="X81" s="29"/>
      <c r="Y81" s="29"/>
      <c r="Z81" s="29"/>
      <c r="AD81" s="13"/>
      <c r="AE81" s="13"/>
      <c r="AF81" s="13"/>
      <c r="AG81" s="13"/>
      <c r="AH81" s="13"/>
      <c r="AI81" s="13"/>
    </row>
    <row r="82" spans="1:35" s="330" customFormat="1" ht="24.95" customHeight="1">
      <c r="A82" s="328"/>
      <c r="B82" s="774">
        <v>2</v>
      </c>
      <c r="C82" s="804">
        <v>7</v>
      </c>
      <c r="D82" s="804">
        <v>7</v>
      </c>
      <c r="E82" s="804" t="s">
        <v>279</v>
      </c>
      <c r="F82" s="804" t="s">
        <v>281</v>
      </c>
      <c r="G82" s="807">
        <v>1489.39</v>
      </c>
      <c r="H82" s="783" t="s">
        <v>221</v>
      </c>
      <c r="I82" s="786">
        <v>1</v>
      </c>
      <c r="J82" s="329" t="s">
        <v>228</v>
      </c>
      <c r="K82" s="57">
        <f>+$K$13</f>
        <v>801016</v>
      </c>
      <c r="L82" s="329"/>
      <c r="M82" s="57">
        <f>+$M$13</f>
        <v>0</v>
      </c>
      <c r="N82" s="789" t="s">
        <v>143</v>
      </c>
      <c r="O82" s="789" t="s">
        <v>230</v>
      </c>
      <c r="P82" s="792"/>
      <c r="Q82" s="795" t="s">
        <v>145</v>
      </c>
      <c r="R82" s="795" t="s">
        <v>146</v>
      </c>
      <c r="S82" s="798">
        <f t="shared" ref="S82" si="38">IF(COUNTIF(J82:K84,"CUMPLE")&gt;=1,(G82*I82),0)* (IF(N82="PRESENTÓ CERTIFICADO",1,0))* (IF(O82="ACORDE A ITEM 6.2.2.1 (T.R.)",1,0) )* ( IF(OR(Q82="SIN OBSERVACIÓN", Q82="REQUERIMIENTOS SUBSANADOS"),1,0)) *(IF(OR(R82="NINGUNO", R82="CUMPLEN CON LO SOLICITADO"),1,0))</f>
        <v>1489.39</v>
      </c>
      <c r="T82" s="819"/>
      <c r="U82" s="801">
        <f t="shared" si="37"/>
        <v>1</v>
      </c>
      <c r="W82" s="29"/>
      <c r="X82" s="29"/>
      <c r="Y82" s="29"/>
      <c r="Z82" s="29"/>
      <c r="AD82" s="13"/>
      <c r="AE82" s="13"/>
      <c r="AF82" s="13"/>
      <c r="AG82" s="13"/>
      <c r="AH82" s="13"/>
      <c r="AI82" s="13"/>
    </row>
    <row r="83" spans="1:35" s="330" customFormat="1" ht="24.95" customHeight="1">
      <c r="A83" s="328"/>
      <c r="B83" s="775"/>
      <c r="C83" s="805"/>
      <c r="D83" s="805"/>
      <c r="E83" s="805"/>
      <c r="F83" s="805"/>
      <c r="G83" s="808"/>
      <c r="H83" s="784"/>
      <c r="I83" s="787"/>
      <c r="J83" s="329" t="s">
        <v>139</v>
      </c>
      <c r="K83" s="57">
        <f>+$K$14</f>
        <v>811015</v>
      </c>
      <c r="L83" s="802"/>
      <c r="M83" s="795">
        <f>+$M$14</f>
        <v>0</v>
      </c>
      <c r="N83" s="790"/>
      <c r="O83" s="790"/>
      <c r="P83" s="793"/>
      <c r="Q83" s="796"/>
      <c r="R83" s="796"/>
      <c r="S83" s="799"/>
      <c r="T83" s="819"/>
      <c r="U83" s="801"/>
      <c r="W83" s="29"/>
      <c r="X83" s="29"/>
      <c r="Y83" s="29"/>
      <c r="Z83" s="29"/>
      <c r="AD83" s="13"/>
      <c r="AE83" s="13"/>
      <c r="AF83" s="13"/>
      <c r="AG83" s="13"/>
      <c r="AH83" s="13"/>
      <c r="AI83" s="13"/>
    </row>
    <row r="84" spans="1:35" s="330" customFormat="1" ht="24.95" customHeight="1">
      <c r="A84" s="328"/>
      <c r="B84" s="776"/>
      <c r="C84" s="806"/>
      <c r="D84" s="806"/>
      <c r="E84" s="806"/>
      <c r="F84" s="806"/>
      <c r="G84" s="809"/>
      <c r="H84" s="785"/>
      <c r="I84" s="788"/>
      <c r="J84" s="329" t="s">
        <v>228</v>
      </c>
      <c r="K84" s="57">
        <f>+$K$15</f>
        <v>841116</v>
      </c>
      <c r="L84" s="803"/>
      <c r="M84" s="797"/>
      <c r="N84" s="791"/>
      <c r="O84" s="791"/>
      <c r="P84" s="794"/>
      <c r="Q84" s="797"/>
      <c r="R84" s="797"/>
      <c r="S84" s="800"/>
      <c r="T84" s="819"/>
      <c r="U84" s="801"/>
      <c r="W84" s="29"/>
      <c r="X84" s="29"/>
      <c r="Y84" s="29"/>
      <c r="Z84" s="29"/>
      <c r="AD84" s="13"/>
      <c r="AE84" s="13"/>
      <c r="AF84" s="13"/>
      <c r="AG84" s="13"/>
      <c r="AH84" s="13"/>
      <c r="AI84" s="13"/>
    </row>
    <row r="85" spans="1:35" s="330" customFormat="1" ht="24.95" customHeight="1">
      <c r="A85" s="328"/>
      <c r="B85" s="774">
        <v>3</v>
      </c>
      <c r="C85" s="777">
        <v>49</v>
      </c>
      <c r="D85" s="777">
        <v>18</v>
      </c>
      <c r="E85" s="852"/>
      <c r="F85" s="777" t="s">
        <v>282</v>
      </c>
      <c r="G85" s="780">
        <v>1286.9100000000001</v>
      </c>
      <c r="H85" s="783" t="s">
        <v>221</v>
      </c>
      <c r="I85" s="786">
        <v>1</v>
      </c>
      <c r="J85" s="329" t="s">
        <v>228</v>
      </c>
      <c r="K85" s="57">
        <f>+$K$13</f>
        <v>801016</v>
      </c>
      <c r="L85" s="329"/>
      <c r="M85" s="57">
        <f>+$M$13</f>
        <v>0</v>
      </c>
      <c r="N85" s="789" t="s">
        <v>143</v>
      </c>
      <c r="O85" s="789" t="s">
        <v>230</v>
      </c>
      <c r="P85" s="792"/>
      <c r="Q85" s="795" t="s">
        <v>145</v>
      </c>
      <c r="R85" s="795" t="s">
        <v>146</v>
      </c>
      <c r="S85" s="798">
        <f t="shared" ref="S85" si="39">IF(COUNTIF(J85:K87,"CUMPLE")&gt;=1,(G85*I85),0)* (IF(N85="PRESENTÓ CERTIFICADO",1,0))* (IF(O85="ACORDE A ITEM 6.2.2.1 (T.R.)",1,0) )* ( IF(OR(Q85="SIN OBSERVACIÓN", Q85="REQUERIMIENTOS SUBSANADOS"),1,0)) *(IF(OR(R85="NINGUNO", R85="CUMPLEN CON LO SOLICITADO"),1,0))</f>
        <v>1286.9100000000001</v>
      </c>
      <c r="T85" s="819"/>
      <c r="U85" s="801">
        <f t="shared" si="37"/>
        <v>1</v>
      </c>
      <c r="W85" s="29"/>
      <c r="X85" s="29"/>
      <c r="Y85" s="29"/>
      <c r="Z85" s="29"/>
      <c r="AA85" s="13"/>
      <c r="AB85" s="13"/>
      <c r="AC85" s="13"/>
      <c r="AD85" s="13"/>
      <c r="AE85" s="13"/>
      <c r="AF85" s="13"/>
      <c r="AG85" s="13"/>
      <c r="AH85" s="13"/>
      <c r="AI85" s="13"/>
    </row>
    <row r="86" spans="1:35" s="330" customFormat="1" ht="24.95" customHeight="1">
      <c r="A86" s="328"/>
      <c r="B86" s="775"/>
      <c r="C86" s="778"/>
      <c r="D86" s="778"/>
      <c r="E86" s="778"/>
      <c r="F86" s="778"/>
      <c r="G86" s="781"/>
      <c r="H86" s="784"/>
      <c r="I86" s="787"/>
      <c r="J86" s="329" t="s">
        <v>139</v>
      </c>
      <c r="K86" s="57">
        <f>+$K$14</f>
        <v>811015</v>
      </c>
      <c r="L86" s="802"/>
      <c r="M86" s="795">
        <f>+$M$14</f>
        <v>0</v>
      </c>
      <c r="N86" s="790"/>
      <c r="O86" s="790"/>
      <c r="P86" s="793"/>
      <c r="Q86" s="796"/>
      <c r="R86" s="796"/>
      <c r="S86" s="799"/>
      <c r="T86" s="819"/>
      <c r="U86" s="801"/>
      <c r="W86" s="29"/>
      <c r="X86" s="29"/>
      <c r="Y86" s="29"/>
      <c r="Z86" s="29"/>
      <c r="AH86" s="13"/>
      <c r="AI86" s="13"/>
    </row>
    <row r="87" spans="1:35" s="330" customFormat="1" ht="24.95" customHeight="1">
      <c r="A87" s="328"/>
      <c r="B87" s="776"/>
      <c r="C87" s="779"/>
      <c r="D87" s="779"/>
      <c r="E87" s="779"/>
      <c r="F87" s="779"/>
      <c r="G87" s="782"/>
      <c r="H87" s="785"/>
      <c r="I87" s="788"/>
      <c r="J87" s="329" t="s">
        <v>228</v>
      </c>
      <c r="K87" s="57">
        <f>+$K$15</f>
        <v>841116</v>
      </c>
      <c r="L87" s="803"/>
      <c r="M87" s="797"/>
      <c r="N87" s="791"/>
      <c r="O87" s="791"/>
      <c r="P87" s="794"/>
      <c r="Q87" s="797"/>
      <c r="R87" s="797"/>
      <c r="S87" s="800"/>
      <c r="T87" s="819"/>
      <c r="U87" s="801"/>
      <c r="W87" s="29"/>
      <c r="X87" s="29"/>
      <c r="Y87" s="29"/>
      <c r="Z87" s="29"/>
    </row>
    <row r="88" spans="1:35" s="330" customFormat="1" ht="24.95" customHeight="1">
      <c r="A88" s="328"/>
      <c r="B88" s="774">
        <v>4</v>
      </c>
      <c r="C88" s="804">
        <v>52</v>
      </c>
      <c r="D88" s="804">
        <v>19</v>
      </c>
      <c r="E88" s="853" t="s">
        <v>280</v>
      </c>
      <c r="F88" s="804" t="s">
        <v>283</v>
      </c>
      <c r="G88" s="807">
        <v>422.7</v>
      </c>
      <c r="H88" s="783" t="s">
        <v>221</v>
      </c>
      <c r="I88" s="786">
        <v>1</v>
      </c>
      <c r="J88" s="329" t="s">
        <v>228</v>
      </c>
      <c r="K88" s="57">
        <f>+$K$13</f>
        <v>801016</v>
      </c>
      <c r="L88" s="329"/>
      <c r="M88" s="57">
        <f>+$M$13</f>
        <v>0</v>
      </c>
      <c r="N88" s="789" t="s">
        <v>143</v>
      </c>
      <c r="O88" s="789" t="s">
        <v>230</v>
      </c>
      <c r="P88" s="792"/>
      <c r="Q88" s="795" t="s">
        <v>145</v>
      </c>
      <c r="R88" s="795" t="s">
        <v>146</v>
      </c>
      <c r="S88" s="798">
        <f t="shared" ref="S88" si="40">IF(COUNTIF(J88:K90,"CUMPLE")&gt;=1,(G88*I88),0)* (IF(N88="PRESENTÓ CERTIFICADO",1,0))* (IF(O88="ACORDE A ITEM 6.2.2.1 (T.R.)",1,0) )* ( IF(OR(Q88="SIN OBSERVACIÓN", Q88="REQUERIMIENTOS SUBSANADOS"),1,0)) *(IF(OR(R88="NINGUNO", R88="CUMPLEN CON LO SOLICITADO"),1,0))</f>
        <v>422.7</v>
      </c>
      <c r="T88" s="819"/>
      <c r="U88" s="801">
        <f t="shared" si="37"/>
        <v>1</v>
      </c>
      <c r="W88" s="29"/>
      <c r="X88" s="29"/>
      <c r="Y88" s="29"/>
      <c r="Z88" s="29"/>
      <c r="AA88" s="13"/>
      <c r="AB88" s="13"/>
      <c r="AC88" s="13"/>
      <c r="AD88" s="13"/>
      <c r="AE88" s="13"/>
      <c r="AF88" s="13"/>
      <c r="AG88" s="13"/>
    </row>
    <row r="89" spans="1:35" s="330" customFormat="1" ht="24.95" customHeight="1">
      <c r="A89" s="328"/>
      <c r="B89" s="775"/>
      <c r="C89" s="805"/>
      <c r="D89" s="805"/>
      <c r="E89" s="805"/>
      <c r="F89" s="805"/>
      <c r="G89" s="808"/>
      <c r="H89" s="784"/>
      <c r="I89" s="787"/>
      <c r="J89" s="329" t="s">
        <v>139</v>
      </c>
      <c r="K89" s="57">
        <f>+$K$14</f>
        <v>811015</v>
      </c>
      <c r="L89" s="802"/>
      <c r="M89" s="795">
        <f>+$M$14</f>
        <v>0</v>
      </c>
      <c r="N89" s="790"/>
      <c r="O89" s="790"/>
      <c r="P89" s="793"/>
      <c r="Q89" s="796"/>
      <c r="R89" s="796"/>
      <c r="S89" s="799"/>
      <c r="T89" s="819"/>
      <c r="U89" s="801"/>
      <c r="W89" s="29"/>
      <c r="X89" s="29"/>
      <c r="Y89" s="29"/>
      <c r="Z89" s="29"/>
      <c r="AA89" s="13"/>
      <c r="AB89" s="13"/>
      <c r="AC89" s="13"/>
      <c r="AD89" s="13"/>
      <c r="AE89" s="13"/>
      <c r="AF89" s="13"/>
      <c r="AG89" s="13"/>
    </row>
    <row r="90" spans="1:35" s="330" customFormat="1" ht="24.95" customHeight="1">
      <c r="A90" s="328"/>
      <c r="B90" s="776"/>
      <c r="C90" s="806"/>
      <c r="D90" s="806"/>
      <c r="E90" s="806"/>
      <c r="F90" s="806"/>
      <c r="G90" s="809"/>
      <c r="H90" s="785"/>
      <c r="I90" s="788"/>
      <c r="J90" s="329" t="s">
        <v>228</v>
      </c>
      <c r="K90" s="57">
        <f>+$K$15</f>
        <v>841116</v>
      </c>
      <c r="L90" s="803"/>
      <c r="M90" s="797"/>
      <c r="N90" s="791"/>
      <c r="O90" s="791"/>
      <c r="P90" s="794"/>
      <c r="Q90" s="797"/>
      <c r="R90" s="797"/>
      <c r="S90" s="800"/>
      <c r="T90" s="819"/>
      <c r="U90" s="801"/>
      <c r="W90" s="29"/>
      <c r="X90" s="29"/>
      <c r="Y90" s="29"/>
      <c r="Z90" s="29"/>
      <c r="AA90" s="29"/>
      <c r="AB90" s="29"/>
      <c r="AC90" s="29"/>
      <c r="AD90" s="331"/>
      <c r="AE90" s="331"/>
      <c r="AF90" s="331"/>
      <c r="AG90" s="331"/>
    </row>
    <row r="91" spans="1:35" s="330" customFormat="1" ht="24.95" customHeight="1">
      <c r="A91" s="328"/>
      <c r="B91" s="774">
        <v>5</v>
      </c>
      <c r="C91" s="777">
        <v>56</v>
      </c>
      <c r="D91" s="777">
        <v>20</v>
      </c>
      <c r="E91" s="777"/>
      <c r="F91" s="777" t="s">
        <v>284</v>
      </c>
      <c r="G91" s="780">
        <v>408.15</v>
      </c>
      <c r="H91" s="783" t="s">
        <v>221</v>
      </c>
      <c r="I91" s="786">
        <v>1</v>
      </c>
      <c r="J91" s="329" t="s">
        <v>228</v>
      </c>
      <c r="K91" s="57">
        <f>+$K$13</f>
        <v>801016</v>
      </c>
      <c r="L91" s="329"/>
      <c r="M91" s="57">
        <f>+$M$13</f>
        <v>0</v>
      </c>
      <c r="N91" s="789" t="s">
        <v>143</v>
      </c>
      <c r="O91" s="789" t="s">
        <v>302</v>
      </c>
      <c r="P91" s="792"/>
      <c r="Q91" s="795" t="s">
        <v>145</v>
      </c>
      <c r="R91" s="795" t="s">
        <v>146</v>
      </c>
      <c r="S91" s="798">
        <f>+G91</f>
        <v>408.15</v>
      </c>
      <c r="T91" s="819"/>
      <c r="U91" s="801">
        <f t="shared" si="37"/>
        <v>1</v>
      </c>
      <c r="W91" s="29"/>
      <c r="X91" s="29"/>
      <c r="Y91" s="29"/>
      <c r="Z91" s="29"/>
      <c r="AA91" s="29"/>
      <c r="AB91" s="29"/>
      <c r="AC91" s="29"/>
      <c r="AD91" s="331"/>
      <c r="AE91" s="331"/>
      <c r="AF91" s="331"/>
      <c r="AG91" s="331"/>
    </row>
    <row r="92" spans="1:35" s="330" customFormat="1" ht="24.95" customHeight="1">
      <c r="A92" s="328"/>
      <c r="B92" s="775"/>
      <c r="C92" s="778"/>
      <c r="D92" s="778"/>
      <c r="E92" s="778"/>
      <c r="F92" s="778"/>
      <c r="G92" s="781"/>
      <c r="H92" s="784"/>
      <c r="I92" s="787"/>
      <c r="J92" s="329" t="s">
        <v>139</v>
      </c>
      <c r="K92" s="57">
        <f>+$K$14</f>
        <v>811015</v>
      </c>
      <c r="L92" s="802"/>
      <c r="M92" s="795">
        <f>+$M$14</f>
        <v>0</v>
      </c>
      <c r="N92" s="790"/>
      <c r="O92" s="790"/>
      <c r="P92" s="793"/>
      <c r="Q92" s="796"/>
      <c r="R92" s="796"/>
      <c r="S92" s="799"/>
      <c r="T92" s="819"/>
      <c r="U92" s="801"/>
      <c r="W92" s="29"/>
      <c r="X92" s="29"/>
      <c r="Y92" s="29"/>
      <c r="Z92" s="29"/>
      <c r="AA92" s="29"/>
      <c r="AB92" s="29"/>
      <c r="AC92" s="29"/>
    </row>
    <row r="93" spans="1:35" s="330" customFormat="1" ht="24.95" customHeight="1">
      <c r="A93" s="328"/>
      <c r="B93" s="776"/>
      <c r="C93" s="779"/>
      <c r="D93" s="779"/>
      <c r="E93" s="779"/>
      <c r="F93" s="779"/>
      <c r="G93" s="782"/>
      <c r="H93" s="785"/>
      <c r="I93" s="788"/>
      <c r="J93" s="329" t="s">
        <v>228</v>
      </c>
      <c r="K93" s="57">
        <f>+$K$15</f>
        <v>841116</v>
      </c>
      <c r="L93" s="803"/>
      <c r="M93" s="797"/>
      <c r="N93" s="791"/>
      <c r="O93" s="791"/>
      <c r="P93" s="794"/>
      <c r="Q93" s="797"/>
      <c r="R93" s="797"/>
      <c r="S93" s="800"/>
      <c r="T93" s="820"/>
      <c r="U93" s="801"/>
      <c r="W93" s="29"/>
      <c r="X93" s="29"/>
      <c r="Y93" s="29"/>
      <c r="Z93" s="29"/>
      <c r="AA93" s="29"/>
      <c r="AB93" s="29"/>
      <c r="AC93" s="29"/>
    </row>
    <row r="94" spans="1:35" ht="24.95" customHeight="1">
      <c r="A94" s="13"/>
      <c r="B94" s="763" t="str">
        <f>IF(S95=" "," ",IF(S95&gt;=$H$6,"CUMPLE CON LA EXPERIENCIA REQUERIDA","NO CUMPLE CON LA EXPERIENCIA REQUERIDA"))</f>
        <v>CUMPLE CON LA EXPERIENCIA REQUERIDA</v>
      </c>
      <c r="C94" s="764"/>
      <c r="D94" s="764"/>
      <c r="E94" s="764"/>
      <c r="F94" s="764"/>
      <c r="G94" s="764"/>
      <c r="H94" s="764"/>
      <c r="I94" s="764"/>
      <c r="J94" s="764"/>
      <c r="K94" s="764"/>
      <c r="L94" s="764"/>
      <c r="M94" s="764"/>
      <c r="N94" s="764"/>
      <c r="O94" s="765"/>
      <c r="P94" s="769" t="s">
        <v>45</v>
      </c>
      <c r="Q94" s="770"/>
      <c r="R94" s="771"/>
      <c r="S94" s="333">
        <f>IF(T79="SI",SUM(S79:S93),0)</f>
        <v>5239.53</v>
      </c>
      <c r="T94" s="772" t="str">
        <f>IF(S95=" "," ",IF(S95&gt;=$H$6,"CUMPLE","NO CUMPLE"))</f>
        <v>CUMPLE</v>
      </c>
      <c r="AA94" s="29"/>
      <c r="AB94" s="29"/>
      <c r="AC94" s="29"/>
      <c r="AD94" s="330"/>
      <c r="AE94" s="330"/>
      <c r="AF94" s="330"/>
      <c r="AG94" s="330"/>
      <c r="AH94" s="330"/>
    </row>
    <row r="95" spans="1:35" s="330" customFormat="1" ht="24.95" customHeight="1">
      <c r="B95" s="766"/>
      <c r="C95" s="767"/>
      <c r="D95" s="767"/>
      <c r="E95" s="767"/>
      <c r="F95" s="767"/>
      <c r="G95" s="767"/>
      <c r="H95" s="767"/>
      <c r="I95" s="767"/>
      <c r="J95" s="767"/>
      <c r="K95" s="767"/>
      <c r="L95" s="767"/>
      <c r="M95" s="767"/>
      <c r="N95" s="767"/>
      <c r="O95" s="768"/>
      <c r="P95" s="769" t="s">
        <v>46</v>
      </c>
      <c r="Q95" s="770"/>
      <c r="R95" s="771"/>
      <c r="S95" s="333">
        <f>IFERROR((S94/$P$6)," ")</f>
        <v>3.8412976539589443</v>
      </c>
      <c r="T95" s="773"/>
      <c r="W95" s="29"/>
      <c r="X95" s="29"/>
      <c r="Y95" s="29"/>
      <c r="Z95" s="29"/>
      <c r="AA95" s="29"/>
      <c r="AB95" s="29"/>
      <c r="AC95" s="29"/>
    </row>
    <row r="96" spans="1:35" ht="30" customHeight="1">
      <c r="AA96" s="29"/>
      <c r="AB96" s="29"/>
      <c r="AC96" s="29"/>
      <c r="AD96" s="330"/>
      <c r="AE96" s="330"/>
      <c r="AF96" s="330"/>
      <c r="AG96" s="330"/>
    </row>
    <row r="97" spans="1:35" ht="30" customHeight="1">
      <c r="AA97" s="29"/>
      <c r="AB97" s="29"/>
      <c r="AC97" s="29"/>
      <c r="AD97" s="330"/>
      <c r="AE97" s="330"/>
      <c r="AF97" s="330"/>
      <c r="AG97" s="330"/>
      <c r="AH97" s="330"/>
    </row>
    <row r="98" spans="1:35" ht="63.75" hidden="1" customHeight="1">
      <c r="B98" s="301">
        <v>5</v>
      </c>
      <c r="C98" s="821" t="s">
        <v>24</v>
      </c>
      <c r="D98" s="822"/>
      <c r="E98" s="823"/>
      <c r="F98" s="824">
        <f>IFERROR(VLOOKUP(B98,LISTA_OFERENTES,2,FALSE)," ")</f>
        <v>0</v>
      </c>
      <c r="G98" s="825"/>
      <c r="H98" s="825"/>
      <c r="I98" s="825"/>
      <c r="J98" s="825"/>
      <c r="K98" s="825"/>
      <c r="L98" s="825"/>
      <c r="M98" s="825"/>
      <c r="N98" s="825"/>
      <c r="O98" s="826"/>
      <c r="P98" s="827" t="s">
        <v>25</v>
      </c>
      <c r="Q98" s="828"/>
      <c r="R98" s="829"/>
      <c r="S98" s="321">
        <f>5-(INT(COUNTBLANK(C101:C115))-10)</f>
        <v>0</v>
      </c>
      <c r="AA98" s="29"/>
      <c r="AB98" s="29"/>
      <c r="AC98" s="29"/>
      <c r="AD98" s="330"/>
      <c r="AE98" s="330"/>
      <c r="AF98" s="330"/>
      <c r="AG98" s="330"/>
    </row>
    <row r="99" spans="1:35" s="331" customFormat="1" ht="30" hidden="1" customHeight="1">
      <c r="B99" s="830" t="s">
        <v>26</v>
      </c>
      <c r="C99" s="813" t="s">
        <v>27</v>
      </c>
      <c r="D99" s="813" t="s">
        <v>28</v>
      </c>
      <c r="E99" s="813" t="s">
        <v>29</v>
      </c>
      <c r="F99" s="813" t="s">
        <v>30</v>
      </c>
      <c r="G99" s="813" t="s">
        <v>31</v>
      </c>
      <c r="H99" s="813" t="s">
        <v>32</v>
      </c>
      <c r="I99" s="813" t="s">
        <v>33</v>
      </c>
      <c r="J99" s="832" t="s">
        <v>34</v>
      </c>
      <c r="K99" s="833"/>
      <c r="L99" s="833"/>
      <c r="M99" s="834"/>
      <c r="N99" s="813" t="s">
        <v>35</v>
      </c>
      <c r="O99" s="813" t="s">
        <v>36</v>
      </c>
      <c r="P99" s="832" t="s">
        <v>37</v>
      </c>
      <c r="Q99" s="834"/>
      <c r="R99" s="813" t="s">
        <v>38</v>
      </c>
      <c r="S99" s="813" t="s">
        <v>39</v>
      </c>
      <c r="T99" s="813" t="str">
        <f>+$T$11</f>
        <v>Haber ejecutado contratos en COLOMBIA o en el EXTERIOR que dentro de su objeto o alcance incluyan:
Interventoría a obras de Construcción de edificaciones de los grupos de uso I, II, III o IV, conforme al
título A de la NSR-10.
Obligatorio estar en 811015</v>
      </c>
      <c r="U99" s="813" t="str">
        <f>+$U$11</f>
        <v xml:space="preserve">VERIFICACIÓN CONDICIÓN DE EXPERIENCIA  </v>
      </c>
      <c r="V99" s="334"/>
      <c r="W99" s="29"/>
      <c r="X99" s="29"/>
      <c r="Y99" s="29"/>
      <c r="Z99" s="29"/>
      <c r="AA99" s="29"/>
      <c r="AB99" s="29"/>
      <c r="AC99" s="29"/>
      <c r="AD99" s="330"/>
      <c r="AE99" s="330"/>
      <c r="AF99" s="330"/>
      <c r="AG99" s="330"/>
      <c r="AH99" s="13"/>
    </row>
    <row r="100" spans="1:35" s="331" customFormat="1" ht="90.75" hidden="1" customHeight="1">
      <c r="B100" s="831"/>
      <c r="C100" s="814"/>
      <c r="D100" s="814"/>
      <c r="E100" s="814"/>
      <c r="F100" s="814"/>
      <c r="G100" s="814"/>
      <c r="H100" s="814"/>
      <c r="I100" s="814"/>
      <c r="J100" s="815" t="s">
        <v>42</v>
      </c>
      <c r="K100" s="816"/>
      <c r="L100" s="816"/>
      <c r="M100" s="817"/>
      <c r="N100" s="814"/>
      <c r="O100" s="814"/>
      <c r="P100" s="323" t="s">
        <v>10</v>
      </c>
      <c r="Q100" s="323" t="s">
        <v>43</v>
      </c>
      <c r="R100" s="814"/>
      <c r="S100" s="814"/>
      <c r="T100" s="814"/>
      <c r="U100" s="814"/>
      <c r="V100" s="334"/>
      <c r="W100" s="29"/>
      <c r="X100" s="29"/>
      <c r="Y100" s="29"/>
      <c r="Z100" s="29"/>
      <c r="AA100" s="29"/>
      <c r="AB100" s="29"/>
      <c r="AC100" s="29"/>
      <c r="AD100" s="330"/>
      <c r="AE100" s="330"/>
      <c r="AF100" s="330"/>
      <c r="AG100" s="330"/>
      <c r="AH100" s="13"/>
    </row>
    <row r="101" spans="1:35" s="330" customFormat="1" ht="35.1" hidden="1" customHeight="1">
      <c r="A101" s="328"/>
      <c r="B101" s="774">
        <v>1</v>
      </c>
      <c r="C101" s="777"/>
      <c r="D101" s="777"/>
      <c r="E101" s="777"/>
      <c r="F101" s="777"/>
      <c r="G101" s="780"/>
      <c r="H101" s="783"/>
      <c r="I101" s="786"/>
      <c r="J101" s="329"/>
      <c r="K101" s="57">
        <f>+$K$13</f>
        <v>801016</v>
      </c>
      <c r="L101" s="329"/>
      <c r="M101" s="57">
        <f>+$M$13</f>
        <v>0</v>
      </c>
      <c r="N101" s="789"/>
      <c r="O101" s="789"/>
      <c r="P101" s="792"/>
      <c r="Q101" s="795"/>
      <c r="R101" s="795"/>
      <c r="S101" s="798">
        <f>IF(COUNTIF(J101:K103,"CUMPLE")&gt;=1,(G101*I101),0)* (IF(N101="PRESENTÓ CERTIFICADO",1,0))* (IF(O101="ACORDE A ITEM 5.2.2 (T.R.)",1,0) )* ( IF(OR(Q101="SIN OBSERVACIÓN", Q101="REQUERIMIENTOS SUBSANADOS"),1,0)) *(IF(OR(R101="NINGUNO", R101="CUMPLEN CON LO SOLICITADO"),1,0))</f>
        <v>0</v>
      </c>
      <c r="T101" s="818"/>
      <c r="U101" s="801">
        <f t="shared" ref="U101:U113" si="41">IF(COUNTIF(J101:K103,"CUMPLE")&gt;=1,1,0)</f>
        <v>0</v>
      </c>
      <c r="W101" s="29"/>
      <c r="X101" s="29"/>
      <c r="Y101" s="29"/>
      <c r="Z101" s="29"/>
      <c r="AD101" s="13"/>
      <c r="AE101" s="13"/>
      <c r="AF101" s="13"/>
      <c r="AG101" s="13"/>
      <c r="AH101" s="13"/>
      <c r="AI101" s="13"/>
    </row>
    <row r="102" spans="1:35" s="330" customFormat="1" ht="35.1" hidden="1" customHeight="1">
      <c r="A102" s="328"/>
      <c r="B102" s="775"/>
      <c r="C102" s="778"/>
      <c r="D102" s="778"/>
      <c r="E102" s="778"/>
      <c r="F102" s="778"/>
      <c r="G102" s="781"/>
      <c r="H102" s="784"/>
      <c r="I102" s="787"/>
      <c r="J102" s="329"/>
      <c r="K102" s="57">
        <f>+$K$14</f>
        <v>811015</v>
      </c>
      <c r="L102" s="802"/>
      <c r="M102" s="795">
        <f>+$M$14</f>
        <v>0</v>
      </c>
      <c r="N102" s="790"/>
      <c r="O102" s="790"/>
      <c r="P102" s="793"/>
      <c r="Q102" s="796"/>
      <c r="R102" s="796"/>
      <c r="S102" s="799"/>
      <c r="T102" s="819"/>
      <c r="U102" s="801"/>
      <c r="W102" s="29"/>
      <c r="X102" s="29"/>
      <c r="Y102" s="29"/>
      <c r="Z102" s="29"/>
      <c r="AD102" s="13"/>
      <c r="AE102" s="13"/>
      <c r="AF102" s="13"/>
      <c r="AG102" s="13"/>
      <c r="AH102" s="13"/>
      <c r="AI102" s="13"/>
    </row>
    <row r="103" spans="1:35" s="330" customFormat="1" ht="35.1" hidden="1" customHeight="1">
      <c r="A103" s="328"/>
      <c r="B103" s="776"/>
      <c r="C103" s="779"/>
      <c r="D103" s="779"/>
      <c r="E103" s="779"/>
      <c r="F103" s="779"/>
      <c r="G103" s="782"/>
      <c r="H103" s="785"/>
      <c r="I103" s="788"/>
      <c r="J103" s="329"/>
      <c r="K103" s="57">
        <f>+$K$15</f>
        <v>841116</v>
      </c>
      <c r="L103" s="803"/>
      <c r="M103" s="797"/>
      <c r="N103" s="791"/>
      <c r="O103" s="791"/>
      <c r="P103" s="794"/>
      <c r="Q103" s="797"/>
      <c r="R103" s="797"/>
      <c r="S103" s="800"/>
      <c r="T103" s="819"/>
      <c r="U103" s="801"/>
      <c r="W103" s="29"/>
      <c r="X103" s="29"/>
      <c r="Y103" s="29"/>
      <c r="Z103" s="29"/>
      <c r="AD103" s="13"/>
      <c r="AE103" s="13"/>
      <c r="AF103" s="13"/>
      <c r="AG103" s="13"/>
      <c r="AH103" s="13"/>
      <c r="AI103" s="13"/>
    </row>
    <row r="104" spans="1:35" s="330" customFormat="1" ht="32.25" hidden="1" customHeight="1">
      <c r="A104" s="328"/>
      <c r="B104" s="774">
        <v>2</v>
      </c>
      <c r="C104" s="804"/>
      <c r="D104" s="804"/>
      <c r="E104" s="804"/>
      <c r="F104" s="804"/>
      <c r="G104" s="807"/>
      <c r="H104" s="783"/>
      <c r="I104" s="786"/>
      <c r="J104" s="329"/>
      <c r="K104" s="57">
        <f>+$K$13</f>
        <v>801016</v>
      </c>
      <c r="L104" s="329"/>
      <c r="M104" s="57">
        <f>+$M$13</f>
        <v>0</v>
      </c>
      <c r="N104" s="789"/>
      <c r="O104" s="789"/>
      <c r="P104" s="792"/>
      <c r="Q104" s="795"/>
      <c r="R104" s="795"/>
      <c r="S104" s="798">
        <f>IF(COUNTIF(J104:K106,"CUMPLE")&gt;=1,(G104*I104),0)* (IF(N104="PRESENTÓ CERTIFICADO",1,0))* (IF(O104="ACORDE A ITEM 5.2.2 (T.R.)",1,0) )* ( IF(OR(Q104="SIN OBSERVACIÓN", Q104="REQUERIMIENTOS SUBSANADOS"),1,0)) *(IF(OR(R104="NINGUNO", R104="CUMPLEN CON LO SOLICITADO"),1,0))</f>
        <v>0</v>
      </c>
      <c r="T104" s="819"/>
      <c r="U104" s="801">
        <f t="shared" si="41"/>
        <v>0</v>
      </c>
      <c r="W104" s="29"/>
      <c r="X104" s="29"/>
      <c r="Y104" s="29"/>
      <c r="Z104" s="29"/>
      <c r="AD104" s="13"/>
      <c r="AE104" s="13"/>
      <c r="AF104" s="13"/>
      <c r="AG104" s="13"/>
      <c r="AH104" s="13"/>
      <c r="AI104" s="13"/>
    </row>
    <row r="105" spans="1:35" s="330" customFormat="1" ht="30.75" hidden="1" customHeight="1">
      <c r="A105" s="328"/>
      <c r="B105" s="775"/>
      <c r="C105" s="805"/>
      <c r="D105" s="805"/>
      <c r="E105" s="805"/>
      <c r="F105" s="805"/>
      <c r="G105" s="808"/>
      <c r="H105" s="784"/>
      <c r="I105" s="787"/>
      <c r="J105" s="329"/>
      <c r="K105" s="57">
        <f>+$K$14</f>
        <v>811015</v>
      </c>
      <c r="L105" s="802"/>
      <c r="M105" s="795">
        <f>+$M$14</f>
        <v>0</v>
      </c>
      <c r="N105" s="790"/>
      <c r="O105" s="790"/>
      <c r="P105" s="793"/>
      <c r="Q105" s="796"/>
      <c r="R105" s="796"/>
      <c r="S105" s="799"/>
      <c r="T105" s="819"/>
      <c r="U105" s="801"/>
      <c r="W105" s="29"/>
      <c r="X105" s="29"/>
      <c r="Y105" s="29"/>
      <c r="Z105" s="29"/>
      <c r="AD105" s="13"/>
      <c r="AE105" s="13"/>
      <c r="AF105" s="13"/>
      <c r="AG105" s="13"/>
      <c r="AH105" s="13"/>
      <c r="AI105" s="13"/>
    </row>
    <row r="106" spans="1:35" s="330" customFormat="1" ht="35.1" hidden="1" customHeight="1">
      <c r="A106" s="328"/>
      <c r="B106" s="776"/>
      <c r="C106" s="806"/>
      <c r="D106" s="806"/>
      <c r="E106" s="806"/>
      <c r="F106" s="806"/>
      <c r="G106" s="809"/>
      <c r="H106" s="785"/>
      <c r="I106" s="788"/>
      <c r="J106" s="329"/>
      <c r="K106" s="57">
        <f>+$K$15</f>
        <v>841116</v>
      </c>
      <c r="L106" s="803"/>
      <c r="M106" s="797"/>
      <c r="N106" s="791"/>
      <c r="O106" s="791"/>
      <c r="P106" s="794"/>
      <c r="Q106" s="797"/>
      <c r="R106" s="797"/>
      <c r="S106" s="800"/>
      <c r="T106" s="819"/>
      <c r="U106" s="801"/>
      <c r="W106" s="29"/>
      <c r="X106" s="29"/>
      <c r="Y106" s="29"/>
      <c r="Z106" s="29"/>
      <c r="AD106" s="13"/>
      <c r="AE106" s="13"/>
      <c r="AF106" s="13"/>
      <c r="AG106" s="13"/>
      <c r="AH106" s="13"/>
      <c r="AI106" s="13"/>
    </row>
    <row r="107" spans="1:35" s="330" customFormat="1" ht="24.95" hidden="1" customHeight="1">
      <c r="A107" s="328"/>
      <c r="B107" s="774">
        <v>3</v>
      </c>
      <c r="C107" s="777"/>
      <c r="D107" s="777"/>
      <c r="E107" s="777"/>
      <c r="F107" s="777"/>
      <c r="G107" s="780"/>
      <c r="H107" s="783"/>
      <c r="I107" s="786"/>
      <c r="J107" s="329"/>
      <c r="K107" s="57">
        <f>+$K$13</f>
        <v>801016</v>
      </c>
      <c r="L107" s="329"/>
      <c r="M107" s="57">
        <f>+$M$13</f>
        <v>0</v>
      </c>
      <c r="N107" s="789"/>
      <c r="O107" s="789"/>
      <c r="P107" s="792"/>
      <c r="Q107" s="795"/>
      <c r="R107" s="795"/>
      <c r="S107" s="798">
        <f>IF(COUNTIF(J107:K109,"CUMPLE")&gt;=1,(G107*I107),0)* (IF(N107="PRESENTÓ CERTIFICADO",1,0))* (IF(O107="ACORDE A ITEM 5.2.2 (T.R.)",1,0) )* ( IF(OR(Q107="SIN OBSERVACIÓN", Q107="REQUERIMIENTOS SUBSANADOS"),1,0)) *(IF(OR(R107="NINGUNO", R107="CUMPLEN CON LO SOLICITADO"),1,0))</f>
        <v>0</v>
      </c>
      <c r="T107" s="819"/>
      <c r="U107" s="801">
        <f t="shared" si="41"/>
        <v>0</v>
      </c>
      <c r="W107" s="29"/>
      <c r="X107" s="29"/>
      <c r="Y107" s="29"/>
      <c r="Z107" s="29"/>
      <c r="AA107" s="13"/>
      <c r="AB107" s="13"/>
      <c r="AC107" s="13"/>
      <c r="AD107" s="13"/>
      <c r="AE107" s="13"/>
      <c r="AF107" s="13"/>
      <c r="AG107" s="13"/>
      <c r="AH107" s="13"/>
      <c r="AI107" s="13"/>
    </row>
    <row r="108" spans="1:35" s="330" customFormat="1" ht="24.95" hidden="1" customHeight="1">
      <c r="A108" s="328"/>
      <c r="B108" s="775"/>
      <c r="C108" s="778"/>
      <c r="D108" s="778"/>
      <c r="E108" s="778"/>
      <c r="F108" s="778"/>
      <c r="G108" s="781"/>
      <c r="H108" s="784"/>
      <c r="I108" s="787"/>
      <c r="J108" s="329"/>
      <c r="K108" s="57">
        <f>+$K$14</f>
        <v>811015</v>
      </c>
      <c r="L108" s="802"/>
      <c r="M108" s="795">
        <f>+$M$14</f>
        <v>0</v>
      </c>
      <c r="N108" s="790"/>
      <c r="O108" s="790"/>
      <c r="P108" s="793"/>
      <c r="Q108" s="796"/>
      <c r="R108" s="796"/>
      <c r="S108" s="799"/>
      <c r="T108" s="819"/>
      <c r="U108" s="801"/>
      <c r="W108" s="29"/>
      <c r="X108" s="29"/>
      <c r="Y108" s="29"/>
      <c r="Z108" s="29"/>
      <c r="AH108" s="13"/>
      <c r="AI108" s="13"/>
    </row>
    <row r="109" spans="1:35" s="330" customFormat="1" ht="24.95" hidden="1" customHeight="1">
      <c r="A109" s="328"/>
      <c r="B109" s="776"/>
      <c r="C109" s="779"/>
      <c r="D109" s="779"/>
      <c r="E109" s="779"/>
      <c r="F109" s="779"/>
      <c r="G109" s="782"/>
      <c r="H109" s="785"/>
      <c r="I109" s="788"/>
      <c r="J109" s="329"/>
      <c r="K109" s="57">
        <f>+$K$15</f>
        <v>841116</v>
      </c>
      <c r="L109" s="803"/>
      <c r="M109" s="797"/>
      <c r="N109" s="791"/>
      <c r="O109" s="791"/>
      <c r="P109" s="794"/>
      <c r="Q109" s="797"/>
      <c r="R109" s="797"/>
      <c r="S109" s="800"/>
      <c r="T109" s="819"/>
      <c r="U109" s="801"/>
      <c r="W109" s="29"/>
      <c r="X109" s="29"/>
      <c r="Y109" s="29"/>
      <c r="Z109" s="29"/>
    </row>
    <row r="110" spans="1:35" s="330" customFormat="1" ht="30" hidden="1" customHeight="1">
      <c r="A110" s="328"/>
      <c r="B110" s="774">
        <v>4</v>
      </c>
      <c r="C110" s="804"/>
      <c r="D110" s="804"/>
      <c r="E110" s="804"/>
      <c r="F110" s="804"/>
      <c r="G110" s="807"/>
      <c r="H110" s="783"/>
      <c r="I110" s="810"/>
      <c r="J110" s="329"/>
      <c r="K110" s="57">
        <f>+$K$13</f>
        <v>801016</v>
      </c>
      <c r="L110" s="329"/>
      <c r="M110" s="57">
        <f>+$M$13</f>
        <v>0</v>
      </c>
      <c r="N110" s="789"/>
      <c r="O110" s="789"/>
      <c r="P110" s="792"/>
      <c r="Q110" s="795"/>
      <c r="R110" s="795"/>
      <c r="S110" s="798">
        <f>IF(COUNTIF(J110:K112,"CUMPLE")&gt;=1,(G110*I110),0)* (IF(N110="PRESENTÓ CERTIFICADO",1,0))* (IF(O110="ACORDE A ITEM 5.2.2 (T.R.)",1,0) )* ( IF(OR(Q110="SIN OBSERVACIÓN", Q110="REQUERIMIENTOS SUBSANADOS"),1,0)) *(IF(OR(R110="NINGUNO", R110="CUMPLEN CON LO SOLICITADO"),1,0))</f>
        <v>0</v>
      </c>
      <c r="T110" s="819"/>
      <c r="U110" s="801">
        <f t="shared" si="41"/>
        <v>0</v>
      </c>
      <c r="W110" s="29"/>
      <c r="X110" s="29"/>
      <c r="Y110" s="29"/>
      <c r="Z110" s="29"/>
      <c r="AA110" s="13"/>
      <c r="AB110" s="13"/>
      <c r="AC110" s="13"/>
      <c r="AD110" s="13"/>
      <c r="AE110" s="13"/>
      <c r="AF110" s="13"/>
      <c r="AG110" s="13"/>
    </row>
    <row r="111" spans="1:35" s="330" customFormat="1" ht="35.1" hidden="1" customHeight="1">
      <c r="A111" s="328"/>
      <c r="B111" s="775"/>
      <c r="C111" s="805"/>
      <c r="D111" s="805"/>
      <c r="E111" s="805"/>
      <c r="F111" s="805"/>
      <c r="G111" s="808"/>
      <c r="H111" s="784"/>
      <c r="I111" s="811"/>
      <c r="J111" s="329"/>
      <c r="K111" s="57">
        <f>+$K$14</f>
        <v>811015</v>
      </c>
      <c r="L111" s="802"/>
      <c r="M111" s="795">
        <f>+$M$14</f>
        <v>0</v>
      </c>
      <c r="N111" s="790"/>
      <c r="O111" s="790"/>
      <c r="P111" s="793"/>
      <c r="Q111" s="796"/>
      <c r="R111" s="796"/>
      <c r="S111" s="799"/>
      <c r="T111" s="819"/>
      <c r="U111" s="801"/>
      <c r="W111" s="29"/>
      <c r="X111" s="29"/>
      <c r="Y111" s="29"/>
      <c r="Z111" s="29"/>
      <c r="AA111" s="13"/>
      <c r="AB111" s="13"/>
      <c r="AC111" s="13"/>
      <c r="AD111" s="13"/>
      <c r="AE111" s="13"/>
      <c r="AF111" s="13"/>
      <c r="AG111" s="13"/>
    </row>
    <row r="112" spans="1:35" s="330" customFormat="1" ht="35.1" hidden="1" customHeight="1">
      <c r="A112" s="328"/>
      <c r="B112" s="776"/>
      <c r="C112" s="806"/>
      <c r="D112" s="806"/>
      <c r="E112" s="806"/>
      <c r="F112" s="806"/>
      <c r="G112" s="809"/>
      <c r="H112" s="785"/>
      <c r="I112" s="812"/>
      <c r="J112" s="329"/>
      <c r="K112" s="57">
        <f>+$K$15</f>
        <v>841116</v>
      </c>
      <c r="L112" s="803"/>
      <c r="M112" s="797"/>
      <c r="N112" s="791"/>
      <c r="O112" s="791"/>
      <c r="P112" s="794"/>
      <c r="Q112" s="797"/>
      <c r="R112" s="797"/>
      <c r="S112" s="800"/>
      <c r="T112" s="819"/>
      <c r="U112" s="801"/>
      <c r="W112" s="29"/>
      <c r="X112" s="29"/>
      <c r="Y112" s="29"/>
      <c r="Z112" s="29"/>
      <c r="AA112" s="29"/>
      <c r="AB112" s="29"/>
      <c r="AC112" s="29"/>
      <c r="AD112" s="331"/>
      <c r="AE112" s="331"/>
      <c r="AF112" s="331"/>
      <c r="AG112" s="331"/>
    </row>
    <row r="113" spans="1:35" s="330" customFormat="1" ht="24.95" hidden="1" customHeight="1">
      <c r="A113" s="328"/>
      <c r="B113" s="774">
        <v>5</v>
      </c>
      <c r="C113" s="777"/>
      <c r="D113" s="777"/>
      <c r="E113" s="777"/>
      <c r="F113" s="777"/>
      <c r="G113" s="780"/>
      <c r="H113" s="783"/>
      <c r="I113" s="786"/>
      <c r="J113" s="329"/>
      <c r="K113" s="57">
        <f>+$K$13</f>
        <v>801016</v>
      </c>
      <c r="L113" s="329"/>
      <c r="M113" s="57">
        <f>+$M$13</f>
        <v>0</v>
      </c>
      <c r="N113" s="789"/>
      <c r="O113" s="789"/>
      <c r="P113" s="792"/>
      <c r="Q113" s="795"/>
      <c r="R113" s="795"/>
      <c r="S113" s="798">
        <f>IF(COUNTIF(J113:K115,"CUMPLE")&gt;=1,(G113*I113),0)* (IF(N113="PRESENTÓ CERTIFICADO",1,0))* (IF(O113="ACORDE A ITEM 5.2.2 (T.R.)",1,0) )* ( IF(OR(Q113="SIN OBSERVACIÓN", Q113="REQUERIMIENTOS SUBSANADOS"),1,0)) *(IF(OR(R113="NINGUNO", R113="CUMPLEN CON LO SOLICITADO"),1,0))</f>
        <v>0</v>
      </c>
      <c r="T113" s="819"/>
      <c r="U113" s="801">
        <f t="shared" si="41"/>
        <v>0</v>
      </c>
      <c r="W113" s="29"/>
      <c r="X113" s="29"/>
      <c r="Y113" s="29"/>
      <c r="Z113" s="29"/>
      <c r="AA113" s="29"/>
      <c r="AB113" s="29"/>
      <c r="AC113" s="29"/>
      <c r="AD113" s="331"/>
      <c r="AE113" s="331"/>
      <c r="AF113" s="331"/>
      <c r="AG113" s="331"/>
    </row>
    <row r="114" spans="1:35" s="330" customFormat="1" ht="24.95" hidden="1" customHeight="1">
      <c r="A114" s="328"/>
      <c r="B114" s="775"/>
      <c r="C114" s="778"/>
      <c r="D114" s="778"/>
      <c r="E114" s="778"/>
      <c r="F114" s="778"/>
      <c r="G114" s="781"/>
      <c r="H114" s="784"/>
      <c r="I114" s="787"/>
      <c r="J114" s="329"/>
      <c r="K114" s="57">
        <f>+$K$14</f>
        <v>811015</v>
      </c>
      <c r="L114" s="802"/>
      <c r="M114" s="795">
        <f>+$M$14</f>
        <v>0</v>
      </c>
      <c r="N114" s="790"/>
      <c r="O114" s="790"/>
      <c r="P114" s="793"/>
      <c r="Q114" s="796"/>
      <c r="R114" s="796"/>
      <c r="S114" s="799"/>
      <c r="T114" s="819"/>
      <c r="U114" s="801"/>
      <c r="W114" s="29"/>
      <c r="X114" s="29"/>
      <c r="Y114" s="29"/>
      <c r="Z114" s="29"/>
      <c r="AA114" s="29"/>
      <c r="AB114" s="29"/>
      <c r="AC114" s="29"/>
    </row>
    <row r="115" spans="1:35" s="330" customFormat="1" ht="24.95" hidden="1" customHeight="1">
      <c r="A115" s="328"/>
      <c r="B115" s="776"/>
      <c r="C115" s="779"/>
      <c r="D115" s="779"/>
      <c r="E115" s="779"/>
      <c r="F115" s="779"/>
      <c r="G115" s="782"/>
      <c r="H115" s="785"/>
      <c r="I115" s="788"/>
      <c r="J115" s="329"/>
      <c r="K115" s="57">
        <f>+$K$15</f>
        <v>841116</v>
      </c>
      <c r="L115" s="803"/>
      <c r="M115" s="797"/>
      <c r="N115" s="791"/>
      <c r="O115" s="791"/>
      <c r="P115" s="794"/>
      <c r="Q115" s="797"/>
      <c r="R115" s="797"/>
      <c r="S115" s="800"/>
      <c r="T115" s="820"/>
      <c r="U115" s="801"/>
      <c r="W115" s="29"/>
      <c r="X115" s="29"/>
      <c r="Y115" s="29"/>
      <c r="Z115" s="29"/>
      <c r="AA115" s="29"/>
      <c r="AB115" s="29"/>
      <c r="AC115" s="29"/>
    </row>
    <row r="116" spans="1:35" ht="24.95" hidden="1" customHeight="1">
      <c r="A116" s="13"/>
      <c r="B116" s="763" t="str">
        <f>IF(S117=" "," ",IF(S117&gt;=$H$6,"CUMPLE CON LA EXPERIENCIA REQUERIDA","NO CUMPLE CON LA EXPERIENCIA REQUERIDA"))</f>
        <v>NO CUMPLE CON LA EXPERIENCIA REQUERIDA</v>
      </c>
      <c r="C116" s="764"/>
      <c r="D116" s="764"/>
      <c r="E116" s="764"/>
      <c r="F116" s="764"/>
      <c r="G116" s="764"/>
      <c r="H116" s="764"/>
      <c r="I116" s="764"/>
      <c r="J116" s="764"/>
      <c r="K116" s="764"/>
      <c r="L116" s="764"/>
      <c r="M116" s="764"/>
      <c r="N116" s="764"/>
      <c r="O116" s="765"/>
      <c r="P116" s="769" t="s">
        <v>45</v>
      </c>
      <c r="Q116" s="770"/>
      <c r="R116" s="771"/>
      <c r="S116" s="333">
        <f>IF(T101="SI",SUM(S101:S115),0)</f>
        <v>0</v>
      </c>
      <c r="T116" s="772" t="str">
        <f>IF(S117=" "," ",IF(S117&gt;=$H$6,"CUMPLE","NO CUMPLE"))</f>
        <v>NO CUMPLE</v>
      </c>
      <c r="AA116" s="29"/>
      <c r="AB116" s="29"/>
      <c r="AC116" s="29"/>
      <c r="AD116" s="330"/>
      <c r="AE116" s="330"/>
      <c r="AF116" s="330"/>
      <c r="AG116" s="330"/>
      <c r="AH116" s="330"/>
    </row>
    <row r="117" spans="1:35" s="330" customFormat="1" ht="24.95" hidden="1" customHeight="1">
      <c r="B117" s="766"/>
      <c r="C117" s="767"/>
      <c r="D117" s="767"/>
      <c r="E117" s="767"/>
      <c r="F117" s="767"/>
      <c r="G117" s="767"/>
      <c r="H117" s="767"/>
      <c r="I117" s="767"/>
      <c r="J117" s="767"/>
      <c r="K117" s="767"/>
      <c r="L117" s="767"/>
      <c r="M117" s="767"/>
      <c r="N117" s="767"/>
      <c r="O117" s="768"/>
      <c r="P117" s="769" t="s">
        <v>46</v>
      </c>
      <c r="Q117" s="770"/>
      <c r="R117" s="771"/>
      <c r="S117" s="333">
        <f>IFERROR((S116/$P$6)," ")</f>
        <v>0</v>
      </c>
      <c r="T117" s="773"/>
      <c r="W117" s="29"/>
      <c r="X117" s="29"/>
      <c r="Y117" s="29"/>
      <c r="Z117" s="29"/>
      <c r="AA117" s="29"/>
      <c r="AB117" s="29"/>
      <c r="AC117" s="29"/>
    </row>
    <row r="118" spans="1:35" ht="30" hidden="1" customHeight="1">
      <c r="AA118" s="29"/>
      <c r="AB118" s="29"/>
      <c r="AC118" s="29"/>
      <c r="AD118" s="330"/>
      <c r="AE118" s="330"/>
      <c r="AF118" s="330"/>
      <c r="AG118" s="330"/>
    </row>
    <row r="119" spans="1:35" ht="30" hidden="1" customHeight="1">
      <c r="AA119" s="29"/>
      <c r="AB119" s="29"/>
      <c r="AC119" s="29"/>
      <c r="AD119" s="330"/>
      <c r="AE119" s="330"/>
      <c r="AF119" s="330"/>
      <c r="AG119" s="330"/>
      <c r="AH119" s="330"/>
    </row>
    <row r="120" spans="1:35" ht="66" hidden="1" customHeight="1">
      <c r="B120" s="301">
        <v>6</v>
      </c>
      <c r="C120" s="821" t="s">
        <v>24</v>
      </c>
      <c r="D120" s="822"/>
      <c r="E120" s="823"/>
      <c r="F120" s="824">
        <f>IFERROR(VLOOKUP(B120,LISTA_OFERENTES,2,FALSE)," ")</f>
        <v>0</v>
      </c>
      <c r="G120" s="825"/>
      <c r="H120" s="825"/>
      <c r="I120" s="825"/>
      <c r="J120" s="825"/>
      <c r="K120" s="825"/>
      <c r="L120" s="825"/>
      <c r="M120" s="825"/>
      <c r="N120" s="825"/>
      <c r="O120" s="826"/>
      <c r="P120" s="827" t="s">
        <v>25</v>
      </c>
      <c r="Q120" s="828"/>
      <c r="R120" s="829"/>
      <c r="S120" s="321">
        <f>5-(INT(COUNTBLANK(C123:C137))-10)</f>
        <v>0</v>
      </c>
      <c r="AA120" s="29"/>
      <c r="AB120" s="29"/>
      <c r="AC120" s="29"/>
      <c r="AD120" s="330"/>
      <c r="AE120" s="330"/>
      <c r="AF120" s="330"/>
      <c r="AG120" s="330"/>
    </row>
    <row r="121" spans="1:35" s="331" customFormat="1" ht="30" hidden="1" customHeight="1">
      <c r="B121" s="830" t="s">
        <v>26</v>
      </c>
      <c r="C121" s="813" t="s">
        <v>27</v>
      </c>
      <c r="D121" s="813" t="s">
        <v>28</v>
      </c>
      <c r="E121" s="813" t="s">
        <v>29</v>
      </c>
      <c r="F121" s="813" t="s">
        <v>30</v>
      </c>
      <c r="G121" s="813" t="s">
        <v>31</v>
      </c>
      <c r="H121" s="813" t="s">
        <v>32</v>
      </c>
      <c r="I121" s="813" t="s">
        <v>33</v>
      </c>
      <c r="J121" s="832" t="s">
        <v>34</v>
      </c>
      <c r="K121" s="833"/>
      <c r="L121" s="833"/>
      <c r="M121" s="834"/>
      <c r="N121" s="813" t="s">
        <v>35</v>
      </c>
      <c r="O121" s="813" t="s">
        <v>36</v>
      </c>
      <c r="P121" s="832" t="s">
        <v>37</v>
      </c>
      <c r="Q121" s="834"/>
      <c r="R121" s="813" t="s">
        <v>38</v>
      </c>
      <c r="S121" s="813" t="s">
        <v>39</v>
      </c>
      <c r="T121" s="813" t="str">
        <f>+$T$11</f>
        <v>Haber ejecutado contratos en COLOMBIA o en el EXTERIOR que dentro de su objeto o alcance incluyan:
Interventoría a obras de Construcción de edificaciones de los grupos de uso I, II, III o IV, conforme al
título A de la NSR-10.
Obligatorio estar en 811015</v>
      </c>
      <c r="U121" s="813" t="str">
        <f>+$U$11</f>
        <v xml:space="preserve">VERIFICACIÓN CONDICIÓN DE EXPERIENCIA  </v>
      </c>
      <c r="V121" s="334"/>
      <c r="W121" s="29"/>
      <c r="X121" s="29"/>
      <c r="Y121" s="29"/>
      <c r="Z121" s="29"/>
      <c r="AA121" s="29"/>
      <c r="AB121" s="29"/>
      <c r="AC121" s="29"/>
      <c r="AD121" s="330"/>
      <c r="AE121" s="330"/>
      <c r="AF121" s="330"/>
      <c r="AG121" s="330"/>
      <c r="AH121" s="13"/>
    </row>
    <row r="122" spans="1:35" s="331" customFormat="1" ht="106.5" hidden="1" customHeight="1">
      <c r="B122" s="831"/>
      <c r="C122" s="814"/>
      <c r="D122" s="814"/>
      <c r="E122" s="814"/>
      <c r="F122" s="814"/>
      <c r="G122" s="814"/>
      <c r="H122" s="814"/>
      <c r="I122" s="814"/>
      <c r="J122" s="815" t="s">
        <v>42</v>
      </c>
      <c r="K122" s="816"/>
      <c r="L122" s="816"/>
      <c r="M122" s="817"/>
      <c r="N122" s="814"/>
      <c r="O122" s="814"/>
      <c r="P122" s="323" t="s">
        <v>10</v>
      </c>
      <c r="Q122" s="323" t="s">
        <v>43</v>
      </c>
      <c r="R122" s="814"/>
      <c r="S122" s="814"/>
      <c r="T122" s="814"/>
      <c r="U122" s="814"/>
      <c r="V122" s="334"/>
      <c r="W122" s="29"/>
      <c r="X122" s="29"/>
      <c r="Y122" s="29"/>
      <c r="Z122" s="29"/>
      <c r="AA122" s="29"/>
      <c r="AB122" s="29"/>
      <c r="AC122" s="29"/>
      <c r="AD122" s="330"/>
      <c r="AE122" s="330"/>
      <c r="AF122" s="330"/>
      <c r="AG122" s="330"/>
      <c r="AH122" s="13"/>
    </row>
    <row r="123" spans="1:35" s="330" customFormat="1" ht="35.1" hidden="1" customHeight="1">
      <c r="A123" s="328"/>
      <c r="B123" s="774">
        <v>1</v>
      </c>
      <c r="C123" s="777"/>
      <c r="D123" s="777"/>
      <c r="E123" s="777"/>
      <c r="F123" s="777"/>
      <c r="G123" s="780"/>
      <c r="H123" s="783"/>
      <c r="I123" s="786"/>
      <c r="J123" s="329"/>
      <c r="K123" s="57">
        <f>+$K$13</f>
        <v>801016</v>
      </c>
      <c r="L123" s="329"/>
      <c r="M123" s="57">
        <f>+$M$13</f>
        <v>0</v>
      </c>
      <c r="N123" s="789"/>
      <c r="O123" s="789"/>
      <c r="P123" s="792"/>
      <c r="Q123" s="795"/>
      <c r="R123" s="795"/>
      <c r="S123" s="798">
        <f>IF(COUNTIF(J123:K125,"CUMPLE")&gt;=1,(G123*I123),0)* (IF(N123="PRESENTÓ CERTIFICADO",1,0))* (IF(O123="ACORDE A ITEM 5.2.2 (T.R.)",1,0) )* ( IF(OR(Q123="SIN OBSERVACIÓN", Q123="REQUERIMIENTOS SUBSANADOS"),1,0)) *(IF(OR(R123="NINGUNO", R123="CUMPLEN CON LO SOLICITADO"),1,0))</f>
        <v>0</v>
      </c>
      <c r="T123" s="818"/>
      <c r="U123" s="801">
        <f t="shared" ref="U123" si="42">IF(COUNTIF(J123:K125,"CUMPLE")&gt;=1,1,0)</f>
        <v>0</v>
      </c>
      <c r="W123" s="29"/>
      <c r="X123" s="29"/>
      <c r="Y123" s="29"/>
      <c r="Z123" s="29"/>
      <c r="AD123" s="13"/>
      <c r="AE123" s="13"/>
      <c r="AF123" s="13"/>
      <c r="AG123" s="13"/>
      <c r="AH123" s="13"/>
      <c r="AI123" s="13"/>
    </row>
    <row r="124" spans="1:35" s="330" customFormat="1" ht="35.1" hidden="1" customHeight="1">
      <c r="A124" s="328"/>
      <c r="B124" s="775"/>
      <c r="C124" s="778"/>
      <c r="D124" s="778"/>
      <c r="E124" s="778"/>
      <c r="F124" s="778"/>
      <c r="G124" s="781"/>
      <c r="H124" s="784"/>
      <c r="I124" s="787"/>
      <c r="J124" s="329"/>
      <c r="K124" s="57">
        <f>+$K$14</f>
        <v>811015</v>
      </c>
      <c r="L124" s="802"/>
      <c r="M124" s="795">
        <f>+$M$14</f>
        <v>0</v>
      </c>
      <c r="N124" s="790"/>
      <c r="O124" s="790"/>
      <c r="P124" s="793"/>
      <c r="Q124" s="796"/>
      <c r="R124" s="796"/>
      <c r="S124" s="799"/>
      <c r="T124" s="819"/>
      <c r="U124" s="801"/>
      <c r="W124" s="29"/>
      <c r="X124" s="29"/>
      <c r="Y124" s="29"/>
      <c r="Z124" s="29"/>
      <c r="AD124" s="13"/>
      <c r="AE124" s="13"/>
      <c r="AF124" s="13"/>
      <c r="AG124" s="13"/>
      <c r="AH124" s="13"/>
      <c r="AI124" s="13"/>
    </row>
    <row r="125" spans="1:35" s="330" customFormat="1" ht="35.1" hidden="1" customHeight="1">
      <c r="A125" s="328"/>
      <c r="B125" s="776"/>
      <c r="C125" s="779"/>
      <c r="D125" s="779"/>
      <c r="E125" s="779"/>
      <c r="F125" s="779"/>
      <c r="G125" s="782"/>
      <c r="H125" s="785"/>
      <c r="I125" s="788"/>
      <c r="J125" s="329"/>
      <c r="K125" s="57">
        <f>+$K$15</f>
        <v>841116</v>
      </c>
      <c r="L125" s="803"/>
      <c r="M125" s="797"/>
      <c r="N125" s="791"/>
      <c r="O125" s="791"/>
      <c r="P125" s="794"/>
      <c r="Q125" s="797"/>
      <c r="R125" s="797"/>
      <c r="S125" s="800"/>
      <c r="T125" s="819"/>
      <c r="U125" s="801"/>
      <c r="W125" s="29"/>
      <c r="X125" s="29"/>
      <c r="Y125" s="29"/>
      <c r="Z125" s="29"/>
      <c r="AD125" s="13"/>
      <c r="AE125" s="13"/>
      <c r="AF125" s="13"/>
      <c r="AG125" s="13"/>
      <c r="AH125" s="13"/>
      <c r="AI125" s="13"/>
    </row>
    <row r="126" spans="1:35" s="330" customFormat="1" ht="35.1" hidden="1" customHeight="1">
      <c r="A126" s="328"/>
      <c r="B126" s="774">
        <v>2</v>
      </c>
      <c r="C126" s="804"/>
      <c r="D126" s="804"/>
      <c r="E126" s="804"/>
      <c r="F126" s="804"/>
      <c r="G126" s="807"/>
      <c r="H126" s="783"/>
      <c r="I126" s="786"/>
      <c r="J126" s="329"/>
      <c r="K126" s="57">
        <f>+$K$13</f>
        <v>801016</v>
      </c>
      <c r="L126" s="329"/>
      <c r="M126" s="57">
        <f>+$M$13</f>
        <v>0</v>
      </c>
      <c r="N126" s="789"/>
      <c r="O126" s="789"/>
      <c r="P126" s="792"/>
      <c r="Q126" s="795"/>
      <c r="R126" s="795"/>
      <c r="S126" s="798">
        <f>IF(COUNTIF(J126:K128,"CUMPLE")&gt;=1,(G126*I126),0)* (IF(N126="PRESENTÓ CERTIFICADO",1,0))* (IF(O126="ACORDE A ITEM 5.2.2 (T.R.)",1,0) )* ( IF(OR(Q126="SIN OBSERVACIÓN", Q126="REQUERIMIENTOS SUBSANADOS"),1,0)) *(IF(OR(R126="NINGUNO", R126="CUMPLEN CON LO SOLICITADO"),1,0))</f>
        <v>0</v>
      </c>
      <c r="T126" s="819"/>
      <c r="U126" s="801">
        <f t="shared" ref="U126" si="43">IF(COUNTIF(J126:K128,"CUMPLE")&gt;=1,1,0)</f>
        <v>0</v>
      </c>
      <c r="W126" s="29"/>
      <c r="X126" s="29"/>
      <c r="Y126" s="29"/>
      <c r="Z126" s="29"/>
      <c r="AD126" s="13"/>
      <c r="AE126" s="13"/>
      <c r="AF126" s="13"/>
      <c r="AG126" s="13"/>
      <c r="AH126" s="13"/>
      <c r="AI126" s="13"/>
    </row>
    <row r="127" spans="1:35" s="330" customFormat="1" ht="35.1" hidden="1" customHeight="1">
      <c r="A127" s="328"/>
      <c r="B127" s="775"/>
      <c r="C127" s="805"/>
      <c r="D127" s="805"/>
      <c r="E127" s="805"/>
      <c r="F127" s="805"/>
      <c r="G127" s="808"/>
      <c r="H127" s="784"/>
      <c r="I127" s="787"/>
      <c r="J127" s="329"/>
      <c r="K127" s="57">
        <f>+$K$14</f>
        <v>811015</v>
      </c>
      <c r="L127" s="802"/>
      <c r="M127" s="795">
        <f>+$M$14</f>
        <v>0</v>
      </c>
      <c r="N127" s="790"/>
      <c r="O127" s="790"/>
      <c r="P127" s="793"/>
      <c r="Q127" s="796"/>
      <c r="R127" s="796"/>
      <c r="S127" s="799"/>
      <c r="T127" s="819"/>
      <c r="U127" s="801"/>
      <c r="W127" s="29"/>
      <c r="X127" s="29"/>
      <c r="Y127" s="29"/>
      <c r="Z127" s="29"/>
      <c r="AD127" s="13"/>
      <c r="AE127" s="13"/>
      <c r="AF127" s="13"/>
      <c r="AG127" s="13"/>
      <c r="AH127" s="13"/>
      <c r="AI127" s="13"/>
    </row>
    <row r="128" spans="1:35" s="330" customFormat="1" ht="35.1" hidden="1" customHeight="1">
      <c r="A128" s="328"/>
      <c r="B128" s="776"/>
      <c r="C128" s="806"/>
      <c r="D128" s="806"/>
      <c r="E128" s="806"/>
      <c r="F128" s="806"/>
      <c r="G128" s="809"/>
      <c r="H128" s="785"/>
      <c r="I128" s="788"/>
      <c r="J128" s="329"/>
      <c r="K128" s="57">
        <f>+$K$15</f>
        <v>841116</v>
      </c>
      <c r="L128" s="803"/>
      <c r="M128" s="797"/>
      <c r="N128" s="791"/>
      <c r="O128" s="791"/>
      <c r="P128" s="794"/>
      <c r="Q128" s="797"/>
      <c r="R128" s="797"/>
      <c r="S128" s="800"/>
      <c r="T128" s="819"/>
      <c r="U128" s="801"/>
      <c r="W128" s="29"/>
      <c r="X128" s="29"/>
      <c r="Y128" s="29"/>
      <c r="Z128" s="29"/>
      <c r="AD128" s="13"/>
      <c r="AE128" s="13"/>
      <c r="AF128" s="13"/>
      <c r="AG128" s="13"/>
      <c r="AH128" s="13"/>
      <c r="AI128" s="13"/>
    </row>
    <row r="129" spans="1:35" s="330" customFormat="1" ht="35.1" hidden="1" customHeight="1">
      <c r="A129" s="328"/>
      <c r="B129" s="774">
        <v>3</v>
      </c>
      <c r="C129" s="777"/>
      <c r="D129" s="777"/>
      <c r="E129" s="777"/>
      <c r="F129" s="777"/>
      <c r="G129" s="780"/>
      <c r="H129" s="783"/>
      <c r="I129" s="786"/>
      <c r="J129" s="329"/>
      <c r="K129" s="57">
        <f>+$K$13</f>
        <v>801016</v>
      </c>
      <c r="L129" s="329"/>
      <c r="M129" s="57">
        <f>+$M$13</f>
        <v>0</v>
      </c>
      <c r="N129" s="789"/>
      <c r="O129" s="789"/>
      <c r="P129" s="792"/>
      <c r="Q129" s="795"/>
      <c r="R129" s="795"/>
      <c r="S129" s="798">
        <f>IF(COUNTIF(J129:K131,"CUMPLE")&gt;=1,(G129*I129),0)* (IF(N129="PRESENTÓ CERTIFICADO",1,0))* (IF(O129="ACORDE A ITEM 5.2.2 (T.R.)",1,0) )* ( IF(OR(Q129="SIN OBSERVACIÓN", Q129="REQUERIMIENTOS SUBSANADOS"),1,0)) *(IF(OR(R129="NINGUNO", R129="CUMPLEN CON LO SOLICITADO"),1,0))</f>
        <v>0</v>
      </c>
      <c r="T129" s="819"/>
      <c r="U129" s="801">
        <f t="shared" ref="U129" si="44">IF(COUNTIF(J129:K131,"CUMPLE")&gt;=1,1,0)</f>
        <v>0</v>
      </c>
      <c r="W129" s="29"/>
      <c r="X129" s="29"/>
      <c r="Y129" s="29"/>
      <c r="Z129" s="29"/>
      <c r="AA129" s="13"/>
      <c r="AB129" s="13"/>
      <c r="AC129" s="13"/>
      <c r="AD129" s="13"/>
      <c r="AE129" s="13"/>
      <c r="AF129" s="13"/>
      <c r="AG129" s="13"/>
      <c r="AH129" s="13"/>
      <c r="AI129" s="13"/>
    </row>
    <row r="130" spans="1:35" s="330" customFormat="1" ht="35.1" hidden="1" customHeight="1">
      <c r="A130" s="328"/>
      <c r="B130" s="775"/>
      <c r="C130" s="778"/>
      <c r="D130" s="778"/>
      <c r="E130" s="778"/>
      <c r="F130" s="778"/>
      <c r="G130" s="781"/>
      <c r="H130" s="784"/>
      <c r="I130" s="787"/>
      <c r="J130" s="329"/>
      <c r="K130" s="57">
        <f>+$K$14</f>
        <v>811015</v>
      </c>
      <c r="L130" s="802"/>
      <c r="M130" s="795">
        <f>+$M$14</f>
        <v>0</v>
      </c>
      <c r="N130" s="790"/>
      <c r="O130" s="790"/>
      <c r="P130" s="793"/>
      <c r="Q130" s="796"/>
      <c r="R130" s="796"/>
      <c r="S130" s="799"/>
      <c r="T130" s="819"/>
      <c r="U130" s="801"/>
      <c r="W130" s="29"/>
      <c r="X130" s="29"/>
      <c r="Y130" s="29"/>
      <c r="Z130" s="29"/>
      <c r="AH130" s="13"/>
      <c r="AI130" s="13"/>
    </row>
    <row r="131" spans="1:35" s="330" customFormat="1" ht="35.1" hidden="1" customHeight="1">
      <c r="A131" s="328"/>
      <c r="B131" s="776"/>
      <c r="C131" s="779"/>
      <c r="D131" s="779"/>
      <c r="E131" s="779"/>
      <c r="F131" s="779"/>
      <c r="G131" s="782"/>
      <c r="H131" s="785"/>
      <c r="I131" s="788"/>
      <c r="J131" s="329"/>
      <c r="K131" s="57">
        <f>+$K$15</f>
        <v>841116</v>
      </c>
      <c r="L131" s="803"/>
      <c r="M131" s="797"/>
      <c r="N131" s="791"/>
      <c r="O131" s="791"/>
      <c r="P131" s="794"/>
      <c r="Q131" s="797"/>
      <c r="R131" s="797"/>
      <c r="S131" s="800"/>
      <c r="T131" s="819"/>
      <c r="U131" s="801"/>
      <c r="W131" s="29"/>
      <c r="X131" s="29"/>
      <c r="Y131" s="29"/>
      <c r="Z131" s="29"/>
    </row>
    <row r="132" spans="1:35" s="330" customFormat="1" ht="35.1" hidden="1" customHeight="1">
      <c r="A132" s="328"/>
      <c r="B132" s="774">
        <v>4</v>
      </c>
      <c r="C132" s="804"/>
      <c r="D132" s="804"/>
      <c r="E132" s="804"/>
      <c r="F132" s="804"/>
      <c r="G132" s="807"/>
      <c r="H132" s="783"/>
      <c r="I132" s="810"/>
      <c r="J132" s="329"/>
      <c r="K132" s="57">
        <f>+$K$13</f>
        <v>801016</v>
      </c>
      <c r="L132" s="329"/>
      <c r="M132" s="57">
        <f>+$M$13</f>
        <v>0</v>
      </c>
      <c r="N132" s="789"/>
      <c r="O132" s="789"/>
      <c r="P132" s="792"/>
      <c r="Q132" s="795"/>
      <c r="R132" s="795"/>
      <c r="S132" s="798">
        <f>IF(COUNTIF(J132:K134,"CUMPLE")&gt;=1,(G132*I132),0)* (IF(N132="PRESENTÓ CERTIFICADO",1,0))* (IF(O132="ACORDE A ITEM 5.2.2 (T.R.)",1,0) )* ( IF(OR(Q132="SIN OBSERVACIÓN", Q132="REQUERIMIENTOS SUBSANADOS"),1,0)) *(IF(OR(R132="NINGUNO", R132="CUMPLEN CON LO SOLICITADO"),1,0))</f>
        <v>0</v>
      </c>
      <c r="T132" s="819"/>
      <c r="U132" s="801">
        <f t="shared" ref="U132" si="45">IF(COUNTIF(J132:K134,"CUMPLE")&gt;=1,1,0)</f>
        <v>0</v>
      </c>
      <c r="W132" s="29"/>
      <c r="X132" s="29"/>
      <c r="Y132" s="29"/>
      <c r="Z132" s="29"/>
      <c r="AA132" s="13"/>
      <c r="AB132" s="13"/>
      <c r="AC132" s="13"/>
      <c r="AD132" s="13"/>
      <c r="AE132" s="13"/>
      <c r="AF132" s="13"/>
      <c r="AG132" s="13"/>
    </row>
    <row r="133" spans="1:35" s="330" customFormat="1" ht="35.1" hidden="1" customHeight="1">
      <c r="A133" s="328"/>
      <c r="B133" s="775"/>
      <c r="C133" s="805"/>
      <c r="D133" s="805"/>
      <c r="E133" s="805"/>
      <c r="F133" s="805"/>
      <c r="G133" s="808"/>
      <c r="H133" s="784"/>
      <c r="I133" s="811"/>
      <c r="J133" s="329"/>
      <c r="K133" s="57">
        <f>+$K$14</f>
        <v>811015</v>
      </c>
      <c r="L133" s="802"/>
      <c r="M133" s="795">
        <f>+$M$14</f>
        <v>0</v>
      </c>
      <c r="N133" s="790"/>
      <c r="O133" s="790"/>
      <c r="P133" s="793"/>
      <c r="Q133" s="796"/>
      <c r="R133" s="796"/>
      <c r="S133" s="799"/>
      <c r="T133" s="819"/>
      <c r="U133" s="801"/>
      <c r="W133" s="29"/>
      <c r="X133" s="29"/>
      <c r="Y133" s="29"/>
      <c r="Z133" s="29"/>
      <c r="AA133" s="13"/>
      <c r="AB133" s="13"/>
      <c r="AC133" s="13"/>
      <c r="AD133" s="13"/>
      <c r="AE133" s="13"/>
      <c r="AF133" s="13"/>
      <c r="AG133" s="13"/>
    </row>
    <row r="134" spans="1:35" s="330" customFormat="1" ht="35.1" hidden="1" customHeight="1">
      <c r="A134" s="328"/>
      <c r="B134" s="776"/>
      <c r="C134" s="806"/>
      <c r="D134" s="806"/>
      <c r="E134" s="806"/>
      <c r="F134" s="806"/>
      <c r="G134" s="809"/>
      <c r="H134" s="785"/>
      <c r="I134" s="812"/>
      <c r="J134" s="329"/>
      <c r="K134" s="57">
        <f>+$K$15</f>
        <v>841116</v>
      </c>
      <c r="L134" s="803"/>
      <c r="M134" s="797"/>
      <c r="N134" s="791"/>
      <c r="O134" s="791"/>
      <c r="P134" s="794"/>
      <c r="Q134" s="797"/>
      <c r="R134" s="797"/>
      <c r="S134" s="800"/>
      <c r="T134" s="819"/>
      <c r="U134" s="801"/>
      <c r="W134" s="29"/>
      <c r="X134" s="29"/>
      <c r="Y134" s="29"/>
      <c r="Z134" s="29"/>
      <c r="AA134" s="29"/>
      <c r="AB134" s="29"/>
      <c r="AC134" s="29"/>
      <c r="AD134" s="331"/>
      <c r="AE134" s="331"/>
      <c r="AF134" s="331"/>
      <c r="AG134" s="331"/>
    </row>
    <row r="135" spans="1:35" s="330" customFormat="1" ht="24.95" hidden="1" customHeight="1">
      <c r="A135" s="328"/>
      <c r="B135" s="774">
        <v>5</v>
      </c>
      <c r="C135" s="777"/>
      <c r="D135" s="777"/>
      <c r="E135" s="777"/>
      <c r="F135" s="777"/>
      <c r="G135" s="780"/>
      <c r="H135" s="783"/>
      <c r="I135" s="786"/>
      <c r="J135" s="329"/>
      <c r="K135" s="57">
        <f>+$K$13</f>
        <v>801016</v>
      </c>
      <c r="L135" s="329"/>
      <c r="M135" s="57">
        <f>+$M$13</f>
        <v>0</v>
      </c>
      <c r="N135" s="789"/>
      <c r="O135" s="789"/>
      <c r="P135" s="792"/>
      <c r="Q135" s="795"/>
      <c r="R135" s="795"/>
      <c r="S135" s="798">
        <f>IF(COUNTIF(J135:K137,"CUMPLE")&gt;=1,(G135*I135),0)* (IF(N135="PRESENTÓ CERTIFICADO",1,0))* (IF(O135="ACORDE A ITEM 5.2.2 (T.R.)",1,0) )* ( IF(OR(Q135="SIN OBSERVACIÓN", Q135="REQUERIMIENTOS SUBSANADOS"),1,0)) *(IF(OR(R135="NINGUNO", R135="CUMPLEN CON LO SOLICITADO"),1,0))</f>
        <v>0</v>
      </c>
      <c r="T135" s="819"/>
      <c r="U135" s="801">
        <f t="shared" ref="U135" si="46">IF(COUNTIF(J135:K137,"CUMPLE")&gt;=1,1,0)</f>
        <v>0</v>
      </c>
      <c r="W135" s="29"/>
      <c r="X135" s="29"/>
      <c r="Y135" s="29"/>
      <c r="Z135" s="29"/>
      <c r="AA135" s="29"/>
      <c r="AB135" s="29"/>
      <c r="AC135" s="29"/>
      <c r="AD135" s="331"/>
      <c r="AE135" s="331"/>
      <c r="AF135" s="331"/>
      <c r="AG135" s="331"/>
    </row>
    <row r="136" spans="1:35" s="330" customFormat="1" ht="24.95" hidden="1" customHeight="1">
      <c r="A136" s="328"/>
      <c r="B136" s="775"/>
      <c r="C136" s="778"/>
      <c r="D136" s="778"/>
      <c r="E136" s="778"/>
      <c r="F136" s="778"/>
      <c r="G136" s="781"/>
      <c r="H136" s="784"/>
      <c r="I136" s="787"/>
      <c r="J136" s="329"/>
      <c r="K136" s="57">
        <f>+$K$14</f>
        <v>811015</v>
      </c>
      <c r="L136" s="802"/>
      <c r="M136" s="795">
        <f>+$M$14</f>
        <v>0</v>
      </c>
      <c r="N136" s="790"/>
      <c r="O136" s="790"/>
      <c r="P136" s="793"/>
      <c r="Q136" s="796"/>
      <c r="R136" s="796"/>
      <c r="S136" s="799"/>
      <c r="T136" s="819"/>
      <c r="U136" s="801"/>
      <c r="W136" s="29"/>
      <c r="X136" s="29"/>
      <c r="Y136" s="29"/>
      <c r="Z136" s="29"/>
      <c r="AA136" s="29"/>
      <c r="AB136" s="29"/>
      <c r="AC136" s="29"/>
    </row>
    <row r="137" spans="1:35" s="330" customFormat="1" ht="24.95" hidden="1" customHeight="1">
      <c r="A137" s="328"/>
      <c r="B137" s="776"/>
      <c r="C137" s="779"/>
      <c r="D137" s="779"/>
      <c r="E137" s="779"/>
      <c r="F137" s="779"/>
      <c r="G137" s="782"/>
      <c r="H137" s="785"/>
      <c r="I137" s="788"/>
      <c r="J137" s="329"/>
      <c r="K137" s="57">
        <f>+$K$15</f>
        <v>841116</v>
      </c>
      <c r="L137" s="803"/>
      <c r="M137" s="797"/>
      <c r="N137" s="791"/>
      <c r="O137" s="791"/>
      <c r="P137" s="794"/>
      <c r="Q137" s="797"/>
      <c r="R137" s="797"/>
      <c r="S137" s="800"/>
      <c r="T137" s="820"/>
      <c r="U137" s="801"/>
      <c r="W137" s="29"/>
      <c r="X137" s="29"/>
      <c r="Y137" s="29"/>
      <c r="Z137" s="29"/>
      <c r="AA137" s="29"/>
      <c r="AB137" s="29"/>
      <c r="AC137" s="29"/>
    </row>
    <row r="138" spans="1:35" ht="24.95" hidden="1" customHeight="1">
      <c r="A138" s="13"/>
      <c r="B138" s="763" t="str">
        <f>IF(S139=" "," ",IF(S139&gt;=$H$6,"CUMPLE CON LA EXPERIENCIA REQUERIDA","NO CUMPLE CON LA EXPERIENCIA REQUERIDA"))</f>
        <v>NO CUMPLE CON LA EXPERIENCIA REQUERIDA</v>
      </c>
      <c r="C138" s="764"/>
      <c r="D138" s="764"/>
      <c r="E138" s="764"/>
      <c r="F138" s="764"/>
      <c r="G138" s="764"/>
      <c r="H138" s="764"/>
      <c r="I138" s="764"/>
      <c r="J138" s="764"/>
      <c r="K138" s="764"/>
      <c r="L138" s="764"/>
      <c r="M138" s="764"/>
      <c r="N138" s="764"/>
      <c r="O138" s="765"/>
      <c r="P138" s="769" t="s">
        <v>45</v>
      </c>
      <c r="Q138" s="770"/>
      <c r="R138" s="771"/>
      <c r="S138" s="333">
        <f>IF(T123="SI",SUM(S123:S137),0)</f>
        <v>0</v>
      </c>
      <c r="T138" s="772" t="str">
        <f>IF(S139=" "," ",IF(S139&gt;=$H$6,"CUMPLE","NO CUMPLE"))</f>
        <v>NO CUMPLE</v>
      </c>
      <c r="AA138" s="29"/>
      <c r="AB138" s="29"/>
      <c r="AC138" s="29"/>
      <c r="AD138" s="330"/>
      <c r="AE138" s="330"/>
      <c r="AF138" s="330"/>
      <c r="AG138" s="330"/>
      <c r="AH138" s="330"/>
    </row>
    <row r="139" spans="1:35" s="330" customFormat="1" ht="24.95" hidden="1" customHeight="1">
      <c r="B139" s="766"/>
      <c r="C139" s="767"/>
      <c r="D139" s="767"/>
      <c r="E139" s="767"/>
      <c r="F139" s="767"/>
      <c r="G139" s="767"/>
      <c r="H139" s="767"/>
      <c r="I139" s="767"/>
      <c r="J139" s="767"/>
      <c r="K139" s="767"/>
      <c r="L139" s="767"/>
      <c r="M139" s="767"/>
      <c r="N139" s="767"/>
      <c r="O139" s="768"/>
      <c r="P139" s="769" t="s">
        <v>46</v>
      </c>
      <c r="Q139" s="770"/>
      <c r="R139" s="771"/>
      <c r="S139" s="333">
        <f>IFERROR((S138/$P$6)," ")</f>
        <v>0</v>
      </c>
      <c r="T139" s="773"/>
      <c r="W139" s="29"/>
      <c r="X139" s="29"/>
      <c r="Y139" s="29"/>
      <c r="Z139" s="29"/>
      <c r="AA139" s="29"/>
      <c r="AB139" s="29"/>
      <c r="AC139" s="29"/>
    </row>
    <row r="140" spans="1:35" ht="30" hidden="1" customHeight="1">
      <c r="AA140" s="29"/>
      <c r="AB140" s="29"/>
      <c r="AC140" s="29"/>
      <c r="AD140" s="330"/>
      <c r="AE140" s="330"/>
      <c r="AF140" s="330"/>
      <c r="AG140" s="330"/>
    </row>
    <row r="141" spans="1:35" ht="30" hidden="1" customHeight="1">
      <c r="AA141" s="29"/>
      <c r="AB141" s="29"/>
      <c r="AC141" s="29"/>
      <c r="AD141" s="330"/>
      <c r="AE141" s="330"/>
      <c r="AF141" s="330"/>
      <c r="AG141" s="330"/>
      <c r="AH141" s="330"/>
    </row>
    <row r="142" spans="1:35" ht="64.5" hidden="1" customHeight="1">
      <c r="B142" s="301">
        <v>7</v>
      </c>
      <c r="C142" s="821" t="s">
        <v>24</v>
      </c>
      <c r="D142" s="822"/>
      <c r="E142" s="823"/>
      <c r="F142" s="824">
        <f>IFERROR(VLOOKUP(B142,LISTA_OFERENTES,2,FALSE)," ")</f>
        <v>0</v>
      </c>
      <c r="G142" s="825"/>
      <c r="H142" s="825"/>
      <c r="I142" s="825"/>
      <c r="J142" s="825"/>
      <c r="K142" s="825"/>
      <c r="L142" s="825"/>
      <c r="M142" s="825"/>
      <c r="N142" s="825"/>
      <c r="O142" s="826"/>
      <c r="P142" s="827" t="s">
        <v>25</v>
      </c>
      <c r="Q142" s="828"/>
      <c r="R142" s="829"/>
      <c r="S142" s="321">
        <f>5-(INT(COUNTBLANK(C145:C159))-10)</f>
        <v>0</v>
      </c>
      <c r="AA142" s="29"/>
      <c r="AB142" s="29"/>
      <c r="AC142" s="29"/>
      <c r="AD142" s="330"/>
      <c r="AE142" s="330"/>
      <c r="AF142" s="330"/>
      <c r="AG142" s="330"/>
    </row>
    <row r="143" spans="1:35" s="331" customFormat="1" ht="30" hidden="1" customHeight="1">
      <c r="B143" s="830" t="s">
        <v>26</v>
      </c>
      <c r="C143" s="813" t="s">
        <v>27</v>
      </c>
      <c r="D143" s="813" t="s">
        <v>28</v>
      </c>
      <c r="E143" s="813" t="s">
        <v>29</v>
      </c>
      <c r="F143" s="813" t="s">
        <v>30</v>
      </c>
      <c r="G143" s="813" t="s">
        <v>31</v>
      </c>
      <c r="H143" s="813" t="s">
        <v>32</v>
      </c>
      <c r="I143" s="813" t="s">
        <v>33</v>
      </c>
      <c r="J143" s="832" t="s">
        <v>34</v>
      </c>
      <c r="K143" s="833"/>
      <c r="L143" s="833"/>
      <c r="M143" s="834"/>
      <c r="N143" s="813" t="s">
        <v>35</v>
      </c>
      <c r="O143" s="813" t="s">
        <v>36</v>
      </c>
      <c r="P143" s="832" t="s">
        <v>37</v>
      </c>
      <c r="Q143" s="834"/>
      <c r="R143" s="813" t="s">
        <v>38</v>
      </c>
      <c r="S143" s="813" t="s">
        <v>39</v>
      </c>
      <c r="T143" s="813" t="str">
        <f>+$T$11</f>
        <v>Haber ejecutado contratos en COLOMBIA o en el EXTERIOR que dentro de su objeto o alcance incluyan:
Interventoría a obras de Construcción de edificaciones de los grupos de uso I, II, III o IV, conforme al
título A de la NSR-10.
Obligatorio estar en 811015</v>
      </c>
      <c r="U143" s="813" t="str">
        <f>+$U$11</f>
        <v xml:space="preserve">VERIFICACIÓN CONDICIÓN DE EXPERIENCIA  </v>
      </c>
      <c r="V143" s="334"/>
      <c r="W143" s="29"/>
      <c r="X143" s="29"/>
      <c r="Y143" s="29"/>
      <c r="Z143" s="29"/>
      <c r="AA143" s="29"/>
      <c r="AB143" s="29"/>
      <c r="AC143" s="29"/>
      <c r="AD143" s="330"/>
      <c r="AE143" s="330"/>
      <c r="AF143" s="330"/>
      <c r="AG143" s="330"/>
      <c r="AH143" s="13"/>
    </row>
    <row r="144" spans="1:35" s="331" customFormat="1" ht="113.25" hidden="1" customHeight="1">
      <c r="B144" s="831"/>
      <c r="C144" s="814"/>
      <c r="D144" s="814"/>
      <c r="E144" s="814"/>
      <c r="F144" s="814"/>
      <c r="G144" s="814"/>
      <c r="H144" s="814"/>
      <c r="I144" s="814"/>
      <c r="J144" s="815" t="s">
        <v>42</v>
      </c>
      <c r="K144" s="816"/>
      <c r="L144" s="816"/>
      <c r="M144" s="817"/>
      <c r="N144" s="814"/>
      <c r="O144" s="814"/>
      <c r="P144" s="323" t="s">
        <v>10</v>
      </c>
      <c r="Q144" s="323" t="s">
        <v>43</v>
      </c>
      <c r="R144" s="814"/>
      <c r="S144" s="814"/>
      <c r="T144" s="814"/>
      <c r="U144" s="814"/>
      <c r="V144" s="334"/>
      <c r="W144" s="29"/>
      <c r="X144" s="29"/>
      <c r="Y144" s="29"/>
      <c r="Z144" s="29"/>
      <c r="AA144" s="29"/>
      <c r="AB144" s="29"/>
      <c r="AC144" s="29"/>
      <c r="AD144" s="330"/>
      <c r="AE144" s="330"/>
      <c r="AF144" s="330"/>
      <c r="AG144" s="330"/>
      <c r="AH144" s="13"/>
    </row>
    <row r="145" spans="1:35" s="330" customFormat="1" ht="24.95" hidden="1" customHeight="1">
      <c r="A145" s="328"/>
      <c r="B145" s="774">
        <v>1</v>
      </c>
      <c r="C145" s="777"/>
      <c r="D145" s="777"/>
      <c r="E145" s="777"/>
      <c r="F145" s="777"/>
      <c r="G145" s="780"/>
      <c r="H145" s="783"/>
      <c r="I145" s="786"/>
      <c r="J145" s="329"/>
      <c r="K145" s="57">
        <f>+$K$13</f>
        <v>801016</v>
      </c>
      <c r="L145" s="329"/>
      <c r="M145" s="57">
        <f>+$M$13</f>
        <v>0</v>
      </c>
      <c r="N145" s="789"/>
      <c r="O145" s="789"/>
      <c r="P145" s="792"/>
      <c r="Q145" s="795"/>
      <c r="R145" s="795"/>
      <c r="S145" s="798">
        <f>IF(COUNTIF(J145:K147,"CUMPLE")&gt;=1,(G145*I145),0)* (IF(N145="PRESENTÓ CERTIFICADO",1,0))* (IF(O145="ACORDE A ITEM 5.2.2 (T.R.)",1,0) )* ( IF(OR(Q145="SIN OBSERVACIÓN", Q145="REQUERIMIENTOS SUBSANADOS"),1,0)) *(IF(OR(R145="NINGUNO", R145="CUMPLEN CON LO SOLICITADO"),1,0))</f>
        <v>0</v>
      </c>
      <c r="T145" s="818"/>
      <c r="U145" s="801">
        <f>IF(COUNTIF(J145:K147,"CUMPLE")&gt;=1,1,0)</f>
        <v>0</v>
      </c>
      <c r="W145" s="29"/>
      <c r="X145" s="29"/>
      <c r="Y145" s="29"/>
      <c r="Z145" s="29"/>
      <c r="AD145" s="13"/>
      <c r="AE145" s="13"/>
      <c r="AF145" s="13"/>
      <c r="AG145" s="13"/>
      <c r="AH145" s="13"/>
      <c r="AI145" s="13"/>
    </row>
    <row r="146" spans="1:35" s="330" customFormat="1" ht="24.95" hidden="1" customHeight="1">
      <c r="A146" s="328"/>
      <c r="B146" s="775"/>
      <c r="C146" s="778"/>
      <c r="D146" s="778"/>
      <c r="E146" s="778"/>
      <c r="F146" s="778"/>
      <c r="G146" s="781"/>
      <c r="H146" s="784"/>
      <c r="I146" s="787"/>
      <c r="J146" s="329"/>
      <c r="K146" s="57">
        <f>+$K$14</f>
        <v>811015</v>
      </c>
      <c r="L146" s="802"/>
      <c r="M146" s="795">
        <f>+$M$14</f>
        <v>0</v>
      </c>
      <c r="N146" s="790"/>
      <c r="O146" s="790"/>
      <c r="P146" s="793"/>
      <c r="Q146" s="796"/>
      <c r="R146" s="796"/>
      <c r="S146" s="799"/>
      <c r="T146" s="819"/>
      <c r="U146" s="801"/>
      <c r="W146" s="29"/>
      <c r="X146" s="29"/>
      <c r="Y146" s="29"/>
      <c r="Z146" s="29"/>
      <c r="AD146" s="13"/>
      <c r="AE146" s="13"/>
      <c r="AF146" s="13"/>
      <c r="AG146" s="13"/>
      <c r="AH146" s="13"/>
      <c r="AI146" s="13"/>
    </row>
    <row r="147" spans="1:35" s="330" customFormat="1" ht="36" hidden="1" customHeight="1">
      <c r="A147" s="328"/>
      <c r="B147" s="776"/>
      <c r="C147" s="779"/>
      <c r="D147" s="779"/>
      <c r="E147" s="779"/>
      <c r="F147" s="779"/>
      <c r="G147" s="782"/>
      <c r="H147" s="785"/>
      <c r="I147" s="788"/>
      <c r="J147" s="329"/>
      <c r="K147" s="57">
        <f>+$K$15</f>
        <v>841116</v>
      </c>
      <c r="L147" s="803"/>
      <c r="M147" s="797"/>
      <c r="N147" s="791"/>
      <c r="O147" s="791"/>
      <c r="P147" s="794"/>
      <c r="Q147" s="797"/>
      <c r="R147" s="797"/>
      <c r="S147" s="800"/>
      <c r="T147" s="819"/>
      <c r="U147" s="801"/>
      <c r="W147" s="29"/>
      <c r="X147" s="29"/>
      <c r="Y147" s="29"/>
      <c r="Z147" s="29"/>
      <c r="AD147" s="13"/>
      <c r="AE147" s="13"/>
      <c r="AF147" s="13"/>
      <c r="AG147" s="13"/>
      <c r="AH147" s="13"/>
      <c r="AI147" s="13"/>
    </row>
    <row r="148" spans="1:35" s="330" customFormat="1" ht="24.95" hidden="1" customHeight="1">
      <c r="A148" s="328"/>
      <c r="B148" s="774">
        <v>2</v>
      </c>
      <c r="C148" s="804"/>
      <c r="D148" s="804"/>
      <c r="E148" s="804"/>
      <c r="F148" s="777"/>
      <c r="G148" s="807"/>
      <c r="H148" s="783"/>
      <c r="I148" s="810"/>
      <c r="J148" s="329"/>
      <c r="K148" s="57">
        <f>+$K$13</f>
        <v>801016</v>
      </c>
      <c r="L148" s="329"/>
      <c r="M148" s="57">
        <f>+$M$13</f>
        <v>0</v>
      </c>
      <c r="N148" s="789"/>
      <c r="O148" s="789"/>
      <c r="P148" s="792"/>
      <c r="Q148" s="795"/>
      <c r="R148" s="795"/>
      <c r="S148" s="798">
        <f>IF(COUNTIF(J148:K150,"CUMPLE")&gt;=1,(G148*I148),0)* (IF(N148="PRESENTÓ CERTIFICADO",1,0))* (IF(O148="ACORDE A ITEM 5.2.2 (T.R.)",1,0) )* ( IF(OR(Q148="SIN OBSERVACIÓN", Q148="REQUERIMIENTOS SUBSANADOS"),1,0)) *(IF(OR(R148="NINGUNO", R148="CUMPLEN CON LO SOLICITADO"),1,0))</f>
        <v>0</v>
      </c>
      <c r="T148" s="819"/>
      <c r="U148" s="801">
        <f>IF(COUNTIF(J148:K150,"CUMPLE")&gt;=1,1,0)</f>
        <v>0</v>
      </c>
      <c r="W148" s="29"/>
      <c r="X148" s="29"/>
      <c r="Y148" s="29"/>
      <c r="Z148" s="29"/>
      <c r="AD148" s="13"/>
      <c r="AE148" s="13"/>
      <c r="AF148" s="13"/>
      <c r="AG148" s="13"/>
      <c r="AH148" s="13"/>
      <c r="AI148" s="13"/>
    </row>
    <row r="149" spans="1:35" s="330" customFormat="1" ht="24.95" hidden="1" customHeight="1">
      <c r="A149" s="328"/>
      <c r="B149" s="775"/>
      <c r="C149" s="805"/>
      <c r="D149" s="805"/>
      <c r="E149" s="805"/>
      <c r="F149" s="778"/>
      <c r="G149" s="808"/>
      <c r="H149" s="784"/>
      <c r="I149" s="811"/>
      <c r="J149" s="329"/>
      <c r="K149" s="57">
        <f>+$K$14</f>
        <v>811015</v>
      </c>
      <c r="L149" s="802"/>
      <c r="M149" s="795">
        <f>+$M$14</f>
        <v>0</v>
      </c>
      <c r="N149" s="790"/>
      <c r="O149" s="790"/>
      <c r="P149" s="793"/>
      <c r="Q149" s="796"/>
      <c r="R149" s="796"/>
      <c r="S149" s="799"/>
      <c r="T149" s="819"/>
      <c r="U149" s="801"/>
      <c r="W149" s="29"/>
      <c r="X149" s="29"/>
      <c r="Y149" s="29"/>
      <c r="Z149" s="29"/>
      <c r="AD149" s="13"/>
      <c r="AE149" s="13"/>
      <c r="AF149" s="13"/>
      <c r="AG149" s="13"/>
      <c r="AH149" s="13"/>
      <c r="AI149" s="13"/>
    </row>
    <row r="150" spans="1:35" s="330" customFormat="1" ht="40.5" hidden="1" customHeight="1">
      <c r="A150" s="328"/>
      <c r="B150" s="776"/>
      <c r="C150" s="806"/>
      <c r="D150" s="806"/>
      <c r="E150" s="806"/>
      <c r="F150" s="779"/>
      <c r="G150" s="809"/>
      <c r="H150" s="785"/>
      <c r="I150" s="812"/>
      <c r="J150" s="329"/>
      <c r="K150" s="57">
        <f>+$K$15</f>
        <v>841116</v>
      </c>
      <c r="L150" s="803"/>
      <c r="M150" s="797"/>
      <c r="N150" s="791"/>
      <c r="O150" s="791"/>
      <c r="P150" s="794"/>
      <c r="Q150" s="797"/>
      <c r="R150" s="797"/>
      <c r="S150" s="800"/>
      <c r="T150" s="819"/>
      <c r="U150" s="801"/>
      <c r="W150" s="29"/>
      <c r="X150" s="29"/>
      <c r="Y150" s="29"/>
      <c r="Z150" s="29"/>
      <c r="AD150" s="13"/>
      <c r="AE150" s="13"/>
      <c r="AF150" s="13"/>
      <c r="AG150" s="13"/>
      <c r="AH150" s="13"/>
      <c r="AI150" s="13"/>
    </row>
    <row r="151" spans="1:35" s="330" customFormat="1" ht="24.95" hidden="1" customHeight="1">
      <c r="A151" s="328"/>
      <c r="B151" s="774">
        <v>3</v>
      </c>
      <c r="C151" s="777"/>
      <c r="D151" s="777"/>
      <c r="E151" s="777"/>
      <c r="F151" s="777"/>
      <c r="G151" s="780"/>
      <c r="H151" s="783"/>
      <c r="I151" s="786"/>
      <c r="J151" s="329"/>
      <c r="K151" s="57">
        <f>+$K$13</f>
        <v>801016</v>
      </c>
      <c r="L151" s="329"/>
      <c r="M151" s="57">
        <f>+$M$13</f>
        <v>0</v>
      </c>
      <c r="N151" s="789"/>
      <c r="O151" s="789"/>
      <c r="P151" s="792"/>
      <c r="Q151" s="795"/>
      <c r="R151" s="795"/>
      <c r="S151" s="798">
        <f>IF(COUNTIF(J151:K153,"CUMPLE")&gt;=1,(G151*I151),0)* (IF(N151="PRESENTÓ CERTIFICADO",1,0))* (IF(O151="ACORDE A ITEM 5.2.2 (T.R.)",1,0) )* ( IF(OR(Q151="SIN OBSERVACIÓN", Q151="REQUERIMIENTOS SUBSANADOS"),1,0)) *(IF(OR(R151="NINGUNO", R151="CUMPLEN CON LO SOLICITADO"),1,0))</f>
        <v>0</v>
      </c>
      <c r="T151" s="819"/>
      <c r="U151" s="801">
        <f>IF(COUNTIF(L151:M153,"CUMPLE")&gt;=1,1,0)</f>
        <v>0</v>
      </c>
      <c r="W151" s="29"/>
      <c r="X151" s="29"/>
      <c r="Y151" s="29"/>
      <c r="Z151" s="29"/>
      <c r="AA151" s="13"/>
      <c r="AB151" s="13"/>
      <c r="AC151" s="13"/>
      <c r="AD151" s="13"/>
      <c r="AE151" s="13"/>
      <c r="AF151" s="13"/>
      <c r="AG151" s="13"/>
      <c r="AH151" s="13"/>
      <c r="AI151" s="13"/>
    </row>
    <row r="152" spans="1:35" s="330" customFormat="1" ht="24.95" hidden="1" customHeight="1">
      <c r="A152" s="328"/>
      <c r="B152" s="775"/>
      <c r="C152" s="778"/>
      <c r="D152" s="778"/>
      <c r="E152" s="778"/>
      <c r="F152" s="778"/>
      <c r="G152" s="781"/>
      <c r="H152" s="784"/>
      <c r="I152" s="787"/>
      <c r="J152" s="329"/>
      <c r="K152" s="57">
        <f>+$K$14</f>
        <v>811015</v>
      </c>
      <c r="L152" s="802"/>
      <c r="M152" s="795">
        <f>+$M$14</f>
        <v>0</v>
      </c>
      <c r="N152" s="790"/>
      <c r="O152" s="790"/>
      <c r="P152" s="793"/>
      <c r="Q152" s="796"/>
      <c r="R152" s="796"/>
      <c r="S152" s="799"/>
      <c r="T152" s="819"/>
      <c r="U152" s="801"/>
      <c r="W152" s="29"/>
      <c r="X152" s="29"/>
      <c r="Y152" s="29"/>
      <c r="Z152" s="29"/>
      <c r="AH152" s="13"/>
      <c r="AI152" s="13"/>
    </row>
    <row r="153" spans="1:35" s="330" customFormat="1" ht="35.25" hidden="1" customHeight="1">
      <c r="A153" s="328"/>
      <c r="B153" s="776"/>
      <c r="C153" s="779"/>
      <c r="D153" s="779"/>
      <c r="E153" s="779"/>
      <c r="F153" s="779"/>
      <c r="G153" s="782"/>
      <c r="H153" s="785"/>
      <c r="I153" s="788"/>
      <c r="J153" s="329"/>
      <c r="K153" s="57">
        <f>+$K$15</f>
        <v>841116</v>
      </c>
      <c r="L153" s="803"/>
      <c r="M153" s="797"/>
      <c r="N153" s="791"/>
      <c r="O153" s="791"/>
      <c r="P153" s="794"/>
      <c r="Q153" s="797"/>
      <c r="R153" s="797"/>
      <c r="S153" s="800"/>
      <c r="T153" s="819"/>
      <c r="U153" s="801"/>
      <c r="W153" s="29"/>
      <c r="X153" s="29"/>
      <c r="Y153" s="29"/>
      <c r="Z153" s="29"/>
    </row>
    <row r="154" spans="1:35" s="330" customFormat="1" ht="24.95" hidden="1" customHeight="1">
      <c r="A154" s="328"/>
      <c r="B154" s="774">
        <v>4</v>
      </c>
      <c r="C154" s="804"/>
      <c r="D154" s="804"/>
      <c r="E154" s="804"/>
      <c r="F154" s="804"/>
      <c r="G154" s="807"/>
      <c r="H154" s="783"/>
      <c r="I154" s="810"/>
      <c r="J154" s="329"/>
      <c r="K154" s="57">
        <f>+$K$13</f>
        <v>801016</v>
      </c>
      <c r="L154" s="329"/>
      <c r="M154" s="57">
        <f>+$M$13</f>
        <v>0</v>
      </c>
      <c r="N154" s="789"/>
      <c r="O154" s="789"/>
      <c r="P154" s="792"/>
      <c r="Q154" s="795"/>
      <c r="R154" s="795"/>
      <c r="S154" s="798">
        <f>IF(COUNTIF(J154:K156,"CUMPLE")&gt;=1,(G154*I154),0)* (IF(N154="PRESENTÓ CERTIFICADO",1,0))* (IF(O154="ACORDE A ITEM 5.2.2 (T.R.)",1,0) )* ( IF(OR(Q154="SIN OBSERVACIÓN", Q154="REQUERIMIENTOS SUBSANADOS"),1,0)) *(IF(OR(R154="NINGUNO", R154="CUMPLEN CON LO SOLICITADO"),1,0))</f>
        <v>0</v>
      </c>
      <c r="T154" s="819"/>
      <c r="U154" s="801">
        <f>IF(COUNTIF(L154:M156,"CUMPLE")&gt;=1,1,0)</f>
        <v>0</v>
      </c>
      <c r="W154" s="29"/>
      <c r="X154" s="29"/>
      <c r="Y154" s="29"/>
      <c r="Z154" s="29"/>
      <c r="AA154" s="13"/>
      <c r="AB154" s="13"/>
      <c r="AC154" s="13"/>
      <c r="AD154" s="13"/>
      <c r="AE154" s="13"/>
      <c r="AF154" s="13"/>
      <c r="AG154" s="13"/>
    </row>
    <row r="155" spans="1:35" s="330" customFormat="1" ht="24.95" hidden="1" customHeight="1">
      <c r="A155" s="328"/>
      <c r="B155" s="775"/>
      <c r="C155" s="805"/>
      <c r="D155" s="805"/>
      <c r="E155" s="805"/>
      <c r="F155" s="805"/>
      <c r="G155" s="808"/>
      <c r="H155" s="784"/>
      <c r="I155" s="811"/>
      <c r="J155" s="329"/>
      <c r="K155" s="57">
        <f>+$K$14</f>
        <v>811015</v>
      </c>
      <c r="L155" s="802"/>
      <c r="M155" s="795">
        <f>+$M$14</f>
        <v>0</v>
      </c>
      <c r="N155" s="790"/>
      <c r="O155" s="790"/>
      <c r="P155" s="793"/>
      <c r="Q155" s="796"/>
      <c r="R155" s="796"/>
      <c r="S155" s="799"/>
      <c r="T155" s="819"/>
      <c r="U155" s="801"/>
      <c r="W155" s="29"/>
      <c r="X155" s="29"/>
      <c r="Y155" s="29"/>
      <c r="Z155" s="29"/>
      <c r="AA155" s="13"/>
      <c r="AB155" s="13"/>
      <c r="AC155" s="13"/>
      <c r="AD155" s="13"/>
      <c r="AE155" s="13"/>
      <c r="AF155" s="13"/>
      <c r="AG155" s="13"/>
    </row>
    <row r="156" spans="1:35" s="330" customFormat="1" ht="24.95" hidden="1" customHeight="1">
      <c r="A156" s="328"/>
      <c r="B156" s="776"/>
      <c r="C156" s="806"/>
      <c r="D156" s="806"/>
      <c r="E156" s="806"/>
      <c r="F156" s="806"/>
      <c r="G156" s="809"/>
      <c r="H156" s="785"/>
      <c r="I156" s="812"/>
      <c r="J156" s="329"/>
      <c r="K156" s="57">
        <f>+$K$15</f>
        <v>841116</v>
      </c>
      <c r="L156" s="803"/>
      <c r="M156" s="797"/>
      <c r="N156" s="791"/>
      <c r="O156" s="791"/>
      <c r="P156" s="794"/>
      <c r="Q156" s="797"/>
      <c r="R156" s="797"/>
      <c r="S156" s="800"/>
      <c r="T156" s="819"/>
      <c r="U156" s="801"/>
      <c r="W156" s="29"/>
      <c r="X156" s="29"/>
      <c r="Y156" s="29"/>
      <c r="Z156" s="29"/>
      <c r="AA156" s="29"/>
      <c r="AB156" s="29"/>
      <c r="AC156" s="29"/>
      <c r="AD156" s="331"/>
      <c r="AE156" s="331"/>
      <c r="AF156" s="331"/>
      <c r="AG156" s="331"/>
    </row>
    <row r="157" spans="1:35" s="330" customFormat="1" ht="24.95" hidden="1" customHeight="1">
      <c r="A157" s="328"/>
      <c r="B157" s="774">
        <v>5</v>
      </c>
      <c r="C157" s="777"/>
      <c r="D157" s="777"/>
      <c r="E157" s="777"/>
      <c r="F157" s="777"/>
      <c r="G157" s="780"/>
      <c r="H157" s="783"/>
      <c r="I157" s="786"/>
      <c r="J157" s="329"/>
      <c r="K157" s="57">
        <f>+$K$13</f>
        <v>801016</v>
      </c>
      <c r="L157" s="329"/>
      <c r="M157" s="57">
        <f>+$M$13</f>
        <v>0</v>
      </c>
      <c r="N157" s="789"/>
      <c r="O157" s="789"/>
      <c r="P157" s="792"/>
      <c r="Q157" s="795"/>
      <c r="R157" s="795"/>
      <c r="S157" s="798">
        <f>IF(COUNTIF(J157:K159,"CUMPLE")&gt;=1,(G157*I157),0)* (IF(N157="PRESENTÓ CERTIFICADO",1,0))* (IF(O157="ACORDE A ITEM 5.2.2 (T.R.)",1,0) )* ( IF(OR(Q157="SIN OBSERVACIÓN", Q157="REQUERIMIENTOS SUBSANADOS"),1,0)) *(IF(OR(R157="NINGUNO", R157="CUMPLEN CON LO SOLICITADO"),1,0))</f>
        <v>0</v>
      </c>
      <c r="T157" s="819"/>
      <c r="U157" s="801">
        <f>IF(COUNTIF(L157:M159,"CUMPLE")&gt;=1,1,0)</f>
        <v>0</v>
      </c>
      <c r="W157" s="29"/>
      <c r="X157" s="29"/>
      <c r="Y157" s="29"/>
      <c r="Z157" s="29"/>
      <c r="AA157" s="29"/>
      <c r="AB157" s="29"/>
      <c r="AC157" s="29"/>
      <c r="AD157" s="331"/>
      <c r="AE157" s="331"/>
      <c r="AF157" s="331"/>
      <c r="AG157" s="331"/>
    </row>
    <row r="158" spans="1:35" s="330" customFormat="1" ht="24.95" hidden="1" customHeight="1">
      <c r="A158" s="328"/>
      <c r="B158" s="775"/>
      <c r="C158" s="778"/>
      <c r="D158" s="778"/>
      <c r="E158" s="778"/>
      <c r="F158" s="778"/>
      <c r="G158" s="781"/>
      <c r="H158" s="784"/>
      <c r="I158" s="787"/>
      <c r="J158" s="329"/>
      <c r="K158" s="57">
        <f>+$K$14</f>
        <v>811015</v>
      </c>
      <c r="L158" s="802"/>
      <c r="M158" s="795">
        <f>+$M$14</f>
        <v>0</v>
      </c>
      <c r="N158" s="790"/>
      <c r="O158" s="790"/>
      <c r="P158" s="793"/>
      <c r="Q158" s="796"/>
      <c r="R158" s="796"/>
      <c r="S158" s="799"/>
      <c r="T158" s="819"/>
      <c r="U158" s="801"/>
      <c r="W158" s="29"/>
      <c r="X158" s="29"/>
      <c r="Y158" s="29"/>
      <c r="Z158" s="29"/>
      <c r="AA158" s="29"/>
      <c r="AB158" s="29"/>
      <c r="AC158" s="29"/>
    </row>
    <row r="159" spans="1:35" s="330" customFormat="1" ht="24.95" hidden="1" customHeight="1">
      <c r="A159" s="328"/>
      <c r="B159" s="776"/>
      <c r="C159" s="779"/>
      <c r="D159" s="779"/>
      <c r="E159" s="779"/>
      <c r="F159" s="779"/>
      <c r="G159" s="782"/>
      <c r="H159" s="785"/>
      <c r="I159" s="788"/>
      <c r="J159" s="329"/>
      <c r="K159" s="57">
        <f>+$K$15</f>
        <v>841116</v>
      </c>
      <c r="L159" s="803"/>
      <c r="M159" s="797"/>
      <c r="N159" s="791"/>
      <c r="O159" s="791"/>
      <c r="P159" s="794"/>
      <c r="Q159" s="797"/>
      <c r="R159" s="797"/>
      <c r="S159" s="800"/>
      <c r="T159" s="820"/>
      <c r="U159" s="801"/>
      <c r="W159" s="29"/>
      <c r="X159" s="29"/>
      <c r="Y159" s="29"/>
      <c r="Z159" s="29"/>
      <c r="AA159" s="29"/>
      <c r="AB159" s="29"/>
      <c r="AC159" s="29"/>
    </row>
    <row r="160" spans="1:35" ht="24.95" hidden="1" customHeight="1">
      <c r="A160" s="13"/>
      <c r="B160" s="763" t="str">
        <f>IF(S161=" "," ",IF(S161&gt;=$H$6,"CUMPLE CON LA EXPERIENCIA REQUERIDA","NO CUMPLE CON LA EXPERIENCIA REQUERIDA"))</f>
        <v>NO CUMPLE CON LA EXPERIENCIA REQUERIDA</v>
      </c>
      <c r="C160" s="764"/>
      <c r="D160" s="764"/>
      <c r="E160" s="764"/>
      <c r="F160" s="764"/>
      <c r="G160" s="764"/>
      <c r="H160" s="764"/>
      <c r="I160" s="764"/>
      <c r="J160" s="764"/>
      <c r="K160" s="764"/>
      <c r="L160" s="764"/>
      <c r="M160" s="764"/>
      <c r="N160" s="764"/>
      <c r="O160" s="765"/>
      <c r="P160" s="769" t="s">
        <v>45</v>
      </c>
      <c r="Q160" s="770"/>
      <c r="R160" s="771"/>
      <c r="S160" s="333">
        <f>IF(T145="SI",SUM(S145:S159),0)</f>
        <v>0</v>
      </c>
      <c r="T160" s="772" t="str">
        <f>IF(S161=" "," ",IF(S161&gt;=$H$6,"CUMPLE","NO CUMPLE"))</f>
        <v>NO CUMPLE</v>
      </c>
      <c r="AA160" s="29"/>
      <c r="AB160" s="29"/>
      <c r="AC160" s="29"/>
      <c r="AD160" s="330"/>
      <c r="AE160" s="330"/>
      <c r="AF160" s="330"/>
      <c r="AG160" s="330"/>
      <c r="AH160" s="330"/>
    </row>
    <row r="161" spans="1:35" s="330" customFormat="1" ht="24.95" hidden="1" customHeight="1">
      <c r="B161" s="766"/>
      <c r="C161" s="767"/>
      <c r="D161" s="767"/>
      <c r="E161" s="767"/>
      <c r="F161" s="767"/>
      <c r="G161" s="767"/>
      <c r="H161" s="767"/>
      <c r="I161" s="767"/>
      <c r="J161" s="767"/>
      <c r="K161" s="767"/>
      <c r="L161" s="767"/>
      <c r="M161" s="767"/>
      <c r="N161" s="767"/>
      <c r="O161" s="768"/>
      <c r="P161" s="769" t="s">
        <v>46</v>
      </c>
      <c r="Q161" s="770"/>
      <c r="R161" s="771"/>
      <c r="S161" s="333">
        <f>IFERROR((S160/$P$6)," ")</f>
        <v>0</v>
      </c>
      <c r="T161" s="773"/>
      <c r="W161" s="29"/>
      <c r="X161" s="29"/>
      <c r="Y161" s="29"/>
      <c r="Z161" s="29"/>
      <c r="AA161" s="29"/>
      <c r="AB161" s="29"/>
      <c r="AC161" s="29"/>
    </row>
    <row r="162" spans="1:35" ht="30" hidden="1" customHeight="1">
      <c r="AA162" s="29"/>
      <c r="AB162" s="29"/>
      <c r="AC162" s="29"/>
      <c r="AD162" s="330"/>
      <c r="AE162" s="330"/>
      <c r="AF162" s="330"/>
      <c r="AG162" s="330"/>
    </row>
    <row r="163" spans="1:35" ht="30" hidden="1" customHeight="1">
      <c r="AA163" s="29"/>
      <c r="AB163" s="29"/>
      <c r="AC163" s="29"/>
      <c r="AD163" s="330"/>
      <c r="AE163" s="330"/>
      <c r="AF163" s="330"/>
      <c r="AG163" s="330"/>
      <c r="AH163" s="330"/>
    </row>
    <row r="164" spans="1:35" ht="64.5" hidden="1" customHeight="1">
      <c r="B164" s="301">
        <v>8</v>
      </c>
      <c r="C164" s="821" t="s">
        <v>24</v>
      </c>
      <c r="D164" s="822"/>
      <c r="E164" s="823"/>
      <c r="F164" s="824">
        <f>IFERROR(VLOOKUP(B164,LISTA_OFERENTES,2,FALSE)," ")</f>
        <v>0</v>
      </c>
      <c r="G164" s="825"/>
      <c r="H164" s="825"/>
      <c r="I164" s="825"/>
      <c r="J164" s="825"/>
      <c r="K164" s="825"/>
      <c r="L164" s="825"/>
      <c r="M164" s="825"/>
      <c r="N164" s="825"/>
      <c r="O164" s="826"/>
      <c r="P164" s="827" t="s">
        <v>25</v>
      </c>
      <c r="Q164" s="828"/>
      <c r="R164" s="829"/>
      <c r="S164" s="321">
        <f>5-(INT(COUNTBLANK(C167:C181))-10)</f>
        <v>0</v>
      </c>
      <c r="AA164" s="29"/>
      <c r="AB164" s="29"/>
      <c r="AC164" s="29"/>
      <c r="AD164" s="330"/>
      <c r="AE164" s="330"/>
      <c r="AF164" s="330"/>
      <c r="AG164" s="330"/>
    </row>
    <row r="165" spans="1:35" s="331" customFormat="1" ht="30" hidden="1" customHeight="1">
      <c r="B165" s="830" t="s">
        <v>26</v>
      </c>
      <c r="C165" s="813" t="s">
        <v>27</v>
      </c>
      <c r="D165" s="813" t="s">
        <v>28</v>
      </c>
      <c r="E165" s="813" t="s">
        <v>29</v>
      </c>
      <c r="F165" s="813" t="s">
        <v>30</v>
      </c>
      <c r="G165" s="813" t="s">
        <v>31</v>
      </c>
      <c r="H165" s="813" t="s">
        <v>32</v>
      </c>
      <c r="I165" s="813" t="s">
        <v>33</v>
      </c>
      <c r="J165" s="832" t="s">
        <v>34</v>
      </c>
      <c r="K165" s="833"/>
      <c r="L165" s="833"/>
      <c r="M165" s="834"/>
      <c r="N165" s="813" t="s">
        <v>35</v>
      </c>
      <c r="O165" s="813" t="s">
        <v>36</v>
      </c>
      <c r="P165" s="832" t="s">
        <v>37</v>
      </c>
      <c r="Q165" s="834"/>
      <c r="R165" s="813" t="s">
        <v>38</v>
      </c>
      <c r="S165" s="813" t="s">
        <v>39</v>
      </c>
      <c r="T165" s="813" t="str">
        <f>+$T$11</f>
        <v>Haber ejecutado contratos en COLOMBIA o en el EXTERIOR que dentro de su objeto o alcance incluyan:
Interventoría a obras de Construcción de edificaciones de los grupos de uso I, II, III o IV, conforme al
título A de la NSR-10.
Obligatorio estar en 811015</v>
      </c>
      <c r="U165" s="813" t="str">
        <f>+$U$11</f>
        <v xml:space="preserve">VERIFICACIÓN CONDICIÓN DE EXPERIENCIA  </v>
      </c>
      <c r="V165" s="334"/>
      <c r="W165" s="29"/>
      <c r="X165" s="29"/>
      <c r="Y165" s="29"/>
      <c r="Z165" s="29"/>
      <c r="AA165" s="29"/>
      <c r="AB165" s="29"/>
      <c r="AC165" s="29"/>
      <c r="AD165" s="330"/>
      <c r="AE165" s="330"/>
      <c r="AF165" s="330"/>
      <c r="AG165" s="330"/>
      <c r="AH165" s="13"/>
    </row>
    <row r="166" spans="1:35" s="331" customFormat="1" ht="63" hidden="1" customHeight="1">
      <c r="B166" s="831"/>
      <c r="C166" s="814"/>
      <c r="D166" s="814"/>
      <c r="E166" s="814"/>
      <c r="F166" s="814"/>
      <c r="G166" s="814"/>
      <c r="H166" s="814"/>
      <c r="I166" s="814"/>
      <c r="J166" s="815" t="s">
        <v>42</v>
      </c>
      <c r="K166" s="816"/>
      <c r="L166" s="816"/>
      <c r="M166" s="817"/>
      <c r="N166" s="814"/>
      <c r="O166" s="814"/>
      <c r="P166" s="323" t="s">
        <v>10</v>
      </c>
      <c r="Q166" s="323" t="s">
        <v>43</v>
      </c>
      <c r="R166" s="814"/>
      <c r="S166" s="814"/>
      <c r="T166" s="814"/>
      <c r="U166" s="814"/>
      <c r="V166" s="334"/>
      <c r="W166" s="29"/>
      <c r="X166" s="29"/>
      <c r="Y166" s="29"/>
      <c r="Z166" s="29"/>
      <c r="AA166" s="29"/>
      <c r="AB166" s="29"/>
      <c r="AC166" s="29"/>
      <c r="AD166" s="330"/>
      <c r="AE166" s="330"/>
      <c r="AF166" s="330"/>
      <c r="AG166" s="330"/>
      <c r="AH166" s="13"/>
    </row>
    <row r="167" spans="1:35" s="330" customFormat="1" ht="24.95" hidden="1" customHeight="1">
      <c r="A167" s="328"/>
      <c r="B167" s="774">
        <v>1</v>
      </c>
      <c r="C167" s="777"/>
      <c r="D167" s="777"/>
      <c r="E167" s="777"/>
      <c r="F167" s="777"/>
      <c r="G167" s="780"/>
      <c r="H167" s="783"/>
      <c r="I167" s="786"/>
      <c r="J167" s="329"/>
      <c r="K167" s="57">
        <f>+$K$13</f>
        <v>801016</v>
      </c>
      <c r="L167" s="329"/>
      <c r="M167" s="57">
        <f>+$M$13</f>
        <v>0</v>
      </c>
      <c r="N167" s="789"/>
      <c r="O167" s="789"/>
      <c r="P167" s="792"/>
      <c r="Q167" s="795"/>
      <c r="R167" s="795"/>
      <c r="S167" s="798">
        <f>IF(COUNTIF(J167:K169,"CUMPLE")&gt;=1,(G167*I167),0)* (IF(N167="PRESENTÓ CERTIFICADO",1,0))* (IF(O167="ACORDE A ITEM 5.2.2 (T.R.)",1,0) )* ( IF(OR(Q167="SIN OBSERVACIÓN", Q167="REQUERIMIENTOS SUBSANADOS"),1,0)) *(IF(OR(R167="NINGUNO", R167="CUMPLEN CON LO SOLICITADO"),1,0))</f>
        <v>0</v>
      </c>
      <c r="T167" s="818"/>
      <c r="U167" s="801">
        <f>IF(COUNTIF(J167:K169,"CUMPLE")&gt;=1,1,0)</f>
        <v>0</v>
      </c>
      <c r="W167" s="29"/>
      <c r="X167" s="29"/>
      <c r="Y167" s="29"/>
      <c r="Z167" s="29"/>
      <c r="AD167" s="13"/>
      <c r="AE167" s="13"/>
      <c r="AF167" s="13"/>
      <c r="AG167" s="13"/>
      <c r="AH167" s="13"/>
      <c r="AI167" s="13"/>
    </row>
    <row r="168" spans="1:35" s="330" customFormat="1" ht="24.95" hidden="1" customHeight="1">
      <c r="A168" s="328"/>
      <c r="B168" s="775"/>
      <c r="C168" s="778"/>
      <c r="D168" s="778"/>
      <c r="E168" s="778"/>
      <c r="F168" s="778"/>
      <c r="G168" s="781"/>
      <c r="H168" s="784"/>
      <c r="I168" s="787"/>
      <c r="J168" s="329"/>
      <c r="K168" s="57">
        <f>+$K$14</f>
        <v>811015</v>
      </c>
      <c r="L168" s="802"/>
      <c r="M168" s="795">
        <f>+$M$14</f>
        <v>0</v>
      </c>
      <c r="N168" s="790"/>
      <c r="O168" s="790"/>
      <c r="P168" s="793"/>
      <c r="Q168" s="796"/>
      <c r="R168" s="796"/>
      <c r="S168" s="799"/>
      <c r="T168" s="819"/>
      <c r="U168" s="801"/>
      <c r="W168" s="29"/>
      <c r="X168" s="29"/>
      <c r="Y168" s="29"/>
      <c r="Z168" s="29"/>
      <c r="AD168" s="13"/>
      <c r="AE168" s="13"/>
      <c r="AF168" s="13"/>
      <c r="AG168" s="13"/>
      <c r="AH168" s="13"/>
      <c r="AI168" s="13"/>
    </row>
    <row r="169" spans="1:35" s="330" customFormat="1" ht="24.95" hidden="1" customHeight="1">
      <c r="A169" s="328"/>
      <c r="B169" s="776"/>
      <c r="C169" s="779"/>
      <c r="D169" s="779"/>
      <c r="E169" s="779"/>
      <c r="F169" s="779"/>
      <c r="G169" s="782"/>
      <c r="H169" s="785"/>
      <c r="I169" s="788"/>
      <c r="J169" s="329"/>
      <c r="K169" s="57">
        <f>+$K$15</f>
        <v>841116</v>
      </c>
      <c r="L169" s="803"/>
      <c r="M169" s="797"/>
      <c r="N169" s="791"/>
      <c r="O169" s="791"/>
      <c r="P169" s="794"/>
      <c r="Q169" s="797"/>
      <c r="R169" s="797"/>
      <c r="S169" s="800"/>
      <c r="T169" s="819"/>
      <c r="U169" s="801"/>
      <c r="W169" s="29"/>
      <c r="X169" s="29"/>
      <c r="Y169" s="29"/>
      <c r="Z169" s="29"/>
      <c r="AD169" s="13"/>
      <c r="AE169" s="13"/>
      <c r="AF169" s="13"/>
      <c r="AG169" s="13"/>
      <c r="AH169" s="13"/>
      <c r="AI169" s="13"/>
    </row>
    <row r="170" spans="1:35" s="330" customFormat="1" ht="24.95" hidden="1" customHeight="1">
      <c r="A170" s="328"/>
      <c r="B170" s="774">
        <v>2</v>
      </c>
      <c r="C170" s="804"/>
      <c r="D170" s="804"/>
      <c r="E170" s="804"/>
      <c r="F170" s="804"/>
      <c r="G170" s="807"/>
      <c r="H170" s="783"/>
      <c r="I170" s="810"/>
      <c r="J170" s="329"/>
      <c r="K170" s="57">
        <f>+$K$13</f>
        <v>801016</v>
      </c>
      <c r="L170" s="329"/>
      <c r="M170" s="57">
        <f>+$M$13</f>
        <v>0</v>
      </c>
      <c r="N170" s="789"/>
      <c r="O170" s="789"/>
      <c r="P170" s="792"/>
      <c r="Q170" s="795"/>
      <c r="R170" s="795"/>
      <c r="S170" s="798">
        <f>IF(COUNTIF(J170:K172,"CUMPLE")&gt;=1,(G170*I170),0)* (IF(N170="PRESENTÓ CERTIFICADO",1,0))* (IF(O170="ACORDE A ITEM 5.2.2 (T.R.)",1,0) )* ( IF(OR(Q170="SIN OBSERVACIÓN", Q170="REQUERIMIENTOS SUBSANADOS"),1,0)) *(IF(OR(R170="NINGUNO", R170="CUMPLEN CON LO SOLICITADO"),1,0))</f>
        <v>0</v>
      </c>
      <c r="T170" s="819"/>
      <c r="U170" s="801">
        <f t="shared" ref="U170" si="47">IF(COUNTIF(J170:K172,"CUMPLE")&gt;=1,1,0)</f>
        <v>0</v>
      </c>
      <c r="W170" s="29"/>
      <c r="X170" s="29"/>
      <c r="Y170" s="29"/>
      <c r="Z170" s="29"/>
      <c r="AD170" s="13"/>
      <c r="AE170" s="13"/>
      <c r="AF170" s="13"/>
      <c r="AG170" s="13"/>
      <c r="AH170" s="13"/>
      <c r="AI170" s="13"/>
    </row>
    <row r="171" spans="1:35" s="330" customFormat="1" ht="24.95" hidden="1" customHeight="1">
      <c r="A171" s="328"/>
      <c r="B171" s="775"/>
      <c r="C171" s="805"/>
      <c r="D171" s="805"/>
      <c r="E171" s="805"/>
      <c r="F171" s="805"/>
      <c r="G171" s="808"/>
      <c r="H171" s="784"/>
      <c r="I171" s="811"/>
      <c r="J171" s="329"/>
      <c r="K171" s="57">
        <f>+$K$14</f>
        <v>811015</v>
      </c>
      <c r="L171" s="802"/>
      <c r="M171" s="795">
        <f>+$M$14</f>
        <v>0</v>
      </c>
      <c r="N171" s="790"/>
      <c r="O171" s="790"/>
      <c r="P171" s="793"/>
      <c r="Q171" s="796"/>
      <c r="R171" s="796"/>
      <c r="S171" s="799"/>
      <c r="T171" s="819"/>
      <c r="U171" s="801"/>
      <c r="W171" s="29"/>
      <c r="X171" s="29"/>
      <c r="Y171" s="29"/>
      <c r="Z171" s="29"/>
      <c r="AD171" s="13"/>
      <c r="AE171" s="13"/>
      <c r="AF171" s="13"/>
      <c r="AG171" s="13"/>
      <c r="AH171" s="13"/>
      <c r="AI171" s="13"/>
    </row>
    <row r="172" spans="1:35" s="330" customFormat="1" ht="24.95" hidden="1" customHeight="1">
      <c r="A172" s="328"/>
      <c r="B172" s="776"/>
      <c r="C172" s="806"/>
      <c r="D172" s="806"/>
      <c r="E172" s="806"/>
      <c r="F172" s="806"/>
      <c r="G172" s="809"/>
      <c r="H172" s="785"/>
      <c r="I172" s="812"/>
      <c r="J172" s="329"/>
      <c r="K172" s="57">
        <f>+$K$15</f>
        <v>841116</v>
      </c>
      <c r="L172" s="803"/>
      <c r="M172" s="797"/>
      <c r="N172" s="791"/>
      <c r="O172" s="791"/>
      <c r="P172" s="794"/>
      <c r="Q172" s="797"/>
      <c r="R172" s="797"/>
      <c r="S172" s="800"/>
      <c r="T172" s="819"/>
      <c r="U172" s="801"/>
      <c r="W172" s="29"/>
      <c r="X172" s="29"/>
      <c r="Y172" s="29"/>
      <c r="Z172" s="29"/>
      <c r="AD172" s="13"/>
      <c r="AE172" s="13"/>
      <c r="AF172" s="13"/>
      <c r="AG172" s="13"/>
      <c r="AH172" s="13"/>
      <c r="AI172" s="13"/>
    </row>
    <row r="173" spans="1:35" s="330" customFormat="1" ht="24.95" hidden="1" customHeight="1">
      <c r="A173" s="328"/>
      <c r="B173" s="774">
        <v>3</v>
      </c>
      <c r="C173" s="777"/>
      <c r="D173" s="777"/>
      <c r="E173" s="777"/>
      <c r="F173" s="777"/>
      <c r="G173" s="780"/>
      <c r="H173" s="783"/>
      <c r="I173" s="786"/>
      <c r="J173" s="329"/>
      <c r="K173" s="57">
        <f>+$K$13</f>
        <v>801016</v>
      </c>
      <c r="L173" s="329"/>
      <c r="M173" s="57">
        <f>+$M$13</f>
        <v>0</v>
      </c>
      <c r="N173" s="789"/>
      <c r="O173" s="789"/>
      <c r="P173" s="792"/>
      <c r="Q173" s="795"/>
      <c r="R173" s="795"/>
      <c r="S173" s="798">
        <f>IF(COUNTIF(J173:K175,"CUMPLE")&gt;=1,(G173*I173),0)* (IF(N173="PRESENTÓ CERTIFICADO",1,0))* (IF(O173="ACORDE A ITEM 5.2.2 (T.R.)",1,0) )* ( IF(OR(Q173="SIN OBSERVACIÓN", Q173="REQUERIMIENTOS SUBSANADOS"),1,0)) *(IF(OR(R173="NINGUNO", R173="CUMPLEN CON LO SOLICITADO"),1,0))</f>
        <v>0</v>
      </c>
      <c r="T173" s="819"/>
      <c r="U173" s="801">
        <f t="shared" ref="U173" si="48">IF(COUNTIF(J173:K175,"CUMPLE")&gt;=1,1,0)</f>
        <v>0</v>
      </c>
      <c r="W173" s="29"/>
      <c r="X173" s="29"/>
      <c r="Y173" s="29"/>
      <c r="Z173" s="29"/>
      <c r="AA173" s="13"/>
      <c r="AB173" s="13"/>
      <c r="AC173" s="13"/>
      <c r="AD173" s="13"/>
      <c r="AE173" s="13"/>
      <c r="AF173" s="13"/>
      <c r="AG173" s="13"/>
      <c r="AH173" s="13"/>
      <c r="AI173" s="13"/>
    </row>
    <row r="174" spans="1:35" s="330" customFormat="1" ht="24.95" hidden="1" customHeight="1">
      <c r="A174" s="328"/>
      <c r="B174" s="775"/>
      <c r="C174" s="778"/>
      <c r="D174" s="778"/>
      <c r="E174" s="778"/>
      <c r="F174" s="778"/>
      <c r="G174" s="781"/>
      <c r="H174" s="784"/>
      <c r="I174" s="787"/>
      <c r="J174" s="329"/>
      <c r="K174" s="57">
        <f>+$K$14</f>
        <v>811015</v>
      </c>
      <c r="L174" s="802"/>
      <c r="M174" s="795">
        <f>+$M$14</f>
        <v>0</v>
      </c>
      <c r="N174" s="790"/>
      <c r="O174" s="790"/>
      <c r="P174" s="793"/>
      <c r="Q174" s="796"/>
      <c r="R174" s="796"/>
      <c r="S174" s="799"/>
      <c r="T174" s="819"/>
      <c r="U174" s="801"/>
      <c r="W174" s="29"/>
      <c r="X174" s="29"/>
      <c r="Y174" s="29"/>
      <c r="Z174" s="29"/>
      <c r="AH174" s="13"/>
      <c r="AI174" s="13"/>
    </row>
    <row r="175" spans="1:35" s="330" customFormat="1" ht="24.95" hidden="1" customHeight="1">
      <c r="A175" s="328"/>
      <c r="B175" s="776"/>
      <c r="C175" s="779"/>
      <c r="D175" s="779"/>
      <c r="E175" s="779"/>
      <c r="F175" s="779"/>
      <c r="G175" s="782"/>
      <c r="H175" s="785"/>
      <c r="I175" s="788"/>
      <c r="J175" s="329"/>
      <c r="K175" s="57">
        <f>+$K$15</f>
        <v>841116</v>
      </c>
      <c r="L175" s="803"/>
      <c r="M175" s="797"/>
      <c r="N175" s="791"/>
      <c r="O175" s="791"/>
      <c r="P175" s="794"/>
      <c r="Q175" s="797"/>
      <c r="R175" s="797"/>
      <c r="S175" s="800"/>
      <c r="T175" s="819"/>
      <c r="U175" s="801"/>
      <c r="W175" s="29"/>
      <c r="X175" s="29"/>
      <c r="Y175" s="29"/>
      <c r="Z175" s="29"/>
    </row>
    <row r="176" spans="1:35" s="330" customFormat="1" ht="24.95" hidden="1" customHeight="1">
      <c r="A176" s="328"/>
      <c r="B176" s="774">
        <v>4</v>
      </c>
      <c r="C176" s="804"/>
      <c r="D176" s="804"/>
      <c r="E176" s="804"/>
      <c r="F176" s="804"/>
      <c r="G176" s="807"/>
      <c r="H176" s="783"/>
      <c r="I176" s="810"/>
      <c r="J176" s="329"/>
      <c r="K176" s="57">
        <f>+$K$13</f>
        <v>801016</v>
      </c>
      <c r="L176" s="329"/>
      <c r="M176" s="57">
        <f>+$M$13</f>
        <v>0</v>
      </c>
      <c r="N176" s="789"/>
      <c r="O176" s="789"/>
      <c r="P176" s="792"/>
      <c r="Q176" s="795"/>
      <c r="R176" s="795"/>
      <c r="S176" s="798">
        <f>IF(COUNTIF(J176:K178,"CUMPLE")&gt;=1,(G176*I176),0)* (IF(N176="PRESENTÓ CERTIFICADO",1,0))* (IF(O176="ACORDE A ITEM 5.2.2 (T.R.)",1,0) )* ( IF(OR(Q176="SIN OBSERVACIÓN", Q176="REQUERIMIENTOS SUBSANADOS"),1,0)) *(IF(OR(R176="NINGUNO", R176="CUMPLEN CON LO SOLICITADO"),1,0))</f>
        <v>0</v>
      </c>
      <c r="T176" s="819"/>
      <c r="U176" s="801">
        <f t="shared" ref="U176" si="49">IF(COUNTIF(J176:K178,"CUMPLE")&gt;=1,1,0)</f>
        <v>0</v>
      </c>
      <c r="W176" s="29"/>
      <c r="X176" s="29"/>
      <c r="Y176" s="29"/>
      <c r="Z176" s="29"/>
      <c r="AA176" s="13"/>
      <c r="AB176" s="13"/>
      <c r="AC176" s="13"/>
      <c r="AD176" s="13"/>
      <c r="AE176" s="13"/>
      <c r="AF176" s="13"/>
      <c r="AG176" s="13"/>
    </row>
    <row r="177" spans="1:35" s="330" customFormat="1" ht="24.95" hidden="1" customHeight="1">
      <c r="A177" s="328"/>
      <c r="B177" s="775"/>
      <c r="C177" s="805"/>
      <c r="D177" s="805"/>
      <c r="E177" s="805"/>
      <c r="F177" s="805"/>
      <c r="G177" s="808"/>
      <c r="H177" s="784"/>
      <c r="I177" s="811"/>
      <c r="J177" s="329"/>
      <c r="K177" s="57">
        <f>+$K$14</f>
        <v>811015</v>
      </c>
      <c r="L177" s="802"/>
      <c r="M177" s="795">
        <f>+$M$14</f>
        <v>0</v>
      </c>
      <c r="N177" s="790"/>
      <c r="O177" s="790"/>
      <c r="P177" s="793"/>
      <c r="Q177" s="796"/>
      <c r="R177" s="796"/>
      <c r="S177" s="799"/>
      <c r="T177" s="819"/>
      <c r="U177" s="801"/>
      <c r="W177" s="29"/>
      <c r="X177" s="29"/>
      <c r="Y177" s="29"/>
      <c r="Z177" s="29"/>
      <c r="AA177" s="13"/>
      <c r="AB177" s="13"/>
      <c r="AC177" s="13"/>
      <c r="AD177" s="13"/>
      <c r="AE177" s="13"/>
      <c r="AF177" s="13"/>
      <c r="AG177" s="13"/>
    </row>
    <row r="178" spans="1:35" s="330" customFormat="1" ht="24.95" hidden="1" customHeight="1">
      <c r="A178" s="328"/>
      <c r="B178" s="776"/>
      <c r="C178" s="806"/>
      <c r="D178" s="806"/>
      <c r="E178" s="806"/>
      <c r="F178" s="806"/>
      <c r="G178" s="809"/>
      <c r="H178" s="785"/>
      <c r="I178" s="812"/>
      <c r="J178" s="329"/>
      <c r="K178" s="57">
        <f>+$K$15</f>
        <v>841116</v>
      </c>
      <c r="L178" s="803"/>
      <c r="M178" s="797"/>
      <c r="N178" s="791"/>
      <c r="O178" s="791"/>
      <c r="P178" s="794"/>
      <c r="Q178" s="797"/>
      <c r="R178" s="797"/>
      <c r="S178" s="800"/>
      <c r="T178" s="819"/>
      <c r="U178" s="801"/>
      <c r="W178" s="29"/>
      <c r="X178" s="29"/>
      <c r="Y178" s="29"/>
      <c r="Z178" s="29"/>
      <c r="AA178" s="29"/>
      <c r="AB178" s="29"/>
      <c r="AC178" s="29"/>
      <c r="AD178" s="331"/>
      <c r="AE178" s="331"/>
      <c r="AF178" s="331"/>
      <c r="AG178" s="331"/>
    </row>
    <row r="179" spans="1:35" s="330" customFormat="1" ht="24.95" hidden="1" customHeight="1">
      <c r="A179" s="328"/>
      <c r="B179" s="774">
        <v>5</v>
      </c>
      <c r="C179" s="777"/>
      <c r="D179" s="777"/>
      <c r="E179" s="777"/>
      <c r="F179" s="777"/>
      <c r="G179" s="780"/>
      <c r="H179" s="783"/>
      <c r="I179" s="786"/>
      <c r="J179" s="329"/>
      <c r="K179" s="57">
        <f>+$K$13</f>
        <v>801016</v>
      </c>
      <c r="L179" s="329"/>
      <c r="M179" s="57">
        <f>+$M$13</f>
        <v>0</v>
      </c>
      <c r="N179" s="789"/>
      <c r="O179" s="789"/>
      <c r="P179" s="792"/>
      <c r="Q179" s="795"/>
      <c r="R179" s="795"/>
      <c r="S179" s="798">
        <f>IF(COUNTIF(J179:K181,"CUMPLE")&gt;=1,(G179*I179),0)* (IF(N179="PRESENTÓ CERTIFICADO",1,0))* (IF(O179="ACORDE A ITEM 5.2.2 (T.R.)",1,0) )* ( IF(OR(Q179="SIN OBSERVACIÓN", Q179="REQUERIMIENTOS SUBSANADOS"),1,0)) *(IF(OR(R179="NINGUNO", R179="CUMPLEN CON LO SOLICITADO"),1,0))</f>
        <v>0</v>
      </c>
      <c r="T179" s="819"/>
      <c r="U179" s="801">
        <f t="shared" ref="U179" si="50">IF(COUNTIF(J179:K181,"CUMPLE")&gt;=1,1,0)</f>
        <v>0</v>
      </c>
      <c r="W179" s="29"/>
      <c r="X179" s="29"/>
      <c r="Y179" s="29"/>
      <c r="Z179" s="29"/>
      <c r="AA179" s="29"/>
      <c r="AB179" s="29"/>
      <c r="AC179" s="29"/>
      <c r="AD179" s="331"/>
      <c r="AE179" s="331"/>
      <c r="AF179" s="331"/>
      <c r="AG179" s="331"/>
    </row>
    <row r="180" spans="1:35" s="330" customFormat="1" ht="24.95" hidden="1" customHeight="1">
      <c r="A180" s="328"/>
      <c r="B180" s="775"/>
      <c r="C180" s="778"/>
      <c r="D180" s="778"/>
      <c r="E180" s="778"/>
      <c r="F180" s="778"/>
      <c r="G180" s="781"/>
      <c r="H180" s="784"/>
      <c r="I180" s="787"/>
      <c r="J180" s="329"/>
      <c r="K180" s="57">
        <f>+$K$14</f>
        <v>811015</v>
      </c>
      <c r="L180" s="802"/>
      <c r="M180" s="795">
        <f>+$M$14</f>
        <v>0</v>
      </c>
      <c r="N180" s="790"/>
      <c r="O180" s="790"/>
      <c r="P180" s="793"/>
      <c r="Q180" s="796"/>
      <c r="R180" s="796"/>
      <c r="S180" s="799"/>
      <c r="T180" s="819"/>
      <c r="U180" s="801"/>
      <c r="W180" s="29"/>
      <c r="X180" s="29"/>
      <c r="Y180" s="29"/>
      <c r="Z180" s="29"/>
      <c r="AA180" s="29"/>
      <c r="AB180" s="29"/>
      <c r="AC180" s="29"/>
    </row>
    <row r="181" spans="1:35" s="330" customFormat="1" ht="24.95" hidden="1" customHeight="1">
      <c r="A181" s="328"/>
      <c r="B181" s="776"/>
      <c r="C181" s="779"/>
      <c r="D181" s="779"/>
      <c r="E181" s="779"/>
      <c r="F181" s="779"/>
      <c r="G181" s="782"/>
      <c r="H181" s="785"/>
      <c r="I181" s="788"/>
      <c r="J181" s="329"/>
      <c r="K181" s="57">
        <f>+$K$15</f>
        <v>841116</v>
      </c>
      <c r="L181" s="803"/>
      <c r="M181" s="797"/>
      <c r="N181" s="791"/>
      <c r="O181" s="791"/>
      <c r="P181" s="794"/>
      <c r="Q181" s="797"/>
      <c r="R181" s="797"/>
      <c r="S181" s="800"/>
      <c r="T181" s="820"/>
      <c r="U181" s="801"/>
      <c r="W181" s="29"/>
      <c r="X181" s="29"/>
      <c r="Y181" s="29"/>
      <c r="Z181" s="29"/>
      <c r="AA181" s="29"/>
      <c r="AB181" s="29"/>
      <c r="AC181" s="29"/>
    </row>
    <row r="182" spans="1:35" ht="24.95" hidden="1" customHeight="1">
      <c r="A182" s="13"/>
      <c r="B182" s="763" t="str">
        <f>IF(S183=" "," ",IF(S183&gt;=$H$6,"CUMPLE CON LA EXPERIENCIA REQUERIDA","NO CUMPLE CON LA EXPERIENCIA REQUERIDA"))</f>
        <v>NO CUMPLE CON LA EXPERIENCIA REQUERIDA</v>
      </c>
      <c r="C182" s="764"/>
      <c r="D182" s="764"/>
      <c r="E182" s="764"/>
      <c r="F182" s="764"/>
      <c r="G182" s="764"/>
      <c r="H182" s="764"/>
      <c r="I182" s="764"/>
      <c r="J182" s="764"/>
      <c r="K182" s="764"/>
      <c r="L182" s="764"/>
      <c r="M182" s="764"/>
      <c r="N182" s="764"/>
      <c r="O182" s="765"/>
      <c r="P182" s="769" t="s">
        <v>45</v>
      </c>
      <c r="Q182" s="770"/>
      <c r="R182" s="771"/>
      <c r="S182" s="333">
        <f>IF(T167="SI",SUM(S167:S181),0)</f>
        <v>0</v>
      </c>
      <c r="T182" s="772" t="str">
        <f>IF(S183=" "," ",IF(S183&gt;=$H$6,"CUMPLE","NO CUMPLE"))</f>
        <v>NO CUMPLE</v>
      </c>
      <c r="AA182" s="29"/>
      <c r="AB182" s="29"/>
      <c r="AC182" s="29"/>
      <c r="AD182" s="330"/>
      <c r="AE182" s="330"/>
      <c r="AF182" s="330"/>
      <c r="AG182" s="330"/>
      <c r="AH182" s="330"/>
    </row>
    <row r="183" spans="1:35" s="330" customFormat="1" ht="24.95" hidden="1" customHeight="1">
      <c r="B183" s="766"/>
      <c r="C183" s="767"/>
      <c r="D183" s="767"/>
      <c r="E183" s="767"/>
      <c r="F183" s="767"/>
      <c r="G183" s="767"/>
      <c r="H183" s="767"/>
      <c r="I183" s="767"/>
      <c r="J183" s="767"/>
      <c r="K183" s="767"/>
      <c r="L183" s="767"/>
      <c r="M183" s="767"/>
      <c r="N183" s="767"/>
      <c r="O183" s="768"/>
      <c r="P183" s="769" t="s">
        <v>46</v>
      </c>
      <c r="Q183" s="770"/>
      <c r="R183" s="771"/>
      <c r="S183" s="333">
        <f>IFERROR((S182/$P$6)," ")</f>
        <v>0</v>
      </c>
      <c r="T183" s="773"/>
      <c r="W183" s="29"/>
      <c r="X183" s="29"/>
      <c r="Y183" s="29"/>
      <c r="Z183" s="29"/>
      <c r="AA183" s="29"/>
      <c r="AB183" s="29"/>
      <c r="AC183" s="29"/>
    </row>
    <row r="184" spans="1:35" ht="30" hidden="1" customHeight="1">
      <c r="AA184" s="29"/>
      <c r="AB184" s="29"/>
      <c r="AC184" s="29"/>
      <c r="AD184" s="330"/>
      <c r="AE184" s="330"/>
      <c r="AF184" s="330"/>
      <c r="AG184" s="330"/>
    </row>
    <row r="185" spans="1:35" ht="30" hidden="1" customHeight="1">
      <c r="AA185" s="29"/>
      <c r="AB185" s="29"/>
      <c r="AC185" s="29"/>
      <c r="AD185" s="330"/>
      <c r="AE185" s="330"/>
      <c r="AF185" s="330"/>
      <c r="AG185" s="330"/>
      <c r="AH185" s="330"/>
    </row>
    <row r="186" spans="1:35" ht="73.5" hidden="1" customHeight="1">
      <c r="B186" s="301">
        <v>9</v>
      </c>
      <c r="C186" s="821" t="s">
        <v>24</v>
      </c>
      <c r="D186" s="822"/>
      <c r="E186" s="823"/>
      <c r="F186" s="824">
        <f>IFERROR(VLOOKUP(B186,LISTA_OFERENTES,2,FALSE)," ")</f>
        <v>0</v>
      </c>
      <c r="G186" s="825"/>
      <c r="H186" s="825"/>
      <c r="I186" s="825"/>
      <c r="J186" s="825"/>
      <c r="K186" s="825"/>
      <c r="L186" s="825"/>
      <c r="M186" s="825"/>
      <c r="N186" s="825"/>
      <c r="O186" s="826"/>
      <c r="P186" s="827" t="s">
        <v>25</v>
      </c>
      <c r="Q186" s="828"/>
      <c r="R186" s="829"/>
      <c r="S186" s="321">
        <f>5-(INT(COUNTBLANK(C189:C203))-10)</f>
        <v>1</v>
      </c>
      <c r="AA186" s="29"/>
      <c r="AB186" s="29"/>
      <c r="AC186" s="29"/>
      <c r="AD186" s="330"/>
      <c r="AE186" s="330"/>
      <c r="AF186" s="330"/>
      <c r="AG186" s="330"/>
    </row>
    <row r="187" spans="1:35" s="331" customFormat="1" ht="30" hidden="1" customHeight="1">
      <c r="B187" s="830" t="s">
        <v>26</v>
      </c>
      <c r="C187" s="813" t="s">
        <v>27</v>
      </c>
      <c r="D187" s="813" t="s">
        <v>28</v>
      </c>
      <c r="E187" s="813" t="s">
        <v>29</v>
      </c>
      <c r="F187" s="813" t="s">
        <v>30</v>
      </c>
      <c r="G187" s="813" t="s">
        <v>31</v>
      </c>
      <c r="H187" s="813" t="s">
        <v>32</v>
      </c>
      <c r="I187" s="813" t="s">
        <v>33</v>
      </c>
      <c r="J187" s="832" t="s">
        <v>34</v>
      </c>
      <c r="K187" s="833"/>
      <c r="L187" s="833"/>
      <c r="M187" s="834"/>
      <c r="N187" s="813" t="s">
        <v>35</v>
      </c>
      <c r="O187" s="813" t="s">
        <v>36</v>
      </c>
      <c r="P187" s="832" t="s">
        <v>37</v>
      </c>
      <c r="Q187" s="834"/>
      <c r="R187" s="813" t="s">
        <v>38</v>
      </c>
      <c r="S187" s="813" t="s">
        <v>39</v>
      </c>
      <c r="T187" s="813" t="str">
        <f>+$T$11</f>
        <v>Haber ejecutado contratos en COLOMBIA o en el EXTERIOR que dentro de su objeto o alcance incluyan:
Interventoría a obras de Construcción de edificaciones de los grupos de uso I, II, III o IV, conforme al
título A de la NSR-10.
Obligatorio estar en 811015</v>
      </c>
      <c r="U187" s="813" t="str">
        <f>+$U$11</f>
        <v xml:space="preserve">VERIFICACIÓN CONDICIÓN DE EXPERIENCIA  </v>
      </c>
      <c r="V187" s="334"/>
      <c r="W187" s="29"/>
      <c r="X187" s="29"/>
      <c r="Y187" s="29"/>
      <c r="Z187" s="29"/>
      <c r="AA187" s="29"/>
      <c r="AB187" s="29"/>
      <c r="AC187" s="29"/>
      <c r="AD187" s="330"/>
      <c r="AE187" s="330"/>
      <c r="AF187" s="330"/>
      <c r="AG187" s="330"/>
      <c r="AH187" s="13"/>
    </row>
    <row r="188" spans="1:35" s="331" customFormat="1" ht="118.5" hidden="1" customHeight="1">
      <c r="B188" s="831"/>
      <c r="C188" s="814"/>
      <c r="D188" s="814"/>
      <c r="E188" s="814"/>
      <c r="F188" s="814"/>
      <c r="G188" s="814"/>
      <c r="H188" s="814"/>
      <c r="I188" s="814"/>
      <c r="J188" s="815" t="s">
        <v>42</v>
      </c>
      <c r="K188" s="816"/>
      <c r="L188" s="816"/>
      <c r="M188" s="817"/>
      <c r="N188" s="814"/>
      <c r="O188" s="814"/>
      <c r="P188" s="323" t="s">
        <v>10</v>
      </c>
      <c r="Q188" s="323" t="s">
        <v>43</v>
      </c>
      <c r="R188" s="814"/>
      <c r="S188" s="814"/>
      <c r="T188" s="814"/>
      <c r="U188" s="814"/>
      <c r="V188" s="334"/>
      <c r="W188" s="29"/>
      <c r="X188" s="29"/>
      <c r="Y188" s="29"/>
      <c r="Z188" s="29"/>
      <c r="AA188" s="29"/>
      <c r="AB188" s="29"/>
      <c r="AC188" s="29"/>
      <c r="AD188" s="330"/>
      <c r="AE188" s="330"/>
      <c r="AF188" s="330"/>
      <c r="AG188" s="330"/>
      <c r="AH188" s="13"/>
    </row>
    <row r="189" spans="1:35" s="330" customFormat="1" ht="24.95" hidden="1" customHeight="1">
      <c r="A189" s="328"/>
      <c r="B189" s="774">
        <v>1</v>
      </c>
      <c r="C189" s="777">
        <v>41</v>
      </c>
      <c r="D189" s="777">
        <v>115</v>
      </c>
      <c r="E189" s="777" t="s">
        <v>148</v>
      </c>
      <c r="F189" s="777" t="s">
        <v>149</v>
      </c>
      <c r="G189" s="780">
        <v>6155.56</v>
      </c>
      <c r="H189" s="783" t="s">
        <v>142</v>
      </c>
      <c r="I189" s="786">
        <v>0.5</v>
      </c>
      <c r="J189" s="329" t="s">
        <v>139</v>
      </c>
      <c r="K189" s="57">
        <f>+$K$13</f>
        <v>801016</v>
      </c>
      <c r="L189" s="329"/>
      <c r="M189" s="57">
        <f>+$M$13</f>
        <v>0</v>
      </c>
      <c r="N189" s="789" t="s">
        <v>143</v>
      </c>
      <c r="O189" s="789" t="s">
        <v>144</v>
      </c>
      <c r="P189" s="792"/>
      <c r="Q189" s="795" t="s">
        <v>145</v>
      </c>
      <c r="R189" s="795" t="s">
        <v>146</v>
      </c>
      <c r="S189" s="798">
        <f>IF(COUNTIF(J189:K191,"CUMPLE")&gt;=1,(G189*I189),0)* (IF(N189="PRESENTÓ CERTIFICADO",1,0))* (IF(O189="ACORDE A ITEM 5.2.2 (T.R.)",1,0) )* ( IF(OR(Q189="SIN OBSERVACIÓN", Q189="REQUERIMIENTOS SUBSANADOS"),1,0)) *(IF(OR(R189="NINGUNO", R189="CUMPLEN CON LO SOLICITADO"),1,0))</f>
        <v>3077.78</v>
      </c>
      <c r="T189" s="818" t="s">
        <v>147</v>
      </c>
      <c r="U189" s="801">
        <f>IF(COUNTIF(J189:K191,"CUMPLE")&gt;=1,1,0)</f>
        <v>1</v>
      </c>
      <c r="W189" s="29"/>
      <c r="X189" s="29"/>
      <c r="Y189" s="29"/>
      <c r="Z189" s="29"/>
      <c r="AD189" s="13"/>
      <c r="AE189" s="13"/>
      <c r="AF189" s="13"/>
      <c r="AG189" s="13"/>
      <c r="AH189" s="13"/>
      <c r="AI189" s="13"/>
    </row>
    <row r="190" spans="1:35" s="330" customFormat="1" ht="24.95" hidden="1" customHeight="1">
      <c r="A190" s="328"/>
      <c r="B190" s="775"/>
      <c r="C190" s="778"/>
      <c r="D190" s="778"/>
      <c r="E190" s="778"/>
      <c r="F190" s="778"/>
      <c r="G190" s="781"/>
      <c r="H190" s="784"/>
      <c r="I190" s="787"/>
      <c r="J190" s="329" t="s">
        <v>139</v>
      </c>
      <c r="K190" s="57">
        <f>+$K$14</f>
        <v>811015</v>
      </c>
      <c r="L190" s="802"/>
      <c r="M190" s="795">
        <f>+$M$14</f>
        <v>0</v>
      </c>
      <c r="N190" s="790"/>
      <c r="O190" s="790"/>
      <c r="P190" s="793"/>
      <c r="Q190" s="796"/>
      <c r="R190" s="796"/>
      <c r="S190" s="799"/>
      <c r="T190" s="819"/>
      <c r="U190" s="801"/>
      <c r="W190" s="29"/>
      <c r="X190" s="29"/>
      <c r="Y190" s="29"/>
      <c r="Z190" s="29"/>
      <c r="AD190" s="13"/>
      <c r="AE190" s="13"/>
      <c r="AF190" s="13"/>
      <c r="AG190" s="13"/>
      <c r="AH190" s="13"/>
      <c r="AI190" s="13"/>
    </row>
    <row r="191" spans="1:35" s="330" customFormat="1" ht="24.95" hidden="1" customHeight="1">
      <c r="A191" s="328"/>
      <c r="B191" s="776"/>
      <c r="C191" s="779"/>
      <c r="D191" s="779"/>
      <c r="E191" s="779"/>
      <c r="F191" s="779"/>
      <c r="G191" s="782"/>
      <c r="H191" s="785"/>
      <c r="I191" s="788"/>
      <c r="J191" s="329" t="s">
        <v>139</v>
      </c>
      <c r="K191" s="57">
        <f>+$K$15</f>
        <v>841116</v>
      </c>
      <c r="L191" s="803"/>
      <c r="M191" s="797"/>
      <c r="N191" s="791"/>
      <c r="O191" s="791"/>
      <c r="P191" s="794"/>
      <c r="Q191" s="797"/>
      <c r="R191" s="797"/>
      <c r="S191" s="800"/>
      <c r="T191" s="819"/>
      <c r="U191" s="801"/>
      <c r="W191" s="29"/>
      <c r="X191" s="29"/>
      <c r="Y191" s="29"/>
      <c r="Z191" s="29"/>
      <c r="AD191" s="13"/>
      <c r="AE191" s="13"/>
      <c r="AF191" s="13"/>
      <c r="AG191" s="13"/>
      <c r="AH191" s="13"/>
      <c r="AI191" s="13"/>
    </row>
    <row r="192" spans="1:35" s="330" customFormat="1" ht="24.95" hidden="1" customHeight="1">
      <c r="A192" s="328"/>
      <c r="B192" s="774">
        <v>2</v>
      </c>
      <c r="C192" s="804"/>
      <c r="D192" s="804"/>
      <c r="E192" s="804"/>
      <c r="F192" s="804"/>
      <c r="G192" s="807"/>
      <c r="H192" s="783"/>
      <c r="I192" s="810"/>
      <c r="J192" s="329"/>
      <c r="K192" s="57">
        <f>+$K$13</f>
        <v>801016</v>
      </c>
      <c r="L192" s="329"/>
      <c r="M192" s="57">
        <f>+$M$13</f>
        <v>0</v>
      </c>
      <c r="N192" s="789"/>
      <c r="O192" s="789"/>
      <c r="P192" s="792"/>
      <c r="Q192" s="795"/>
      <c r="R192" s="795"/>
      <c r="S192" s="798">
        <f>IF(COUNTIF(J192:K194,"CUMPLE")&gt;=1,(G192*I192),0)* (IF(N192="PRESENTÓ CERTIFICADO",1,0))* (IF(O192="ACORDE A ITEM 5.2.2 (T.R.)",1,0) )* ( IF(OR(Q192="SIN OBSERVACIÓN", Q192="REQUERIMIENTOS SUBSANADOS"),1,0)) *(IF(OR(R192="NINGUNO", R192="CUMPLEN CON LO SOLICITADO"),1,0))</f>
        <v>0</v>
      </c>
      <c r="T192" s="819"/>
      <c r="U192" s="801">
        <f>IF(COUNTIF(L192:M194,"CUMPLE")&gt;=1,1,0)</f>
        <v>0</v>
      </c>
      <c r="W192" s="29"/>
      <c r="X192" s="29"/>
      <c r="Y192" s="29"/>
      <c r="Z192" s="29"/>
      <c r="AD192" s="13"/>
      <c r="AE192" s="13"/>
      <c r="AF192" s="13"/>
      <c r="AG192" s="13"/>
      <c r="AH192" s="13"/>
      <c r="AI192" s="13"/>
    </row>
    <row r="193" spans="1:35" s="330" customFormat="1" ht="24.95" hidden="1" customHeight="1">
      <c r="A193" s="328"/>
      <c r="B193" s="775"/>
      <c r="C193" s="805"/>
      <c r="D193" s="805"/>
      <c r="E193" s="805"/>
      <c r="F193" s="805"/>
      <c r="G193" s="808"/>
      <c r="H193" s="784"/>
      <c r="I193" s="811"/>
      <c r="J193" s="329"/>
      <c r="K193" s="57">
        <f>+$K$14</f>
        <v>811015</v>
      </c>
      <c r="L193" s="802"/>
      <c r="M193" s="795">
        <f>+$M$14</f>
        <v>0</v>
      </c>
      <c r="N193" s="790"/>
      <c r="O193" s="790"/>
      <c r="P193" s="793"/>
      <c r="Q193" s="796"/>
      <c r="R193" s="796"/>
      <c r="S193" s="799"/>
      <c r="T193" s="819"/>
      <c r="U193" s="801"/>
      <c r="W193" s="29"/>
      <c r="X193" s="29"/>
      <c r="Y193" s="29"/>
      <c r="Z193" s="29"/>
      <c r="AD193" s="13"/>
      <c r="AE193" s="13"/>
      <c r="AF193" s="13"/>
      <c r="AG193" s="13"/>
      <c r="AH193" s="13"/>
      <c r="AI193" s="13"/>
    </row>
    <row r="194" spans="1:35" s="330" customFormat="1" ht="24.95" hidden="1" customHeight="1">
      <c r="A194" s="328"/>
      <c r="B194" s="776"/>
      <c r="C194" s="806"/>
      <c r="D194" s="806"/>
      <c r="E194" s="806"/>
      <c r="F194" s="806"/>
      <c r="G194" s="809"/>
      <c r="H194" s="785"/>
      <c r="I194" s="812"/>
      <c r="J194" s="329"/>
      <c r="K194" s="57">
        <f>+$K$15</f>
        <v>841116</v>
      </c>
      <c r="L194" s="803"/>
      <c r="M194" s="797"/>
      <c r="N194" s="791"/>
      <c r="O194" s="791"/>
      <c r="P194" s="794"/>
      <c r="Q194" s="797"/>
      <c r="R194" s="797"/>
      <c r="S194" s="800"/>
      <c r="T194" s="819"/>
      <c r="U194" s="801"/>
      <c r="W194" s="29"/>
      <c r="X194" s="29"/>
      <c r="Y194" s="29"/>
      <c r="Z194" s="29"/>
      <c r="AD194" s="13"/>
      <c r="AE194" s="13"/>
      <c r="AF194" s="13"/>
      <c r="AG194" s="13"/>
      <c r="AH194" s="13"/>
      <c r="AI194" s="13"/>
    </row>
    <row r="195" spans="1:35" s="330" customFormat="1" ht="24.95" hidden="1" customHeight="1">
      <c r="A195" s="328"/>
      <c r="B195" s="774">
        <v>3</v>
      </c>
      <c r="C195" s="777"/>
      <c r="D195" s="777"/>
      <c r="E195" s="777"/>
      <c r="F195" s="777"/>
      <c r="G195" s="780"/>
      <c r="H195" s="783"/>
      <c r="I195" s="786"/>
      <c r="J195" s="329"/>
      <c r="K195" s="57">
        <f>+$K$13</f>
        <v>801016</v>
      </c>
      <c r="L195" s="329"/>
      <c r="M195" s="57">
        <f>+$M$13</f>
        <v>0</v>
      </c>
      <c r="N195" s="789"/>
      <c r="O195" s="789"/>
      <c r="P195" s="792"/>
      <c r="Q195" s="795"/>
      <c r="R195" s="795"/>
      <c r="S195" s="798">
        <f>IF(COUNTIF(J195:K197,"CUMPLE")&gt;=1,(G195*I195),0)* (IF(N195="PRESENTÓ CERTIFICADO",1,0))* (IF(O195="ACORDE A ITEM 5.2.2 (T.R.)",1,0) )* ( IF(OR(Q195="SIN OBSERVACIÓN", Q195="REQUERIMIENTOS SUBSANADOS"),1,0)) *(IF(OR(R195="NINGUNO", R195="CUMPLEN CON LO SOLICITADO"),1,0))</f>
        <v>0</v>
      </c>
      <c r="T195" s="819"/>
      <c r="U195" s="801">
        <f>IF(COUNTIF(L195:M197,"CUMPLE")&gt;=1,1,0)</f>
        <v>0</v>
      </c>
      <c r="W195" s="29"/>
      <c r="X195" s="29"/>
      <c r="Y195" s="29"/>
      <c r="Z195" s="29"/>
      <c r="AA195" s="13"/>
      <c r="AB195" s="13"/>
      <c r="AC195" s="13"/>
      <c r="AD195" s="13"/>
      <c r="AE195" s="13"/>
      <c r="AF195" s="13"/>
      <c r="AG195" s="13"/>
      <c r="AH195" s="13"/>
      <c r="AI195" s="13"/>
    </row>
    <row r="196" spans="1:35" s="330" customFormat="1" ht="24.95" hidden="1" customHeight="1">
      <c r="A196" s="328"/>
      <c r="B196" s="775"/>
      <c r="C196" s="778"/>
      <c r="D196" s="778"/>
      <c r="E196" s="778"/>
      <c r="F196" s="778"/>
      <c r="G196" s="781"/>
      <c r="H196" s="784"/>
      <c r="I196" s="787"/>
      <c r="J196" s="329"/>
      <c r="K196" s="57">
        <f>+$K$14</f>
        <v>811015</v>
      </c>
      <c r="L196" s="802"/>
      <c r="M196" s="795">
        <f>+$M$14</f>
        <v>0</v>
      </c>
      <c r="N196" s="790"/>
      <c r="O196" s="790"/>
      <c r="P196" s="793"/>
      <c r="Q196" s="796"/>
      <c r="R196" s="796"/>
      <c r="S196" s="799"/>
      <c r="T196" s="819"/>
      <c r="U196" s="801"/>
      <c r="W196" s="29"/>
      <c r="X196" s="29"/>
      <c r="Y196" s="29"/>
      <c r="Z196" s="29"/>
      <c r="AH196" s="13"/>
      <c r="AI196" s="13"/>
    </row>
    <row r="197" spans="1:35" s="330" customFormat="1" ht="24.95" hidden="1" customHeight="1">
      <c r="A197" s="328"/>
      <c r="B197" s="776"/>
      <c r="C197" s="779"/>
      <c r="D197" s="779"/>
      <c r="E197" s="779"/>
      <c r="F197" s="779"/>
      <c r="G197" s="782"/>
      <c r="H197" s="785"/>
      <c r="I197" s="788"/>
      <c r="J197" s="329"/>
      <c r="K197" s="57">
        <f>+$K$15</f>
        <v>841116</v>
      </c>
      <c r="L197" s="803"/>
      <c r="M197" s="797"/>
      <c r="N197" s="791"/>
      <c r="O197" s="791"/>
      <c r="P197" s="794"/>
      <c r="Q197" s="797"/>
      <c r="R197" s="797"/>
      <c r="S197" s="800"/>
      <c r="T197" s="819"/>
      <c r="U197" s="801"/>
      <c r="W197" s="29"/>
      <c r="X197" s="29"/>
      <c r="Y197" s="29"/>
      <c r="Z197" s="29"/>
    </row>
    <row r="198" spans="1:35" s="330" customFormat="1" ht="24.95" hidden="1" customHeight="1">
      <c r="A198" s="328"/>
      <c r="B198" s="774">
        <v>4</v>
      </c>
      <c r="C198" s="804"/>
      <c r="D198" s="804"/>
      <c r="E198" s="804"/>
      <c r="F198" s="804"/>
      <c r="G198" s="807"/>
      <c r="H198" s="783"/>
      <c r="I198" s="810"/>
      <c r="J198" s="329"/>
      <c r="K198" s="57">
        <f>+$K$13</f>
        <v>801016</v>
      </c>
      <c r="L198" s="329"/>
      <c r="M198" s="57">
        <f>+$M$13</f>
        <v>0</v>
      </c>
      <c r="N198" s="789"/>
      <c r="O198" s="789"/>
      <c r="P198" s="792"/>
      <c r="Q198" s="795"/>
      <c r="R198" s="795"/>
      <c r="S198" s="798">
        <f>IF(COUNTIF(J198:K200,"CUMPLE")&gt;=1,(G198*I198),0)* (IF(N198="PRESENTÓ CERTIFICADO",1,0))* (IF(O198="ACORDE A ITEM 5.2.2 (T.R.)",1,0) )* ( IF(OR(Q198="SIN OBSERVACIÓN", Q198="REQUERIMIENTOS SUBSANADOS"),1,0)) *(IF(OR(R198="NINGUNO", R198="CUMPLEN CON LO SOLICITADO"),1,0))</f>
        <v>0</v>
      </c>
      <c r="T198" s="819"/>
      <c r="U198" s="801">
        <f>IF(COUNTIF(L198:M200,"CUMPLE")&gt;=1,1,0)</f>
        <v>0</v>
      </c>
      <c r="W198" s="29"/>
      <c r="X198" s="29"/>
      <c r="Y198" s="29"/>
      <c r="Z198" s="29"/>
      <c r="AA198" s="13"/>
      <c r="AB198" s="13"/>
      <c r="AC198" s="13"/>
      <c r="AD198" s="13"/>
      <c r="AE198" s="13"/>
      <c r="AF198" s="13"/>
      <c r="AG198" s="13"/>
    </row>
    <row r="199" spans="1:35" s="330" customFormat="1" ht="24.95" hidden="1" customHeight="1">
      <c r="A199" s="328"/>
      <c r="B199" s="775"/>
      <c r="C199" s="805"/>
      <c r="D199" s="805"/>
      <c r="E199" s="805"/>
      <c r="F199" s="805"/>
      <c r="G199" s="808"/>
      <c r="H199" s="784"/>
      <c r="I199" s="811"/>
      <c r="J199" s="329"/>
      <c r="K199" s="57">
        <f>+$K$14</f>
        <v>811015</v>
      </c>
      <c r="L199" s="802"/>
      <c r="M199" s="795">
        <f>+$M$14</f>
        <v>0</v>
      </c>
      <c r="N199" s="790"/>
      <c r="O199" s="790"/>
      <c r="P199" s="793"/>
      <c r="Q199" s="796"/>
      <c r="R199" s="796"/>
      <c r="S199" s="799"/>
      <c r="T199" s="819"/>
      <c r="U199" s="801"/>
      <c r="W199" s="29"/>
      <c r="X199" s="29"/>
      <c r="Y199" s="29"/>
      <c r="Z199" s="29"/>
      <c r="AA199" s="13"/>
      <c r="AB199" s="13"/>
      <c r="AC199" s="13"/>
      <c r="AD199" s="13"/>
      <c r="AE199" s="13"/>
      <c r="AF199" s="13"/>
      <c r="AG199" s="13"/>
    </row>
    <row r="200" spans="1:35" s="330" customFormat="1" ht="24.95" hidden="1" customHeight="1">
      <c r="A200" s="328"/>
      <c r="B200" s="776"/>
      <c r="C200" s="806"/>
      <c r="D200" s="806"/>
      <c r="E200" s="806"/>
      <c r="F200" s="806"/>
      <c r="G200" s="809"/>
      <c r="H200" s="785"/>
      <c r="I200" s="812"/>
      <c r="J200" s="329"/>
      <c r="K200" s="57">
        <f>+$K$15</f>
        <v>841116</v>
      </c>
      <c r="L200" s="803"/>
      <c r="M200" s="797"/>
      <c r="N200" s="791"/>
      <c r="O200" s="791"/>
      <c r="P200" s="794"/>
      <c r="Q200" s="797"/>
      <c r="R200" s="797"/>
      <c r="S200" s="800"/>
      <c r="T200" s="819"/>
      <c r="U200" s="801"/>
      <c r="W200" s="29"/>
      <c r="X200" s="29"/>
      <c r="Y200" s="29"/>
      <c r="Z200" s="29"/>
      <c r="AA200" s="29"/>
      <c r="AB200" s="29"/>
      <c r="AC200" s="29"/>
      <c r="AD200" s="331"/>
      <c r="AE200" s="331"/>
      <c r="AF200" s="331"/>
      <c r="AG200" s="331"/>
    </row>
    <row r="201" spans="1:35" s="330" customFormat="1" ht="24.95" hidden="1" customHeight="1">
      <c r="A201" s="328"/>
      <c r="B201" s="774">
        <v>5</v>
      </c>
      <c r="C201" s="777"/>
      <c r="D201" s="777"/>
      <c r="E201" s="777"/>
      <c r="F201" s="777"/>
      <c r="G201" s="780"/>
      <c r="H201" s="783"/>
      <c r="I201" s="786"/>
      <c r="J201" s="329"/>
      <c r="K201" s="57">
        <f>+$K$13</f>
        <v>801016</v>
      </c>
      <c r="L201" s="329"/>
      <c r="M201" s="57">
        <f>+$M$13</f>
        <v>0</v>
      </c>
      <c r="N201" s="789"/>
      <c r="O201" s="789"/>
      <c r="P201" s="792"/>
      <c r="Q201" s="795"/>
      <c r="R201" s="795"/>
      <c r="S201" s="798">
        <f>IF(COUNTIF(J201:K203,"CUMPLE")&gt;=1,(G201*I201),0)* (IF(N201="PRESENTÓ CERTIFICADO",1,0))* (IF(O201="ACORDE A ITEM 5.2.2 (T.R.)",1,0) )* ( IF(OR(Q201="SIN OBSERVACIÓN", Q201="REQUERIMIENTOS SUBSANADOS"),1,0)) *(IF(OR(R201="NINGUNO", R201="CUMPLEN CON LO SOLICITADO"),1,0))</f>
        <v>0</v>
      </c>
      <c r="T201" s="819"/>
      <c r="U201" s="801">
        <f>IF(COUNTIF(L201:M203,"CUMPLE")&gt;=1,1,0)</f>
        <v>0</v>
      </c>
      <c r="W201" s="29"/>
      <c r="X201" s="29"/>
      <c r="Y201" s="29"/>
      <c r="Z201" s="29"/>
      <c r="AA201" s="29"/>
      <c r="AB201" s="29"/>
      <c r="AC201" s="29"/>
      <c r="AD201" s="331"/>
      <c r="AE201" s="331"/>
      <c r="AF201" s="331"/>
      <c r="AG201" s="331"/>
    </row>
    <row r="202" spans="1:35" s="330" customFormat="1" ht="24.95" hidden="1" customHeight="1">
      <c r="A202" s="328"/>
      <c r="B202" s="775"/>
      <c r="C202" s="778"/>
      <c r="D202" s="778"/>
      <c r="E202" s="778"/>
      <c r="F202" s="778"/>
      <c r="G202" s="781"/>
      <c r="H202" s="784"/>
      <c r="I202" s="787"/>
      <c r="J202" s="329"/>
      <c r="K202" s="57">
        <f>+$K$14</f>
        <v>811015</v>
      </c>
      <c r="L202" s="802"/>
      <c r="M202" s="795">
        <f>+$M$14</f>
        <v>0</v>
      </c>
      <c r="N202" s="790"/>
      <c r="O202" s="790"/>
      <c r="P202" s="793"/>
      <c r="Q202" s="796"/>
      <c r="R202" s="796"/>
      <c r="S202" s="799"/>
      <c r="T202" s="819"/>
      <c r="U202" s="801"/>
      <c r="W202" s="29"/>
      <c r="X202" s="29"/>
      <c r="Y202" s="29"/>
      <c r="Z202" s="29"/>
      <c r="AA202" s="29"/>
      <c r="AB202" s="29"/>
      <c r="AC202" s="29"/>
    </row>
    <row r="203" spans="1:35" s="330" customFormat="1" ht="24.95" hidden="1" customHeight="1">
      <c r="A203" s="328"/>
      <c r="B203" s="776"/>
      <c r="C203" s="779"/>
      <c r="D203" s="779"/>
      <c r="E203" s="779"/>
      <c r="F203" s="779"/>
      <c r="G203" s="782"/>
      <c r="H203" s="785"/>
      <c r="I203" s="788"/>
      <c r="J203" s="329"/>
      <c r="K203" s="57">
        <f>+$K$15</f>
        <v>841116</v>
      </c>
      <c r="L203" s="803"/>
      <c r="M203" s="797"/>
      <c r="N203" s="791"/>
      <c r="O203" s="791"/>
      <c r="P203" s="794"/>
      <c r="Q203" s="797"/>
      <c r="R203" s="797"/>
      <c r="S203" s="800"/>
      <c r="T203" s="820"/>
      <c r="U203" s="801"/>
      <c r="W203" s="29"/>
      <c r="X203" s="29"/>
      <c r="Y203" s="29"/>
      <c r="Z203" s="29"/>
      <c r="AA203" s="29"/>
      <c r="AB203" s="29"/>
      <c r="AC203" s="29"/>
    </row>
    <row r="204" spans="1:35" ht="24.95" hidden="1" customHeight="1">
      <c r="A204" s="13"/>
      <c r="B204" s="763" t="str">
        <f>IF(S205=" "," ",IF(S205&gt;=$H$6,"CUMPLE CON LA EXPERIENCIA REQUERIDA","NO CUMPLE CON LA EXPERIENCIA REQUERIDA"))</f>
        <v>CUMPLE CON LA EXPERIENCIA REQUERIDA</v>
      </c>
      <c r="C204" s="764"/>
      <c r="D204" s="764"/>
      <c r="E204" s="764"/>
      <c r="F204" s="764"/>
      <c r="G204" s="764"/>
      <c r="H204" s="764"/>
      <c r="I204" s="764"/>
      <c r="J204" s="764"/>
      <c r="K204" s="764"/>
      <c r="L204" s="764"/>
      <c r="M204" s="764"/>
      <c r="N204" s="764"/>
      <c r="O204" s="765"/>
      <c r="P204" s="769" t="s">
        <v>45</v>
      </c>
      <c r="Q204" s="770"/>
      <c r="R204" s="771"/>
      <c r="S204" s="333">
        <f>IF(T189="SI",SUM(S189:S203),0)</f>
        <v>3077.78</v>
      </c>
      <c r="T204" s="772" t="str">
        <f>IF(S205=" "," ",IF(S205&gt;=$H$6,"CUMPLE","NO CUMPLE"))</f>
        <v>CUMPLE</v>
      </c>
      <c r="AA204" s="29"/>
      <c r="AB204" s="29"/>
      <c r="AC204" s="29"/>
      <c r="AD204" s="330"/>
      <c r="AE204" s="330"/>
      <c r="AF204" s="330"/>
      <c r="AG204" s="330"/>
      <c r="AH204" s="330"/>
    </row>
    <row r="205" spans="1:35" s="330" customFormat="1" ht="24.95" hidden="1" customHeight="1">
      <c r="B205" s="766"/>
      <c r="C205" s="767"/>
      <c r="D205" s="767"/>
      <c r="E205" s="767"/>
      <c r="F205" s="767"/>
      <c r="G205" s="767"/>
      <c r="H205" s="767"/>
      <c r="I205" s="767"/>
      <c r="J205" s="767"/>
      <c r="K205" s="767"/>
      <c r="L205" s="767"/>
      <c r="M205" s="767"/>
      <c r="N205" s="767"/>
      <c r="O205" s="768"/>
      <c r="P205" s="769" t="s">
        <v>46</v>
      </c>
      <c r="Q205" s="770"/>
      <c r="R205" s="771"/>
      <c r="S205" s="333">
        <f>IFERROR((S204/$P$6)," ")</f>
        <v>2.2564369501466279</v>
      </c>
      <c r="T205" s="773"/>
      <c r="W205" s="29"/>
      <c r="X205" s="29"/>
      <c r="Y205" s="29"/>
      <c r="Z205" s="29"/>
      <c r="AA205" s="29"/>
      <c r="AB205" s="29"/>
      <c r="AC205" s="29"/>
    </row>
    <row r="206" spans="1:35" ht="30" hidden="1" customHeight="1">
      <c r="AA206" s="29"/>
      <c r="AB206" s="29"/>
      <c r="AC206" s="29"/>
      <c r="AD206" s="330"/>
      <c r="AE206" s="330"/>
      <c r="AF206" s="330"/>
      <c r="AG206" s="330"/>
    </row>
    <row r="207" spans="1:35" ht="30" hidden="1" customHeight="1">
      <c r="AA207" s="29"/>
      <c r="AB207" s="29"/>
      <c r="AC207" s="29"/>
      <c r="AD207" s="330"/>
      <c r="AE207" s="330"/>
      <c r="AF207" s="330"/>
      <c r="AG207" s="330"/>
      <c r="AH207" s="330"/>
    </row>
    <row r="208" spans="1:35" ht="15.75" hidden="1">
      <c r="B208" s="301">
        <v>10</v>
      </c>
      <c r="C208" s="821" t="s">
        <v>24</v>
      </c>
      <c r="D208" s="822"/>
      <c r="E208" s="823"/>
      <c r="F208" s="824">
        <f>IFERROR(VLOOKUP(B208,LISTA_OFERENTES,2,FALSE)," ")</f>
        <v>0</v>
      </c>
      <c r="G208" s="825"/>
      <c r="H208" s="825"/>
      <c r="I208" s="825"/>
      <c r="J208" s="825"/>
      <c r="K208" s="825"/>
      <c r="L208" s="825"/>
      <c r="M208" s="825"/>
      <c r="N208" s="825"/>
      <c r="O208" s="826"/>
      <c r="P208" s="827" t="s">
        <v>25</v>
      </c>
      <c r="Q208" s="828"/>
      <c r="R208" s="829"/>
      <c r="S208" s="321">
        <f>5-(INT(COUNTBLANK(C211:C225))-10)</f>
        <v>0</v>
      </c>
    </row>
    <row r="209" spans="2:21" ht="54" hidden="1" customHeight="1">
      <c r="B209" s="830" t="s">
        <v>26</v>
      </c>
      <c r="C209" s="813" t="s">
        <v>27</v>
      </c>
      <c r="D209" s="813" t="s">
        <v>28</v>
      </c>
      <c r="E209" s="813" t="s">
        <v>29</v>
      </c>
      <c r="F209" s="813" t="s">
        <v>30</v>
      </c>
      <c r="G209" s="813" t="s">
        <v>31</v>
      </c>
      <c r="H209" s="813" t="s">
        <v>32</v>
      </c>
      <c r="I209" s="813" t="s">
        <v>33</v>
      </c>
      <c r="J209" s="832" t="s">
        <v>34</v>
      </c>
      <c r="K209" s="833"/>
      <c r="L209" s="833"/>
      <c r="M209" s="834"/>
      <c r="N209" s="813" t="s">
        <v>35</v>
      </c>
      <c r="O209" s="813" t="s">
        <v>36</v>
      </c>
      <c r="P209" s="832" t="s">
        <v>37</v>
      </c>
      <c r="Q209" s="834"/>
      <c r="R209" s="813" t="s">
        <v>38</v>
      </c>
      <c r="S209" s="813" t="s">
        <v>39</v>
      </c>
      <c r="T209" s="813" t="str">
        <f>+$T$11</f>
        <v>Haber ejecutado contratos en COLOMBIA o en el EXTERIOR que dentro de su objeto o alcance incluyan:
Interventoría a obras de Construcción de edificaciones de los grupos de uso I, II, III o IV, conforme al
título A de la NSR-10.
Obligatorio estar en 811015</v>
      </c>
      <c r="U209" s="813" t="str">
        <f>+$U$11</f>
        <v xml:space="preserve">VERIFICACIÓN CONDICIÓN DE EXPERIENCIA  </v>
      </c>
    </row>
    <row r="210" spans="2:21" ht="51" hidden="1" customHeight="1">
      <c r="B210" s="831"/>
      <c r="C210" s="814"/>
      <c r="D210" s="814"/>
      <c r="E210" s="814"/>
      <c r="F210" s="814"/>
      <c r="G210" s="814"/>
      <c r="H210" s="814"/>
      <c r="I210" s="814"/>
      <c r="J210" s="815" t="s">
        <v>42</v>
      </c>
      <c r="K210" s="816"/>
      <c r="L210" s="816"/>
      <c r="M210" s="817"/>
      <c r="N210" s="814"/>
      <c r="O210" s="814"/>
      <c r="P210" s="323" t="s">
        <v>10</v>
      </c>
      <c r="Q210" s="323" t="s">
        <v>43</v>
      </c>
      <c r="R210" s="814"/>
      <c r="S210" s="814"/>
      <c r="T210" s="814"/>
      <c r="U210" s="814"/>
    </row>
    <row r="211" spans="2:21" ht="25.5" hidden="1" customHeight="1">
      <c r="B211" s="774">
        <v>1</v>
      </c>
      <c r="C211" s="777"/>
      <c r="D211" s="777"/>
      <c r="E211" s="777"/>
      <c r="F211" s="777"/>
      <c r="G211" s="780"/>
      <c r="H211" s="783"/>
      <c r="I211" s="786"/>
      <c r="J211" s="329"/>
      <c r="K211" s="57">
        <f>+$K$13</f>
        <v>801016</v>
      </c>
      <c r="L211" s="329"/>
      <c r="M211" s="57">
        <f>+$M$13</f>
        <v>0</v>
      </c>
      <c r="N211" s="789"/>
      <c r="O211" s="789"/>
      <c r="P211" s="792"/>
      <c r="Q211" s="795"/>
      <c r="R211" s="795"/>
      <c r="S211" s="798">
        <f>IF(COUNTIF(J211:K213,"CUMPLE")&gt;=1,(G211*I211),0)* (IF(N211="PRESENTÓ CERTIFICADO",1,0))* (IF(O211="ACORDE A ITEM 5.2.2 (T.R.)",1,0) )* ( IF(OR(Q211="SIN OBSERVACIÓN", Q211="REQUERIMIENTOS SUBSANADOS"),1,0)) *(IF(OR(R211="NINGUNO", R211="CUMPLEN CON LO SOLICITADO"),1,0))</f>
        <v>0</v>
      </c>
      <c r="T211" s="818"/>
      <c r="U211" s="801">
        <f>IF(COUNTIF(J211:K213,"CUMPLE")&gt;=1,1,0)</f>
        <v>0</v>
      </c>
    </row>
    <row r="212" spans="2:21" ht="25.5" hidden="1" customHeight="1">
      <c r="B212" s="775"/>
      <c r="C212" s="778"/>
      <c r="D212" s="778"/>
      <c r="E212" s="778"/>
      <c r="F212" s="778"/>
      <c r="G212" s="781"/>
      <c r="H212" s="784"/>
      <c r="I212" s="787"/>
      <c r="J212" s="329"/>
      <c r="K212" s="57">
        <f>+$K$14</f>
        <v>811015</v>
      </c>
      <c r="L212" s="802"/>
      <c r="M212" s="795">
        <f>+$M$14</f>
        <v>0</v>
      </c>
      <c r="N212" s="790"/>
      <c r="O212" s="790"/>
      <c r="P212" s="793"/>
      <c r="Q212" s="796"/>
      <c r="R212" s="796"/>
      <c r="S212" s="799"/>
      <c r="T212" s="819"/>
      <c r="U212" s="801"/>
    </row>
    <row r="213" spans="2:21" ht="25.5" hidden="1" customHeight="1">
      <c r="B213" s="776"/>
      <c r="C213" s="779"/>
      <c r="D213" s="779"/>
      <c r="E213" s="779"/>
      <c r="F213" s="779"/>
      <c r="G213" s="782"/>
      <c r="H213" s="785"/>
      <c r="I213" s="788"/>
      <c r="J213" s="329"/>
      <c r="K213" s="57">
        <f>+$K$15</f>
        <v>841116</v>
      </c>
      <c r="L213" s="803"/>
      <c r="M213" s="797"/>
      <c r="N213" s="791"/>
      <c r="O213" s="791"/>
      <c r="P213" s="794"/>
      <c r="Q213" s="797"/>
      <c r="R213" s="797"/>
      <c r="S213" s="800"/>
      <c r="T213" s="819"/>
      <c r="U213" s="801"/>
    </row>
    <row r="214" spans="2:21" ht="25.5" hidden="1" customHeight="1">
      <c r="B214" s="774">
        <v>2</v>
      </c>
      <c r="C214" s="804"/>
      <c r="D214" s="804"/>
      <c r="E214" s="804"/>
      <c r="F214" s="804"/>
      <c r="G214" s="807"/>
      <c r="H214" s="783"/>
      <c r="I214" s="810"/>
      <c r="J214" s="329"/>
      <c r="K214" s="57">
        <f>+$K$13</f>
        <v>801016</v>
      </c>
      <c r="L214" s="329"/>
      <c r="M214" s="57">
        <f>+$M$13</f>
        <v>0</v>
      </c>
      <c r="N214" s="789"/>
      <c r="O214" s="789"/>
      <c r="P214" s="792"/>
      <c r="Q214" s="795"/>
      <c r="R214" s="795"/>
      <c r="S214" s="798">
        <f>IF(COUNTIF(J214:K216,"CUMPLE")&gt;=1,(G214*I214),0)* (IF(N214="PRESENTÓ CERTIFICADO",1,0))* (IF(O214="ACORDE A ITEM 5.2.2 (T.R.)",1,0) )* ( IF(OR(Q214="SIN OBSERVACIÓN", Q214="REQUERIMIENTOS SUBSANADOS"),1,0)) *(IF(OR(R214="NINGUNO", R214="CUMPLEN CON LO SOLICITADO"),1,0))</f>
        <v>0</v>
      </c>
      <c r="T214" s="819"/>
      <c r="U214" s="801">
        <f>IF(COUNTIF(L214:M216,"CUMPLE")&gt;=1,1,0)</f>
        <v>0</v>
      </c>
    </row>
    <row r="215" spans="2:21" ht="25.5" hidden="1" customHeight="1">
      <c r="B215" s="775"/>
      <c r="C215" s="805"/>
      <c r="D215" s="805"/>
      <c r="E215" s="805"/>
      <c r="F215" s="805"/>
      <c r="G215" s="808"/>
      <c r="H215" s="784"/>
      <c r="I215" s="811"/>
      <c r="J215" s="329"/>
      <c r="K215" s="57">
        <f>+$K$14</f>
        <v>811015</v>
      </c>
      <c r="L215" s="802"/>
      <c r="M215" s="795">
        <f>+$M$14</f>
        <v>0</v>
      </c>
      <c r="N215" s="790"/>
      <c r="O215" s="790"/>
      <c r="P215" s="793"/>
      <c r="Q215" s="796"/>
      <c r="R215" s="796"/>
      <c r="S215" s="799"/>
      <c r="T215" s="819"/>
      <c r="U215" s="801"/>
    </row>
    <row r="216" spans="2:21" ht="25.5" hidden="1" customHeight="1">
      <c r="B216" s="776"/>
      <c r="C216" s="806"/>
      <c r="D216" s="806"/>
      <c r="E216" s="806"/>
      <c r="F216" s="806"/>
      <c r="G216" s="809"/>
      <c r="H216" s="785"/>
      <c r="I216" s="812"/>
      <c r="J216" s="329"/>
      <c r="K216" s="57">
        <f>+$K$15</f>
        <v>841116</v>
      </c>
      <c r="L216" s="803"/>
      <c r="M216" s="797"/>
      <c r="N216" s="791"/>
      <c r="O216" s="791"/>
      <c r="P216" s="794"/>
      <c r="Q216" s="797"/>
      <c r="R216" s="797"/>
      <c r="S216" s="800"/>
      <c r="T216" s="819"/>
      <c r="U216" s="801"/>
    </row>
    <row r="217" spans="2:21" ht="25.5" hidden="1" customHeight="1">
      <c r="B217" s="774">
        <v>3</v>
      </c>
      <c r="C217" s="777"/>
      <c r="D217" s="777"/>
      <c r="E217" s="777"/>
      <c r="F217" s="777"/>
      <c r="G217" s="780"/>
      <c r="H217" s="783"/>
      <c r="I217" s="786"/>
      <c r="J217" s="329"/>
      <c r="K217" s="57">
        <f>+$K$13</f>
        <v>801016</v>
      </c>
      <c r="L217" s="329"/>
      <c r="M217" s="57">
        <f>+$M$13</f>
        <v>0</v>
      </c>
      <c r="N217" s="789"/>
      <c r="O217" s="789"/>
      <c r="P217" s="792"/>
      <c r="Q217" s="795"/>
      <c r="R217" s="795"/>
      <c r="S217" s="798">
        <f>IF(COUNTIF(J217:K219,"CUMPLE")&gt;=1,(G217*I217),0)* (IF(N217="PRESENTÓ CERTIFICADO",1,0))* (IF(O217="ACORDE A ITEM 5.2.2 (T.R.)",1,0) )* ( IF(OR(Q217="SIN OBSERVACIÓN", Q217="REQUERIMIENTOS SUBSANADOS"),1,0)) *(IF(OR(R217="NINGUNO", R217="CUMPLEN CON LO SOLICITADO"),1,0))</f>
        <v>0</v>
      </c>
      <c r="T217" s="819"/>
      <c r="U217" s="801">
        <f>IF(COUNTIF(L217:M219,"CUMPLE")&gt;=1,1,0)</f>
        <v>0</v>
      </c>
    </row>
    <row r="218" spans="2:21" ht="25.5" hidden="1" customHeight="1">
      <c r="B218" s="775"/>
      <c r="C218" s="778"/>
      <c r="D218" s="778"/>
      <c r="E218" s="778"/>
      <c r="F218" s="778"/>
      <c r="G218" s="781"/>
      <c r="H218" s="784"/>
      <c r="I218" s="787"/>
      <c r="J218" s="329"/>
      <c r="K218" s="57">
        <f>+$K$14</f>
        <v>811015</v>
      </c>
      <c r="L218" s="802"/>
      <c r="M218" s="795">
        <f>+$M$14</f>
        <v>0</v>
      </c>
      <c r="N218" s="790"/>
      <c r="O218" s="790"/>
      <c r="P218" s="793"/>
      <c r="Q218" s="796"/>
      <c r="R218" s="796"/>
      <c r="S218" s="799"/>
      <c r="T218" s="819"/>
      <c r="U218" s="801"/>
    </row>
    <row r="219" spans="2:21" ht="25.5" hidden="1" customHeight="1">
      <c r="B219" s="776"/>
      <c r="C219" s="779"/>
      <c r="D219" s="779"/>
      <c r="E219" s="779"/>
      <c r="F219" s="779"/>
      <c r="G219" s="782"/>
      <c r="H219" s="785"/>
      <c r="I219" s="788"/>
      <c r="J219" s="329"/>
      <c r="K219" s="57">
        <f>+$K$15</f>
        <v>841116</v>
      </c>
      <c r="L219" s="803"/>
      <c r="M219" s="797"/>
      <c r="N219" s="791"/>
      <c r="O219" s="791"/>
      <c r="P219" s="794"/>
      <c r="Q219" s="797"/>
      <c r="R219" s="797"/>
      <c r="S219" s="800"/>
      <c r="T219" s="819"/>
      <c r="U219" s="801"/>
    </row>
    <row r="220" spans="2:21" ht="25.5" hidden="1" customHeight="1">
      <c r="B220" s="774">
        <v>4</v>
      </c>
      <c r="C220" s="804"/>
      <c r="D220" s="804"/>
      <c r="E220" s="804"/>
      <c r="F220" s="804"/>
      <c r="G220" s="807"/>
      <c r="H220" s="783"/>
      <c r="I220" s="810"/>
      <c r="J220" s="329"/>
      <c r="K220" s="57">
        <f>+$K$13</f>
        <v>801016</v>
      </c>
      <c r="L220" s="329"/>
      <c r="M220" s="57">
        <f>+$M$13</f>
        <v>0</v>
      </c>
      <c r="N220" s="789"/>
      <c r="O220" s="789"/>
      <c r="P220" s="792"/>
      <c r="Q220" s="795"/>
      <c r="R220" s="795"/>
      <c r="S220" s="798">
        <f>IF(COUNTIF(J220:K222,"CUMPLE")&gt;=1,(G220*I220),0)* (IF(N220="PRESENTÓ CERTIFICADO",1,0))* (IF(O220="ACORDE A ITEM 5.2.2 (T.R.)",1,0) )* ( IF(OR(Q220="SIN OBSERVACIÓN", Q220="REQUERIMIENTOS SUBSANADOS"),1,0)) *(IF(OR(R220="NINGUNO", R220="CUMPLEN CON LO SOLICITADO"),1,0))</f>
        <v>0</v>
      </c>
      <c r="T220" s="819"/>
      <c r="U220" s="801">
        <f>IF(COUNTIF(L220:M222,"CUMPLE")&gt;=1,1,0)</f>
        <v>0</v>
      </c>
    </row>
    <row r="221" spans="2:21" ht="25.5" hidden="1" customHeight="1">
      <c r="B221" s="775"/>
      <c r="C221" s="805"/>
      <c r="D221" s="805"/>
      <c r="E221" s="805"/>
      <c r="F221" s="805"/>
      <c r="G221" s="808"/>
      <c r="H221" s="784"/>
      <c r="I221" s="811"/>
      <c r="J221" s="329"/>
      <c r="K221" s="57">
        <f>+$K$14</f>
        <v>811015</v>
      </c>
      <c r="L221" s="802"/>
      <c r="M221" s="795">
        <f>+$M$14</f>
        <v>0</v>
      </c>
      <c r="N221" s="790"/>
      <c r="O221" s="790"/>
      <c r="P221" s="793"/>
      <c r="Q221" s="796"/>
      <c r="R221" s="796"/>
      <c r="S221" s="799"/>
      <c r="T221" s="819"/>
      <c r="U221" s="801"/>
    </row>
    <row r="222" spans="2:21" ht="25.5" hidden="1" customHeight="1">
      <c r="B222" s="776"/>
      <c r="C222" s="806"/>
      <c r="D222" s="806"/>
      <c r="E222" s="806"/>
      <c r="F222" s="806"/>
      <c r="G222" s="809"/>
      <c r="H222" s="785"/>
      <c r="I222" s="812"/>
      <c r="J222" s="329"/>
      <c r="K222" s="57">
        <f>+$K$15</f>
        <v>841116</v>
      </c>
      <c r="L222" s="803"/>
      <c r="M222" s="797"/>
      <c r="N222" s="791"/>
      <c r="O222" s="791"/>
      <c r="P222" s="794"/>
      <c r="Q222" s="797"/>
      <c r="R222" s="797"/>
      <c r="S222" s="800"/>
      <c r="T222" s="819"/>
      <c r="U222" s="801"/>
    </row>
    <row r="223" spans="2:21" ht="25.5" hidden="1" customHeight="1">
      <c r="B223" s="774">
        <v>5</v>
      </c>
      <c r="C223" s="777"/>
      <c r="D223" s="777"/>
      <c r="E223" s="777"/>
      <c r="F223" s="777"/>
      <c r="G223" s="780"/>
      <c r="H223" s="783"/>
      <c r="I223" s="786"/>
      <c r="J223" s="329"/>
      <c r="K223" s="57">
        <f>+$K$13</f>
        <v>801016</v>
      </c>
      <c r="L223" s="329"/>
      <c r="M223" s="57">
        <f>+$M$13</f>
        <v>0</v>
      </c>
      <c r="N223" s="789"/>
      <c r="O223" s="789"/>
      <c r="P223" s="792"/>
      <c r="Q223" s="795"/>
      <c r="R223" s="795"/>
      <c r="S223" s="798">
        <f>IF(COUNTIF(J223:K225,"CUMPLE")&gt;=1,(G223*I223),0)* (IF(N223="PRESENTÓ CERTIFICADO",1,0))* (IF(O223="ACORDE A ITEM 5.2.2 (T.R.)",1,0) )* ( IF(OR(Q223="SIN OBSERVACIÓN", Q223="REQUERIMIENTOS SUBSANADOS"),1,0)) *(IF(OR(R223="NINGUNO", R223="CUMPLEN CON LO SOLICITADO"),1,0))</f>
        <v>0</v>
      </c>
      <c r="T223" s="819"/>
      <c r="U223" s="801">
        <f>IF(COUNTIF(L223:M225,"CUMPLE")&gt;=1,1,0)</f>
        <v>0</v>
      </c>
    </row>
    <row r="224" spans="2:21" ht="25.5" hidden="1" customHeight="1">
      <c r="B224" s="775"/>
      <c r="C224" s="778"/>
      <c r="D224" s="778"/>
      <c r="E224" s="778"/>
      <c r="F224" s="778"/>
      <c r="G224" s="781"/>
      <c r="H224" s="784"/>
      <c r="I224" s="787"/>
      <c r="J224" s="329"/>
      <c r="K224" s="57">
        <f>+$K$14</f>
        <v>811015</v>
      </c>
      <c r="L224" s="802"/>
      <c r="M224" s="795">
        <f>+$M$14</f>
        <v>0</v>
      </c>
      <c r="N224" s="790"/>
      <c r="O224" s="790"/>
      <c r="P224" s="793"/>
      <c r="Q224" s="796"/>
      <c r="R224" s="796"/>
      <c r="S224" s="799"/>
      <c r="T224" s="819"/>
      <c r="U224" s="801"/>
    </row>
    <row r="225" spans="2:21" ht="25.5" hidden="1" customHeight="1">
      <c r="B225" s="776"/>
      <c r="C225" s="779"/>
      <c r="D225" s="779"/>
      <c r="E225" s="779"/>
      <c r="F225" s="779"/>
      <c r="G225" s="782"/>
      <c r="H225" s="785"/>
      <c r="I225" s="788"/>
      <c r="J225" s="329"/>
      <c r="K225" s="57">
        <f>+$K$15</f>
        <v>841116</v>
      </c>
      <c r="L225" s="803"/>
      <c r="M225" s="797"/>
      <c r="N225" s="791"/>
      <c r="O225" s="791"/>
      <c r="P225" s="794"/>
      <c r="Q225" s="797"/>
      <c r="R225" s="797"/>
      <c r="S225" s="800"/>
      <c r="T225" s="820"/>
      <c r="U225" s="801"/>
    </row>
    <row r="226" spans="2:21" ht="18" hidden="1" customHeight="1">
      <c r="B226" s="763" t="str">
        <f>IF(S227=" "," ",IF(S227&gt;=$H$6,"CUMPLE CON LA EXPERIENCIA REQUERIDA","NO CUMPLE CON LA EXPERIENCIA REQUERIDA"))</f>
        <v>NO CUMPLE CON LA EXPERIENCIA REQUERIDA</v>
      </c>
      <c r="C226" s="764"/>
      <c r="D226" s="764"/>
      <c r="E226" s="764"/>
      <c r="F226" s="764"/>
      <c r="G226" s="764"/>
      <c r="H226" s="764"/>
      <c r="I226" s="764"/>
      <c r="J226" s="764"/>
      <c r="K226" s="764"/>
      <c r="L226" s="764"/>
      <c r="M226" s="764"/>
      <c r="N226" s="764"/>
      <c r="O226" s="765"/>
      <c r="P226" s="769" t="s">
        <v>45</v>
      </c>
      <c r="Q226" s="770"/>
      <c r="R226" s="771"/>
      <c r="S226" s="333">
        <f>IF(T211="SI",SUM(S211:S225),0)</f>
        <v>0</v>
      </c>
      <c r="T226" s="772" t="str">
        <f>IF(S227=" "," ",IF(S227&gt;=$H$6,"CUMPLE","NO CUMPLE"))</f>
        <v>NO CUMPLE</v>
      </c>
    </row>
    <row r="227" spans="2:21" ht="18" hidden="1" customHeight="1">
      <c r="B227" s="766"/>
      <c r="C227" s="767"/>
      <c r="D227" s="767"/>
      <c r="E227" s="767"/>
      <c r="F227" s="767"/>
      <c r="G227" s="767"/>
      <c r="H227" s="767"/>
      <c r="I227" s="767"/>
      <c r="J227" s="767"/>
      <c r="K227" s="767"/>
      <c r="L227" s="767"/>
      <c r="M227" s="767"/>
      <c r="N227" s="767"/>
      <c r="O227" s="768"/>
      <c r="P227" s="769" t="s">
        <v>46</v>
      </c>
      <c r="Q227" s="770"/>
      <c r="R227" s="771"/>
      <c r="S227" s="333">
        <f>IFERROR((S226/$P$6)," ")</f>
        <v>0</v>
      </c>
      <c r="T227" s="773"/>
      <c r="U227" s="330"/>
    </row>
    <row r="228" spans="2:21" hidden="1"/>
    <row r="229" spans="2:21" hidden="1"/>
    <row r="230" spans="2:21" ht="15.75" hidden="1">
      <c r="B230" s="301">
        <v>11</v>
      </c>
      <c r="C230" s="821" t="s">
        <v>24</v>
      </c>
      <c r="D230" s="822"/>
      <c r="E230" s="823"/>
      <c r="F230" s="824">
        <f>IFERROR(VLOOKUP(B230,LISTA_OFERENTES,2,FALSE)," ")</f>
        <v>0</v>
      </c>
      <c r="G230" s="825"/>
      <c r="H230" s="825"/>
      <c r="I230" s="825"/>
      <c r="J230" s="825"/>
      <c r="K230" s="825"/>
      <c r="L230" s="825"/>
      <c r="M230" s="825"/>
      <c r="N230" s="825"/>
      <c r="O230" s="826"/>
      <c r="P230" s="827" t="s">
        <v>25</v>
      </c>
      <c r="Q230" s="828"/>
      <c r="R230" s="829"/>
      <c r="S230" s="321">
        <f>5-(INT(COUNTBLANK(C233:C247))-10)</f>
        <v>0</v>
      </c>
    </row>
    <row r="231" spans="2:21" ht="41.25" hidden="1" customHeight="1">
      <c r="B231" s="830" t="s">
        <v>26</v>
      </c>
      <c r="C231" s="813" t="s">
        <v>27</v>
      </c>
      <c r="D231" s="813" t="s">
        <v>28</v>
      </c>
      <c r="E231" s="813" t="s">
        <v>29</v>
      </c>
      <c r="F231" s="813" t="s">
        <v>30</v>
      </c>
      <c r="G231" s="813" t="s">
        <v>31</v>
      </c>
      <c r="H231" s="813" t="s">
        <v>32</v>
      </c>
      <c r="I231" s="813" t="s">
        <v>33</v>
      </c>
      <c r="J231" s="832" t="s">
        <v>34</v>
      </c>
      <c r="K231" s="833"/>
      <c r="L231" s="833"/>
      <c r="M231" s="834"/>
      <c r="N231" s="813" t="s">
        <v>35</v>
      </c>
      <c r="O231" s="813" t="s">
        <v>36</v>
      </c>
      <c r="P231" s="832" t="s">
        <v>37</v>
      </c>
      <c r="Q231" s="834"/>
      <c r="R231" s="813" t="s">
        <v>38</v>
      </c>
      <c r="S231" s="813" t="s">
        <v>39</v>
      </c>
      <c r="T231" s="813" t="str">
        <f>+$T$11</f>
        <v>Haber ejecutado contratos en COLOMBIA o en el EXTERIOR que dentro de su objeto o alcance incluyan:
Interventoría a obras de Construcción de edificaciones de los grupos de uso I, II, III o IV, conforme al
título A de la NSR-10.
Obligatorio estar en 811015</v>
      </c>
      <c r="U231" s="813" t="str">
        <f>+$U$11</f>
        <v xml:space="preserve">VERIFICACIÓN CONDICIÓN DE EXPERIENCIA  </v>
      </c>
    </row>
    <row r="232" spans="2:21" ht="63" hidden="1" customHeight="1">
      <c r="B232" s="831"/>
      <c r="C232" s="814"/>
      <c r="D232" s="814"/>
      <c r="E232" s="814"/>
      <c r="F232" s="814"/>
      <c r="G232" s="814"/>
      <c r="H232" s="814"/>
      <c r="I232" s="814"/>
      <c r="J232" s="815" t="s">
        <v>42</v>
      </c>
      <c r="K232" s="816"/>
      <c r="L232" s="816"/>
      <c r="M232" s="817"/>
      <c r="N232" s="814"/>
      <c r="O232" s="814"/>
      <c r="P232" s="323" t="s">
        <v>10</v>
      </c>
      <c r="Q232" s="323" t="s">
        <v>43</v>
      </c>
      <c r="R232" s="814"/>
      <c r="S232" s="814"/>
      <c r="T232" s="814"/>
      <c r="U232" s="814"/>
    </row>
    <row r="233" spans="2:21" ht="21.75" hidden="1" customHeight="1">
      <c r="B233" s="774">
        <v>1</v>
      </c>
      <c r="C233" s="777"/>
      <c r="D233" s="777"/>
      <c r="E233" s="777"/>
      <c r="F233" s="777"/>
      <c r="G233" s="780"/>
      <c r="H233" s="783"/>
      <c r="I233" s="786"/>
      <c r="J233" s="329"/>
      <c r="K233" s="57">
        <f>+$K$13</f>
        <v>801016</v>
      </c>
      <c r="L233" s="329"/>
      <c r="M233" s="57">
        <f>+$M$13</f>
        <v>0</v>
      </c>
      <c r="N233" s="789"/>
      <c r="O233" s="789"/>
      <c r="P233" s="792"/>
      <c r="Q233" s="795"/>
      <c r="R233" s="795"/>
      <c r="S233" s="798">
        <f>IF(COUNTIF(J233:K235,"CUMPLE")&gt;=1,(G233*I233),0)* (IF(N233="PRESENTÓ CERTIFICADO",1,0))* (IF(O233="ACORDE A ITEM 5.2.2 (T.R.)",1,0) )* ( IF(OR(Q233="SIN OBSERVACIÓN", Q233="REQUERIMIENTOS SUBSANADOS"),1,0)) *(IF(OR(R233="NINGUNO", R233="CUMPLEN CON LO SOLICITADO"),1,0))</f>
        <v>0</v>
      </c>
      <c r="T233" s="818"/>
      <c r="U233" s="801">
        <f>IF(COUNTIF(J233:K235,"CUMPLE")&gt;=1,1,0)</f>
        <v>0</v>
      </c>
    </row>
    <row r="234" spans="2:21" ht="21.75" hidden="1" customHeight="1">
      <c r="B234" s="775"/>
      <c r="C234" s="778"/>
      <c r="D234" s="778"/>
      <c r="E234" s="778"/>
      <c r="F234" s="778"/>
      <c r="G234" s="781"/>
      <c r="H234" s="784"/>
      <c r="I234" s="787"/>
      <c r="J234" s="329"/>
      <c r="K234" s="57">
        <f>+$K$14</f>
        <v>811015</v>
      </c>
      <c r="L234" s="802"/>
      <c r="M234" s="795">
        <f>+$M$14</f>
        <v>0</v>
      </c>
      <c r="N234" s="790"/>
      <c r="O234" s="790"/>
      <c r="P234" s="793"/>
      <c r="Q234" s="796"/>
      <c r="R234" s="796"/>
      <c r="S234" s="799"/>
      <c r="T234" s="819"/>
      <c r="U234" s="801"/>
    </row>
    <row r="235" spans="2:21" ht="21.75" hidden="1" customHeight="1">
      <c r="B235" s="776"/>
      <c r="C235" s="779"/>
      <c r="D235" s="779"/>
      <c r="E235" s="779"/>
      <c r="F235" s="779"/>
      <c r="G235" s="782"/>
      <c r="H235" s="785"/>
      <c r="I235" s="788"/>
      <c r="J235" s="329"/>
      <c r="K235" s="57">
        <f>+$K$15</f>
        <v>841116</v>
      </c>
      <c r="L235" s="803"/>
      <c r="M235" s="797"/>
      <c r="N235" s="791"/>
      <c r="O235" s="791"/>
      <c r="P235" s="794"/>
      <c r="Q235" s="797"/>
      <c r="R235" s="797"/>
      <c r="S235" s="800"/>
      <c r="T235" s="819"/>
      <c r="U235" s="801"/>
    </row>
    <row r="236" spans="2:21" ht="23.25" hidden="1" customHeight="1">
      <c r="B236" s="774">
        <v>2</v>
      </c>
      <c r="C236" s="804"/>
      <c r="D236" s="804"/>
      <c r="E236" s="804"/>
      <c r="F236" s="804"/>
      <c r="G236" s="807"/>
      <c r="H236" s="783"/>
      <c r="I236" s="786"/>
      <c r="J236" s="329"/>
      <c r="K236" s="57">
        <f>+$K$13</f>
        <v>801016</v>
      </c>
      <c r="L236" s="329"/>
      <c r="M236" s="57">
        <f>+$M$13</f>
        <v>0</v>
      </c>
      <c r="N236" s="789"/>
      <c r="O236" s="789"/>
      <c r="P236" s="792"/>
      <c r="Q236" s="795"/>
      <c r="R236" s="795"/>
      <c r="S236" s="798">
        <f>IF(COUNTIF(J236:K238,"CUMPLE")&gt;=1,(G236*I236),0)* (IF(N236="PRESENTÓ CERTIFICADO",1,0))* (IF(O236="ACORDE A ITEM 5.2.2 (T.R.)",1,0) )* ( IF(OR(Q236="SIN OBSERVACIÓN", Q236="REQUERIMIENTOS SUBSANADOS"),1,0)) *(IF(OR(R236="NINGUNO", R236="CUMPLEN CON LO SOLICITADO"),1,0))</f>
        <v>0</v>
      </c>
      <c r="T236" s="819"/>
      <c r="U236" s="801">
        <f>IF(COUNTIF(J236:K238,"CUMPLE")&gt;=1,1,0)</f>
        <v>0</v>
      </c>
    </row>
    <row r="237" spans="2:21" ht="23.25" hidden="1" customHeight="1">
      <c r="B237" s="775"/>
      <c r="C237" s="805"/>
      <c r="D237" s="805"/>
      <c r="E237" s="805"/>
      <c r="F237" s="805"/>
      <c r="G237" s="808"/>
      <c r="H237" s="784"/>
      <c r="I237" s="787"/>
      <c r="J237" s="329"/>
      <c r="K237" s="57">
        <f>+$K$14</f>
        <v>811015</v>
      </c>
      <c r="L237" s="802"/>
      <c r="M237" s="795">
        <f>+$M$14</f>
        <v>0</v>
      </c>
      <c r="N237" s="790"/>
      <c r="O237" s="790"/>
      <c r="P237" s="793"/>
      <c r="Q237" s="796"/>
      <c r="R237" s="796"/>
      <c r="S237" s="799"/>
      <c r="T237" s="819"/>
      <c r="U237" s="801"/>
    </row>
    <row r="238" spans="2:21" ht="23.25" hidden="1" customHeight="1">
      <c r="B238" s="776"/>
      <c r="C238" s="806"/>
      <c r="D238" s="806"/>
      <c r="E238" s="806"/>
      <c r="F238" s="806"/>
      <c r="G238" s="809"/>
      <c r="H238" s="785"/>
      <c r="I238" s="788"/>
      <c r="J238" s="329"/>
      <c r="K238" s="57">
        <f>+$K$15</f>
        <v>841116</v>
      </c>
      <c r="L238" s="803"/>
      <c r="M238" s="797"/>
      <c r="N238" s="791"/>
      <c r="O238" s="791"/>
      <c r="P238" s="794"/>
      <c r="Q238" s="797"/>
      <c r="R238" s="797"/>
      <c r="S238" s="800"/>
      <c r="T238" s="819"/>
      <c r="U238" s="801"/>
    </row>
    <row r="239" spans="2:21" ht="23.25" hidden="1" customHeight="1">
      <c r="B239" s="774">
        <v>3</v>
      </c>
      <c r="C239" s="777"/>
      <c r="D239" s="777"/>
      <c r="E239" s="777"/>
      <c r="F239" s="777"/>
      <c r="G239" s="780"/>
      <c r="H239" s="783"/>
      <c r="I239" s="786"/>
      <c r="J239" s="329"/>
      <c r="K239" s="57">
        <f>+$K$13</f>
        <v>801016</v>
      </c>
      <c r="L239" s="329"/>
      <c r="M239" s="57">
        <f>+$M$13</f>
        <v>0</v>
      </c>
      <c r="N239" s="789"/>
      <c r="O239" s="789"/>
      <c r="P239" s="792"/>
      <c r="Q239" s="795"/>
      <c r="R239" s="795"/>
      <c r="S239" s="798">
        <f>IF(COUNTIF(J239:K241,"CUMPLE")&gt;=1,(G239*I239),0)* (IF(N239="PRESENTÓ CERTIFICADO",1,0))* (IF(O239="ACORDE A ITEM 5.2.2 (T.R.)",1,0) )* ( IF(OR(Q239="SIN OBSERVACIÓN", Q239="REQUERIMIENTOS SUBSANADOS"),1,0)) *(IF(OR(R239="NINGUNO", R239="CUMPLEN CON LO SOLICITADO"),1,0))</f>
        <v>0</v>
      </c>
      <c r="T239" s="819"/>
      <c r="U239" s="801">
        <f>IF(COUNTIF(J239:K241,"CUMPLE")&gt;=1,1,0)</f>
        <v>0</v>
      </c>
    </row>
    <row r="240" spans="2:21" ht="23.25" hidden="1" customHeight="1">
      <c r="B240" s="775"/>
      <c r="C240" s="778"/>
      <c r="D240" s="778"/>
      <c r="E240" s="778"/>
      <c r="F240" s="778"/>
      <c r="G240" s="781"/>
      <c r="H240" s="784"/>
      <c r="I240" s="787"/>
      <c r="J240" s="329"/>
      <c r="K240" s="57">
        <f>+$K$14</f>
        <v>811015</v>
      </c>
      <c r="L240" s="802"/>
      <c r="M240" s="795">
        <f>+$M$14</f>
        <v>0</v>
      </c>
      <c r="N240" s="790"/>
      <c r="O240" s="790"/>
      <c r="P240" s="793"/>
      <c r="Q240" s="796"/>
      <c r="R240" s="796"/>
      <c r="S240" s="799"/>
      <c r="T240" s="819"/>
      <c r="U240" s="801"/>
    </row>
    <row r="241" spans="2:21" ht="23.25" hidden="1" customHeight="1">
      <c r="B241" s="776"/>
      <c r="C241" s="779"/>
      <c r="D241" s="779"/>
      <c r="E241" s="779"/>
      <c r="F241" s="779"/>
      <c r="G241" s="782"/>
      <c r="H241" s="785"/>
      <c r="I241" s="788"/>
      <c r="J241" s="329"/>
      <c r="K241" s="57">
        <f>+$K$15</f>
        <v>841116</v>
      </c>
      <c r="L241" s="803"/>
      <c r="M241" s="797"/>
      <c r="N241" s="791"/>
      <c r="O241" s="791"/>
      <c r="P241" s="794"/>
      <c r="Q241" s="797"/>
      <c r="R241" s="797"/>
      <c r="S241" s="800"/>
      <c r="T241" s="819"/>
      <c r="U241" s="801"/>
    </row>
    <row r="242" spans="2:21" ht="23.25" hidden="1" customHeight="1">
      <c r="B242" s="774">
        <v>4</v>
      </c>
      <c r="C242" s="804"/>
      <c r="D242" s="804"/>
      <c r="E242" s="804"/>
      <c r="F242" s="804"/>
      <c r="G242" s="807"/>
      <c r="H242" s="783"/>
      <c r="I242" s="810"/>
      <c r="J242" s="329"/>
      <c r="K242" s="57">
        <f>+$K$13</f>
        <v>801016</v>
      </c>
      <c r="L242" s="329"/>
      <c r="M242" s="57">
        <f>+$M$13</f>
        <v>0</v>
      </c>
      <c r="N242" s="789"/>
      <c r="O242" s="789"/>
      <c r="P242" s="792"/>
      <c r="Q242" s="795"/>
      <c r="R242" s="795"/>
      <c r="S242" s="798">
        <f>IF(COUNTIF(J242:K244,"CUMPLE")&gt;=1,(G242*I242),0)* (IF(N242="PRESENTÓ CERTIFICADO",1,0))* (IF(O242="ACORDE A ITEM 5.2.2 (T.R.)",1,0) )* ( IF(OR(Q242="SIN OBSERVACIÓN", Q242="REQUERIMIENTOS SUBSANADOS"),1,0)) *(IF(OR(R242="NINGUNO", R242="CUMPLEN CON LO SOLICITADO"),1,0))</f>
        <v>0</v>
      </c>
      <c r="T242" s="819"/>
      <c r="U242" s="801">
        <f>IF(COUNTIF(L242:M244,"CUMPLE")&gt;=1,1,0)</f>
        <v>0</v>
      </c>
    </row>
    <row r="243" spans="2:21" ht="23.25" hidden="1" customHeight="1">
      <c r="B243" s="775"/>
      <c r="C243" s="805"/>
      <c r="D243" s="805"/>
      <c r="E243" s="805"/>
      <c r="F243" s="805"/>
      <c r="G243" s="808"/>
      <c r="H243" s="784"/>
      <c r="I243" s="811"/>
      <c r="J243" s="329"/>
      <c r="K243" s="57">
        <f>+$K$14</f>
        <v>811015</v>
      </c>
      <c r="L243" s="802"/>
      <c r="M243" s="795">
        <f>+$M$14</f>
        <v>0</v>
      </c>
      <c r="N243" s="790"/>
      <c r="O243" s="790"/>
      <c r="P243" s="793"/>
      <c r="Q243" s="796"/>
      <c r="R243" s="796"/>
      <c r="S243" s="799"/>
      <c r="T243" s="819"/>
      <c r="U243" s="801"/>
    </row>
    <row r="244" spans="2:21" ht="23.25" hidden="1" customHeight="1">
      <c r="B244" s="776"/>
      <c r="C244" s="806"/>
      <c r="D244" s="806"/>
      <c r="E244" s="806"/>
      <c r="F244" s="806"/>
      <c r="G244" s="809"/>
      <c r="H244" s="785"/>
      <c r="I244" s="812"/>
      <c r="J244" s="329"/>
      <c r="K244" s="57">
        <f>+$K$15</f>
        <v>841116</v>
      </c>
      <c r="L244" s="803"/>
      <c r="M244" s="797"/>
      <c r="N244" s="791"/>
      <c r="O244" s="791"/>
      <c r="P244" s="794"/>
      <c r="Q244" s="797"/>
      <c r="R244" s="797"/>
      <c r="S244" s="800"/>
      <c r="T244" s="819"/>
      <c r="U244" s="801"/>
    </row>
    <row r="245" spans="2:21" ht="23.25" hidden="1" customHeight="1">
      <c r="B245" s="774">
        <v>5</v>
      </c>
      <c r="C245" s="777"/>
      <c r="D245" s="777"/>
      <c r="E245" s="777"/>
      <c r="F245" s="777"/>
      <c r="G245" s="780"/>
      <c r="H245" s="783"/>
      <c r="I245" s="786"/>
      <c r="J245" s="329"/>
      <c r="K245" s="57">
        <f>+$K$13</f>
        <v>801016</v>
      </c>
      <c r="L245" s="329"/>
      <c r="M245" s="57">
        <f>+$M$13</f>
        <v>0</v>
      </c>
      <c r="N245" s="789"/>
      <c r="O245" s="789"/>
      <c r="P245" s="792"/>
      <c r="Q245" s="795"/>
      <c r="R245" s="795"/>
      <c r="S245" s="798">
        <f>IF(COUNTIF(J245:K247,"CUMPLE")&gt;=1,(G245*I245),0)* (IF(N245="PRESENTÓ CERTIFICADO",1,0))* (IF(O245="ACORDE A ITEM 5.2.2 (T.R.)",1,0) )* ( IF(OR(Q245="SIN OBSERVACIÓN", Q245="REQUERIMIENTOS SUBSANADOS"),1,0)) *(IF(OR(R245="NINGUNO", R245="CUMPLEN CON LO SOLICITADO"),1,0))</f>
        <v>0</v>
      </c>
      <c r="T245" s="819"/>
      <c r="U245" s="801">
        <f>IF(COUNTIF(L245:M247,"CUMPLE")&gt;=1,1,0)</f>
        <v>0</v>
      </c>
    </row>
    <row r="246" spans="2:21" ht="23.25" hidden="1" customHeight="1">
      <c r="B246" s="775"/>
      <c r="C246" s="778"/>
      <c r="D246" s="778"/>
      <c r="E246" s="778"/>
      <c r="F246" s="778"/>
      <c r="G246" s="781"/>
      <c r="H246" s="784"/>
      <c r="I246" s="787"/>
      <c r="J246" s="329"/>
      <c r="K246" s="57">
        <f>+$K$14</f>
        <v>811015</v>
      </c>
      <c r="L246" s="802"/>
      <c r="M246" s="795">
        <f>+$M$14</f>
        <v>0</v>
      </c>
      <c r="N246" s="790"/>
      <c r="O246" s="790"/>
      <c r="P246" s="793"/>
      <c r="Q246" s="796"/>
      <c r="R246" s="796"/>
      <c r="S246" s="799"/>
      <c r="T246" s="819"/>
      <c r="U246" s="801"/>
    </row>
    <row r="247" spans="2:21" ht="23.25" hidden="1" customHeight="1">
      <c r="B247" s="776"/>
      <c r="C247" s="779"/>
      <c r="D247" s="779"/>
      <c r="E247" s="779"/>
      <c r="F247" s="779"/>
      <c r="G247" s="782"/>
      <c r="H247" s="785"/>
      <c r="I247" s="788"/>
      <c r="J247" s="329"/>
      <c r="K247" s="57">
        <f>+$K$15</f>
        <v>841116</v>
      </c>
      <c r="L247" s="803"/>
      <c r="M247" s="797"/>
      <c r="N247" s="791"/>
      <c r="O247" s="791"/>
      <c r="P247" s="794"/>
      <c r="Q247" s="797"/>
      <c r="R247" s="797"/>
      <c r="S247" s="800"/>
      <c r="T247" s="820"/>
      <c r="U247" s="801"/>
    </row>
    <row r="248" spans="2:21" ht="18" hidden="1" customHeight="1">
      <c r="B248" s="763" t="str">
        <f>IF(S249=" "," ",IF(S249&gt;=$H$6,"CUMPLE CON LA EXPERIENCIA REQUERIDA","NO CUMPLE CON LA EXPERIENCIA REQUERIDA"))</f>
        <v>NO CUMPLE CON LA EXPERIENCIA REQUERIDA</v>
      </c>
      <c r="C248" s="764"/>
      <c r="D248" s="764"/>
      <c r="E248" s="764"/>
      <c r="F248" s="764"/>
      <c r="G248" s="764"/>
      <c r="H248" s="764"/>
      <c r="I248" s="764"/>
      <c r="J248" s="764"/>
      <c r="K248" s="764"/>
      <c r="L248" s="764"/>
      <c r="M248" s="764"/>
      <c r="N248" s="764"/>
      <c r="O248" s="765"/>
      <c r="P248" s="769" t="s">
        <v>45</v>
      </c>
      <c r="Q248" s="770"/>
      <c r="R248" s="771"/>
      <c r="S248" s="333">
        <f>IF(T233="SI",SUM(S233:S247),0)</f>
        <v>0</v>
      </c>
      <c r="T248" s="772" t="str">
        <f>IF(S249=" "," ",IF(S249&gt;=$H$6,"CUMPLE","NO CUMPLE"))</f>
        <v>NO CUMPLE</v>
      </c>
    </row>
    <row r="249" spans="2:21" ht="18" hidden="1" customHeight="1">
      <c r="B249" s="766"/>
      <c r="C249" s="767"/>
      <c r="D249" s="767"/>
      <c r="E249" s="767"/>
      <c r="F249" s="767"/>
      <c r="G249" s="767"/>
      <c r="H249" s="767"/>
      <c r="I249" s="767"/>
      <c r="J249" s="767"/>
      <c r="K249" s="767"/>
      <c r="L249" s="767"/>
      <c r="M249" s="767"/>
      <c r="N249" s="767"/>
      <c r="O249" s="768"/>
      <c r="P249" s="769" t="s">
        <v>46</v>
      </c>
      <c r="Q249" s="770"/>
      <c r="R249" s="771"/>
      <c r="S249" s="333">
        <f>IFERROR((S248/$P$6)," ")</f>
        <v>0</v>
      </c>
      <c r="T249" s="773"/>
      <c r="U249" s="330"/>
    </row>
    <row r="250" spans="2:21" hidden="1"/>
    <row r="251" spans="2:21" hidden="1"/>
    <row r="252" spans="2:21" ht="15.75" hidden="1">
      <c r="B252" s="301">
        <v>12</v>
      </c>
      <c r="C252" s="821" t="s">
        <v>24</v>
      </c>
      <c r="D252" s="822"/>
      <c r="E252" s="823"/>
      <c r="F252" s="824">
        <f>IFERROR(VLOOKUP(B252,LISTA_OFERENTES,2,FALSE)," ")</f>
        <v>0</v>
      </c>
      <c r="G252" s="825"/>
      <c r="H252" s="825"/>
      <c r="I252" s="825"/>
      <c r="J252" s="825"/>
      <c r="K252" s="825"/>
      <c r="L252" s="825"/>
      <c r="M252" s="825"/>
      <c r="N252" s="825"/>
      <c r="O252" s="826"/>
      <c r="P252" s="827" t="s">
        <v>25</v>
      </c>
      <c r="Q252" s="828"/>
      <c r="R252" s="829"/>
      <c r="S252" s="321">
        <f>5-(INT(COUNTBLANK(C255:C269))-10)</f>
        <v>0</v>
      </c>
    </row>
    <row r="253" spans="2:21" ht="39.75" hidden="1" customHeight="1">
      <c r="B253" s="830" t="s">
        <v>26</v>
      </c>
      <c r="C253" s="813" t="s">
        <v>27</v>
      </c>
      <c r="D253" s="813" t="s">
        <v>28</v>
      </c>
      <c r="E253" s="813" t="s">
        <v>29</v>
      </c>
      <c r="F253" s="813" t="s">
        <v>30</v>
      </c>
      <c r="G253" s="813" t="s">
        <v>31</v>
      </c>
      <c r="H253" s="813" t="s">
        <v>32</v>
      </c>
      <c r="I253" s="813" t="s">
        <v>33</v>
      </c>
      <c r="J253" s="832" t="s">
        <v>34</v>
      </c>
      <c r="K253" s="833"/>
      <c r="L253" s="833"/>
      <c r="M253" s="834"/>
      <c r="N253" s="813" t="s">
        <v>35</v>
      </c>
      <c r="O253" s="813" t="s">
        <v>36</v>
      </c>
      <c r="P253" s="832" t="s">
        <v>37</v>
      </c>
      <c r="Q253" s="834"/>
      <c r="R253" s="813" t="s">
        <v>38</v>
      </c>
      <c r="S253" s="813" t="s">
        <v>39</v>
      </c>
      <c r="T253" s="813" t="str">
        <f>+$T$11</f>
        <v>Haber ejecutado contratos en COLOMBIA o en el EXTERIOR que dentro de su objeto o alcance incluyan:
Interventoría a obras de Construcción de edificaciones de los grupos de uso I, II, III o IV, conforme al
título A de la NSR-10.
Obligatorio estar en 811015</v>
      </c>
      <c r="U253" s="813" t="str">
        <f>+$U$11</f>
        <v xml:space="preserve">VERIFICACIÓN CONDICIÓN DE EXPERIENCIA  </v>
      </c>
    </row>
    <row r="254" spans="2:21" ht="51.75" hidden="1" customHeight="1">
      <c r="B254" s="831"/>
      <c r="C254" s="814"/>
      <c r="D254" s="814"/>
      <c r="E254" s="814"/>
      <c r="F254" s="814"/>
      <c r="G254" s="814"/>
      <c r="H254" s="814"/>
      <c r="I254" s="814"/>
      <c r="J254" s="815" t="s">
        <v>42</v>
      </c>
      <c r="K254" s="816"/>
      <c r="L254" s="816"/>
      <c r="M254" s="817"/>
      <c r="N254" s="814"/>
      <c r="O254" s="814"/>
      <c r="P254" s="323" t="s">
        <v>10</v>
      </c>
      <c r="Q254" s="323" t="s">
        <v>43</v>
      </c>
      <c r="R254" s="814"/>
      <c r="S254" s="814"/>
      <c r="T254" s="814"/>
      <c r="U254" s="814"/>
    </row>
    <row r="255" spans="2:21" ht="28.5" hidden="1" customHeight="1">
      <c r="B255" s="774">
        <v>1</v>
      </c>
      <c r="C255" s="777"/>
      <c r="D255" s="777"/>
      <c r="E255" s="777"/>
      <c r="F255" s="777"/>
      <c r="G255" s="780"/>
      <c r="H255" s="783"/>
      <c r="I255" s="786"/>
      <c r="J255" s="329"/>
      <c r="K255" s="57">
        <f>+$K$13</f>
        <v>801016</v>
      </c>
      <c r="L255" s="329"/>
      <c r="M255" s="57">
        <f>+$M$13</f>
        <v>0</v>
      </c>
      <c r="N255" s="789"/>
      <c r="O255" s="789"/>
      <c r="P255" s="792"/>
      <c r="Q255" s="795"/>
      <c r="R255" s="795"/>
      <c r="S255" s="798">
        <f>IF(COUNTIF(J255:K257,"CUMPLE")&gt;=1,(G255*I255),0)* (IF(N255="PRESENTÓ CERTIFICADO",1,0))* (IF(O255="ACORDE A ITEM 5.2.2 (T.R.)",1,0) )* ( IF(OR(Q255="SIN OBSERVACIÓN", Q255="REQUERIMIENTOS SUBSANADOS"),1,0)) *(IF(OR(R255="NINGUNO", R255="CUMPLEN CON LO SOLICITADO"),1,0))</f>
        <v>0</v>
      </c>
      <c r="T255" s="818" t="s">
        <v>147</v>
      </c>
      <c r="U255" s="801">
        <f>IF(COUNTIF(J255:K257,"CUMPLE")&gt;=1,1,0)</f>
        <v>0</v>
      </c>
    </row>
    <row r="256" spans="2:21" ht="28.5" hidden="1" customHeight="1">
      <c r="B256" s="775"/>
      <c r="C256" s="778"/>
      <c r="D256" s="778"/>
      <c r="E256" s="778"/>
      <c r="F256" s="778"/>
      <c r="G256" s="781"/>
      <c r="H256" s="784"/>
      <c r="I256" s="787"/>
      <c r="J256" s="329"/>
      <c r="K256" s="57">
        <f>+$K$14</f>
        <v>811015</v>
      </c>
      <c r="L256" s="802"/>
      <c r="M256" s="795">
        <f>+$M$14</f>
        <v>0</v>
      </c>
      <c r="N256" s="790"/>
      <c r="O256" s="790"/>
      <c r="P256" s="793"/>
      <c r="Q256" s="796"/>
      <c r="R256" s="796"/>
      <c r="S256" s="799"/>
      <c r="T256" s="819"/>
      <c r="U256" s="801"/>
    </row>
    <row r="257" spans="2:21" ht="28.5" hidden="1" customHeight="1">
      <c r="B257" s="776"/>
      <c r="C257" s="779"/>
      <c r="D257" s="779"/>
      <c r="E257" s="779"/>
      <c r="F257" s="779"/>
      <c r="G257" s="782"/>
      <c r="H257" s="785"/>
      <c r="I257" s="788"/>
      <c r="J257" s="329"/>
      <c r="K257" s="57">
        <f>+$K$15</f>
        <v>841116</v>
      </c>
      <c r="L257" s="803"/>
      <c r="M257" s="797"/>
      <c r="N257" s="791"/>
      <c r="O257" s="791"/>
      <c r="P257" s="794"/>
      <c r="Q257" s="797"/>
      <c r="R257" s="797"/>
      <c r="S257" s="800"/>
      <c r="T257" s="819"/>
      <c r="U257" s="801"/>
    </row>
    <row r="258" spans="2:21" ht="28.5" hidden="1" customHeight="1">
      <c r="B258" s="774">
        <v>2</v>
      </c>
      <c r="C258" s="804"/>
      <c r="D258" s="804"/>
      <c r="E258" s="804"/>
      <c r="F258" s="804"/>
      <c r="G258" s="807"/>
      <c r="H258" s="783"/>
      <c r="I258" s="786"/>
      <c r="J258" s="329"/>
      <c r="K258" s="57">
        <f>+$K$13</f>
        <v>801016</v>
      </c>
      <c r="L258" s="329"/>
      <c r="M258" s="57">
        <f>+$M$13</f>
        <v>0</v>
      </c>
      <c r="N258" s="789"/>
      <c r="O258" s="789"/>
      <c r="P258" s="792"/>
      <c r="Q258" s="795"/>
      <c r="R258" s="795"/>
      <c r="S258" s="798">
        <f>IF(COUNTIF(J258:K260,"CUMPLE")&gt;=1,(G258*I258),0)* (IF(N258="PRESENTÓ CERTIFICADO",1,0))* (IF(O258="ACORDE A ITEM 5.2.2 (T.R.)",1,0) )* ( IF(OR(Q258="SIN OBSERVACIÓN", Q258="REQUERIMIENTOS SUBSANADOS"),1,0)) *(IF(OR(R258="NINGUNO", R258="CUMPLEN CON LO SOLICITADO"),1,0))</f>
        <v>0</v>
      </c>
      <c r="T258" s="819"/>
      <c r="U258" s="801">
        <f t="shared" ref="U258" si="51">IF(COUNTIF(J258:K260,"CUMPLE")&gt;=1,1,0)</f>
        <v>0</v>
      </c>
    </row>
    <row r="259" spans="2:21" ht="28.5" hidden="1" customHeight="1">
      <c r="B259" s="775"/>
      <c r="C259" s="805"/>
      <c r="D259" s="805"/>
      <c r="E259" s="805"/>
      <c r="F259" s="805"/>
      <c r="G259" s="808"/>
      <c r="H259" s="784"/>
      <c r="I259" s="787"/>
      <c r="J259" s="329"/>
      <c r="K259" s="57">
        <f>+$K$14</f>
        <v>811015</v>
      </c>
      <c r="L259" s="802"/>
      <c r="M259" s="795">
        <f>+$M$14</f>
        <v>0</v>
      </c>
      <c r="N259" s="790"/>
      <c r="O259" s="790"/>
      <c r="P259" s="793"/>
      <c r="Q259" s="796"/>
      <c r="R259" s="796"/>
      <c r="S259" s="799"/>
      <c r="T259" s="819"/>
      <c r="U259" s="801"/>
    </row>
    <row r="260" spans="2:21" ht="28.5" hidden="1" customHeight="1">
      <c r="B260" s="776"/>
      <c r="C260" s="806"/>
      <c r="D260" s="806"/>
      <c r="E260" s="806"/>
      <c r="F260" s="806"/>
      <c r="G260" s="809"/>
      <c r="H260" s="785"/>
      <c r="I260" s="788"/>
      <c r="J260" s="329"/>
      <c r="K260" s="57">
        <f>+$K$15</f>
        <v>841116</v>
      </c>
      <c r="L260" s="803"/>
      <c r="M260" s="797"/>
      <c r="N260" s="791"/>
      <c r="O260" s="791"/>
      <c r="P260" s="794"/>
      <c r="Q260" s="797"/>
      <c r="R260" s="797"/>
      <c r="S260" s="800"/>
      <c r="T260" s="819"/>
      <c r="U260" s="801"/>
    </row>
    <row r="261" spans="2:21" ht="28.5" hidden="1" customHeight="1">
      <c r="B261" s="774">
        <v>3</v>
      </c>
      <c r="C261" s="777"/>
      <c r="D261" s="777"/>
      <c r="E261" s="777"/>
      <c r="F261" s="777"/>
      <c r="G261" s="780"/>
      <c r="H261" s="783"/>
      <c r="I261" s="786"/>
      <c r="J261" s="329"/>
      <c r="K261" s="57">
        <f>+$K$13</f>
        <v>801016</v>
      </c>
      <c r="L261" s="329"/>
      <c r="M261" s="57">
        <f>+$M$13</f>
        <v>0</v>
      </c>
      <c r="N261" s="789"/>
      <c r="O261" s="789"/>
      <c r="P261" s="792"/>
      <c r="Q261" s="795"/>
      <c r="R261" s="795"/>
      <c r="S261" s="798">
        <f>IF(COUNTIF(J261:K263,"CUMPLE")&gt;=1,(G261*I261),0)* (IF(N261="PRESENTÓ CERTIFICADO",1,0))* (IF(O261="ACORDE A ITEM 5.2.2 (T.R.)",1,0) )* ( IF(OR(Q261="SIN OBSERVACIÓN", Q261="REQUERIMIENTOS SUBSANADOS"),1,0)) *(IF(OR(R261="NINGUNO", R261="CUMPLEN CON LO SOLICITADO"),1,0))</f>
        <v>0</v>
      </c>
      <c r="T261" s="819"/>
      <c r="U261" s="801">
        <f t="shared" ref="U261" si="52">IF(COUNTIF(J261:K263,"CUMPLE")&gt;=1,1,0)</f>
        <v>0</v>
      </c>
    </row>
    <row r="262" spans="2:21" ht="28.5" hidden="1" customHeight="1">
      <c r="B262" s="775"/>
      <c r="C262" s="778"/>
      <c r="D262" s="778"/>
      <c r="E262" s="778"/>
      <c r="F262" s="778"/>
      <c r="G262" s="781"/>
      <c r="H262" s="784"/>
      <c r="I262" s="787"/>
      <c r="J262" s="329"/>
      <c r="K262" s="57">
        <f>+$K$14</f>
        <v>811015</v>
      </c>
      <c r="L262" s="802"/>
      <c r="M262" s="795">
        <f>+$M$14</f>
        <v>0</v>
      </c>
      <c r="N262" s="790"/>
      <c r="O262" s="790"/>
      <c r="P262" s="793"/>
      <c r="Q262" s="796"/>
      <c r="R262" s="796"/>
      <c r="S262" s="799"/>
      <c r="T262" s="819"/>
      <c r="U262" s="801"/>
    </row>
    <row r="263" spans="2:21" ht="28.5" hidden="1" customHeight="1">
      <c r="B263" s="776"/>
      <c r="C263" s="779"/>
      <c r="D263" s="779"/>
      <c r="E263" s="779"/>
      <c r="F263" s="779"/>
      <c r="G263" s="782"/>
      <c r="H263" s="785"/>
      <c r="I263" s="788"/>
      <c r="J263" s="329"/>
      <c r="K263" s="57">
        <f>+$K$15</f>
        <v>841116</v>
      </c>
      <c r="L263" s="803"/>
      <c r="M263" s="797"/>
      <c r="N263" s="791"/>
      <c r="O263" s="791"/>
      <c r="P263" s="794"/>
      <c r="Q263" s="797"/>
      <c r="R263" s="797"/>
      <c r="S263" s="800"/>
      <c r="T263" s="819"/>
      <c r="U263" s="801"/>
    </row>
    <row r="264" spans="2:21" ht="28.5" hidden="1" customHeight="1">
      <c r="B264" s="774">
        <v>4</v>
      </c>
      <c r="C264" s="804"/>
      <c r="D264" s="804"/>
      <c r="E264" s="804"/>
      <c r="F264" s="804"/>
      <c r="G264" s="807"/>
      <c r="H264" s="783"/>
      <c r="I264" s="786"/>
      <c r="J264" s="329"/>
      <c r="K264" s="57">
        <f>+$K$13</f>
        <v>801016</v>
      </c>
      <c r="L264" s="329"/>
      <c r="M264" s="57">
        <f>+$M$13</f>
        <v>0</v>
      </c>
      <c r="N264" s="789"/>
      <c r="O264" s="789"/>
      <c r="P264" s="792"/>
      <c r="Q264" s="795"/>
      <c r="R264" s="795"/>
      <c r="S264" s="798">
        <f>IF(COUNTIF(J264:K266,"CUMPLE")&gt;=1,(G264*I264),0)* (IF(N264="PRESENTÓ CERTIFICADO",1,0))* (IF(O264="ACORDE A ITEM 5.2.2 (T.R.)",1,0) )* ( IF(OR(Q264="SIN OBSERVACIÓN", Q264="REQUERIMIENTOS SUBSANADOS"),1,0)) *(IF(OR(R264="NINGUNO", R264="CUMPLEN CON LO SOLICITADO"),1,0))</f>
        <v>0</v>
      </c>
      <c r="T264" s="819"/>
      <c r="U264" s="801">
        <f t="shared" ref="U264" si="53">IF(COUNTIF(J264:K266,"CUMPLE")&gt;=1,1,0)</f>
        <v>0</v>
      </c>
    </row>
    <row r="265" spans="2:21" ht="28.5" hidden="1" customHeight="1">
      <c r="B265" s="775"/>
      <c r="C265" s="805"/>
      <c r="D265" s="805"/>
      <c r="E265" s="805"/>
      <c r="F265" s="805"/>
      <c r="G265" s="808"/>
      <c r="H265" s="784"/>
      <c r="I265" s="787"/>
      <c r="J265" s="329"/>
      <c r="K265" s="57">
        <f>+$K$14</f>
        <v>811015</v>
      </c>
      <c r="L265" s="802"/>
      <c r="M265" s="795">
        <f>+$M$14</f>
        <v>0</v>
      </c>
      <c r="N265" s="790"/>
      <c r="O265" s="790"/>
      <c r="P265" s="793"/>
      <c r="Q265" s="796"/>
      <c r="R265" s="796"/>
      <c r="S265" s="799"/>
      <c r="T265" s="819"/>
      <c r="U265" s="801"/>
    </row>
    <row r="266" spans="2:21" ht="28.5" hidden="1" customHeight="1">
      <c r="B266" s="776"/>
      <c r="C266" s="806"/>
      <c r="D266" s="806"/>
      <c r="E266" s="806"/>
      <c r="F266" s="806"/>
      <c r="G266" s="809"/>
      <c r="H266" s="785"/>
      <c r="I266" s="788"/>
      <c r="J266" s="329"/>
      <c r="K266" s="57">
        <f>+$K$15</f>
        <v>841116</v>
      </c>
      <c r="L266" s="803"/>
      <c r="M266" s="797"/>
      <c r="N266" s="791"/>
      <c r="O266" s="791"/>
      <c r="P266" s="794"/>
      <c r="Q266" s="797"/>
      <c r="R266" s="797"/>
      <c r="S266" s="800"/>
      <c r="T266" s="819"/>
      <c r="U266" s="801"/>
    </row>
    <row r="267" spans="2:21" ht="28.5" hidden="1" customHeight="1">
      <c r="B267" s="774">
        <v>5</v>
      </c>
      <c r="C267" s="777"/>
      <c r="D267" s="777"/>
      <c r="E267" s="777"/>
      <c r="F267" s="777"/>
      <c r="G267" s="780"/>
      <c r="H267" s="783"/>
      <c r="I267" s="786"/>
      <c r="J267" s="329"/>
      <c r="K267" s="57">
        <f>+$K$13</f>
        <v>801016</v>
      </c>
      <c r="L267" s="329"/>
      <c r="M267" s="57">
        <f>+$M$13</f>
        <v>0</v>
      </c>
      <c r="N267" s="789"/>
      <c r="O267" s="789"/>
      <c r="P267" s="792"/>
      <c r="Q267" s="795"/>
      <c r="R267" s="795"/>
      <c r="S267" s="798">
        <f>IF(COUNTIF(J267:K269,"CUMPLE")&gt;=1,(G267*I267),0)* (IF(N267="PRESENTÓ CERTIFICADO",1,0))* (IF(O267="ACORDE A ITEM 5.2.2 (T.R.)",1,0) )* ( IF(OR(Q267="SIN OBSERVACIÓN", Q267="REQUERIMIENTOS SUBSANADOS"),1,0)) *(IF(OR(R267="NINGUNO", R267="CUMPLEN CON LO SOLICITADO"),1,0))</f>
        <v>0</v>
      </c>
      <c r="T267" s="819"/>
      <c r="U267" s="801">
        <f t="shared" ref="U267" si="54">IF(COUNTIF(J267:K269,"CUMPLE")&gt;=1,1,0)</f>
        <v>0</v>
      </c>
    </row>
    <row r="268" spans="2:21" ht="28.5" hidden="1" customHeight="1">
      <c r="B268" s="775"/>
      <c r="C268" s="778"/>
      <c r="D268" s="778"/>
      <c r="E268" s="778"/>
      <c r="F268" s="778"/>
      <c r="G268" s="781"/>
      <c r="H268" s="784"/>
      <c r="I268" s="787"/>
      <c r="J268" s="329"/>
      <c r="K268" s="57">
        <f>+$K$14</f>
        <v>811015</v>
      </c>
      <c r="L268" s="802"/>
      <c r="M268" s="795">
        <f>+$M$14</f>
        <v>0</v>
      </c>
      <c r="N268" s="790"/>
      <c r="O268" s="790"/>
      <c r="P268" s="793"/>
      <c r="Q268" s="796"/>
      <c r="R268" s="796"/>
      <c r="S268" s="799"/>
      <c r="T268" s="819"/>
      <c r="U268" s="801"/>
    </row>
    <row r="269" spans="2:21" ht="28.5" hidden="1" customHeight="1">
      <c r="B269" s="776"/>
      <c r="C269" s="779"/>
      <c r="D269" s="779"/>
      <c r="E269" s="779"/>
      <c r="F269" s="779"/>
      <c r="G269" s="782"/>
      <c r="H269" s="785"/>
      <c r="I269" s="788"/>
      <c r="J269" s="329"/>
      <c r="K269" s="57">
        <f>+$K$15</f>
        <v>841116</v>
      </c>
      <c r="L269" s="803"/>
      <c r="M269" s="797"/>
      <c r="N269" s="791"/>
      <c r="O269" s="791"/>
      <c r="P269" s="794"/>
      <c r="Q269" s="797"/>
      <c r="R269" s="797"/>
      <c r="S269" s="800"/>
      <c r="T269" s="820"/>
      <c r="U269" s="801"/>
    </row>
    <row r="270" spans="2:21" ht="18" hidden="1" customHeight="1">
      <c r="B270" s="763" t="str">
        <f>IF(S271=" "," ",IF(S271&gt;=$H$6,"CUMPLE CON LA EXPERIENCIA REQUERIDA","NO CUMPLE CON LA EXPERIENCIA REQUERIDA"))</f>
        <v>NO CUMPLE CON LA EXPERIENCIA REQUERIDA</v>
      </c>
      <c r="C270" s="764"/>
      <c r="D270" s="764"/>
      <c r="E270" s="764"/>
      <c r="F270" s="764"/>
      <c r="G270" s="764"/>
      <c r="H270" s="764"/>
      <c r="I270" s="764"/>
      <c r="J270" s="764"/>
      <c r="K270" s="764"/>
      <c r="L270" s="764"/>
      <c r="M270" s="764"/>
      <c r="N270" s="764"/>
      <c r="O270" s="765"/>
      <c r="P270" s="769" t="s">
        <v>45</v>
      </c>
      <c r="Q270" s="770"/>
      <c r="R270" s="771"/>
      <c r="S270" s="333">
        <f>IF(T255="SI",SUM(S255:S269),0)</f>
        <v>0</v>
      </c>
      <c r="T270" s="772" t="str">
        <f>IF(S271=" "," ",IF(S271&gt;=$H$6,"CUMPLE","NO CUMPLE"))</f>
        <v>NO CUMPLE</v>
      </c>
    </row>
    <row r="271" spans="2:21" ht="18" hidden="1" customHeight="1">
      <c r="B271" s="766"/>
      <c r="C271" s="767"/>
      <c r="D271" s="767"/>
      <c r="E271" s="767"/>
      <c r="F271" s="767"/>
      <c r="G271" s="767"/>
      <c r="H271" s="767"/>
      <c r="I271" s="767"/>
      <c r="J271" s="767"/>
      <c r="K271" s="767"/>
      <c r="L271" s="767"/>
      <c r="M271" s="767"/>
      <c r="N271" s="767"/>
      <c r="O271" s="768"/>
      <c r="P271" s="769" t="s">
        <v>46</v>
      </c>
      <c r="Q271" s="770"/>
      <c r="R271" s="771"/>
      <c r="S271" s="333">
        <f>IFERROR((S270/$P$6)," ")</f>
        <v>0</v>
      </c>
      <c r="T271" s="773"/>
      <c r="U271" s="330"/>
    </row>
    <row r="272" spans="2:21" hidden="1"/>
    <row r="273" spans="2:21" hidden="1"/>
    <row r="274" spans="2:21" ht="15.75" hidden="1">
      <c r="B274" s="301">
        <v>13</v>
      </c>
      <c r="C274" s="821" t="s">
        <v>24</v>
      </c>
      <c r="D274" s="822"/>
      <c r="E274" s="823"/>
      <c r="F274" s="824">
        <f>IFERROR(VLOOKUP(B274,LISTA_OFERENTES,2,FALSE)," ")</f>
        <v>0</v>
      </c>
      <c r="G274" s="825"/>
      <c r="H274" s="825"/>
      <c r="I274" s="825"/>
      <c r="J274" s="825"/>
      <c r="K274" s="825"/>
      <c r="L274" s="825"/>
      <c r="M274" s="825"/>
      <c r="N274" s="825"/>
      <c r="O274" s="826"/>
      <c r="P274" s="827" t="s">
        <v>25</v>
      </c>
      <c r="Q274" s="828"/>
      <c r="R274" s="829"/>
      <c r="S274" s="321">
        <f>5-(INT(COUNTBLANK(C277:C291))-10)</f>
        <v>0</v>
      </c>
    </row>
    <row r="275" spans="2:21" ht="46.5" hidden="1" customHeight="1">
      <c r="B275" s="830" t="s">
        <v>26</v>
      </c>
      <c r="C275" s="813" t="s">
        <v>27</v>
      </c>
      <c r="D275" s="813" t="s">
        <v>28</v>
      </c>
      <c r="E275" s="813" t="s">
        <v>29</v>
      </c>
      <c r="F275" s="813" t="s">
        <v>30</v>
      </c>
      <c r="G275" s="813" t="s">
        <v>31</v>
      </c>
      <c r="H275" s="813" t="s">
        <v>32</v>
      </c>
      <c r="I275" s="813" t="s">
        <v>33</v>
      </c>
      <c r="J275" s="832" t="s">
        <v>34</v>
      </c>
      <c r="K275" s="833"/>
      <c r="L275" s="833"/>
      <c r="M275" s="834"/>
      <c r="N275" s="813" t="s">
        <v>35</v>
      </c>
      <c r="O275" s="813" t="s">
        <v>36</v>
      </c>
      <c r="P275" s="832" t="s">
        <v>37</v>
      </c>
      <c r="Q275" s="834"/>
      <c r="R275" s="813" t="s">
        <v>38</v>
      </c>
      <c r="S275" s="813" t="s">
        <v>39</v>
      </c>
      <c r="T275" s="813" t="str">
        <f>+$T$11</f>
        <v>Haber ejecutado contratos en COLOMBIA o en el EXTERIOR que dentro de su objeto o alcance incluyan:
Interventoría a obras de Construcción de edificaciones de los grupos de uso I, II, III o IV, conforme al
título A de la NSR-10.
Obligatorio estar en 811015</v>
      </c>
      <c r="U275" s="813" t="str">
        <f>+$U$11</f>
        <v xml:space="preserve">VERIFICACIÓN CONDICIÓN DE EXPERIENCIA  </v>
      </c>
    </row>
    <row r="276" spans="2:21" ht="46.5" hidden="1" customHeight="1">
      <c r="B276" s="831"/>
      <c r="C276" s="814"/>
      <c r="D276" s="814"/>
      <c r="E276" s="814"/>
      <c r="F276" s="814"/>
      <c r="G276" s="814"/>
      <c r="H276" s="814"/>
      <c r="I276" s="814"/>
      <c r="J276" s="815" t="s">
        <v>42</v>
      </c>
      <c r="K276" s="816"/>
      <c r="L276" s="816"/>
      <c r="M276" s="817"/>
      <c r="N276" s="814"/>
      <c r="O276" s="814"/>
      <c r="P276" s="323" t="s">
        <v>10</v>
      </c>
      <c r="Q276" s="323" t="s">
        <v>43</v>
      </c>
      <c r="R276" s="814"/>
      <c r="S276" s="814"/>
      <c r="T276" s="814"/>
      <c r="U276" s="814"/>
    </row>
    <row r="277" spans="2:21" ht="29.25" hidden="1" customHeight="1">
      <c r="B277" s="774">
        <v>1</v>
      </c>
      <c r="C277" s="777"/>
      <c r="D277" s="777"/>
      <c r="E277" s="777"/>
      <c r="F277" s="777"/>
      <c r="G277" s="780"/>
      <c r="H277" s="783"/>
      <c r="I277" s="786"/>
      <c r="J277" s="329"/>
      <c r="K277" s="57">
        <f>+$K$13</f>
        <v>801016</v>
      </c>
      <c r="L277" s="329"/>
      <c r="M277" s="57">
        <f>+$M$13</f>
        <v>0</v>
      </c>
      <c r="N277" s="789"/>
      <c r="O277" s="789"/>
      <c r="P277" s="792"/>
      <c r="Q277" s="795"/>
      <c r="R277" s="795"/>
      <c r="S277" s="798">
        <f>IF(COUNTIF(J277:K279,"CUMPLE")&gt;=1,(G277*I277),0)* (IF(N277="PRESENTÓ CERTIFICADO",1,0))* (IF(O277="ACORDE A ITEM 5.2.2 (T.R.)",1,0) )* ( IF(OR(Q277="SIN OBSERVACIÓN", Q277="REQUERIMIENTOS SUBSANADOS"),1,0)) *(IF(OR(R277="NINGUNO", R277="CUMPLEN CON LO SOLICITADO"),1,0))</f>
        <v>0</v>
      </c>
      <c r="T277" s="818"/>
      <c r="U277" s="801">
        <f>IF(COUNTIF(J277:K279,"CUMPLE")&gt;=1,1,0)</f>
        <v>0</v>
      </c>
    </row>
    <row r="278" spans="2:21" ht="29.25" hidden="1" customHeight="1">
      <c r="B278" s="775"/>
      <c r="C278" s="778"/>
      <c r="D278" s="778"/>
      <c r="E278" s="778"/>
      <c r="F278" s="778"/>
      <c r="G278" s="781"/>
      <c r="H278" s="784"/>
      <c r="I278" s="787"/>
      <c r="J278" s="329"/>
      <c r="K278" s="57">
        <f>+$K$14</f>
        <v>811015</v>
      </c>
      <c r="L278" s="802"/>
      <c r="M278" s="795">
        <f>+$M$14</f>
        <v>0</v>
      </c>
      <c r="N278" s="790"/>
      <c r="O278" s="790"/>
      <c r="P278" s="793"/>
      <c r="Q278" s="796"/>
      <c r="R278" s="796"/>
      <c r="S278" s="799"/>
      <c r="T278" s="819"/>
      <c r="U278" s="801"/>
    </row>
    <row r="279" spans="2:21" ht="29.25" hidden="1" customHeight="1">
      <c r="B279" s="776"/>
      <c r="C279" s="779"/>
      <c r="D279" s="779"/>
      <c r="E279" s="779"/>
      <c r="F279" s="779"/>
      <c r="G279" s="782"/>
      <c r="H279" s="785"/>
      <c r="I279" s="788"/>
      <c r="J279" s="329"/>
      <c r="K279" s="57">
        <f>+$K$15</f>
        <v>841116</v>
      </c>
      <c r="L279" s="803"/>
      <c r="M279" s="797"/>
      <c r="N279" s="791"/>
      <c r="O279" s="791"/>
      <c r="P279" s="794"/>
      <c r="Q279" s="797"/>
      <c r="R279" s="797"/>
      <c r="S279" s="800"/>
      <c r="T279" s="819"/>
      <c r="U279" s="801"/>
    </row>
    <row r="280" spans="2:21" ht="29.25" hidden="1" customHeight="1">
      <c r="B280" s="774">
        <v>2</v>
      </c>
      <c r="C280" s="804"/>
      <c r="D280" s="804"/>
      <c r="E280" s="804"/>
      <c r="F280" s="804"/>
      <c r="G280" s="807"/>
      <c r="H280" s="783"/>
      <c r="I280" s="810"/>
      <c r="J280" s="329"/>
      <c r="K280" s="57">
        <f>+$K$13</f>
        <v>801016</v>
      </c>
      <c r="L280" s="329"/>
      <c r="M280" s="57">
        <f>+$M$13</f>
        <v>0</v>
      </c>
      <c r="N280" s="789"/>
      <c r="O280" s="789"/>
      <c r="P280" s="792"/>
      <c r="Q280" s="795"/>
      <c r="R280" s="795"/>
      <c r="S280" s="798">
        <f>IF(COUNTIF(J280:K282,"CUMPLE")&gt;=1,(G280*I280),0)* (IF(N280="PRESENTÓ CERTIFICADO",1,0))* (IF(O280="ACORDE A ITEM 5.2.2 (T.R.)",1,0) )* ( IF(OR(Q280="SIN OBSERVACIÓN", Q280="REQUERIMIENTOS SUBSANADOS"),1,0)) *(IF(OR(R280="NINGUNO", R280="CUMPLEN CON LO SOLICITADO"),1,0))</f>
        <v>0</v>
      </c>
      <c r="T280" s="819"/>
      <c r="U280" s="801">
        <f t="shared" ref="U280" si="55">IF(COUNTIF(J280:K282,"CUMPLE")&gt;=1,1,0)</f>
        <v>0</v>
      </c>
    </row>
    <row r="281" spans="2:21" ht="29.25" hidden="1" customHeight="1">
      <c r="B281" s="775"/>
      <c r="C281" s="805"/>
      <c r="D281" s="805"/>
      <c r="E281" s="805"/>
      <c r="F281" s="805"/>
      <c r="G281" s="808"/>
      <c r="H281" s="784"/>
      <c r="I281" s="811"/>
      <c r="J281" s="329"/>
      <c r="K281" s="57">
        <f>+$K$14</f>
        <v>811015</v>
      </c>
      <c r="L281" s="802"/>
      <c r="M281" s="795">
        <f>+$M$14</f>
        <v>0</v>
      </c>
      <c r="N281" s="790"/>
      <c r="O281" s="790"/>
      <c r="P281" s="793"/>
      <c r="Q281" s="796"/>
      <c r="R281" s="796"/>
      <c r="S281" s="799"/>
      <c r="T281" s="819"/>
      <c r="U281" s="801"/>
    </row>
    <row r="282" spans="2:21" ht="29.25" hidden="1" customHeight="1">
      <c r="B282" s="776"/>
      <c r="C282" s="806"/>
      <c r="D282" s="806"/>
      <c r="E282" s="806"/>
      <c r="F282" s="806"/>
      <c r="G282" s="809"/>
      <c r="H282" s="785"/>
      <c r="I282" s="812"/>
      <c r="J282" s="329"/>
      <c r="K282" s="57">
        <f>+$K$15</f>
        <v>841116</v>
      </c>
      <c r="L282" s="803"/>
      <c r="M282" s="797"/>
      <c r="N282" s="791"/>
      <c r="O282" s="791"/>
      <c r="P282" s="794"/>
      <c r="Q282" s="797"/>
      <c r="R282" s="797"/>
      <c r="S282" s="800"/>
      <c r="T282" s="819"/>
      <c r="U282" s="801"/>
    </row>
    <row r="283" spans="2:21" ht="29.25" hidden="1" customHeight="1">
      <c r="B283" s="774">
        <v>3</v>
      </c>
      <c r="C283" s="777"/>
      <c r="D283" s="777"/>
      <c r="E283" s="777"/>
      <c r="F283" s="777"/>
      <c r="G283" s="780"/>
      <c r="H283" s="783"/>
      <c r="I283" s="786"/>
      <c r="J283" s="329"/>
      <c r="K283" s="57">
        <f>+$K$13</f>
        <v>801016</v>
      </c>
      <c r="L283" s="329"/>
      <c r="M283" s="57">
        <f>+$M$13</f>
        <v>0</v>
      </c>
      <c r="N283" s="789"/>
      <c r="O283" s="789"/>
      <c r="P283" s="792"/>
      <c r="Q283" s="795"/>
      <c r="R283" s="795"/>
      <c r="S283" s="798">
        <f>IF(COUNTIF(J283:K285,"CUMPLE")&gt;=1,(G283*I283),0)* (IF(N283="PRESENTÓ CERTIFICADO",1,0))* (IF(O283="ACORDE A ITEM 5.2.2 (T.R.)",1,0) )* ( IF(OR(Q283="SIN OBSERVACIÓN", Q283="REQUERIMIENTOS SUBSANADOS"),1,0)) *(IF(OR(R283="NINGUNO", R283="CUMPLEN CON LO SOLICITADO"),1,0))</f>
        <v>0</v>
      </c>
      <c r="T283" s="819"/>
      <c r="U283" s="801">
        <f t="shared" ref="U283" si="56">IF(COUNTIF(J283:K285,"CUMPLE")&gt;=1,1,0)</f>
        <v>0</v>
      </c>
    </row>
    <row r="284" spans="2:21" ht="29.25" hidden="1" customHeight="1">
      <c r="B284" s="775"/>
      <c r="C284" s="778"/>
      <c r="D284" s="778"/>
      <c r="E284" s="778"/>
      <c r="F284" s="778"/>
      <c r="G284" s="781"/>
      <c r="H284" s="784"/>
      <c r="I284" s="787"/>
      <c r="J284" s="329"/>
      <c r="K284" s="57">
        <f>+$K$14</f>
        <v>811015</v>
      </c>
      <c r="L284" s="802"/>
      <c r="M284" s="795">
        <f>+$M$14</f>
        <v>0</v>
      </c>
      <c r="N284" s="790"/>
      <c r="O284" s="790"/>
      <c r="P284" s="793"/>
      <c r="Q284" s="796"/>
      <c r="R284" s="796"/>
      <c r="S284" s="799"/>
      <c r="T284" s="819"/>
      <c r="U284" s="801"/>
    </row>
    <row r="285" spans="2:21" ht="29.25" hidden="1" customHeight="1">
      <c r="B285" s="776"/>
      <c r="C285" s="779"/>
      <c r="D285" s="779"/>
      <c r="E285" s="779"/>
      <c r="F285" s="779"/>
      <c r="G285" s="782"/>
      <c r="H285" s="785"/>
      <c r="I285" s="788"/>
      <c r="J285" s="329"/>
      <c r="K285" s="57">
        <f>+$K$15</f>
        <v>841116</v>
      </c>
      <c r="L285" s="803"/>
      <c r="M285" s="797"/>
      <c r="N285" s="791"/>
      <c r="O285" s="791"/>
      <c r="P285" s="794"/>
      <c r="Q285" s="797"/>
      <c r="R285" s="797"/>
      <c r="S285" s="800"/>
      <c r="T285" s="819"/>
      <c r="U285" s="801"/>
    </row>
    <row r="286" spans="2:21" ht="29.25" hidden="1" customHeight="1">
      <c r="B286" s="774">
        <v>4</v>
      </c>
      <c r="C286" s="804"/>
      <c r="D286" s="804"/>
      <c r="E286" s="804"/>
      <c r="F286" s="804"/>
      <c r="G286" s="807"/>
      <c r="H286" s="783"/>
      <c r="I286" s="810"/>
      <c r="J286" s="329"/>
      <c r="K286" s="57">
        <f>+$K$13</f>
        <v>801016</v>
      </c>
      <c r="L286" s="329"/>
      <c r="M286" s="57">
        <f>+$M$13</f>
        <v>0</v>
      </c>
      <c r="N286" s="789"/>
      <c r="O286" s="789"/>
      <c r="P286" s="792"/>
      <c r="Q286" s="795"/>
      <c r="R286" s="795"/>
      <c r="S286" s="798">
        <f>IF(COUNTIF(J286:K288,"CUMPLE")&gt;=1,(G286*I286),0)* (IF(N286="PRESENTÓ CERTIFICADO",1,0))* (IF(O286="ACORDE A ITEM 5.2.2 (T.R.)",1,0) )* ( IF(OR(Q286="SIN OBSERVACIÓN", Q286="REQUERIMIENTOS SUBSANADOS"),1,0)) *(IF(OR(R286="NINGUNO", R286="CUMPLEN CON LO SOLICITADO"),1,0))</f>
        <v>0</v>
      </c>
      <c r="T286" s="819"/>
      <c r="U286" s="801">
        <f>IF(COUNTIF(L286:M288,"CUMPLE")&gt;=1,1,0)</f>
        <v>0</v>
      </c>
    </row>
    <row r="287" spans="2:21" ht="29.25" hidden="1" customHeight="1">
      <c r="B287" s="775"/>
      <c r="C287" s="805"/>
      <c r="D287" s="805"/>
      <c r="E287" s="805"/>
      <c r="F287" s="805"/>
      <c r="G287" s="808"/>
      <c r="H287" s="784"/>
      <c r="I287" s="811"/>
      <c r="J287" s="329"/>
      <c r="K287" s="57">
        <f>+$K$14</f>
        <v>811015</v>
      </c>
      <c r="L287" s="802"/>
      <c r="M287" s="795">
        <f>+$M$14</f>
        <v>0</v>
      </c>
      <c r="N287" s="790"/>
      <c r="O287" s="790"/>
      <c r="P287" s="793"/>
      <c r="Q287" s="796"/>
      <c r="R287" s="796"/>
      <c r="S287" s="799"/>
      <c r="T287" s="819"/>
      <c r="U287" s="801"/>
    </row>
    <row r="288" spans="2:21" ht="29.25" hidden="1" customHeight="1">
      <c r="B288" s="776"/>
      <c r="C288" s="806"/>
      <c r="D288" s="806"/>
      <c r="E288" s="806"/>
      <c r="F288" s="806"/>
      <c r="G288" s="809"/>
      <c r="H288" s="785"/>
      <c r="I288" s="812"/>
      <c r="J288" s="329"/>
      <c r="K288" s="57">
        <f>+$K$15</f>
        <v>841116</v>
      </c>
      <c r="L288" s="803"/>
      <c r="M288" s="797"/>
      <c r="N288" s="791"/>
      <c r="O288" s="791"/>
      <c r="P288" s="794"/>
      <c r="Q288" s="797"/>
      <c r="R288" s="797"/>
      <c r="S288" s="800"/>
      <c r="T288" s="819"/>
      <c r="U288" s="801"/>
    </row>
    <row r="289" spans="2:21" ht="29.25" hidden="1" customHeight="1">
      <c r="B289" s="774">
        <v>5</v>
      </c>
      <c r="C289" s="777"/>
      <c r="D289" s="777"/>
      <c r="E289" s="777"/>
      <c r="F289" s="777"/>
      <c r="G289" s="780"/>
      <c r="H289" s="783"/>
      <c r="I289" s="786"/>
      <c r="J289" s="329"/>
      <c r="K289" s="57">
        <f>+$K$13</f>
        <v>801016</v>
      </c>
      <c r="L289" s="329"/>
      <c r="M289" s="57">
        <f>+$M$13</f>
        <v>0</v>
      </c>
      <c r="N289" s="789"/>
      <c r="O289" s="789"/>
      <c r="P289" s="792"/>
      <c r="Q289" s="795"/>
      <c r="R289" s="795"/>
      <c r="S289" s="798">
        <f>IF(COUNTIF(J289:K291,"CUMPLE")&gt;=1,(G289*I289),0)* (IF(N289="PRESENTÓ CERTIFICADO",1,0))* (IF(O289="ACORDE A ITEM 5.2.2 (T.R.)",1,0) )* ( IF(OR(Q289="SIN OBSERVACIÓN", Q289="REQUERIMIENTOS SUBSANADOS"),1,0)) *(IF(OR(R289="NINGUNO", R289="CUMPLEN CON LO SOLICITADO"),1,0))</f>
        <v>0</v>
      </c>
      <c r="T289" s="819"/>
      <c r="U289" s="801">
        <f>IF(COUNTIF(L289:M291,"CUMPLE")&gt;=1,1,0)</f>
        <v>0</v>
      </c>
    </row>
    <row r="290" spans="2:21" ht="29.25" hidden="1" customHeight="1">
      <c r="B290" s="775"/>
      <c r="C290" s="778"/>
      <c r="D290" s="778"/>
      <c r="E290" s="778"/>
      <c r="F290" s="778"/>
      <c r="G290" s="781"/>
      <c r="H290" s="784"/>
      <c r="I290" s="787"/>
      <c r="J290" s="329"/>
      <c r="K290" s="57">
        <f>+$K$14</f>
        <v>811015</v>
      </c>
      <c r="L290" s="802"/>
      <c r="M290" s="795">
        <f>+$M$14</f>
        <v>0</v>
      </c>
      <c r="N290" s="790"/>
      <c r="O290" s="790"/>
      <c r="P290" s="793"/>
      <c r="Q290" s="796"/>
      <c r="R290" s="796"/>
      <c r="S290" s="799"/>
      <c r="T290" s="819"/>
      <c r="U290" s="801"/>
    </row>
    <row r="291" spans="2:21" ht="29.25" hidden="1" customHeight="1">
      <c r="B291" s="776"/>
      <c r="C291" s="779"/>
      <c r="D291" s="779"/>
      <c r="E291" s="779"/>
      <c r="F291" s="779"/>
      <c r="G291" s="782"/>
      <c r="H291" s="785"/>
      <c r="I291" s="788"/>
      <c r="J291" s="329"/>
      <c r="K291" s="57">
        <f>+$K$15</f>
        <v>841116</v>
      </c>
      <c r="L291" s="803"/>
      <c r="M291" s="797"/>
      <c r="N291" s="791"/>
      <c r="O291" s="791"/>
      <c r="P291" s="794"/>
      <c r="Q291" s="797"/>
      <c r="R291" s="797"/>
      <c r="S291" s="800"/>
      <c r="T291" s="820"/>
      <c r="U291" s="801"/>
    </row>
    <row r="292" spans="2:21" ht="18" hidden="1" customHeight="1">
      <c r="B292" s="763" t="str">
        <f>IF(S293=" "," ",IF(S293&gt;=$H$6,"CUMPLE CON LA EXPERIENCIA REQUERIDA","NO CUMPLE CON LA EXPERIENCIA REQUERIDA"))</f>
        <v>NO CUMPLE CON LA EXPERIENCIA REQUERIDA</v>
      </c>
      <c r="C292" s="764"/>
      <c r="D292" s="764"/>
      <c r="E292" s="764"/>
      <c r="F292" s="764"/>
      <c r="G292" s="764"/>
      <c r="H292" s="764"/>
      <c r="I292" s="764"/>
      <c r="J292" s="764"/>
      <c r="K292" s="764"/>
      <c r="L292" s="764"/>
      <c r="M292" s="764"/>
      <c r="N292" s="764"/>
      <c r="O292" s="765"/>
      <c r="P292" s="769" t="s">
        <v>45</v>
      </c>
      <c r="Q292" s="770"/>
      <c r="R292" s="771"/>
      <c r="S292" s="333">
        <f>IF(T277="SI",SUM(S277:S291),0)</f>
        <v>0</v>
      </c>
      <c r="T292" s="772" t="str">
        <f>IF(S293=" "," ",IF(S293&gt;=$H$6,"CUMPLE","NO CUMPLE"))</f>
        <v>NO CUMPLE</v>
      </c>
    </row>
    <row r="293" spans="2:21" ht="18" hidden="1" customHeight="1">
      <c r="B293" s="766"/>
      <c r="C293" s="767"/>
      <c r="D293" s="767"/>
      <c r="E293" s="767"/>
      <c r="F293" s="767"/>
      <c r="G293" s="767"/>
      <c r="H293" s="767"/>
      <c r="I293" s="767"/>
      <c r="J293" s="767"/>
      <c r="K293" s="767"/>
      <c r="L293" s="767"/>
      <c r="M293" s="767"/>
      <c r="N293" s="767"/>
      <c r="O293" s="768"/>
      <c r="P293" s="769" t="s">
        <v>46</v>
      </c>
      <c r="Q293" s="770"/>
      <c r="R293" s="771"/>
      <c r="S293" s="333">
        <f>IFERROR((S292/$P$6)," ")</f>
        <v>0</v>
      </c>
      <c r="T293" s="773"/>
      <c r="U293" s="330"/>
    </row>
    <row r="294" spans="2:21" hidden="1"/>
    <row r="295" spans="2:21" hidden="1"/>
    <row r="296" spans="2:21" ht="15.75" hidden="1">
      <c r="B296" s="301">
        <v>14</v>
      </c>
      <c r="C296" s="821" t="s">
        <v>24</v>
      </c>
      <c r="D296" s="822"/>
      <c r="E296" s="823"/>
      <c r="F296" s="824">
        <f>IFERROR(VLOOKUP(B296,LISTA_OFERENTES,2,FALSE)," ")</f>
        <v>0</v>
      </c>
      <c r="G296" s="825"/>
      <c r="H296" s="825"/>
      <c r="I296" s="825"/>
      <c r="J296" s="825"/>
      <c r="K296" s="825"/>
      <c r="L296" s="825"/>
      <c r="M296" s="825"/>
      <c r="N296" s="825"/>
      <c r="O296" s="826"/>
      <c r="P296" s="827" t="s">
        <v>25</v>
      </c>
      <c r="Q296" s="828"/>
      <c r="R296" s="829"/>
      <c r="S296" s="321">
        <f>5-(INT(COUNTBLANK(C299:C313))-10)</f>
        <v>0</v>
      </c>
    </row>
    <row r="297" spans="2:21" ht="51" hidden="1" customHeight="1">
      <c r="B297" s="830" t="s">
        <v>26</v>
      </c>
      <c r="C297" s="813" t="s">
        <v>27</v>
      </c>
      <c r="D297" s="813" t="s">
        <v>28</v>
      </c>
      <c r="E297" s="813" t="s">
        <v>29</v>
      </c>
      <c r="F297" s="813" t="s">
        <v>30</v>
      </c>
      <c r="G297" s="813" t="s">
        <v>31</v>
      </c>
      <c r="H297" s="813" t="s">
        <v>32</v>
      </c>
      <c r="I297" s="813" t="s">
        <v>33</v>
      </c>
      <c r="J297" s="832" t="s">
        <v>34</v>
      </c>
      <c r="K297" s="833"/>
      <c r="L297" s="833"/>
      <c r="M297" s="834"/>
      <c r="N297" s="813" t="s">
        <v>35</v>
      </c>
      <c r="O297" s="813" t="s">
        <v>36</v>
      </c>
      <c r="P297" s="832" t="s">
        <v>37</v>
      </c>
      <c r="Q297" s="834"/>
      <c r="R297" s="813" t="s">
        <v>38</v>
      </c>
      <c r="S297" s="813" t="s">
        <v>39</v>
      </c>
      <c r="T297" s="813" t="str">
        <f>+$T$11</f>
        <v>Haber ejecutado contratos en COLOMBIA o en el EXTERIOR que dentro de su objeto o alcance incluyan:
Interventoría a obras de Construcción de edificaciones de los grupos de uso I, II, III o IV, conforme al
título A de la NSR-10.
Obligatorio estar en 811015</v>
      </c>
      <c r="U297" s="813" t="str">
        <f>+$U$11</f>
        <v xml:space="preserve">VERIFICACIÓN CONDICIÓN DE EXPERIENCIA  </v>
      </c>
    </row>
    <row r="298" spans="2:21" ht="54.75" hidden="1" customHeight="1">
      <c r="B298" s="831"/>
      <c r="C298" s="814"/>
      <c r="D298" s="814"/>
      <c r="E298" s="814"/>
      <c r="F298" s="814"/>
      <c r="G298" s="814"/>
      <c r="H298" s="814"/>
      <c r="I298" s="814"/>
      <c r="J298" s="815" t="s">
        <v>42</v>
      </c>
      <c r="K298" s="816"/>
      <c r="L298" s="816"/>
      <c r="M298" s="817"/>
      <c r="N298" s="814"/>
      <c r="O298" s="814"/>
      <c r="P298" s="323" t="s">
        <v>10</v>
      </c>
      <c r="Q298" s="323" t="s">
        <v>43</v>
      </c>
      <c r="R298" s="814"/>
      <c r="S298" s="814"/>
      <c r="T298" s="814"/>
      <c r="U298" s="814"/>
    </row>
    <row r="299" spans="2:21" ht="33" hidden="1" customHeight="1">
      <c r="B299" s="774">
        <v>1</v>
      </c>
      <c r="C299" s="777"/>
      <c r="D299" s="777"/>
      <c r="E299" s="777"/>
      <c r="F299" s="777"/>
      <c r="G299" s="780"/>
      <c r="H299" s="783"/>
      <c r="I299" s="786"/>
      <c r="J299" s="329"/>
      <c r="K299" s="57">
        <f>+$K$13</f>
        <v>801016</v>
      </c>
      <c r="L299" s="329"/>
      <c r="M299" s="57">
        <f>+$M$13</f>
        <v>0</v>
      </c>
      <c r="N299" s="789"/>
      <c r="O299" s="789"/>
      <c r="P299" s="792"/>
      <c r="Q299" s="795"/>
      <c r="R299" s="795"/>
      <c r="S299" s="798">
        <f>IF(COUNTIF(J299:K301,"CUMPLE")&gt;=1,(G299*I299),0)* (IF(N299="PRESENTÓ CERTIFICADO",1,0))* (IF(O299="ACORDE A ITEM 5.2.2 (T.R.)",1,0) )* ( IF(OR(Q299="SIN OBSERVACIÓN", Q299="REQUERIMIENTOS SUBSANADOS"),1,0)) *(IF(OR(R299="NINGUNO", R299="CUMPLEN CON LO SOLICITADO"),1,0))</f>
        <v>0</v>
      </c>
      <c r="T299" s="818"/>
      <c r="U299" s="801">
        <f>IF(COUNTIF(L299:M301,"CUMPLE")&gt;=1,1,0)</f>
        <v>0</v>
      </c>
    </row>
    <row r="300" spans="2:21" ht="33" hidden="1" customHeight="1">
      <c r="B300" s="775"/>
      <c r="C300" s="778"/>
      <c r="D300" s="778"/>
      <c r="E300" s="778"/>
      <c r="F300" s="778"/>
      <c r="G300" s="781"/>
      <c r="H300" s="784"/>
      <c r="I300" s="787"/>
      <c r="J300" s="329"/>
      <c r="K300" s="57">
        <f>+$K$14</f>
        <v>811015</v>
      </c>
      <c r="L300" s="802"/>
      <c r="M300" s="795">
        <f>+$M$14</f>
        <v>0</v>
      </c>
      <c r="N300" s="790"/>
      <c r="O300" s="790"/>
      <c r="P300" s="793"/>
      <c r="Q300" s="796"/>
      <c r="R300" s="796"/>
      <c r="S300" s="799"/>
      <c r="T300" s="819"/>
      <c r="U300" s="801"/>
    </row>
    <row r="301" spans="2:21" ht="33" hidden="1" customHeight="1">
      <c r="B301" s="776"/>
      <c r="C301" s="779"/>
      <c r="D301" s="779"/>
      <c r="E301" s="779"/>
      <c r="F301" s="779"/>
      <c r="G301" s="782"/>
      <c r="H301" s="785"/>
      <c r="I301" s="788"/>
      <c r="J301" s="329"/>
      <c r="K301" s="57">
        <f>+$K$15</f>
        <v>841116</v>
      </c>
      <c r="L301" s="803"/>
      <c r="M301" s="797"/>
      <c r="N301" s="791"/>
      <c r="O301" s="791"/>
      <c r="P301" s="794"/>
      <c r="Q301" s="797"/>
      <c r="R301" s="797"/>
      <c r="S301" s="800"/>
      <c r="T301" s="819"/>
      <c r="U301" s="801"/>
    </row>
    <row r="302" spans="2:21" ht="33" hidden="1" customHeight="1">
      <c r="B302" s="774">
        <v>2</v>
      </c>
      <c r="C302" s="804"/>
      <c r="D302" s="804"/>
      <c r="E302" s="804"/>
      <c r="F302" s="804"/>
      <c r="G302" s="807"/>
      <c r="H302" s="783"/>
      <c r="I302" s="810"/>
      <c r="J302" s="329"/>
      <c r="K302" s="57">
        <f>+$K$13</f>
        <v>801016</v>
      </c>
      <c r="L302" s="329"/>
      <c r="M302" s="57">
        <f>+$M$13</f>
        <v>0</v>
      </c>
      <c r="N302" s="789"/>
      <c r="O302" s="789"/>
      <c r="P302" s="792"/>
      <c r="Q302" s="795"/>
      <c r="R302" s="795"/>
      <c r="S302" s="798">
        <f>IF(COUNTIF(J302:K304,"CUMPLE")&gt;=1,(G302*I302),0)* (IF(N302="PRESENTÓ CERTIFICADO",1,0))* (IF(O302="ACORDE A ITEM 5.2.2 (T.R.)",1,0) )* ( IF(OR(Q302="SIN OBSERVACIÓN", Q302="REQUERIMIENTOS SUBSANADOS"),1,0)) *(IF(OR(R302="NINGUNO", R302="CUMPLEN CON LO SOLICITADO"),1,0))</f>
        <v>0</v>
      </c>
      <c r="T302" s="819"/>
      <c r="U302" s="801">
        <f>IF(COUNTIF(L302:M304,"CUMPLE")&gt;=1,1,0)</f>
        <v>0</v>
      </c>
    </row>
    <row r="303" spans="2:21" ht="33" hidden="1" customHeight="1">
      <c r="B303" s="775"/>
      <c r="C303" s="805"/>
      <c r="D303" s="805"/>
      <c r="E303" s="805"/>
      <c r="F303" s="805"/>
      <c r="G303" s="808"/>
      <c r="H303" s="784"/>
      <c r="I303" s="811"/>
      <c r="J303" s="329"/>
      <c r="K303" s="57">
        <f>+$K$14</f>
        <v>811015</v>
      </c>
      <c r="L303" s="802"/>
      <c r="M303" s="795">
        <f>+$M$14</f>
        <v>0</v>
      </c>
      <c r="N303" s="790"/>
      <c r="O303" s="790"/>
      <c r="P303" s="793"/>
      <c r="Q303" s="796"/>
      <c r="R303" s="796"/>
      <c r="S303" s="799"/>
      <c r="T303" s="819"/>
      <c r="U303" s="801"/>
    </row>
    <row r="304" spans="2:21" ht="33" hidden="1" customHeight="1">
      <c r="B304" s="776"/>
      <c r="C304" s="806"/>
      <c r="D304" s="806"/>
      <c r="E304" s="806"/>
      <c r="F304" s="806"/>
      <c r="G304" s="809"/>
      <c r="H304" s="785"/>
      <c r="I304" s="812"/>
      <c r="J304" s="329"/>
      <c r="K304" s="57">
        <f>+$K$15</f>
        <v>841116</v>
      </c>
      <c r="L304" s="803"/>
      <c r="M304" s="797"/>
      <c r="N304" s="791"/>
      <c r="O304" s="791"/>
      <c r="P304" s="794"/>
      <c r="Q304" s="797"/>
      <c r="R304" s="797"/>
      <c r="S304" s="800"/>
      <c r="T304" s="819"/>
      <c r="U304" s="801"/>
    </row>
    <row r="305" spans="2:21" ht="33" hidden="1" customHeight="1">
      <c r="B305" s="774">
        <v>3</v>
      </c>
      <c r="C305" s="777"/>
      <c r="D305" s="777"/>
      <c r="E305" s="777"/>
      <c r="F305" s="777"/>
      <c r="G305" s="780"/>
      <c r="H305" s="783"/>
      <c r="I305" s="786"/>
      <c r="J305" s="329"/>
      <c r="K305" s="57">
        <f>+$K$13</f>
        <v>801016</v>
      </c>
      <c r="L305" s="329"/>
      <c r="M305" s="57">
        <f>+$M$13</f>
        <v>0</v>
      </c>
      <c r="N305" s="789"/>
      <c r="O305" s="789"/>
      <c r="P305" s="792"/>
      <c r="Q305" s="795"/>
      <c r="R305" s="795"/>
      <c r="S305" s="798">
        <f>IF(COUNTIF(J305:K307,"CUMPLE")&gt;=1,(G305*I305),0)* (IF(N305="PRESENTÓ CERTIFICADO",1,0))* (IF(O305="ACORDE A ITEM 5.2.2 (T.R.)",1,0) )* ( IF(OR(Q305="SIN OBSERVACIÓN", Q305="REQUERIMIENTOS SUBSANADOS"),1,0)) *(IF(OR(R305="NINGUNO", R305="CUMPLEN CON LO SOLICITADO"),1,0))</f>
        <v>0</v>
      </c>
      <c r="T305" s="819"/>
      <c r="U305" s="801">
        <f>IF(COUNTIF(L305:M307,"CUMPLE")&gt;=1,1,0)</f>
        <v>0</v>
      </c>
    </row>
    <row r="306" spans="2:21" ht="33" hidden="1" customHeight="1">
      <c r="B306" s="775"/>
      <c r="C306" s="778"/>
      <c r="D306" s="778"/>
      <c r="E306" s="778"/>
      <c r="F306" s="778"/>
      <c r="G306" s="781"/>
      <c r="H306" s="784"/>
      <c r="I306" s="787"/>
      <c r="J306" s="329"/>
      <c r="K306" s="57">
        <f>+$K$14</f>
        <v>811015</v>
      </c>
      <c r="L306" s="802"/>
      <c r="M306" s="795">
        <f>+$M$14</f>
        <v>0</v>
      </c>
      <c r="N306" s="790"/>
      <c r="O306" s="790"/>
      <c r="P306" s="793"/>
      <c r="Q306" s="796"/>
      <c r="R306" s="796"/>
      <c r="S306" s="799"/>
      <c r="T306" s="819"/>
      <c r="U306" s="801"/>
    </row>
    <row r="307" spans="2:21" ht="33" hidden="1" customHeight="1">
      <c r="B307" s="776"/>
      <c r="C307" s="779"/>
      <c r="D307" s="779"/>
      <c r="E307" s="779"/>
      <c r="F307" s="779"/>
      <c r="G307" s="782"/>
      <c r="H307" s="785"/>
      <c r="I307" s="788"/>
      <c r="J307" s="329"/>
      <c r="K307" s="57">
        <f>+$K$15</f>
        <v>841116</v>
      </c>
      <c r="L307" s="803"/>
      <c r="M307" s="797"/>
      <c r="N307" s="791"/>
      <c r="O307" s="791"/>
      <c r="P307" s="794"/>
      <c r="Q307" s="797"/>
      <c r="R307" s="797"/>
      <c r="S307" s="800"/>
      <c r="T307" s="819"/>
      <c r="U307" s="801"/>
    </row>
    <row r="308" spans="2:21" ht="33" hidden="1" customHeight="1">
      <c r="B308" s="774">
        <v>4</v>
      </c>
      <c r="C308" s="804"/>
      <c r="D308" s="804"/>
      <c r="E308" s="804"/>
      <c r="F308" s="804"/>
      <c r="G308" s="807"/>
      <c r="H308" s="783"/>
      <c r="I308" s="810"/>
      <c r="J308" s="329"/>
      <c r="K308" s="57">
        <f>+$K$13</f>
        <v>801016</v>
      </c>
      <c r="L308" s="329"/>
      <c r="M308" s="57">
        <f>+$M$13</f>
        <v>0</v>
      </c>
      <c r="N308" s="789"/>
      <c r="O308" s="789"/>
      <c r="P308" s="792"/>
      <c r="Q308" s="795"/>
      <c r="R308" s="795"/>
      <c r="S308" s="798">
        <f>IF(COUNTIF(J308:K310,"CUMPLE")&gt;=1,(G308*I308),0)* (IF(N308="PRESENTÓ CERTIFICADO",1,0))* (IF(O308="ACORDE A ITEM 5.2.2 (T.R.)",1,0) )* ( IF(OR(Q308="SIN OBSERVACIÓN", Q308="REQUERIMIENTOS SUBSANADOS"),1,0)) *(IF(OR(R308="NINGUNO", R308="CUMPLEN CON LO SOLICITADO"),1,0))</f>
        <v>0</v>
      </c>
      <c r="T308" s="819"/>
      <c r="U308" s="801">
        <f>IF(COUNTIF(L308:M310,"CUMPLE")&gt;=1,1,0)</f>
        <v>0</v>
      </c>
    </row>
    <row r="309" spans="2:21" ht="33" hidden="1" customHeight="1">
      <c r="B309" s="775"/>
      <c r="C309" s="805"/>
      <c r="D309" s="805"/>
      <c r="E309" s="805"/>
      <c r="F309" s="805"/>
      <c r="G309" s="808"/>
      <c r="H309" s="784"/>
      <c r="I309" s="811"/>
      <c r="J309" s="329"/>
      <c r="K309" s="57">
        <f>+$K$14</f>
        <v>811015</v>
      </c>
      <c r="L309" s="802"/>
      <c r="M309" s="795">
        <f>+$M$14</f>
        <v>0</v>
      </c>
      <c r="N309" s="790"/>
      <c r="O309" s="790"/>
      <c r="P309" s="793"/>
      <c r="Q309" s="796"/>
      <c r="R309" s="796"/>
      <c r="S309" s="799"/>
      <c r="T309" s="819"/>
      <c r="U309" s="801"/>
    </row>
    <row r="310" spans="2:21" ht="33" hidden="1" customHeight="1">
      <c r="B310" s="776"/>
      <c r="C310" s="806"/>
      <c r="D310" s="806"/>
      <c r="E310" s="806"/>
      <c r="F310" s="806"/>
      <c r="G310" s="809"/>
      <c r="H310" s="785"/>
      <c r="I310" s="812"/>
      <c r="J310" s="329"/>
      <c r="K310" s="57">
        <f>+$K$15</f>
        <v>841116</v>
      </c>
      <c r="L310" s="803"/>
      <c r="M310" s="797"/>
      <c r="N310" s="791"/>
      <c r="O310" s="791"/>
      <c r="P310" s="794"/>
      <c r="Q310" s="797"/>
      <c r="R310" s="797"/>
      <c r="S310" s="800"/>
      <c r="T310" s="819"/>
      <c r="U310" s="801"/>
    </row>
    <row r="311" spans="2:21" ht="33" hidden="1" customHeight="1">
      <c r="B311" s="774">
        <v>5</v>
      </c>
      <c r="C311" s="777"/>
      <c r="D311" s="777"/>
      <c r="E311" s="777"/>
      <c r="F311" s="777"/>
      <c r="G311" s="780"/>
      <c r="H311" s="783"/>
      <c r="I311" s="786"/>
      <c r="J311" s="329"/>
      <c r="K311" s="57">
        <f>+$K$13</f>
        <v>801016</v>
      </c>
      <c r="L311" s="329"/>
      <c r="M311" s="57">
        <f>+$M$13</f>
        <v>0</v>
      </c>
      <c r="N311" s="789"/>
      <c r="O311" s="789"/>
      <c r="P311" s="792"/>
      <c r="Q311" s="795"/>
      <c r="R311" s="795"/>
      <c r="S311" s="798">
        <f>IF(COUNTIF(J311:K313,"CUMPLE")&gt;=1,(G311*I311),0)* (IF(N311="PRESENTÓ CERTIFICADO",1,0))* (IF(O311="ACORDE A ITEM 5.2.2 (T.R.)",1,0) )* ( IF(OR(Q311="SIN OBSERVACIÓN", Q311="REQUERIMIENTOS SUBSANADOS"),1,0)) *(IF(OR(R311="NINGUNO", R311="CUMPLEN CON LO SOLICITADO"),1,0))</f>
        <v>0</v>
      </c>
      <c r="T311" s="819"/>
      <c r="U311" s="801">
        <f>IF(COUNTIF(L311:M313,"CUMPLE")&gt;=1,1,0)</f>
        <v>0</v>
      </c>
    </row>
    <row r="312" spans="2:21" ht="33" hidden="1" customHeight="1">
      <c r="B312" s="775"/>
      <c r="C312" s="778"/>
      <c r="D312" s="778"/>
      <c r="E312" s="778"/>
      <c r="F312" s="778"/>
      <c r="G312" s="781"/>
      <c r="H312" s="784"/>
      <c r="I312" s="787"/>
      <c r="J312" s="329"/>
      <c r="K312" s="57">
        <f>+$K$14</f>
        <v>811015</v>
      </c>
      <c r="L312" s="802"/>
      <c r="M312" s="795">
        <f>+$M$14</f>
        <v>0</v>
      </c>
      <c r="N312" s="790"/>
      <c r="O312" s="790"/>
      <c r="P312" s="793"/>
      <c r="Q312" s="796"/>
      <c r="R312" s="796"/>
      <c r="S312" s="799"/>
      <c r="T312" s="819"/>
      <c r="U312" s="801"/>
    </row>
    <row r="313" spans="2:21" ht="33" hidden="1" customHeight="1">
      <c r="B313" s="776"/>
      <c r="C313" s="779"/>
      <c r="D313" s="779"/>
      <c r="E313" s="779"/>
      <c r="F313" s="779"/>
      <c r="G313" s="782"/>
      <c r="H313" s="785"/>
      <c r="I313" s="788"/>
      <c r="J313" s="329"/>
      <c r="K313" s="57">
        <f>+$K$15</f>
        <v>841116</v>
      </c>
      <c r="L313" s="803"/>
      <c r="M313" s="797"/>
      <c r="N313" s="791"/>
      <c r="O313" s="791"/>
      <c r="P313" s="794"/>
      <c r="Q313" s="797"/>
      <c r="R313" s="797"/>
      <c r="S313" s="800"/>
      <c r="T313" s="820"/>
      <c r="U313" s="801"/>
    </row>
    <row r="314" spans="2:21" ht="18" hidden="1" customHeight="1">
      <c r="B314" s="763" t="str">
        <f>IF(S315=" "," ",IF(S315&gt;=$H$6,"CUMPLE CON LA EXPERIENCIA REQUERIDA","NO CUMPLE CON LA EXPERIENCIA REQUERIDA"))</f>
        <v>NO CUMPLE CON LA EXPERIENCIA REQUERIDA</v>
      </c>
      <c r="C314" s="764"/>
      <c r="D314" s="764"/>
      <c r="E314" s="764"/>
      <c r="F314" s="764"/>
      <c r="G314" s="764"/>
      <c r="H314" s="764"/>
      <c r="I314" s="764"/>
      <c r="J314" s="764"/>
      <c r="K314" s="764"/>
      <c r="L314" s="764"/>
      <c r="M314" s="764"/>
      <c r="N314" s="764"/>
      <c r="O314" s="765"/>
      <c r="P314" s="769" t="s">
        <v>45</v>
      </c>
      <c r="Q314" s="770"/>
      <c r="R314" s="771"/>
      <c r="S314" s="333">
        <f>IF(T299="SI",SUM(S299:S313),0)</f>
        <v>0</v>
      </c>
      <c r="T314" s="772" t="str">
        <f>IF(S315=" "," ",IF(S315&gt;=$H$6,"CUMPLE","NO CUMPLE"))</f>
        <v>NO CUMPLE</v>
      </c>
    </row>
    <row r="315" spans="2:21" ht="18" hidden="1" customHeight="1">
      <c r="B315" s="766"/>
      <c r="C315" s="767"/>
      <c r="D315" s="767"/>
      <c r="E315" s="767"/>
      <c r="F315" s="767"/>
      <c r="G315" s="767"/>
      <c r="H315" s="767"/>
      <c r="I315" s="767"/>
      <c r="J315" s="767"/>
      <c r="K315" s="767"/>
      <c r="L315" s="767"/>
      <c r="M315" s="767"/>
      <c r="N315" s="767"/>
      <c r="O315" s="768"/>
      <c r="P315" s="769" t="s">
        <v>46</v>
      </c>
      <c r="Q315" s="770"/>
      <c r="R315" s="771"/>
      <c r="S315" s="333">
        <f>IFERROR((S314/$P$6)," ")</f>
        <v>0</v>
      </c>
      <c r="T315" s="773"/>
      <c r="U315" s="330"/>
    </row>
  </sheetData>
  <sheetProtection algorithmName="SHA-512" hashValue="vQEn/YjjOGBO0UJ7Wa/dUWkCAbMDCrqsth4/w6qsRlm+6Bjxs/oac41l5X8QhOR8SBD6UT/VqpFqoJ3Z88mh5w==" saltValue="t+N9f2dDBDOwxrC8DFqCbA==" spinCount="100000" sheet="1" objects="1" scenarios="1"/>
  <mergeCells count="1550">
    <mergeCell ref="U220:U222"/>
    <mergeCell ref="L221:L222"/>
    <mergeCell ref="M221:M222"/>
    <mergeCell ref="B223:B225"/>
    <mergeCell ref="C223:C225"/>
    <mergeCell ref="D223:D225"/>
    <mergeCell ref="E223:E225"/>
    <mergeCell ref="F223:F225"/>
    <mergeCell ref="G223:G225"/>
    <mergeCell ref="H223:H225"/>
    <mergeCell ref="I223:I225"/>
    <mergeCell ref="N223:N225"/>
    <mergeCell ref="O223:O225"/>
    <mergeCell ref="P223:P225"/>
    <mergeCell ref="Q223:Q225"/>
    <mergeCell ref="R223:R225"/>
    <mergeCell ref="S223:S225"/>
    <mergeCell ref="U223:U225"/>
    <mergeCell ref="L224:L225"/>
    <mergeCell ref="O217:O219"/>
    <mergeCell ref="P217:P219"/>
    <mergeCell ref="Q217:Q219"/>
    <mergeCell ref="E214:E216"/>
    <mergeCell ref="F214:F216"/>
    <mergeCell ref="G214:G216"/>
    <mergeCell ref="H214:H216"/>
    <mergeCell ref="I214:I216"/>
    <mergeCell ref="N214:N216"/>
    <mergeCell ref="O214:O216"/>
    <mergeCell ref="P214:P216"/>
    <mergeCell ref="D214:D216"/>
    <mergeCell ref="M224:M225"/>
    <mergeCell ref="B226:O227"/>
    <mergeCell ref="P226:R226"/>
    <mergeCell ref="T226:T227"/>
    <mergeCell ref="P227:R227"/>
    <mergeCell ref="O220:O222"/>
    <mergeCell ref="P220:P222"/>
    <mergeCell ref="Q220:Q222"/>
    <mergeCell ref="R220:R222"/>
    <mergeCell ref="S220:S222"/>
    <mergeCell ref="T211:T225"/>
    <mergeCell ref="C214:C216"/>
    <mergeCell ref="U211:U213"/>
    <mergeCell ref="L212:L213"/>
    <mergeCell ref="B220:B222"/>
    <mergeCell ref="C220:C222"/>
    <mergeCell ref="D220:D222"/>
    <mergeCell ref="Q214:Q216"/>
    <mergeCell ref="E220:E222"/>
    <mergeCell ref="F220:F222"/>
    <mergeCell ref="G220:G222"/>
    <mergeCell ref="H220:H222"/>
    <mergeCell ref="I220:I222"/>
    <mergeCell ref="N220:N222"/>
    <mergeCell ref="R217:R219"/>
    <mergeCell ref="S217:S219"/>
    <mergeCell ref="U217:U219"/>
    <mergeCell ref="L218:L219"/>
    <mergeCell ref="M218:M219"/>
    <mergeCell ref="R214:R216"/>
    <mergeCell ref="S214:S216"/>
    <mergeCell ref="U214:U216"/>
    <mergeCell ref="L215:L216"/>
    <mergeCell ref="M215:M216"/>
    <mergeCell ref="B217:B219"/>
    <mergeCell ref="C217:C219"/>
    <mergeCell ref="D217:D219"/>
    <mergeCell ref="E217:E219"/>
    <mergeCell ref="F217:F219"/>
    <mergeCell ref="G217:G219"/>
    <mergeCell ref="H217:H219"/>
    <mergeCell ref="I217:I219"/>
    <mergeCell ref="N217:N219"/>
    <mergeCell ref="B214:B216"/>
    <mergeCell ref="P209:Q209"/>
    <mergeCell ref="R209:R210"/>
    <mergeCell ref="S209:S210"/>
    <mergeCell ref="B211:B213"/>
    <mergeCell ref="C211:C213"/>
    <mergeCell ref="D211:D213"/>
    <mergeCell ref="E211:E213"/>
    <mergeCell ref="F211:F213"/>
    <mergeCell ref="G211:G213"/>
    <mergeCell ref="H211:H213"/>
    <mergeCell ref="I211:I213"/>
    <mergeCell ref="N211:N213"/>
    <mergeCell ref="O211:O213"/>
    <mergeCell ref="P211:P213"/>
    <mergeCell ref="Q211:Q213"/>
    <mergeCell ref="R211:R213"/>
    <mergeCell ref="S211:S213"/>
    <mergeCell ref="M212:M213"/>
    <mergeCell ref="T209:T210"/>
    <mergeCell ref="U209:U210"/>
    <mergeCell ref="J210:M210"/>
    <mergeCell ref="C201:C203"/>
    <mergeCell ref="D201:D203"/>
    <mergeCell ref="E201:E203"/>
    <mergeCell ref="F201:F203"/>
    <mergeCell ref="B198:B200"/>
    <mergeCell ref="C198:C200"/>
    <mergeCell ref="D198:D200"/>
    <mergeCell ref="E198:E200"/>
    <mergeCell ref="F198:F200"/>
    <mergeCell ref="G198:G200"/>
    <mergeCell ref="H195:H197"/>
    <mergeCell ref="I195:I197"/>
    <mergeCell ref="N195:N197"/>
    <mergeCell ref="B195:B197"/>
    <mergeCell ref="C195:C197"/>
    <mergeCell ref="C208:E208"/>
    <mergeCell ref="F208:O208"/>
    <mergeCell ref="P208:R208"/>
    <mergeCell ref="B209:B210"/>
    <mergeCell ref="C209:C210"/>
    <mergeCell ref="D209:D210"/>
    <mergeCell ref="E209:E210"/>
    <mergeCell ref="F209:F210"/>
    <mergeCell ref="G209:G210"/>
    <mergeCell ref="H209:H210"/>
    <mergeCell ref="I209:I210"/>
    <mergeCell ref="J209:M209"/>
    <mergeCell ref="N209:N210"/>
    <mergeCell ref="O209:O210"/>
    <mergeCell ref="U187:U188"/>
    <mergeCell ref="J188:M188"/>
    <mergeCell ref="P189:P191"/>
    <mergeCell ref="Q189:Q191"/>
    <mergeCell ref="U195:U197"/>
    <mergeCell ref="L196:L197"/>
    <mergeCell ref="M196:M197"/>
    <mergeCell ref="O195:O197"/>
    <mergeCell ref="P195:P197"/>
    <mergeCell ref="Q195:Q197"/>
    <mergeCell ref="O187:O188"/>
    <mergeCell ref="P187:Q187"/>
    <mergeCell ref="R187:R188"/>
    <mergeCell ref="O198:O200"/>
    <mergeCell ref="Q198:Q200"/>
    <mergeCell ref="S195:S197"/>
    <mergeCell ref="T189:T203"/>
    <mergeCell ref="U189:U191"/>
    <mergeCell ref="L190:L191"/>
    <mergeCell ref="M190:M191"/>
    <mergeCell ref="R192:R194"/>
    <mergeCell ref="S192:S194"/>
    <mergeCell ref="U192:U194"/>
    <mergeCell ref="R195:R197"/>
    <mergeCell ref="N189:N191"/>
    <mergeCell ref="O189:O191"/>
    <mergeCell ref="P201:P203"/>
    <mergeCell ref="P198:P200"/>
    <mergeCell ref="R189:R191"/>
    <mergeCell ref="S189:S191"/>
    <mergeCell ref="S187:S188"/>
    <mergeCell ref="T187:T188"/>
    <mergeCell ref="AI13:AI28"/>
    <mergeCell ref="B204:O205"/>
    <mergeCell ref="P204:R204"/>
    <mergeCell ref="T204:T205"/>
    <mergeCell ref="P205:R205"/>
    <mergeCell ref="Q201:Q203"/>
    <mergeCell ref="R201:R203"/>
    <mergeCell ref="S201:S203"/>
    <mergeCell ref="U201:U203"/>
    <mergeCell ref="L202:L203"/>
    <mergeCell ref="M202:M203"/>
    <mergeCell ref="G201:G203"/>
    <mergeCell ref="H201:H203"/>
    <mergeCell ref="I201:I203"/>
    <mergeCell ref="N201:N203"/>
    <mergeCell ref="O201:O203"/>
    <mergeCell ref="B201:B203"/>
    <mergeCell ref="U198:U200"/>
    <mergeCell ref="L199:L200"/>
    <mergeCell ref="M199:M200"/>
    <mergeCell ref="H192:H194"/>
    <mergeCell ref="I192:I194"/>
    <mergeCell ref="N192:N194"/>
    <mergeCell ref="O192:O194"/>
    <mergeCell ref="P192:P194"/>
    <mergeCell ref="Q192:Q194"/>
    <mergeCell ref="L193:L194"/>
    <mergeCell ref="M193:M194"/>
    <mergeCell ref="H187:H188"/>
    <mergeCell ref="H198:H200"/>
    <mergeCell ref="I198:I200"/>
    <mergeCell ref="N198:N200"/>
    <mergeCell ref="B189:B191"/>
    <mergeCell ref="C189:C191"/>
    <mergeCell ref="D189:D191"/>
    <mergeCell ref="E189:E191"/>
    <mergeCell ref="F189:F191"/>
    <mergeCell ref="G189:G191"/>
    <mergeCell ref="I187:I188"/>
    <mergeCell ref="J187:M187"/>
    <mergeCell ref="N187:N188"/>
    <mergeCell ref="R198:R200"/>
    <mergeCell ref="S198:S200"/>
    <mergeCell ref="D195:D197"/>
    <mergeCell ref="E195:E197"/>
    <mergeCell ref="F195:F197"/>
    <mergeCell ref="G195:G197"/>
    <mergeCell ref="B192:B194"/>
    <mergeCell ref="C192:C194"/>
    <mergeCell ref="D192:D194"/>
    <mergeCell ref="E192:E194"/>
    <mergeCell ref="F192:F194"/>
    <mergeCell ref="G192:G194"/>
    <mergeCell ref="C187:C188"/>
    <mergeCell ref="G187:G188"/>
    <mergeCell ref="H189:H191"/>
    <mergeCell ref="I189:I191"/>
    <mergeCell ref="D187:D188"/>
    <mergeCell ref="E187:E188"/>
    <mergeCell ref="F187:F188"/>
    <mergeCell ref="B187:B188"/>
    <mergeCell ref="B182:O183"/>
    <mergeCell ref="P182:R182"/>
    <mergeCell ref="T182:T183"/>
    <mergeCell ref="P183:R183"/>
    <mergeCell ref="H179:H181"/>
    <mergeCell ref="I179:I181"/>
    <mergeCell ref="N179:N181"/>
    <mergeCell ref="O179:O181"/>
    <mergeCell ref="P179:P181"/>
    <mergeCell ref="Q179:Q181"/>
    <mergeCell ref="B179:B181"/>
    <mergeCell ref="C179:C181"/>
    <mergeCell ref="D179:D181"/>
    <mergeCell ref="E179:E181"/>
    <mergeCell ref="F179:F181"/>
    <mergeCell ref="G179:G181"/>
    <mergeCell ref="C186:E186"/>
    <mergeCell ref="F186:O186"/>
    <mergeCell ref="P186:R186"/>
    <mergeCell ref="E170:E172"/>
    <mergeCell ref="F170:F172"/>
    <mergeCell ref="G170:G172"/>
    <mergeCell ref="R173:R175"/>
    <mergeCell ref="S173:S175"/>
    <mergeCell ref="G176:G178"/>
    <mergeCell ref="H176:H178"/>
    <mergeCell ref="I176:I178"/>
    <mergeCell ref="B173:B175"/>
    <mergeCell ref="C173:C175"/>
    <mergeCell ref="D173:D175"/>
    <mergeCell ref="E173:E175"/>
    <mergeCell ref="F173:F175"/>
    <mergeCell ref="G173:G175"/>
    <mergeCell ref="B176:B178"/>
    <mergeCell ref="C176:C178"/>
    <mergeCell ref="D176:D178"/>
    <mergeCell ref="E176:E178"/>
    <mergeCell ref="F176:F178"/>
    <mergeCell ref="L174:L175"/>
    <mergeCell ref="M174:M175"/>
    <mergeCell ref="R170:R172"/>
    <mergeCell ref="S170:S172"/>
    <mergeCell ref="N170:N172"/>
    <mergeCell ref="O170:O172"/>
    <mergeCell ref="P170:P172"/>
    <mergeCell ref="Q170:Q172"/>
    <mergeCell ref="L171:L172"/>
    <mergeCell ref="B170:B172"/>
    <mergeCell ref="C170:C172"/>
    <mergeCell ref="D170:D172"/>
    <mergeCell ref="H170:H172"/>
    <mergeCell ref="I170:I172"/>
    <mergeCell ref="R165:R166"/>
    <mergeCell ref="S165:S166"/>
    <mergeCell ref="M171:M172"/>
    <mergeCell ref="R176:R178"/>
    <mergeCell ref="S176:S178"/>
    <mergeCell ref="U176:U178"/>
    <mergeCell ref="L177:L178"/>
    <mergeCell ref="M177:M178"/>
    <mergeCell ref="N176:N178"/>
    <mergeCell ref="O176:O178"/>
    <mergeCell ref="P176:P178"/>
    <mergeCell ref="P173:P175"/>
    <mergeCell ref="Q173:Q175"/>
    <mergeCell ref="Q176:Q178"/>
    <mergeCell ref="H173:H175"/>
    <mergeCell ref="I173:I175"/>
    <mergeCell ref="N173:N175"/>
    <mergeCell ref="O173:O175"/>
    <mergeCell ref="U173:U175"/>
    <mergeCell ref="T167:T181"/>
    <mergeCell ref="U167:U169"/>
    <mergeCell ref="U170:U172"/>
    <mergeCell ref="T165:T166"/>
    <mergeCell ref="U165:U166"/>
    <mergeCell ref="R179:R181"/>
    <mergeCell ref="S179:S181"/>
    <mergeCell ref="U179:U181"/>
    <mergeCell ref="L180:L181"/>
    <mergeCell ref="M180:M181"/>
    <mergeCell ref="J166:M166"/>
    <mergeCell ref="R167:R169"/>
    <mergeCell ref="B167:B169"/>
    <mergeCell ref="C167:C169"/>
    <mergeCell ref="D167:D169"/>
    <mergeCell ref="E167:E169"/>
    <mergeCell ref="F167:F169"/>
    <mergeCell ref="H165:H166"/>
    <mergeCell ref="I165:I166"/>
    <mergeCell ref="J165:M165"/>
    <mergeCell ref="N165:N166"/>
    <mergeCell ref="O165:O166"/>
    <mergeCell ref="P165:Q165"/>
    <mergeCell ref="B165:B166"/>
    <mergeCell ref="C165:C166"/>
    <mergeCell ref="D165:D166"/>
    <mergeCell ref="E165:E166"/>
    <mergeCell ref="F165:F166"/>
    <mergeCell ref="G165:G166"/>
    <mergeCell ref="Q167:Q169"/>
    <mergeCell ref="G167:G169"/>
    <mergeCell ref="H167:H169"/>
    <mergeCell ref="I167:I169"/>
    <mergeCell ref="N167:N169"/>
    <mergeCell ref="O167:O169"/>
    <mergeCell ref="P167:P169"/>
    <mergeCell ref="S167:S169"/>
    <mergeCell ref="L168:L169"/>
    <mergeCell ref="M168:M169"/>
    <mergeCell ref="B160:O161"/>
    <mergeCell ref="P160:R160"/>
    <mergeCell ref="T160:T161"/>
    <mergeCell ref="P161:R161"/>
    <mergeCell ref="C164:E164"/>
    <mergeCell ref="F164:O164"/>
    <mergeCell ref="P164:R164"/>
    <mergeCell ref="Q157:Q159"/>
    <mergeCell ref="R157:R159"/>
    <mergeCell ref="S157:S159"/>
    <mergeCell ref="L158:L159"/>
    <mergeCell ref="M158:M159"/>
    <mergeCell ref="G157:G159"/>
    <mergeCell ref="H157:H159"/>
    <mergeCell ref="I157:I159"/>
    <mergeCell ref="N157:N159"/>
    <mergeCell ref="O157:O159"/>
    <mergeCell ref="P157:P159"/>
    <mergeCell ref="B157:B159"/>
    <mergeCell ref="C157:C159"/>
    <mergeCell ref="D157:D159"/>
    <mergeCell ref="E157:E159"/>
    <mergeCell ref="F157:F159"/>
    <mergeCell ref="T145:T159"/>
    <mergeCell ref="B154:B156"/>
    <mergeCell ref="C154:C156"/>
    <mergeCell ref="D154:D156"/>
    <mergeCell ref="E154:E156"/>
    <mergeCell ref="F154:F156"/>
    <mergeCell ref="G154:G156"/>
    <mergeCell ref="H151:H153"/>
    <mergeCell ref="I151:I153"/>
    <mergeCell ref="B151:B153"/>
    <mergeCell ref="C151:C153"/>
    <mergeCell ref="D151:D153"/>
    <mergeCell ref="E151:E153"/>
    <mergeCell ref="F151:F153"/>
    <mergeCell ref="G151:G153"/>
    <mergeCell ref="B148:B150"/>
    <mergeCell ref="C148:C150"/>
    <mergeCell ref="D148:D150"/>
    <mergeCell ref="E148:E150"/>
    <mergeCell ref="F148:F150"/>
    <mergeCell ref="G148:G150"/>
    <mergeCell ref="C143:C144"/>
    <mergeCell ref="D143:D144"/>
    <mergeCell ref="E143:E144"/>
    <mergeCell ref="F143:F144"/>
    <mergeCell ref="G143:G144"/>
    <mergeCell ref="U143:U144"/>
    <mergeCell ref="J144:M144"/>
    <mergeCell ref="R154:R156"/>
    <mergeCell ref="S154:S156"/>
    <mergeCell ref="U154:U156"/>
    <mergeCell ref="L155:L156"/>
    <mergeCell ref="M155:M156"/>
    <mergeCell ref="H148:H150"/>
    <mergeCell ref="I148:I150"/>
    <mergeCell ref="N148:N150"/>
    <mergeCell ref="O148:O150"/>
    <mergeCell ref="P148:P150"/>
    <mergeCell ref="Q148:Q150"/>
    <mergeCell ref="L149:L150"/>
    <mergeCell ref="M149:M150"/>
    <mergeCell ref="H143:H144"/>
    <mergeCell ref="H154:H156"/>
    <mergeCell ref="I154:I156"/>
    <mergeCell ref="N154:N156"/>
    <mergeCell ref="O154:O156"/>
    <mergeCell ref="P154:P156"/>
    <mergeCell ref="Q154:Q156"/>
    <mergeCell ref="S151:S153"/>
    <mergeCell ref="S148:S150"/>
    <mergeCell ref="U148:U150"/>
    <mergeCell ref="R151:R153"/>
    <mergeCell ref="H145:H147"/>
    <mergeCell ref="I145:I147"/>
    <mergeCell ref="N145:N147"/>
    <mergeCell ref="O145:O147"/>
    <mergeCell ref="P145:P147"/>
    <mergeCell ref="N151:N153"/>
    <mergeCell ref="Q145:Q147"/>
    <mergeCell ref="U151:U153"/>
    <mergeCell ref="L152:L153"/>
    <mergeCell ref="M152:M153"/>
    <mergeCell ref="O151:O153"/>
    <mergeCell ref="P151:P153"/>
    <mergeCell ref="Q151:Q153"/>
    <mergeCell ref="U157:U159"/>
    <mergeCell ref="O143:O144"/>
    <mergeCell ref="P143:Q143"/>
    <mergeCell ref="R143:R144"/>
    <mergeCell ref="C142:E142"/>
    <mergeCell ref="F142:O142"/>
    <mergeCell ref="P142:R142"/>
    <mergeCell ref="B143:B144"/>
    <mergeCell ref="R145:R147"/>
    <mergeCell ref="S145:S147"/>
    <mergeCell ref="S143:S144"/>
    <mergeCell ref="B145:B147"/>
    <mergeCell ref="C145:C147"/>
    <mergeCell ref="D145:D147"/>
    <mergeCell ref="E145:E147"/>
    <mergeCell ref="F145:F147"/>
    <mergeCell ref="G145:G147"/>
    <mergeCell ref="I143:I144"/>
    <mergeCell ref="J143:M143"/>
    <mergeCell ref="N143:N144"/>
    <mergeCell ref="U145:U147"/>
    <mergeCell ref="L146:L147"/>
    <mergeCell ref="M146:M147"/>
    <mergeCell ref="R148:R150"/>
    <mergeCell ref="T143:T144"/>
    <mergeCell ref="B138:O139"/>
    <mergeCell ref="P138:R138"/>
    <mergeCell ref="T138:T139"/>
    <mergeCell ref="P139:R139"/>
    <mergeCell ref="H135:H137"/>
    <mergeCell ref="I135:I137"/>
    <mergeCell ref="N135:N137"/>
    <mergeCell ref="O135:O137"/>
    <mergeCell ref="P135:P137"/>
    <mergeCell ref="Q135:Q137"/>
    <mergeCell ref="B135:B137"/>
    <mergeCell ref="C135:C137"/>
    <mergeCell ref="D135:D137"/>
    <mergeCell ref="E135:E137"/>
    <mergeCell ref="F135:F137"/>
    <mergeCell ref="G135:G137"/>
    <mergeCell ref="R129:R131"/>
    <mergeCell ref="S129:S131"/>
    <mergeCell ref="G132:G134"/>
    <mergeCell ref="H132:H134"/>
    <mergeCell ref="I132:I134"/>
    <mergeCell ref="B129:B131"/>
    <mergeCell ref="C129:C131"/>
    <mergeCell ref="D129:D131"/>
    <mergeCell ref="E129:E131"/>
    <mergeCell ref="F129:F131"/>
    <mergeCell ref="G129:G131"/>
    <mergeCell ref="B132:B134"/>
    <mergeCell ref="C132:C134"/>
    <mergeCell ref="D132:D134"/>
    <mergeCell ref="E132:E134"/>
    <mergeCell ref="F132:F134"/>
    <mergeCell ref="U129:U131"/>
    <mergeCell ref="L130:L131"/>
    <mergeCell ref="M130:M131"/>
    <mergeCell ref="T123:T137"/>
    <mergeCell ref="U123:U125"/>
    <mergeCell ref="U126:U128"/>
    <mergeCell ref="R135:R137"/>
    <mergeCell ref="S135:S137"/>
    <mergeCell ref="U135:U137"/>
    <mergeCell ref="L136:L137"/>
    <mergeCell ref="M136:M137"/>
    <mergeCell ref="N126:N128"/>
    <mergeCell ref="O126:O128"/>
    <mergeCell ref="P126:P128"/>
    <mergeCell ref="Q126:Q128"/>
    <mergeCell ref="L127:L128"/>
    <mergeCell ref="M127:M128"/>
    <mergeCell ref="R132:R134"/>
    <mergeCell ref="S132:S134"/>
    <mergeCell ref="U132:U134"/>
    <mergeCell ref="L133:L134"/>
    <mergeCell ref="M133:M134"/>
    <mergeCell ref="N132:N134"/>
    <mergeCell ref="O132:O134"/>
    <mergeCell ref="P132:P134"/>
    <mergeCell ref="P129:P131"/>
    <mergeCell ref="Q129:Q131"/>
    <mergeCell ref="Q132:Q134"/>
    <mergeCell ref="H129:H131"/>
    <mergeCell ref="I129:I131"/>
    <mergeCell ref="N129:N131"/>
    <mergeCell ref="O129:O131"/>
    <mergeCell ref="B126:B128"/>
    <mergeCell ref="C126:C128"/>
    <mergeCell ref="D126:D128"/>
    <mergeCell ref="E126:E128"/>
    <mergeCell ref="F126:F128"/>
    <mergeCell ref="G126:G128"/>
    <mergeCell ref="Q123:Q125"/>
    <mergeCell ref="R123:R125"/>
    <mergeCell ref="S123:S125"/>
    <mergeCell ref="L124:L125"/>
    <mergeCell ref="M124:M125"/>
    <mergeCell ref="R126:R128"/>
    <mergeCell ref="S126:S128"/>
    <mergeCell ref="G123:G125"/>
    <mergeCell ref="H123:H125"/>
    <mergeCell ref="I123:I125"/>
    <mergeCell ref="N123:N125"/>
    <mergeCell ref="O123:O125"/>
    <mergeCell ref="P123:P125"/>
    <mergeCell ref="H126:H128"/>
    <mergeCell ref="I126:I128"/>
    <mergeCell ref="R121:R122"/>
    <mergeCell ref="S121:S122"/>
    <mergeCell ref="T121:T122"/>
    <mergeCell ref="U121:U122"/>
    <mergeCell ref="J122:M122"/>
    <mergeCell ref="B123:B125"/>
    <mergeCell ref="C123:C125"/>
    <mergeCell ref="D123:D125"/>
    <mergeCell ref="E123:E125"/>
    <mergeCell ref="F123:F125"/>
    <mergeCell ref="H121:H122"/>
    <mergeCell ref="I121:I122"/>
    <mergeCell ref="J121:M121"/>
    <mergeCell ref="N121:N122"/>
    <mergeCell ref="O121:O122"/>
    <mergeCell ref="P121:Q121"/>
    <mergeCell ref="B121:B122"/>
    <mergeCell ref="C121:C122"/>
    <mergeCell ref="D121:D122"/>
    <mergeCell ref="E121:E122"/>
    <mergeCell ref="F121:F122"/>
    <mergeCell ref="G121:G122"/>
    <mergeCell ref="B116:O117"/>
    <mergeCell ref="P116:R116"/>
    <mergeCell ref="T116:T117"/>
    <mergeCell ref="P117:R117"/>
    <mergeCell ref="C120:E120"/>
    <mergeCell ref="F120:O120"/>
    <mergeCell ref="P120:R120"/>
    <mergeCell ref="Q113:Q115"/>
    <mergeCell ref="R113:R115"/>
    <mergeCell ref="S113:S115"/>
    <mergeCell ref="L114:L115"/>
    <mergeCell ref="M114:M115"/>
    <mergeCell ref="G113:G115"/>
    <mergeCell ref="H113:H115"/>
    <mergeCell ref="I113:I115"/>
    <mergeCell ref="N113:N115"/>
    <mergeCell ref="O113:O115"/>
    <mergeCell ref="P113:P115"/>
    <mergeCell ref="B113:B115"/>
    <mergeCell ref="C113:C115"/>
    <mergeCell ref="D113:D115"/>
    <mergeCell ref="E113:E115"/>
    <mergeCell ref="F113:F115"/>
    <mergeCell ref="T101:T115"/>
    <mergeCell ref="B110:B112"/>
    <mergeCell ref="C110:C112"/>
    <mergeCell ref="D110:D112"/>
    <mergeCell ref="E110:E112"/>
    <mergeCell ref="F110:F112"/>
    <mergeCell ref="G110:G112"/>
    <mergeCell ref="H107:H109"/>
    <mergeCell ref="I107:I109"/>
    <mergeCell ref="B107:B109"/>
    <mergeCell ref="C107:C109"/>
    <mergeCell ref="D107:D109"/>
    <mergeCell ref="E107:E109"/>
    <mergeCell ref="F107:F109"/>
    <mergeCell ref="G107:G109"/>
    <mergeCell ref="B104:B106"/>
    <mergeCell ref="C104:C106"/>
    <mergeCell ref="D104:D106"/>
    <mergeCell ref="E104:E106"/>
    <mergeCell ref="F104:F106"/>
    <mergeCell ref="G104:G106"/>
    <mergeCell ref="C99:C100"/>
    <mergeCell ref="D99:D100"/>
    <mergeCell ref="E99:E100"/>
    <mergeCell ref="F99:F100"/>
    <mergeCell ref="G99:G100"/>
    <mergeCell ref="U99:U100"/>
    <mergeCell ref="J100:M100"/>
    <mergeCell ref="R110:R112"/>
    <mergeCell ref="S110:S112"/>
    <mergeCell ref="U110:U112"/>
    <mergeCell ref="L111:L112"/>
    <mergeCell ref="M111:M112"/>
    <mergeCell ref="H104:H106"/>
    <mergeCell ref="I104:I106"/>
    <mergeCell ref="N104:N106"/>
    <mergeCell ref="O104:O106"/>
    <mergeCell ref="P104:P106"/>
    <mergeCell ref="Q104:Q106"/>
    <mergeCell ref="L105:L106"/>
    <mergeCell ref="M105:M106"/>
    <mergeCell ref="H99:H100"/>
    <mergeCell ref="H110:H112"/>
    <mergeCell ref="I110:I112"/>
    <mergeCell ref="N110:N112"/>
    <mergeCell ref="O110:O112"/>
    <mergeCell ref="P110:P112"/>
    <mergeCell ref="Q110:Q112"/>
    <mergeCell ref="S107:S109"/>
    <mergeCell ref="S104:S106"/>
    <mergeCell ref="U104:U106"/>
    <mergeCell ref="R107:R109"/>
    <mergeCell ref="H101:H103"/>
    <mergeCell ref="I101:I103"/>
    <mergeCell ref="N101:N103"/>
    <mergeCell ref="O101:O103"/>
    <mergeCell ref="P101:P103"/>
    <mergeCell ref="N107:N109"/>
    <mergeCell ref="Q101:Q103"/>
    <mergeCell ref="U107:U109"/>
    <mergeCell ref="L108:L109"/>
    <mergeCell ref="M108:M109"/>
    <mergeCell ref="O107:O109"/>
    <mergeCell ref="P107:P109"/>
    <mergeCell ref="Q107:Q109"/>
    <mergeCell ref="U113:U115"/>
    <mergeCell ref="O99:O100"/>
    <mergeCell ref="P99:Q99"/>
    <mergeCell ref="R99:R100"/>
    <mergeCell ref="C98:E98"/>
    <mergeCell ref="F98:O98"/>
    <mergeCell ref="P98:R98"/>
    <mergeCell ref="B99:B100"/>
    <mergeCell ref="R101:R103"/>
    <mergeCell ref="S101:S103"/>
    <mergeCell ref="S99:S100"/>
    <mergeCell ref="B101:B103"/>
    <mergeCell ref="C101:C103"/>
    <mergeCell ref="D101:D103"/>
    <mergeCell ref="E101:E103"/>
    <mergeCell ref="F101:F103"/>
    <mergeCell ref="G101:G103"/>
    <mergeCell ref="I99:I100"/>
    <mergeCell ref="J99:M99"/>
    <mergeCell ref="N99:N100"/>
    <mergeCell ref="U101:U103"/>
    <mergeCell ref="L102:L103"/>
    <mergeCell ref="M102:M103"/>
    <mergeCell ref="R104:R106"/>
    <mergeCell ref="T99:T100"/>
    <mergeCell ref="B94:O95"/>
    <mergeCell ref="P94:R94"/>
    <mergeCell ref="T94:T95"/>
    <mergeCell ref="P95:R95"/>
    <mergeCell ref="H91:H93"/>
    <mergeCell ref="I91:I93"/>
    <mergeCell ref="N91:N93"/>
    <mergeCell ref="O91:O93"/>
    <mergeCell ref="P91:P93"/>
    <mergeCell ref="Q91:Q93"/>
    <mergeCell ref="B91:B93"/>
    <mergeCell ref="C91:C93"/>
    <mergeCell ref="D91:D93"/>
    <mergeCell ref="E91:E93"/>
    <mergeCell ref="F91:F93"/>
    <mergeCell ref="G91:G93"/>
    <mergeCell ref="R85:R87"/>
    <mergeCell ref="S85:S87"/>
    <mergeCell ref="G88:G90"/>
    <mergeCell ref="H88:H90"/>
    <mergeCell ref="I88:I90"/>
    <mergeCell ref="B85:B87"/>
    <mergeCell ref="C85:C87"/>
    <mergeCell ref="D85:D87"/>
    <mergeCell ref="E85:E87"/>
    <mergeCell ref="F85:F87"/>
    <mergeCell ref="G85:G87"/>
    <mergeCell ref="B88:B90"/>
    <mergeCell ref="C88:C90"/>
    <mergeCell ref="D88:D90"/>
    <mergeCell ref="E88:E90"/>
    <mergeCell ref="F88:F90"/>
    <mergeCell ref="U85:U87"/>
    <mergeCell ref="L86:L87"/>
    <mergeCell ref="M86:M87"/>
    <mergeCell ref="T79:T93"/>
    <mergeCell ref="U79:U81"/>
    <mergeCell ref="U82:U84"/>
    <mergeCell ref="R91:R93"/>
    <mergeCell ref="S91:S93"/>
    <mergeCell ref="U91:U93"/>
    <mergeCell ref="L92:L93"/>
    <mergeCell ref="M92:M93"/>
    <mergeCell ref="N82:N84"/>
    <mergeCell ref="O82:O84"/>
    <mergeCell ref="P82:P84"/>
    <mergeCell ref="Q82:Q84"/>
    <mergeCell ref="L83:L84"/>
    <mergeCell ref="M83:M84"/>
    <mergeCell ref="R88:R90"/>
    <mergeCell ref="S88:S90"/>
    <mergeCell ref="U88:U90"/>
    <mergeCell ref="L89:L90"/>
    <mergeCell ref="M89:M90"/>
    <mergeCell ref="N88:N90"/>
    <mergeCell ref="O88:O90"/>
    <mergeCell ref="P88:P90"/>
    <mergeCell ref="P85:P87"/>
    <mergeCell ref="Q85:Q87"/>
    <mergeCell ref="Q88:Q90"/>
    <mergeCell ref="H85:H87"/>
    <mergeCell ref="I85:I87"/>
    <mergeCell ref="N85:N87"/>
    <mergeCell ref="O85:O87"/>
    <mergeCell ref="B82:B84"/>
    <mergeCell ref="C82:C84"/>
    <mergeCell ref="D82:D84"/>
    <mergeCell ref="E82:E84"/>
    <mergeCell ref="F82:F84"/>
    <mergeCell ref="G82:G84"/>
    <mergeCell ref="Q79:Q81"/>
    <mergeCell ref="R79:R81"/>
    <mergeCell ref="S79:S81"/>
    <mergeCell ref="L80:L81"/>
    <mergeCell ref="M80:M81"/>
    <mergeCell ref="R82:R84"/>
    <mergeCell ref="S82:S84"/>
    <mergeCell ref="G79:G81"/>
    <mergeCell ref="H79:H81"/>
    <mergeCell ref="I79:I81"/>
    <mergeCell ref="N79:N81"/>
    <mergeCell ref="O79:O81"/>
    <mergeCell ref="P79:P81"/>
    <mergeCell ref="H82:H84"/>
    <mergeCell ref="I82:I84"/>
    <mergeCell ref="R77:R78"/>
    <mergeCell ref="S77:S78"/>
    <mergeCell ref="T77:T78"/>
    <mergeCell ref="U77:U78"/>
    <mergeCell ref="J78:M78"/>
    <mergeCell ref="B79:B81"/>
    <mergeCell ref="C79:C81"/>
    <mergeCell ref="D79:D81"/>
    <mergeCell ref="E79:E81"/>
    <mergeCell ref="F79:F81"/>
    <mergeCell ref="H77:H78"/>
    <mergeCell ref="I77:I78"/>
    <mergeCell ref="J77:M77"/>
    <mergeCell ref="N77:N78"/>
    <mergeCell ref="O77:O78"/>
    <mergeCell ref="P77:Q77"/>
    <mergeCell ref="B77:B78"/>
    <mergeCell ref="C77:C78"/>
    <mergeCell ref="D77:D78"/>
    <mergeCell ref="E77:E78"/>
    <mergeCell ref="F77:F78"/>
    <mergeCell ref="G77:G78"/>
    <mergeCell ref="B72:O73"/>
    <mergeCell ref="P72:R72"/>
    <mergeCell ref="T72:T73"/>
    <mergeCell ref="P73:R73"/>
    <mergeCell ref="C76:E76"/>
    <mergeCell ref="F76:O76"/>
    <mergeCell ref="P76:R76"/>
    <mergeCell ref="Q69:Q71"/>
    <mergeCell ref="R69:R71"/>
    <mergeCell ref="S69:S71"/>
    <mergeCell ref="L70:L71"/>
    <mergeCell ref="M70:M71"/>
    <mergeCell ref="G69:G71"/>
    <mergeCell ref="H69:H71"/>
    <mergeCell ref="I69:I71"/>
    <mergeCell ref="N69:N71"/>
    <mergeCell ref="O69:O71"/>
    <mergeCell ref="P69:P71"/>
    <mergeCell ref="B69:B71"/>
    <mergeCell ref="C69:C71"/>
    <mergeCell ref="D69:D71"/>
    <mergeCell ref="E69:E71"/>
    <mergeCell ref="F69:F71"/>
    <mergeCell ref="T57:T71"/>
    <mergeCell ref="B66:B68"/>
    <mergeCell ref="C66:C68"/>
    <mergeCell ref="D66:D68"/>
    <mergeCell ref="E66:E68"/>
    <mergeCell ref="F66:F68"/>
    <mergeCell ref="G66:G68"/>
    <mergeCell ref="H63:H65"/>
    <mergeCell ref="I63:I65"/>
    <mergeCell ref="B63:B65"/>
    <mergeCell ref="C63:C65"/>
    <mergeCell ref="D63:D65"/>
    <mergeCell ref="E63:E65"/>
    <mergeCell ref="F63:F65"/>
    <mergeCell ref="G63:G65"/>
    <mergeCell ref="B60:B62"/>
    <mergeCell ref="C60:C62"/>
    <mergeCell ref="D60:D62"/>
    <mergeCell ref="E60:E62"/>
    <mergeCell ref="F60:F62"/>
    <mergeCell ref="G60:G62"/>
    <mergeCell ref="C55:C56"/>
    <mergeCell ref="D55:D56"/>
    <mergeCell ref="E55:E56"/>
    <mergeCell ref="F55:F56"/>
    <mergeCell ref="G55:G56"/>
    <mergeCell ref="U55:U56"/>
    <mergeCell ref="J56:M56"/>
    <mergeCell ref="R66:R68"/>
    <mergeCell ref="S66:S68"/>
    <mergeCell ref="U66:U68"/>
    <mergeCell ref="L67:L68"/>
    <mergeCell ref="M67:M68"/>
    <mergeCell ref="H60:H62"/>
    <mergeCell ref="I60:I62"/>
    <mergeCell ref="N60:N62"/>
    <mergeCell ref="O60:O62"/>
    <mergeCell ref="P60:P62"/>
    <mergeCell ref="Q60:Q62"/>
    <mergeCell ref="L61:L62"/>
    <mergeCell ref="M61:M62"/>
    <mergeCell ref="H55:H56"/>
    <mergeCell ref="H66:H68"/>
    <mergeCell ref="I66:I68"/>
    <mergeCell ref="N66:N68"/>
    <mergeCell ref="O66:O68"/>
    <mergeCell ref="P66:P68"/>
    <mergeCell ref="Q66:Q68"/>
    <mergeCell ref="S63:S65"/>
    <mergeCell ref="S60:S62"/>
    <mergeCell ref="U60:U62"/>
    <mergeCell ref="R63:R65"/>
    <mergeCell ref="H57:H59"/>
    <mergeCell ref="I57:I59"/>
    <mergeCell ref="N57:N59"/>
    <mergeCell ref="O57:O59"/>
    <mergeCell ref="P57:P59"/>
    <mergeCell ref="N63:N65"/>
    <mergeCell ref="Q57:Q59"/>
    <mergeCell ref="U63:U65"/>
    <mergeCell ref="L64:L65"/>
    <mergeCell ref="M64:M65"/>
    <mergeCell ref="O63:O65"/>
    <mergeCell ref="P63:P65"/>
    <mergeCell ref="Q63:Q65"/>
    <mergeCell ref="U69:U71"/>
    <mergeCell ref="O55:O56"/>
    <mergeCell ref="P55:Q55"/>
    <mergeCell ref="R55:R56"/>
    <mergeCell ref="C54:E54"/>
    <mergeCell ref="F54:O54"/>
    <mergeCell ref="P54:R54"/>
    <mergeCell ref="B55:B56"/>
    <mergeCell ref="R57:R59"/>
    <mergeCell ref="S57:S59"/>
    <mergeCell ref="S55:S56"/>
    <mergeCell ref="B57:B59"/>
    <mergeCell ref="C57:C59"/>
    <mergeCell ref="D57:D59"/>
    <mergeCell ref="E57:E59"/>
    <mergeCell ref="F57:F59"/>
    <mergeCell ref="G57:G59"/>
    <mergeCell ref="I55:I56"/>
    <mergeCell ref="J55:M55"/>
    <mergeCell ref="N55:N56"/>
    <mergeCell ref="U57:U59"/>
    <mergeCell ref="L58:L59"/>
    <mergeCell ref="M58:M59"/>
    <mergeCell ref="R60:R62"/>
    <mergeCell ref="T55:T56"/>
    <mergeCell ref="B50:O51"/>
    <mergeCell ref="P50:R50"/>
    <mergeCell ref="T50:T51"/>
    <mergeCell ref="P51:R51"/>
    <mergeCell ref="H47:H49"/>
    <mergeCell ref="I47:I49"/>
    <mergeCell ref="N47:N49"/>
    <mergeCell ref="O47:O49"/>
    <mergeCell ref="P47:P49"/>
    <mergeCell ref="Q47:Q49"/>
    <mergeCell ref="B47:B49"/>
    <mergeCell ref="C47:C49"/>
    <mergeCell ref="D47:D49"/>
    <mergeCell ref="E47:E49"/>
    <mergeCell ref="F47:F49"/>
    <mergeCell ref="G47:G49"/>
    <mergeCell ref="R41:R43"/>
    <mergeCell ref="S41:S43"/>
    <mergeCell ref="G44:G46"/>
    <mergeCell ref="H44:H46"/>
    <mergeCell ref="I44:I46"/>
    <mergeCell ref="B41:B43"/>
    <mergeCell ref="C41:C43"/>
    <mergeCell ref="D41:D43"/>
    <mergeCell ref="E41:E43"/>
    <mergeCell ref="F41:F43"/>
    <mergeCell ref="G41:G43"/>
    <mergeCell ref="B44:B46"/>
    <mergeCell ref="C44:C46"/>
    <mergeCell ref="D44:D46"/>
    <mergeCell ref="E44:E46"/>
    <mergeCell ref="F44:F46"/>
    <mergeCell ref="U41:U43"/>
    <mergeCell ref="L42:L43"/>
    <mergeCell ref="M42:M43"/>
    <mergeCell ref="T35:T49"/>
    <mergeCell ref="U35:U37"/>
    <mergeCell ref="U38:U40"/>
    <mergeCell ref="R47:R49"/>
    <mergeCell ref="S47:S49"/>
    <mergeCell ref="U47:U49"/>
    <mergeCell ref="L48:L49"/>
    <mergeCell ref="M48:M49"/>
    <mergeCell ref="N38:N40"/>
    <mergeCell ref="O38:O40"/>
    <mergeCell ref="P38:P40"/>
    <mergeCell ref="Q38:Q40"/>
    <mergeCell ref="L39:L40"/>
    <mergeCell ref="M39:M40"/>
    <mergeCell ref="R44:R46"/>
    <mergeCell ref="S44:S46"/>
    <mergeCell ref="U44:U46"/>
    <mergeCell ref="L45:L46"/>
    <mergeCell ref="M45:M46"/>
    <mergeCell ref="N44:N46"/>
    <mergeCell ref="O44:O46"/>
    <mergeCell ref="P44:P46"/>
    <mergeCell ref="P41:P43"/>
    <mergeCell ref="Q41:Q43"/>
    <mergeCell ref="Q44:Q46"/>
    <mergeCell ref="H41:H43"/>
    <mergeCell ref="I41:I43"/>
    <mergeCell ref="N41:N43"/>
    <mergeCell ref="O41:O43"/>
    <mergeCell ref="B38:B40"/>
    <mergeCell ref="C38:C40"/>
    <mergeCell ref="D38:D40"/>
    <mergeCell ref="E38:E40"/>
    <mergeCell ref="F38:F40"/>
    <mergeCell ref="G38:G40"/>
    <mergeCell ref="Q35:Q37"/>
    <mergeCell ref="R35:R37"/>
    <mergeCell ref="S35:S37"/>
    <mergeCell ref="L36:L37"/>
    <mergeCell ref="M36:M37"/>
    <mergeCell ref="R38:R40"/>
    <mergeCell ref="S38:S40"/>
    <mergeCell ref="G35:G37"/>
    <mergeCell ref="H35:H37"/>
    <mergeCell ref="I35:I37"/>
    <mergeCell ref="N35:N37"/>
    <mergeCell ref="O35:O37"/>
    <mergeCell ref="P35:P37"/>
    <mergeCell ref="H38:H40"/>
    <mergeCell ref="I38:I40"/>
    <mergeCell ref="R33:R34"/>
    <mergeCell ref="S33:S34"/>
    <mergeCell ref="T33:T34"/>
    <mergeCell ref="U33:U34"/>
    <mergeCell ref="J34:M34"/>
    <mergeCell ref="B35:B37"/>
    <mergeCell ref="C35:C37"/>
    <mergeCell ref="D35:D37"/>
    <mergeCell ref="E35:E37"/>
    <mergeCell ref="F35:F37"/>
    <mergeCell ref="H33:H34"/>
    <mergeCell ref="I33:I34"/>
    <mergeCell ref="J33:M33"/>
    <mergeCell ref="N33:N34"/>
    <mergeCell ref="O33:O34"/>
    <mergeCell ref="P33:Q33"/>
    <mergeCell ref="B33:B34"/>
    <mergeCell ref="C33:C34"/>
    <mergeCell ref="D33:D34"/>
    <mergeCell ref="E33:E34"/>
    <mergeCell ref="F33:F34"/>
    <mergeCell ref="G33:G34"/>
    <mergeCell ref="U25:U27"/>
    <mergeCell ref="L26:L27"/>
    <mergeCell ref="M26:M27"/>
    <mergeCell ref="G25:G27"/>
    <mergeCell ref="H25:H27"/>
    <mergeCell ref="I25:I27"/>
    <mergeCell ref="N25:N27"/>
    <mergeCell ref="O25:O27"/>
    <mergeCell ref="P25:P27"/>
    <mergeCell ref="B28:O29"/>
    <mergeCell ref="P28:R28"/>
    <mergeCell ref="T28:T29"/>
    <mergeCell ref="P29:R29"/>
    <mergeCell ref="C32:E32"/>
    <mergeCell ref="F32:O32"/>
    <mergeCell ref="P32:R32"/>
    <mergeCell ref="Q25:Q27"/>
    <mergeCell ref="R25:R27"/>
    <mergeCell ref="S25:S27"/>
    <mergeCell ref="B25:B27"/>
    <mergeCell ref="C25:C27"/>
    <mergeCell ref="D25:D27"/>
    <mergeCell ref="E25:E27"/>
    <mergeCell ref="F25:F27"/>
    <mergeCell ref="B22:B24"/>
    <mergeCell ref="C22:C24"/>
    <mergeCell ref="D22:D24"/>
    <mergeCell ref="E22:E24"/>
    <mergeCell ref="F22:F24"/>
    <mergeCell ref="G22:G24"/>
    <mergeCell ref="H19:H21"/>
    <mergeCell ref="I19:I21"/>
    <mergeCell ref="N19:N21"/>
    <mergeCell ref="B19:B21"/>
    <mergeCell ref="C19:C21"/>
    <mergeCell ref="D19:D21"/>
    <mergeCell ref="E19:E21"/>
    <mergeCell ref="F19:F21"/>
    <mergeCell ref="G19:G21"/>
    <mergeCell ref="B16:B18"/>
    <mergeCell ref="C16:C18"/>
    <mergeCell ref="D16:D18"/>
    <mergeCell ref="E16:E18"/>
    <mergeCell ref="F16:F18"/>
    <mergeCell ref="G16:G18"/>
    <mergeCell ref="M23:M24"/>
    <mergeCell ref="H16:H18"/>
    <mergeCell ref="I16:I18"/>
    <mergeCell ref="N16:N18"/>
    <mergeCell ref="P16:P18"/>
    <mergeCell ref="Q16:Q18"/>
    <mergeCell ref="L17:L18"/>
    <mergeCell ref="M17:M18"/>
    <mergeCell ref="H22:H24"/>
    <mergeCell ref="I22:I24"/>
    <mergeCell ref="N22:N24"/>
    <mergeCell ref="O22:O24"/>
    <mergeCell ref="P22:P24"/>
    <mergeCell ref="Q22:Q24"/>
    <mergeCell ref="S19:S21"/>
    <mergeCell ref="U19:U21"/>
    <mergeCell ref="L20:L21"/>
    <mergeCell ref="M20:M21"/>
    <mergeCell ref="O19:O21"/>
    <mergeCell ref="R16:R18"/>
    <mergeCell ref="S16:S18"/>
    <mergeCell ref="U16:U18"/>
    <mergeCell ref="R19:R21"/>
    <mergeCell ref="P19:P21"/>
    <mergeCell ref="Q19:Q21"/>
    <mergeCell ref="T11:T12"/>
    <mergeCell ref="U11:U12"/>
    <mergeCell ref="W11:Y11"/>
    <mergeCell ref="J12:M12"/>
    <mergeCell ref="B13:B15"/>
    <mergeCell ref="C13:C15"/>
    <mergeCell ref="D13:D15"/>
    <mergeCell ref="E13:E15"/>
    <mergeCell ref="F13:F15"/>
    <mergeCell ref="I11:I12"/>
    <mergeCell ref="J11:M11"/>
    <mergeCell ref="N11:N12"/>
    <mergeCell ref="O11:O12"/>
    <mergeCell ref="P11:Q11"/>
    <mergeCell ref="R11:R12"/>
    <mergeCell ref="B11:B12"/>
    <mergeCell ref="C11:C12"/>
    <mergeCell ref="D11:D12"/>
    <mergeCell ref="E11:E12"/>
    <mergeCell ref="F11:F12"/>
    <mergeCell ref="R13:R15"/>
    <mergeCell ref="S13:S15"/>
    <mergeCell ref="T13:T27"/>
    <mergeCell ref="G11:G12"/>
    <mergeCell ref="H11:H12"/>
    <mergeCell ref="Q13:Q15"/>
    <mergeCell ref="R22:R24"/>
    <mergeCell ref="S22:S24"/>
    <mergeCell ref="U22:U24"/>
    <mergeCell ref="L23:L24"/>
    <mergeCell ref="U13:U15"/>
    <mergeCell ref="O16:O18"/>
    <mergeCell ref="B1:S1"/>
    <mergeCell ref="B3:S3"/>
    <mergeCell ref="F4:N4"/>
    <mergeCell ref="F5:G5"/>
    <mergeCell ref="L5:M6"/>
    <mergeCell ref="N5:O5"/>
    <mergeCell ref="F6:G6"/>
    <mergeCell ref="N6:O6"/>
    <mergeCell ref="S11:S12"/>
    <mergeCell ref="C10:E10"/>
    <mergeCell ref="F10:O10"/>
    <mergeCell ref="P10:R10"/>
    <mergeCell ref="H13:H15"/>
    <mergeCell ref="I13:I15"/>
    <mergeCell ref="N13:N15"/>
    <mergeCell ref="O13:O15"/>
    <mergeCell ref="P13:P15"/>
    <mergeCell ref="L14:L15"/>
    <mergeCell ref="M14:M15"/>
    <mergeCell ref="G13:G15"/>
    <mergeCell ref="C230:E230"/>
    <mergeCell ref="F230:O230"/>
    <mergeCell ref="P230:R230"/>
    <mergeCell ref="B231:B232"/>
    <mergeCell ref="C231:C232"/>
    <mergeCell ref="D231:D232"/>
    <mergeCell ref="E231:E232"/>
    <mergeCell ref="F231:F232"/>
    <mergeCell ref="G231:G232"/>
    <mergeCell ref="H231:H232"/>
    <mergeCell ref="I231:I232"/>
    <mergeCell ref="J231:M231"/>
    <mergeCell ref="N231:N232"/>
    <mergeCell ref="O231:O232"/>
    <mergeCell ref="P231:Q231"/>
    <mergeCell ref="R231:R232"/>
    <mergeCell ref="S231:S232"/>
    <mergeCell ref="T231:T232"/>
    <mergeCell ref="U231:U232"/>
    <mergeCell ref="J232:M232"/>
    <mergeCell ref="B233:B235"/>
    <mergeCell ref="C233:C235"/>
    <mergeCell ref="D233:D235"/>
    <mergeCell ref="E233:E235"/>
    <mergeCell ref="F233:F235"/>
    <mergeCell ref="G233:G235"/>
    <mergeCell ref="H233:H235"/>
    <mergeCell ref="I233:I235"/>
    <mergeCell ref="N233:N235"/>
    <mergeCell ref="O233:O235"/>
    <mergeCell ref="P233:P235"/>
    <mergeCell ref="Q233:Q235"/>
    <mergeCell ref="R233:R235"/>
    <mergeCell ref="S233:S235"/>
    <mergeCell ref="T233:T247"/>
    <mergeCell ref="U233:U235"/>
    <mergeCell ref="L234:L235"/>
    <mergeCell ref="M234:M235"/>
    <mergeCell ref="B236:B238"/>
    <mergeCell ref="C236:C238"/>
    <mergeCell ref="D236:D238"/>
    <mergeCell ref="E236:E238"/>
    <mergeCell ref="F236:F238"/>
    <mergeCell ref="G236:G238"/>
    <mergeCell ref="H236:H238"/>
    <mergeCell ref="I236:I238"/>
    <mergeCell ref="N236:N238"/>
    <mergeCell ref="O236:O238"/>
    <mergeCell ref="P236:P238"/>
    <mergeCell ref="Q236:Q238"/>
    <mergeCell ref="R236:R238"/>
    <mergeCell ref="S236:S238"/>
    <mergeCell ref="U236:U238"/>
    <mergeCell ref="L237:L238"/>
    <mergeCell ref="M237:M238"/>
    <mergeCell ref="B239:B241"/>
    <mergeCell ref="C239:C241"/>
    <mergeCell ref="D239:D241"/>
    <mergeCell ref="E239:E241"/>
    <mergeCell ref="F239:F241"/>
    <mergeCell ref="G239:G241"/>
    <mergeCell ref="H239:H241"/>
    <mergeCell ref="I239:I241"/>
    <mergeCell ref="N239:N241"/>
    <mergeCell ref="O239:O241"/>
    <mergeCell ref="P239:P241"/>
    <mergeCell ref="Q239:Q241"/>
    <mergeCell ref="R239:R241"/>
    <mergeCell ref="S239:S241"/>
    <mergeCell ref="U239:U241"/>
    <mergeCell ref="L240:L241"/>
    <mergeCell ref="M240:M241"/>
    <mergeCell ref="B242:B244"/>
    <mergeCell ref="C242:C244"/>
    <mergeCell ref="D242:D244"/>
    <mergeCell ref="E242:E244"/>
    <mergeCell ref="F242:F244"/>
    <mergeCell ref="G242:G244"/>
    <mergeCell ref="H242:H244"/>
    <mergeCell ref="I242:I244"/>
    <mergeCell ref="N242:N244"/>
    <mergeCell ref="O242:O244"/>
    <mergeCell ref="P242:P244"/>
    <mergeCell ref="Q242:Q244"/>
    <mergeCell ref="R242:R244"/>
    <mergeCell ref="S242:S244"/>
    <mergeCell ref="U242:U244"/>
    <mergeCell ref="L243:L244"/>
    <mergeCell ref="M243:M244"/>
    <mergeCell ref="B245:B247"/>
    <mergeCell ref="C245:C247"/>
    <mergeCell ref="D245:D247"/>
    <mergeCell ref="E245:E247"/>
    <mergeCell ref="F245:F247"/>
    <mergeCell ref="G245:G247"/>
    <mergeCell ref="H245:H247"/>
    <mergeCell ref="I245:I247"/>
    <mergeCell ref="N245:N247"/>
    <mergeCell ref="O245:O247"/>
    <mergeCell ref="P245:P247"/>
    <mergeCell ref="Q245:Q247"/>
    <mergeCell ref="R245:R247"/>
    <mergeCell ref="S245:S247"/>
    <mergeCell ref="U245:U247"/>
    <mergeCell ref="L246:L247"/>
    <mergeCell ref="M246:M247"/>
    <mergeCell ref="B248:O249"/>
    <mergeCell ref="P248:R248"/>
    <mergeCell ref="T248:T249"/>
    <mergeCell ref="P249:R249"/>
    <mergeCell ref="C252:E252"/>
    <mergeCell ref="F252:O252"/>
    <mergeCell ref="P252:R252"/>
    <mergeCell ref="B253:B254"/>
    <mergeCell ref="C253:C254"/>
    <mergeCell ref="D253:D254"/>
    <mergeCell ref="E253:E254"/>
    <mergeCell ref="F253:F254"/>
    <mergeCell ref="G253:G254"/>
    <mergeCell ref="H253:H254"/>
    <mergeCell ref="I253:I254"/>
    <mergeCell ref="J253:M253"/>
    <mergeCell ref="N253:N254"/>
    <mergeCell ref="O253:O254"/>
    <mergeCell ref="P253:Q253"/>
    <mergeCell ref="R253:R254"/>
    <mergeCell ref="S253:S254"/>
    <mergeCell ref="T253:T254"/>
    <mergeCell ref="U253:U254"/>
    <mergeCell ref="J254:M254"/>
    <mergeCell ref="B255:B257"/>
    <mergeCell ref="C255:C257"/>
    <mergeCell ref="D255:D257"/>
    <mergeCell ref="E255:E257"/>
    <mergeCell ref="F255:F257"/>
    <mergeCell ref="G255:G257"/>
    <mergeCell ref="H255:H257"/>
    <mergeCell ref="I255:I257"/>
    <mergeCell ref="N255:N257"/>
    <mergeCell ref="O255:O257"/>
    <mergeCell ref="P255:P257"/>
    <mergeCell ref="Q255:Q257"/>
    <mergeCell ref="R255:R257"/>
    <mergeCell ref="S255:S257"/>
    <mergeCell ref="T255:T269"/>
    <mergeCell ref="U255:U257"/>
    <mergeCell ref="L256:L257"/>
    <mergeCell ref="M256:M257"/>
    <mergeCell ref="B258:B260"/>
    <mergeCell ref="C258:C260"/>
    <mergeCell ref="D258:D260"/>
    <mergeCell ref="E258:E260"/>
    <mergeCell ref="F258:F260"/>
    <mergeCell ref="G258:G260"/>
    <mergeCell ref="H258:H260"/>
    <mergeCell ref="I258:I260"/>
    <mergeCell ref="N258:N260"/>
    <mergeCell ref="O258:O260"/>
    <mergeCell ref="P258:P260"/>
    <mergeCell ref="Q258:Q260"/>
    <mergeCell ref="R258:R260"/>
    <mergeCell ref="S258:S260"/>
    <mergeCell ref="U258:U260"/>
    <mergeCell ref="L259:L260"/>
    <mergeCell ref="M259:M260"/>
    <mergeCell ref="B261:B263"/>
    <mergeCell ref="C261:C263"/>
    <mergeCell ref="D261:D263"/>
    <mergeCell ref="E261:E263"/>
    <mergeCell ref="F261:F263"/>
    <mergeCell ref="G261:G263"/>
    <mergeCell ref="H261:H263"/>
    <mergeCell ref="I261:I263"/>
    <mergeCell ref="N261:N263"/>
    <mergeCell ref="O261:O263"/>
    <mergeCell ref="P261:P263"/>
    <mergeCell ref="Q261:Q263"/>
    <mergeCell ref="R261:R263"/>
    <mergeCell ref="S261:S263"/>
    <mergeCell ref="U261:U263"/>
    <mergeCell ref="L262:L263"/>
    <mergeCell ref="M262:M263"/>
    <mergeCell ref="B264:B266"/>
    <mergeCell ref="C264:C266"/>
    <mergeCell ref="D264:D266"/>
    <mergeCell ref="E264:E266"/>
    <mergeCell ref="F264:F266"/>
    <mergeCell ref="G264:G266"/>
    <mergeCell ref="H264:H266"/>
    <mergeCell ref="I264:I266"/>
    <mergeCell ref="N264:N266"/>
    <mergeCell ref="O264:O266"/>
    <mergeCell ref="P264:P266"/>
    <mergeCell ref="Q264:Q266"/>
    <mergeCell ref="R264:R266"/>
    <mergeCell ref="S264:S266"/>
    <mergeCell ref="U264:U266"/>
    <mergeCell ref="L265:L266"/>
    <mergeCell ref="M265:M266"/>
    <mergeCell ref="B267:B269"/>
    <mergeCell ref="C267:C269"/>
    <mergeCell ref="D267:D269"/>
    <mergeCell ref="E267:E269"/>
    <mergeCell ref="F267:F269"/>
    <mergeCell ref="G267:G269"/>
    <mergeCell ref="H267:H269"/>
    <mergeCell ref="I267:I269"/>
    <mergeCell ref="N267:N269"/>
    <mergeCell ref="O267:O269"/>
    <mergeCell ref="P267:P269"/>
    <mergeCell ref="Q267:Q269"/>
    <mergeCell ref="R267:R269"/>
    <mergeCell ref="S267:S269"/>
    <mergeCell ref="U267:U269"/>
    <mergeCell ref="L268:L269"/>
    <mergeCell ref="M268:M269"/>
    <mergeCell ref="B270:O271"/>
    <mergeCell ref="P270:R270"/>
    <mergeCell ref="T270:T271"/>
    <mergeCell ref="P271:R271"/>
    <mergeCell ref="C274:E274"/>
    <mergeCell ref="F274:O274"/>
    <mergeCell ref="P274:R274"/>
    <mergeCell ref="B275:B276"/>
    <mergeCell ref="C275:C276"/>
    <mergeCell ref="D275:D276"/>
    <mergeCell ref="E275:E276"/>
    <mergeCell ref="F275:F276"/>
    <mergeCell ref="G275:G276"/>
    <mergeCell ref="H275:H276"/>
    <mergeCell ref="I275:I276"/>
    <mergeCell ref="J275:M275"/>
    <mergeCell ref="N275:N276"/>
    <mergeCell ref="O275:O276"/>
    <mergeCell ref="P275:Q275"/>
    <mergeCell ref="R275:R276"/>
    <mergeCell ref="S275:S276"/>
    <mergeCell ref="T275:T276"/>
    <mergeCell ref="U275:U276"/>
    <mergeCell ref="J276:M276"/>
    <mergeCell ref="B277:B279"/>
    <mergeCell ref="C277:C279"/>
    <mergeCell ref="D277:D279"/>
    <mergeCell ref="E277:E279"/>
    <mergeCell ref="F277:F279"/>
    <mergeCell ref="G277:G279"/>
    <mergeCell ref="H277:H279"/>
    <mergeCell ref="I277:I279"/>
    <mergeCell ref="N277:N279"/>
    <mergeCell ref="O277:O279"/>
    <mergeCell ref="P277:P279"/>
    <mergeCell ref="Q277:Q279"/>
    <mergeCell ref="R277:R279"/>
    <mergeCell ref="S277:S279"/>
    <mergeCell ref="T277:T291"/>
    <mergeCell ref="U277:U279"/>
    <mergeCell ref="L278:L279"/>
    <mergeCell ref="M278:M279"/>
    <mergeCell ref="B280:B282"/>
    <mergeCell ref="C280:C282"/>
    <mergeCell ref="D280:D282"/>
    <mergeCell ref="E280:E282"/>
    <mergeCell ref="F280:F282"/>
    <mergeCell ref="G280:G282"/>
    <mergeCell ref="H280:H282"/>
    <mergeCell ref="I280:I282"/>
    <mergeCell ref="N280:N282"/>
    <mergeCell ref="O280:O282"/>
    <mergeCell ref="P280:P282"/>
    <mergeCell ref="Q280:Q282"/>
    <mergeCell ref="R280:R282"/>
    <mergeCell ref="S280:S282"/>
    <mergeCell ref="U280:U282"/>
    <mergeCell ref="L281:L282"/>
    <mergeCell ref="M281:M282"/>
    <mergeCell ref="B283:B285"/>
    <mergeCell ref="C283:C285"/>
    <mergeCell ref="D283:D285"/>
    <mergeCell ref="E283:E285"/>
    <mergeCell ref="F283:F285"/>
    <mergeCell ref="G283:G285"/>
    <mergeCell ref="H283:H285"/>
    <mergeCell ref="I283:I285"/>
    <mergeCell ref="N283:N285"/>
    <mergeCell ref="O283:O285"/>
    <mergeCell ref="P283:P285"/>
    <mergeCell ref="Q283:Q285"/>
    <mergeCell ref="R283:R285"/>
    <mergeCell ref="S283:S285"/>
    <mergeCell ref="U283:U285"/>
    <mergeCell ref="L284:L285"/>
    <mergeCell ref="M284:M285"/>
    <mergeCell ref="B286:B288"/>
    <mergeCell ref="C286:C288"/>
    <mergeCell ref="D286:D288"/>
    <mergeCell ref="E286:E288"/>
    <mergeCell ref="F286:F288"/>
    <mergeCell ref="G286:G288"/>
    <mergeCell ref="H286:H288"/>
    <mergeCell ref="I286:I288"/>
    <mergeCell ref="N286:N288"/>
    <mergeCell ref="O286:O288"/>
    <mergeCell ref="P286:P288"/>
    <mergeCell ref="Q286:Q288"/>
    <mergeCell ref="R286:R288"/>
    <mergeCell ref="S286:S288"/>
    <mergeCell ref="U286:U288"/>
    <mergeCell ref="L287:L288"/>
    <mergeCell ref="M287:M288"/>
    <mergeCell ref="B289:B291"/>
    <mergeCell ref="C289:C291"/>
    <mergeCell ref="D289:D291"/>
    <mergeCell ref="E289:E291"/>
    <mergeCell ref="F289:F291"/>
    <mergeCell ref="G289:G291"/>
    <mergeCell ref="H289:H291"/>
    <mergeCell ref="I289:I291"/>
    <mergeCell ref="N289:N291"/>
    <mergeCell ref="O289:O291"/>
    <mergeCell ref="P289:P291"/>
    <mergeCell ref="Q289:Q291"/>
    <mergeCell ref="R289:R291"/>
    <mergeCell ref="S289:S291"/>
    <mergeCell ref="U289:U291"/>
    <mergeCell ref="L290:L291"/>
    <mergeCell ref="M290:M291"/>
    <mergeCell ref="B292:O293"/>
    <mergeCell ref="P292:R292"/>
    <mergeCell ref="T292:T293"/>
    <mergeCell ref="P293:R293"/>
    <mergeCell ref="C296:E296"/>
    <mergeCell ref="F296:O296"/>
    <mergeCell ref="P296:R296"/>
    <mergeCell ref="B297:B298"/>
    <mergeCell ref="C297:C298"/>
    <mergeCell ref="D297:D298"/>
    <mergeCell ref="E297:E298"/>
    <mergeCell ref="F297:F298"/>
    <mergeCell ref="G297:G298"/>
    <mergeCell ref="H297:H298"/>
    <mergeCell ref="I297:I298"/>
    <mergeCell ref="J297:M297"/>
    <mergeCell ref="N297:N298"/>
    <mergeCell ref="O297:O298"/>
    <mergeCell ref="P297:Q297"/>
    <mergeCell ref="R297:R298"/>
    <mergeCell ref="S297:S298"/>
    <mergeCell ref="T297:T298"/>
    <mergeCell ref="U297:U298"/>
    <mergeCell ref="J298:M298"/>
    <mergeCell ref="B299:B301"/>
    <mergeCell ref="C299:C301"/>
    <mergeCell ref="D299:D301"/>
    <mergeCell ref="E299:E301"/>
    <mergeCell ref="F299:F301"/>
    <mergeCell ref="G299:G301"/>
    <mergeCell ref="H299:H301"/>
    <mergeCell ref="I299:I301"/>
    <mergeCell ref="N299:N301"/>
    <mergeCell ref="O299:O301"/>
    <mergeCell ref="P299:P301"/>
    <mergeCell ref="Q299:Q301"/>
    <mergeCell ref="R299:R301"/>
    <mergeCell ref="S299:S301"/>
    <mergeCell ref="T299:T313"/>
    <mergeCell ref="U299:U301"/>
    <mergeCell ref="L300:L301"/>
    <mergeCell ref="M300:M301"/>
    <mergeCell ref="B302:B304"/>
    <mergeCell ref="C302:C304"/>
    <mergeCell ref="D302:D304"/>
    <mergeCell ref="E302:E304"/>
    <mergeCell ref="F302:F304"/>
    <mergeCell ref="G302:G304"/>
    <mergeCell ref="H302:H304"/>
    <mergeCell ref="I302:I304"/>
    <mergeCell ref="N302:N304"/>
    <mergeCell ref="O302:O304"/>
    <mergeCell ref="P302:P304"/>
    <mergeCell ref="Q302:Q304"/>
    <mergeCell ref="R302:R304"/>
    <mergeCell ref="S302:S304"/>
    <mergeCell ref="U302:U304"/>
    <mergeCell ref="L303:L304"/>
    <mergeCell ref="M303:M304"/>
    <mergeCell ref="B305:B307"/>
    <mergeCell ref="C305:C307"/>
    <mergeCell ref="D305:D307"/>
    <mergeCell ref="E305:E307"/>
    <mergeCell ref="F305:F307"/>
    <mergeCell ref="G305:G307"/>
    <mergeCell ref="H305:H307"/>
    <mergeCell ref="I305:I307"/>
    <mergeCell ref="N305:N307"/>
    <mergeCell ref="O305:O307"/>
    <mergeCell ref="P305:P307"/>
    <mergeCell ref="Q305:Q307"/>
    <mergeCell ref="R305:R307"/>
    <mergeCell ref="S305:S307"/>
    <mergeCell ref="U305:U307"/>
    <mergeCell ref="L306:L307"/>
    <mergeCell ref="M306:M307"/>
    <mergeCell ref="U311:U313"/>
    <mergeCell ref="L312:L313"/>
    <mergeCell ref="M312:M313"/>
    <mergeCell ref="B308:B310"/>
    <mergeCell ref="C308:C310"/>
    <mergeCell ref="D308:D310"/>
    <mergeCell ref="E308:E310"/>
    <mergeCell ref="F308:F310"/>
    <mergeCell ref="G308:G310"/>
    <mergeCell ref="H308:H310"/>
    <mergeCell ref="I308:I310"/>
    <mergeCell ref="N308:N310"/>
    <mergeCell ref="O308:O310"/>
    <mergeCell ref="P308:P310"/>
    <mergeCell ref="Q308:Q310"/>
    <mergeCell ref="R308:R310"/>
    <mergeCell ref="S308:S310"/>
    <mergeCell ref="U308:U310"/>
    <mergeCell ref="L309:L310"/>
    <mergeCell ref="M309:M310"/>
    <mergeCell ref="B314:O315"/>
    <mergeCell ref="P314:R314"/>
    <mergeCell ref="T314:T315"/>
    <mergeCell ref="P315:R315"/>
    <mergeCell ref="B311:B313"/>
    <mergeCell ref="C311:C313"/>
    <mergeCell ref="D311:D313"/>
    <mergeCell ref="E311:E313"/>
    <mergeCell ref="F311:F313"/>
    <mergeCell ref="G311:G313"/>
    <mergeCell ref="H311:H313"/>
    <mergeCell ref="I311:I313"/>
    <mergeCell ref="N311:N313"/>
    <mergeCell ref="O311:O313"/>
    <mergeCell ref="P311:P313"/>
    <mergeCell ref="Q311:Q313"/>
    <mergeCell ref="R311:R313"/>
    <mergeCell ref="S311:S313"/>
  </mergeCells>
  <conditionalFormatting sqref="K13">
    <cfRule type="expression" dxfId="7028" priority="12831">
      <formula>J13="NO CUMPLE"</formula>
    </cfRule>
    <cfRule type="expression" dxfId="7027" priority="12832">
      <formula>J13="CUMPLE"</formula>
    </cfRule>
  </conditionalFormatting>
  <conditionalFormatting sqref="M13">
    <cfRule type="expression" dxfId="7026" priority="12829">
      <formula>L13="NO CUMPLE"</formula>
    </cfRule>
    <cfRule type="expression" dxfId="7025" priority="12830">
      <formula>L13="CUMPLE"</formula>
    </cfRule>
  </conditionalFormatting>
  <conditionalFormatting sqref="J19:J24">
    <cfRule type="cellIs" dxfId="7024" priority="12824" operator="equal">
      <formula>"NO CUMPLE"</formula>
    </cfRule>
    <cfRule type="cellIs" dxfId="7023" priority="12825" operator="equal">
      <formula>"CUMPLE"</formula>
    </cfRule>
  </conditionalFormatting>
  <conditionalFormatting sqref="L13:L14">
    <cfRule type="cellIs" dxfId="7022" priority="12822" operator="equal">
      <formula>"NO CUMPLE"</formula>
    </cfRule>
    <cfRule type="cellIs" dxfId="7021" priority="12823" operator="equal">
      <formula>"CUMPLE"</formula>
    </cfRule>
  </conditionalFormatting>
  <conditionalFormatting sqref="T28">
    <cfRule type="cellIs" dxfId="7020" priority="12799" operator="equal">
      <formula>"NO CUMPLE"</formula>
    </cfRule>
    <cfRule type="cellIs" dxfId="7019" priority="12800" operator="equal">
      <formula>"CUMPLE"</formula>
    </cfRule>
  </conditionalFormatting>
  <conditionalFormatting sqref="B28">
    <cfRule type="cellIs" dxfId="7018" priority="12797" operator="equal">
      <formula>"NO CUMPLE CON LA EXPERIENCIA REQUERIDA"</formula>
    </cfRule>
    <cfRule type="cellIs" dxfId="7017" priority="12798" operator="equal">
      <formula>"CUMPLE CON LA EXPERIENCIA REQUERIDA"</formula>
    </cfRule>
  </conditionalFormatting>
  <conditionalFormatting sqref="T13">
    <cfRule type="cellIs" dxfId="7016" priority="12788" operator="equal">
      <formula>"NO"</formula>
    </cfRule>
    <cfRule type="cellIs" dxfId="7015" priority="12789" operator="equal">
      <formula>"SI"</formula>
    </cfRule>
  </conditionalFormatting>
  <conditionalFormatting sqref="K14:K15">
    <cfRule type="expression" dxfId="7014" priority="12786">
      <formula>J14="NO CUMPLE"</formula>
    </cfRule>
    <cfRule type="expression" dxfId="7013" priority="12787">
      <formula>J14="CUMPLE"</formula>
    </cfRule>
  </conditionalFormatting>
  <conditionalFormatting sqref="M14">
    <cfRule type="expression" dxfId="7012" priority="12782">
      <formula>L14="NO CUMPLE"</formula>
    </cfRule>
    <cfRule type="expression" dxfId="7011" priority="12783">
      <formula>L14="CUMPLE"</formula>
    </cfRule>
  </conditionalFormatting>
  <conditionalFormatting sqref="Z12:Z28">
    <cfRule type="cellIs" dxfId="7010" priority="12780" operator="equal">
      <formula>"NH"</formula>
    </cfRule>
    <cfRule type="cellIs" dxfId="7009" priority="12781" operator="equal">
      <formula>"H"</formula>
    </cfRule>
  </conditionalFormatting>
  <conditionalFormatting sqref="L19:L20">
    <cfRule type="cellIs" dxfId="7008" priority="12723" operator="equal">
      <formula>"NO CUMPLE"</formula>
    </cfRule>
    <cfRule type="cellIs" dxfId="7007" priority="12724" operator="equal">
      <formula>"CUMPLE"</formula>
    </cfRule>
  </conditionalFormatting>
  <conditionalFormatting sqref="L22:L23">
    <cfRule type="cellIs" dxfId="7006" priority="12675" operator="equal">
      <formula>"NO CUMPLE"</formula>
    </cfRule>
    <cfRule type="cellIs" dxfId="7005" priority="12676" operator="equal">
      <formula>"CUMPLE"</formula>
    </cfRule>
  </conditionalFormatting>
  <conditionalFormatting sqref="L16:L17">
    <cfRule type="cellIs" dxfId="7004" priority="12765" operator="equal">
      <formula>"NO CUMPLE"</formula>
    </cfRule>
    <cfRule type="cellIs" dxfId="7003" priority="12766" operator="equal">
      <formula>"CUMPLE"</formula>
    </cfRule>
  </conditionalFormatting>
  <conditionalFormatting sqref="G19">
    <cfRule type="notContainsBlanks" dxfId="7002" priority="12701">
      <formula>LEN(TRIM(G19))&gt;0</formula>
    </cfRule>
  </conditionalFormatting>
  <conditionalFormatting sqref="F19">
    <cfRule type="notContainsBlanks" dxfId="7001" priority="12700">
      <formula>LEN(TRIM(F19))&gt;0</formula>
    </cfRule>
  </conditionalFormatting>
  <conditionalFormatting sqref="E19">
    <cfRule type="notContainsBlanks" dxfId="7000" priority="12699">
      <formula>LEN(TRIM(E19))&gt;0</formula>
    </cfRule>
  </conditionalFormatting>
  <conditionalFormatting sqref="D19">
    <cfRule type="notContainsBlanks" dxfId="6999" priority="12698">
      <formula>LEN(TRIM(D19))&gt;0</formula>
    </cfRule>
  </conditionalFormatting>
  <conditionalFormatting sqref="C19">
    <cfRule type="notContainsBlanks" dxfId="6998" priority="12697">
      <formula>LEN(TRIM(C19))&gt;0</formula>
    </cfRule>
  </conditionalFormatting>
  <conditionalFormatting sqref="I19">
    <cfRule type="notContainsBlanks" dxfId="6997" priority="12696">
      <formula>LEN(TRIM(I19))&gt;0</formula>
    </cfRule>
  </conditionalFormatting>
  <conditionalFormatting sqref="L25:L26">
    <cfRule type="cellIs" dxfId="6996" priority="12633" operator="equal">
      <formula>"NO CUMPLE"</formula>
    </cfRule>
    <cfRule type="cellIs" dxfId="6995" priority="12634" operator="equal">
      <formula>"CUMPLE"</formula>
    </cfRule>
  </conditionalFormatting>
  <conditionalFormatting sqref="G25">
    <cfRule type="notContainsBlanks" dxfId="6994" priority="12611">
      <formula>LEN(TRIM(G25))&gt;0</formula>
    </cfRule>
  </conditionalFormatting>
  <conditionalFormatting sqref="F25">
    <cfRule type="notContainsBlanks" dxfId="6993" priority="12610">
      <formula>LEN(TRIM(F25))&gt;0</formula>
    </cfRule>
  </conditionalFormatting>
  <conditionalFormatting sqref="E25">
    <cfRule type="notContainsBlanks" dxfId="6992" priority="12609">
      <formula>LEN(TRIM(E25))&gt;0</formula>
    </cfRule>
  </conditionalFormatting>
  <conditionalFormatting sqref="D25">
    <cfRule type="notContainsBlanks" dxfId="6991" priority="12608">
      <formula>LEN(TRIM(D25))&gt;0</formula>
    </cfRule>
  </conditionalFormatting>
  <conditionalFormatting sqref="C25">
    <cfRule type="notContainsBlanks" dxfId="6990" priority="12607">
      <formula>LEN(TRIM(C25))&gt;0</formula>
    </cfRule>
  </conditionalFormatting>
  <conditionalFormatting sqref="I25">
    <cfRule type="notContainsBlanks" dxfId="6989" priority="12606">
      <formula>LEN(TRIM(I25))&gt;0</formula>
    </cfRule>
  </conditionalFormatting>
  <conditionalFormatting sqref="G16">
    <cfRule type="notContainsBlanks" dxfId="6988" priority="12595">
      <formula>LEN(TRIM(G16))&gt;0</formula>
    </cfRule>
  </conditionalFormatting>
  <conditionalFormatting sqref="F16">
    <cfRule type="notContainsBlanks" dxfId="6987" priority="12594">
      <formula>LEN(TRIM(F16))&gt;0</formula>
    </cfRule>
  </conditionalFormatting>
  <conditionalFormatting sqref="E16">
    <cfRule type="notContainsBlanks" dxfId="6986" priority="12593">
      <formula>LEN(TRIM(E16))&gt;0</formula>
    </cfRule>
  </conditionalFormatting>
  <conditionalFormatting sqref="D16">
    <cfRule type="notContainsBlanks" dxfId="6985" priority="12592">
      <formula>LEN(TRIM(D16))&gt;0</formula>
    </cfRule>
  </conditionalFormatting>
  <conditionalFormatting sqref="C16">
    <cfRule type="notContainsBlanks" dxfId="6984" priority="12591">
      <formula>LEN(TRIM(C16))&gt;0</formula>
    </cfRule>
  </conditionalFormatting>
  <conditionalFormatting sqref="G22">
    <cfRule type="notContainsBlanks" dxfId="6983" priority="12590">
      <formula>LEN(TRIM(G22))&gt;0</formula>
    </cfRule>
  </conditionalFormatting>
  <conditionalFormatting sqref="F22">
    <cfRule type="notContainsBlanks" dxfId="6982" priority="12589">
      <formula>LEN(TRIM(F22))&gt;0</formula>
    </cfRule>
  </conditionalFormatting>
  <conditionalFormatting sqref="E22">
    <cfRule type="notContainsBlanks" dxfId="6981" priority="12588">
      <formula>LEN(TRIM(E22))&gt;0</formula>
    </cfRule>
  </conditionalFormatting>
  <conditionalFormatting sqref="D22">
    <cfRule type="notContainsBlanks" dxfId="6980" priority="12587">
      <formula>LEN(TRIM(D22))&gt;0</formula>
    </cfRule>
  </conditionalFormatting>
  <conditionalFormatting sqref="C22">
    <cfRule type="notContainsBlanks" dxfId="6979" priority="12586">
      <formula>LEN(TRIM(C22))&gt;0</formula>
    </cfRule>
  </conditionalFormatting>
  <conditionalFormatting sqref="I16">
    <cfRule type="notContainsBlanks" dxfId="6978" priority="12585">
      <formula>LEN(TRIM(I16))&gt;0</formula>
    </cfRule>
  </conditionalFormatting>
  <conditionalFormatting sqref="I22">
    <cfRule type="notContainsBlanks" dxfId="6977" priority="12584">
      <formula>LEN(TRIM(I22))&gt;0</formula>
    </cfRule>
  </conditionalFormatting>
  <conditionalFormatting sqref="S28">
    <cfRule type="expression" dxfId="6976" priority="12582">
      <formula>$S$28&gt;0</formula>
    </cfRule>
    <cfRule type="cellIs" dxfId="6975" priority="12583" operator="equal">
      <formula>0</formula>
    </cfRule>
  </conditionalFormatting>
  <conditionalFormatting sqref="S29">
    <cfRule type="expression" dxfId="6974" priority="12580">
      <formula>$S$28&gt;0</formula>
    </cfRule>
    <cfRule type="cellIs" dxfId="6973" priority="12581" operator="equal">
      <formula>0</formula>
    </cfRule>
  </conditionalFormatting>
  <conditionalFormatting sqref="L35:L36">
    <cfRule type="cellIs" dxfId="6972" priority="12559" operator="equal">
      <formula>"NO CUMPLE"</formula>
    </cfRule>
    <cfRule type="cellIs" dxfId="6971" priority="12560" operator="equal">
      <formula>"CUMPLE"</formula>
    </cfRule>
  </conditionalFormatting>
  <conditionalFormatting sqref="T50">
    <cfRule type="cellIs" dxfId="6970" priority="12536" operator="equal">
      <formula>"NO CUMPLE"</formula>
    </cfRule>
    <cfRule type="cellIs" dxfId="6969" priority="12537" operator="equal">
      <formula>"CUMPLE"</formula>
    </cfRule>
  </conditionalFormatting>
  <conditionalFormatting sqref="B50">
    <cfRule type="cellIs" dxfId="6968" priority="12534" operator="equal">
      <formula>"NO CUMPLE CON LA EXPERIENCIA REQUERIDA"</formula>
    </cfRule>
    <cfRule type="cellIs" dxfId="6967" priority="12535" operator="equal">
      <formula>"CUMPLE CON LA EXPERIENCIA REQUERIDA"</formula>
    </cfRule>
  </conditionalFormatting>
  <conditionalFormatting sqref="H41 H44 H47">
    <cfRule type="notContainsBlanks" dxfId="6966" priority="12533">
      <formula>LEN(TRIM(H41))&gt;0</formula>
    </cfRule>
  </conditionalFormatting>
  <conditionalFormatting sqref="T35">
    <cfRule type="cellIs" dxfId="6965" priority="12525" operator="equal">
      <formula>"NO"</formula>
    </cfRule>
    <cfRule type="cellIs" dxfId="6964" priority="12526" operator="equal">
      <formula>"SI"</formula>
    </cfRule>
  </conditionalFormatting>
  <conditionalFormatting sqref="G41">
    <cfRule type="notContainsBlanks" dxfId="6963" priority="12440">
      <formula>LEN(TRIM(G41))&gt;0</formula>
    </cfRule>
  </conditionalFormatting>
  <conditionalFormatting sqref="F41">
    <cfRule type="notContainsBlanks" dxfId="6962" priority="12439">
      <formula>LEN(TRIM(F41))&gt;0</formula>
    </cfRule>
  </conditionalFormatting>
  <conditionalFormatting sqref="E41">
    <cfRule type="notContainsBlanks" dxfId="6961" priority="12438">
      <formula>LEN(TRIM(E41))&gt;0</formula>
    </cfRule>
  </conditionalFormatting>
  <conditionalFormatting sqref="D41">
    <cfRule type="notContainsBlanks" dxfId="6960" priority="12437">
      <formula>LEN(TRIM(D41))&gt;0</formula>
    </cfRule>
  </conditionalFormatting>
  <conditionalFormatting sqref="C41">
    <cfRule type="notContainsBlanks" dxfId="6959" priority="12436">
      <formula>LEN(TRIM(C41))&gt;0</formula>
    </cfRule>
  </conditionalFormatting>
  <conditionalFormatting sqref="I41">
    <cfRule type="notContainsBlanks" dxfId="6958" priority="12435">
      <formula>LEN(TRIM(I41))&gt;0</formula>
    </cfRule>
  </conditionalFormatting>
  <conditionalFormatting sqref="G47">
    <cfRule type="notContainsBlanks" dxfId="6957" priority="12350">
      <formula>LEN(TRIM(G47))&gt;0</formula>
    </cfRule>
  </conditionalFormatting>
  <conditionalFormatting sqref="F47">
    <cfRule type="notContainsBlanks" dxfId="6956" priority="12349">
      <formula>LEN(TRIM(F47))&gt;0</formula>
    </cfRule>
  </conditionalFormatting>
  <conditionalFormatting sqref="E47">
    <cfRule type="notContainsBlanks" dxfId="6955" priority="12348">
      <formula>LEN(TRIM(E47))&gt;0</formula>
    </cfRule>
  </conditionalFormatting>
  <conditionalFormatting sqref="D47">
    <cfRule type="notContainsBlanks" dxfId="6954" priority="12347">
      <formula>LEN(TRIM(D47))&gt;0</formula>
    </cfRule>
  </conditionalFormatting>
  <conditionalFormatting sqref="C47">
    <cfRule type="notContainsBlanks" dxfId="6953" priority="12346">
      <formula>LEN(TRIM(C47))&gt;0</formula>
    </cfRule>
  </conditionalFormatting>
  <conditionalFormatting sqref="I47">
    <cfRule type="notContainsBlanks" dxfId="6952" priority="12345">
      <formula>LEN(TRIM(I47))&gt;0</formula>
    </cfRule>
  </conditionalFormatting>
  <conditionalFormatting sqref="G44">
    <cfRule type="notContainsBlanks" dxfId="6951" priority="12329">
      <formula>LEN(TRIM(G44))&gt;0</formula>
    </cfRule>
  </conditionalFormatting>
  <conditionalFormatting sqref="F44">
    <cfRule type="notContainsBlanks" dxfId="6950" priority="12328">
      <formula>LEN(TRIM(F44))&gt;0</formula>
    </cfRule>
  </conditionalFormatting>
  <conditionalFormatting sqref="E44">
    <cfRule type="notContainsBlanks" dxfId="6949" priority="12327">
      <formula>LEN(TRIM(E44))&gt;0</formula>
    </cfRule>
  </conditionalFormatting>
  <conditionalFormatting sqref="D44">
    <cfRule type="notContainsBlanks" dxfId="6948" priority="12326">
      <formula>LEN(TRIM(D44))&gt;0</formula>
    </cfRule>
  </conditionalFormatting>
  <conditionalFormatting sqref="C44">
    <cfRule type="notContainsBlanks" dxfId="6947" priority="12325">
      <formula>LEN(TRIM(C44))&gt;0</formula>
    </cfRule>
  </conditionalFormatting>
  <conditionalFormatting sqref="I44">
    <cfRule type="notContainsBlanks" dxfId="6946" priority="12323">
      <formula>LEN(TRIM(I44))&gt;0</formula>
    </cfRule>
  </conditionalFormatting>
  <conditionalFormatting sqref="S50">
    <cfRule type="expression" dxfId="6945" priority="12321">
      <formula>$S$28&gt;0</formula>
    </cfRule>
    <cfRule type="cellIs" dxfId="6944" priority="12322" operator="equal">
      <formula>0</formula>
    </cfRule>
  </conditionalFormatting>
  <conditionalFormatting sqref="S51">
    <cfRule type="expression" dxfId="6943" priority="12319">
      <formula>$S$28&gt;0</formula>
    </cfRule>
    <cfRule type="cellIs" dxfId="6942" priority="12320" operator="equal">
      <formula>0</formula>
    </cfRule>
  </conditionalFormatting>
  <conditionalFormatting sqref="N25">
    <cfRule type="expression" dxfId="6941" priority="8376">
      <formula>N25=" "</formula>
    </cfRule>
    <cfRule type="expression" dxfId="6940" priority="8377">
      <formula>N25="NO PRESENTÓ CERTIFICADO"</formula>
    </cfRule>
    <cfRule type="expression" dxfId="6939" priority="8378">
      <formula>N25="PRESENTÓ CERTIFICADO"</formula>
    </cfRule>
  </conditionalFormatting>
  <conditionalFormatting sqref="P25">
    <cfRule type="expression" dxfId="6938" priority="8348">
      <formula>Q25="NO SUBSANABLE"</formula>
    </cfRule>
    <cfRule type="expression" dxfId="6937" priority="8349">
      <formula>Q25="REQUERIMIENTOS SUBSANADOS"</formula>
    </cfRule>
    <cfRule type="expression" dxfId="6936" priority="8350">
      <formula>Q25="PENDIENTES POR SUBSANAR"</formula>
    </cfRule>
    <cfRule type="expression" dxfId="6935" priority="8351">
      <formula>Q25="SIN OBSERVACIÓN"</formula>
    </cfRule>
    <cfRule type="containsBlanks" dxfId="6934" priority="8352">
      <formula>LEN(TRIM(P25))=0</formula>
    </cfRule>
  </conditionalFormatting>
  <conditionalFormatting sqref="T72">
    <cfRule type="cellIs" dxfId="6933" priority="7503" operator="equal">
      <formula>"NO CUMPLE"</formula>
    </cfRule>
    <cfRule type="cellIs" dxfId="6932" priority="7504" operator="equal">
      <formula>"CUMPLE"</formula>
    </cfRule>
  </conditionalFormatting>
  <conditionalFormatting sqref="B72">
    <cfRule type="cellIs" dxfId="6931" priority="7501" operator="equal">
      <formula>"NO CUMPLE CON LA EXPERIENCIA REQUERIDA"</formula>
    </cfRule>
    <cfRule type="cellIs" dxfId="6930" priority="7502" operator="equal">
      <formula>"CUMPLE CON LA EXPERIENCIA REQUERIDA"</formula>
    </cfRule>
  </conditionalFormatting>
  <conditionalFormatting sqref="T57">
    <cfRule type="cellIs" dxfId="6929" priority="7492" operator="equal">
      <formula>"NO"</formula>
    </cfRule>
    <cfRule type="cellIs" dxfId="6928" priority="7493" operator="equal">
      <formula>"SI"</formula>
    </cfRule>
  </conditionalFormatting>
  <conditionalFormatting sqref="S72">
    <cfRule type="expression" dxfId="6927" priority="7396">
      <formula>$S$28&gt;0</formula>
    </cfRule>
    <cfRule type="cellIs" dxfId="6926" priority="7397" operator="equal">
      <formula>0</formula>
    </cfRule>
  </conditionalFormatting>
  <conditionalFormatting sqref="S73">
    <cfRule type="expression" dxfId="6925" priority="7394">
      <formula>$S$28&gt;0</formula>
    </cfRule>
    <cfRule type="cellIs" dxfId="6924" priority="7395" operator="equal">
      <formula>0</formula>
    </cfRule>
  </conditionalFormatting>
  <conditionalFormatting sqref="T94">
    <cfRule type="cellIs" dxfId="6923" priority="7320" operator="equal">
      <formula>"NO CUMPLE"</formula>
    </cfRule>
    <cfRule type="cellIs" dxfId="6922" priority="7321" operator="equal">
      <formula>"CUMPLE"</formula>
    </cfRule>
  </conditionalFormatting>
  <conditionalFormatting sqref="B94">
    <cfRule type="cellIs" dxfId="6921" priority="7318" operator="equal">
      <formula>"NO CUMPLE CON LA EXPERIENCIA REQUERIDA"</formula>
    </cfRule>
    <cfRule type="cellIs" dxfId="6920" priority="7319" operator="equal">
      <formula>"CUMPLE CON LA EXPERIENCIA REQUERIDA"</formula>
    </cfRule>
  </conditionalFormatting>
  <conditionalFormatting sqref="H79">
    <cfRule type="notContainsBlanks" dxfId="6919" priority="7317">
      <formula>LEN(TRIM(H79))&gt;0</formula>
    </cfRule>
  </conditionalFormatting>
  <conditionalFormatting sqref="G79">
    <cfRule type="notContainsBlanks" dxfId="6918" priority="7316">
      <formula>LEN(TRIM(G79))&gt;0</formula>
    </cfRule>
  </conditionalFormatting>
  <conditionalFormatting sqref="F79">
    <cfRule type="notContainsBlanks" dxfId="6917" priority="7315">
      <formula>LEN(TRIM(F79))&gt;0</formula>
    </cfRule>
  </conditionalFormatting>
  <conditionalFormatting sqref="E79">
    <cfRule type="notContainsBlanks" dxfId="6916" priority="7314">
      <formula>LEN(TRIM(E79))&gt;0</formula>
    </cfRule>
  </conditionalFormatting>
  <conditionalFormatting sqref="D79">
    <cfRule type="notContainsBlanks" dxfId="6915" priority="7313">
      <formula>LEN(TRIM(D79))&gt;0</formula>
    </cfRule>
  </conditionalFormatting>
  <conditionalFormatting sqref="C79">
    <cfRule type="notContainsBlanks" dxfId="6914" priority="7312">
      <formula>LEN(TRIM(C79))&gt;0</formula>
    </cfRule>
  </conditionalFormatting>
  <conditionalFormatting sqref="I79">
    <cfRule type="notContainsBlanks" dxfId="6913" priority="7311">
      <formula>LEN(TRIM(I79))&gt;0</formula>
    </cfRule>
  </conditionalFormatting>
  <conditionalFormatting sqref="T79">
    <cfRule type="cellIs" dxfId="6912" priority="7309" operator="equal">
      <formula>"NO"</formula>
    </cfRule>
    <cfRule type="cellIs" dxfId="6911" priority="7310" operator="equal">
      <formula>"SI"</formula>
    </cfRule>
  </conditionalFormatting>
  <conditionalFormatting sqref="G85">
    <cfRule type="notContainsBlanks" dxfId="6910" priority="7276">
      <formula>LEN(TRIM(G85))&gt;0</formula>
    </cfRule>
  </conditionalFormatting>
  <conditionalFormatting sqref="F85">
    <cfRule type="notContainsBlanks" dxfId="6909" priority="7275">
      <formula>LEN(TRIM(F85))&gt;0</formula>
    </cfRule>
  </conditionalFormatting>
  <conditionalFormatting sqref="E85">
    <cfRule type="notContainsBlanks" dxfId="6908" priority="7274">
      <formula>LEN(TRIM(E85))&gt;0</formula>
    </cfRule>
  </conditionalFormatting>
  <conditionalFormatting sqref="D85">
    <cfRule type="notContainsBlanks" dxfId="6907" priority="7273">
      <formula>LEN(TRIM(D85))&gt;0</formula>
    </cfRule>
  </conditionalFormatting>
  <conditionalFormatting sqref="C85">
    <cfRule type="notContainsBlanks" dxfId="6906" priority="7272">
      <formula>LEN(TRIM(C85))&gt;0</formula>
    </cfRule>
  </conditionalFormatting>
  <conditionalFormatting sqref="G91">
    <cfRule type="notContainsBlanks" dxfId="6905" priority="7238">
      <formula>LEN(TRIM(G91))&gt;0</formula>
    </cfRule>
  </conditionalFormatting>
  <conditionalFormatting sqref="F91">
    <cfRule type="notContainsBlanks" dxfId="6904" priority="7237">
      <formula>LEN(TRIM(F91))&gt;0</formula>
    </cfRule>
  </conditionalFormatting>
  <conditionalFormatting sqref="E91">
    <cfRule type="notContainsBlanks" dxfId="6903" priority="7236">
      <formula>LEN(TRIM(E91))&gt;0</formula>
    </cfRule>
  </conditionalFormatting>
  <conditionalFormatting sqref="D91">
    <cfRule type="notContainsBlanks" dxfId="6902" priority="7235">
      <formula>LEN(TRIM(D91))&gt;0</formula>
    </cfRule>
  </conditionalFormatting>
  <conditionalFormatting sqref="C91">
    <cfRule type="notContainsBlanks" dxfId="6901" priority="7234">
      <formula>LEN(TRIM(C91))&gt;0</formula>
    </cfRule>
  </conditionalFormatting>
  <conditionalFormatting sqref="G82">
    <cfRule type="notContainsBlanks" dxfId="6900" priority="7226">
      <formula>LEN(TRIM(G82))&gt;0</formula>
    </cfRule>
  </conditionalFormatting>
  <conditionalFormatting sqref="F82">
    <cfRule type="notContainsBlanks" dxfId="6899" priority="7225">
      <formula>LEN(TRIM(F82))&gt;0</formula>
    </cfRule>
  </conditionalFormatting>
  <conditionalFormatting sqref="E82">
    <cfRule type="notContainsBlanks" dxfId="6898" priority="7224">
      <formula>LEN(TRIM(E82))&gt;0</formula>
    </cfRule>
  </conditionalFormatting>
  <conditionalFormatting sqref="D82">
    <cfRule type="notContainsBlanks" dxfId="6897" priority="7223">
      <formula>LEN(TRIM(D82))&gt;0</formula>
    </cfRule>
  </conditionalFormatting>
  <conditionalFormatting sqref="C82">
    <cfRule type="notContainsBlanks" dxfId="6896" priority="7222">
      <formula>LEN(TRIM(C82))&gt;0</formula>
    </cfRule>
  </conditionalFormatting>
  <conditionalFormatting sqref="G88">
    <cfRule type="notContainsBlanks" dxfId="6895" priority="7221">
      <formula>LEN(TRIM(G88))&gt;0</formula>
    </cfRule>
  </conditionalFormatting>
  <conditionalFormatting sqref="F88">
    <cfRule type="notContainsBlanks" dxfId="6894" priority="7220">
      <formula>LEN(TRIM(F88))&gt;0</formula>
    </cfRule>
  </conditionalFormatting>
  <conditionalFormatting sqref="E88">
    <cfRule type="notContainsBlanks" dxfId="6893" priority="7219">
      <formula>LEN(TRIM(E88))&gt;0</formula>
    </cfRule>
  </conditionalFormatting>
  <conditionalFormatting sqref="D88">
    <cfRule type="notContainsBlanks" dxfId="6892" priority="7218">
      <formula>LEN(TRIM(D88))&gt;0</formula>
    </cfRule>
  </conditionalFormatting>
  <conditionalFormatting sqref="C88">
    <cfRule type="notContainsBlanks" dxfId="6891" priority="7217">
      <formula>LEN(TRIM(C88))&gt;0</formula>
    </cfRule>
  </conditionalFormatting>
  <conditionalFormatting sqref="S94">
    <cfRule type="expression" dxfId="6890" priority="7213">
      <formula>$S$28&gt;0</formula>
    </cfRule>
    <cfRule type="cellIs" dxfId="6889" priority="7214" operator="equal">
      <formula>0</formula>
    </cfRule>
  </conditionalFormatting>
  <conditionalFormatting sqref="S95">
    <cfRule type="expression" dxfId="6888" priority="7211">
      <formula>$S$28&gt;0</formula>
    </cfRule>
    <cfRule type="cellIs" dxfId="6887" priority="7212" operator="equal">
      <formula>0</formula>
    </cfRule>
  </conditionalFormatting>
  <conditionalFormatting sqref="S101">
    <cfRule type="cellIs" dxfId="6886" priority="7139" operator="greaterThan">
      <formula>0</formula>
    </cfRule>
    <cfRule type="top10" dxfId="6885" priority="7140" rank="10"/>
  </conditionalFormatting>
  <conditionalFormatting sqref="B116">
    <cfRule type="cellIs" dxfId="6884" priority="7135" operator="equal">
      <formula>"NO CUMPLE CON LA EXPERIENCIA REQUERIDA"</formula>
    </cfRule>
    <cfRule type="cellIs" dxfId="6883" priority="7136" operator="equal">
      <formula>"CUMPLE CON LA EXPERIENCIA REQUERIDA"</formula>
    </cfRule>
  </conditionalFormatting>
  <conditionalFormatting sqref="H101 H110 H113">
    <cfRule type="notContainsBlanks" dxfId="6882" priority="7134">
      <formula>LEN(TRIM(H101))&gt;0</formula>
    </cfRule>
  </conditionalFormatting>
  <conditionalFormatting sqref="G101">
    <cfRule type="notContainsBlanks" dxfId="6881" priority="7133">
      <formula>LEN(TRIM(G101))&gt;0</formula>
    </cfRule>
  </conditionalFormatting>
  <conditionalFormatting sqref="F101">
    <cfRule type="notContainsBlanks" dxfId="6880" priority="7132">
      <formula>LEN(TRIM(F101))&gt;0</formula>
    </cfRule>
  </conditionalFormatting>
  <conditionalFormatting sqref="E101">
    <cfRule type="notContainsBlanks" dxfId="6879" priority="7131">
      <formula>LEN(TRIM(E101))&gt;0</formula>
    </cfRule>
  </conditionalFormatting>
  <conditionalFormatting sqref="D101">
    <cfRule type="notContainsBlanks" dxfId="6878" priority="7130">
      <formula>LEN(TRIM(D101))&gt;0</formula>
    </cfRule>
  </conditionalFormatting>
  <conditionalFormatting sqref="C101">
    <cfRule type="notContainsBlanks" dxfId="6877" priority="7129">
      <formula>LEN(TRIM(C101))&gt;0</formula>
    </cfRule>
  </conditionalFormatting>
  <conditionalFormatting sqref="I101">
    <cfRule type="notContainsBlanks" dxfId="6876" priority="7128">
      <formula>LEN(TRIM(I101))&gt;0</formula>
    </cfRule>
  </conditionalFormatting>
  <conditionalFormatting sqref="S104">
    <cfRule type="cellIs" dxfId="6875" priority="7110" operator="greaterThan">
      <formula>0</formula>
    </cfRule>
    <cfRule type="top10" dxfId="6874" priority="7111" rank="10"/>
  </conditionalFormatting>
  <conditionalFormatting sqref="S107">
    <cfRule type="cellIs" dxfId="6873" priority="7094" operator="greaterThan">
      <formula>0</formula>
    </cfRule>
    <cfRule type="top10" dxfId="6872" priority="7095" rank="10"/>
  </conditionalFormatting>
  <conditionalFormatting sqref="G107">
    <cfRule type="notContainsBlanks" dxfId="6871" priority="7093">
      <formula>LEN(TRIM(G107))&gt;0</formula>
    </cfRule>
  </conditionalFormatting>
  <conditionalFormatting sqref="F107">
    <cfRule type="notContainsBlanks" dxfId="6870" priority="7092">
      <formula>LEN(TRIM(F107))&gt;0</formula>
    </cfRule>
  </conditionalFormatting>
  <conditionalFormatting sqref="E107">
    <cfRule type="notContainsBlanks" dxfId="6869" priority="7091">
      <formula>LEN(TRIM(E107))&gt;0</formula>
    </cfRule>
  </conditionalFormatting>
  <conditionalFormatting sqref="D107">
    <cfRule type="notContainsBlanks" dxfId="6868" priority="7090">
      <formula>LEN(TRIM(D107))&gt;0</formula>
    </cfRule>
  </conditionalFormatting>
  <conditionalFormatting sqref="C107">
    <cfRule type="notContainsBlanks" dxfId="6867" priority="7089">
      <formula>LEN(TRIM(C107))&gt;0</formula>
    </cfRule>
  </conditionalFormatting>
  <conditionalFormatting sqref="S110">
    <cfRule type="cellIs" dxfId="6866" priority="7072" operator="greaterThan">
      <formula>0</formula>
    </cfRule>
    <cfRule type="top10" dxfId="6865" priority="7073" rank="10"/>
  </conditionalFormatting>
  <conditionalFormatting sqref="S113">
    <cfRule type="cellIs" dxfId="6864" priority="7056" operator="greaterThan">
      <formula>0</formula>
    </cfRule>
    <cfRule type="top10" dxfId="6863" priority="7057" rank="10"/>
  </conditionalFormatting>
  <conditionalFormatting sqref="G113">
    <cfRule type="notContainsBlanks" dxfId="6862" priority="7055">
      <formula>LEN(TRIM(G113))&gt;0</formula>
    </cfRule>
  </conditionalFormatting>
  <conditionalFormatting sqref="F113">
    <cfRule type="notContainsBlanks" dxfId="6861" priority="7054">
      <formula>LEN(TRIM(F113))&gt;0</formula>
    </cfRule>
  </conditionalFormatting>
  <conditionalFormatting sqref="E113">
    <cfRule type="notContainsBlanks" dxfId="6860" priority="7053">
      <formula>LEN(TRIM(E113))&gt;0</formula>
    </cfRule>
  </conditionalFormatting>
  <conditionalFormatting sqref="D113">
    <cfRule type="notContainsBlanks" dxfId="6859" priority="7052">
      <formula>LEN(TRIM(D113))&gt;0</formula>
    </cfRule>
  </conditionalFormatting>
  <conditionalFormatting sqref="C113">
    <cfRule type="notContainsBlanks" dxfId="6858" priority="7051">
      <formula>LEN(TRIM(C113))&gt;0</formula>
    </cfRule>
  </conditionalFormatting>
  <conditionalFormatting sqref="I113">
    <cfRule type="notContainsBlanks" dxfId="6857" priority="7050">
      <formula>LEN(TRIM(I113))&gt;0</formula>
    </cfRule>
  </conditionalFormatting>
  <conditionalFormatting sqref="G104">
    <cfRule type="notContainsBlanks" dxfId="6856" priority="7043">
      <formula>LEN(TRIM(G104))&gt;0</formula>
    </cfRule>
  </conditionalFormatting>
  <conditionalFormatting sqref="F104">
    <cfRule type="notContainsBlanks" dxfId="6855" priority="7042">
      <formula>LEN(TRIM(F104))&gt;0</formula>
    </cfRule>
  </conditionalFormatting>
  <conditionalFormatting sqref="E104">
    <cfRule type="notContainsBlanks" dxfId="6854" priority="7041">
      <formula>LEN(TRIM(E104))&gt;0</formula>
    </cfRule>
  </conditionalFormatting>
  <conditionalFormatting sqref="D104">
    <cfRule type="notContainsBlanks" dxfId="6853" priority="7040">
      <formula>LEN(TRIM(D104))&gt;0</formula>
    </cfRule>
  </conditionalFormatting>
  <conditionalFormatting sqref="C104">
    <cfRule type="notContainsBlanks" dxfId="6852" priority="7039">
      <formula>LEN(TRIM(C104))&gt;0</formula>
    </cfRule>
  </conditionalFormatting>
  <conditionalFormatting sqref="G110">
    <cfRule type="notContainsBlanks" dxfId="6851" priority="7038">
      <formula>LEN(TRIM(G110))&gt;0</formula>
    </cfRule>
  </conditionalFormatting>
  <conditionalFormatting sqref="F110">
    <cfRule type="notContainsBlanks" dxfId="6850" priority="7037">
      <formula>LEN(TRIM(F110))&gt;0</formula>
    </cfRule>
  </conditionalFormatting>
  <conditionalFormatting sqref="E110">
    <cfRule type="notContainsBlanks" dxfId="6849" priority="7036">
      <formula>LEN(TRIM(E110))&gt;0</formula>
    </cfRule>
  </conditionalFormatting>
  <conditionalFormatting sqref="D110">
    <cfRule type="notContainsBlanks" dxfId="6848" priority="7035">
      <formula>LEN(TRIM(D110))&gt;0</formula>
    </cfRule>
  </conditionalFormatting>
  <conditionalFormatting sqref="C110">
    <cfRule type="notContainsBlanks" dxfId="6847" priority="7034">
      <formula>LEN(TRIM(C110))&gt;0</formula>
    </cfRule>
  </conditionalFormatting>
  <conditionalFormatting sqref="I110">
    <cfRule type="notContainsBlanks" dxfId="6846" priority="7032">
      <formula>LEN(TRIM(I110))&gt;0</formula>
    </cfRule>
  </conditionalFormatting>
  <conditionalFormatting sqref="S116">
    <cfRule type="expression" dxfId="6845" priority="7030">
      <formula>$S$28&gt;0</formula>
    </cfRule>
    <cfRule type="cellIs" dxfId="6844" priority="7031" operator="equal">
      <formula>0</formula>
    </cfRule>
  </conditionalFormatting>
  <conditionalFormatting sqref="S117">
    <cfRule type="expression" dxfId="6843" priority="7028">
      <formula>$S$28&gt;0</formula>
    </cfRule>
    <cfRule type="cellIs" dxfId="6842" priority="7029" operator="equal">
      <formula>0</formula>
    </cfRule>
  </conditionalFormatting>
  <conditionalFormatting sqref="S123">
    <cfRule type="cellIs" dxfId="6841" priority="6956" operator="greaterThan">
      <formula>0</formula>
    </cfRule>
    <cfRule type="top10" dxfId="6840" priority="6957" rank="10"/>
  </conditionalFormatting>
  <conditionalFormatting sqref="B138">
    <cfRule type="cellIs" dxfId="6839" priority="6952" operator="equal">
      <formula>"NO CUMPLE CON LA EXPERIENCIA REQUERIDA"</formula>
    </cfRule>
    <cfRule type="cellIs" dxfId="6838" priority="6953" operator="equal">
      <formula>"CUMPLE CON LA EXPERIENCIA REQUERIDA"</formula>
    </cfRule>
  </conditionalFormatting>
  <conditionalFormatting sqref="H123 H132 H135">
    <cfRule type="notContainsBlanks" dxfId="6837" priority="6951">
      <formula>LEN(TRIM(H123))&gt;0</formula>
    </cfRule>
  </conditionalFormatting>
  <conditionalFormatting sqref="G123">
    <cfRule type="notContainsBlanks" dxfId="6836" priority="6950">
      <formula>LEN(TRIM(G123))&gt;0</formula>
    </cfRule>
  </conditionalFormatting>
  <conditionalFormatting sqref="F123">
    <cfRule type="notContainsBlanks" dxfId="6835" priority="6949">
      <formula>LEN(TRIM(F123))&gt;0</formula>
    </cfRule>
  </conditionalFormatting>
  <conditionalFormatting sqref="E123">
    <cfRule type="notContainsBlanks" dxfId="6834" priority="6948">
      <formula>LEN(TRIM(E123))&gt;0</formula>
    </cfRule>
  </conditionalFormatting>
  <conditionalFormatting sqref="D123">
    <cfRule type="notContainsBlanks" dxfId="6833" priority="6947">
      <formula>LEN(TRIM(D123))&gt;0</formula>
    </cfRule>
  </conditionalFormatting>
  <conditionalFormatting sqref="C123">
    <cfRule type="notContainsBlanks" dxfId="6832" priority="6946">
      <formula>LEN(TRIM(C123))&gt;0</formula>
    </cfRule>
  </conditionalFormatting>
  <conditionalFormatting sqref="I123">
    <cfRule type="notContainsBlanks" dxfId="6831" priority="6945">
      <formula>LEN(TRIM(I123))&gt;0</formula>
    </cfRule>
  </conditionalFormatting>
  <conditionalFormatting sqref="S126">
    <cfRule type="cellIs" dxfId="6830" priority="6927" operator="greaterThan">
      <formula>0</formula>
    </cfRule>
    <cfRule type="top10" dxfId="6829" priority="6928" rank="10"/>
  </conditionalFormatting>
  <conditionalFormatting sqref="S129">
    <cfRule type="cellIs" dxfId="6828" priority="6911" operator="greaterThan">
      <formula>0</formula>
    </cfRule>
    <cfRule type="top10" dxfId="6827" priority="6912" rank="10"/>
  </conditionalFormatting>
  <conditionalFormatting sqref="G129">
    <cfRule type="notContainsBlanks" dxfId="6826" priority="6910">
      <formula>LEN(TRIM(G129))&gt;0</formula>
    </cfRule>
  </conditionalFormatting>
  <conditionalFormatting sqref="F129">
    <cfRule type="notContainsBlanks" dxfId="6825" priority="6909">
      <formula>LEN(TRIM(F129))&gt;0</formula>
    </cfRule>
  </conditionalFormatting>
  <conditionalFormatting sqref="E129">
    <cfRule type="notContainsBlanks" dxfId="6824" priority="6908">
      <formula>LEN(TRIM(E129))&gt;0</formula>
    </cfRule>
  </conditionalFormatting>
  <conditionalFormatting sqref="D129">
    <cfRule type="notContainsBlanks" dxfId="6823" priority="6907">
      <formula>LEN(TRIM(D129))&gt;0</formula>
    </cfRule>
  </conditionalFormatting>
  <conditionalFormatting sqref="C129">
    <cfRule type="notContainsBlanks" dxfId="6822" priority="6906">
      <formula>LEN(TRIM(C129))&gt;0</formula>
    </cfRule>
  </conditionalFormatting>
  <conditionalFormatting sqref="S132">
    <cfRule type="cellIs" dxfId="6821" priority="6889" operator="greaterThan">
      <formula>0</formula>
    </cfRule>
    <cfRule type="top10" dxfId="6820" priority="6890" rank="10"/>
  </conditionalFormatting>
  <conditionalFormatting sqref="S135">
    <cfRule type="cellIs" dxfId="6819" priority="6873" operator="greaterThan">
      <formula>0</formula>
    </cfRule>
    <cfRule type="top10" dxfId="6818" priority="6874" rank="10"/>
  </conditionalFormatting>
  <conditionalFormatting sqref="G135">
    <cfRule type="notContainsBlanks" dxfId="6817" priority="6872">
      <formula>LEN(TRIM(G135))&gt;0</formula>
    </cfRule>
  </conditionalFormatting>
  <conditionalFormatting sqref="F135">
    <cfRule type="notContainsBlanks" dxfId="6816" priority="6871">
      <formula>LEN(TRIM(F135))&gt;0</formula>
    </cfRule>
  </conditionalFormatting>
  <conditionalFormatting sqref="E135">
    <cfRule type="notContainsBlanks" dxfId="6815" priority="6870">
      <formula>LEN(TRIM(E135))&gt;0</formula>
    </cfRule>
  </conditionalFormatting>
  <conditionalFormatting sqref="D135">
    <cfRule type="notContainsBlanks" dxfId="6814" priority="6869">
      <formula>LEN(TRIM(D135))&gt;0</formula>
    </cfRule>
  </conditionalFormatting>
  <conditionalFormatting sqref="C135">
    <cfRule type="notContainsBlanks" dxfId="6813" priority="6868">
      <formula>LEN(TRIM(C135))&gt;0</formula>
    </cfRule>
  </conditionalFormatting>
  <conditionalFormatting sqref="I135">
    <cfRule type="notContainsBlanks" dxfId="6812" priority="6867">
      <formula>LEN(TRIM(I135))&gt;0</formula>
    </cfRule>
  </conditionalFormatting>
  <conditionalFormatting sqref="G126">
    <cfRule type="notContainsBlanks" dxfId="6811" priority="6860">
      <formula>LEN(TRIM(G126))&gt;0</formula>
    </cfRule>
  </conditionalFormatting>
  <conditionalFormatting sqref="F126">
    <cfRule type="notContainsBlanks" dxfId="6810" priority="6859">
      <formula>LEN(TRIM(F126))&gt;0</formula>
    </cfRule>
  </conditionalFormatting>
  <conditionalFormatting sqref="E126">
    <cfRule type="notContainsBlanks" dxfId="6809" priority="6858">
      <formula>LEN(TRIM(E126))&gt;0</formula>
    </cfRule>
  </conditionalFormatting>
  <conditionalFormatting sqref="D126">
    <cfRule type="notContainsBlanks" dxfId="6808" priority="6857">
      <formula>LEN(TRIM(D126))&gt;0</formula>
    </cfRule>
  </conditionalFormatting>
  <conditionalFormatting sqref="C126">
    <cfRule type="notContainsBlanks" dxfId="6807" priority="6856">
      <formula>LEN(TRIM(C126))&gt;0</formula>
    </cfRule>
  </conditionalFormatting>
  <conditionalFormatting sqref="G132">
    <cfRule type="notContainsBlanks" dxfId="6806" priority="6855">
      <formula>LEN(TRIM(G132))&gt;0</formula>
    </cfRule>
  </conditionalFormatting>
  <conditionalFormatting sqref="F132">
    <cfRule type="notContainsBlanks" dxfId="6805" priority="6854">
      <formula>LEN(TRIM(F132))&gt;0</formula>
    </cfRule>
  </conditionalFormatting>
  <conditionalFormatting sqref="E132">
    <cfRule type="notContainsBlanks" dxfId="6804" priority="6853">
      <formula>LEN(TRIM(E132))&gt;0</formula>
    </cfRule>
  </conditionalFormatting>
  <conditionalFormatting sqref="D132">
    <cfRule type="notContainsBlanks" dxfId="6803" priority="6852">
      <formula>LEN(TRIM(D132))&gt;0</formula>
    </cfRule>
  </conditionalFormatting>
  <conditionalFormatting sqref="C132">
    <cfRule type="notContainsBlanks" dxfId="6802" priority="6851">
      <formula>LEN(TRIM(C132))&gt;0</formula>
    </cfRule>
  </conditionalFormatting>
  <conditionalFormatting sqref="I132">
    <cfRule type="notContainsBlanks" dxfId="6801" priority="6849">
      <formula>LEN(TRIM(I132))&gt;0</formula>
    </cfRule>
  </conditionalFormatting>
  <conditionalFormatting sqref="S138">
    <cfRule type="expression" dxfId="6800" priority="6847">
      <formula>$S$28&gt;0</formula>
    </cfRule>
    <cfRule type="cellIs" dxfId="6799" priority="6848" operator="equal">
      <formula>0</formula>
    </cfRule>
  </conditionalFormatting>
  <conditionalFormatting sqref="S139">
    <cfRule type="expression" dxfId="6798" priority="6845">
      <formula>$S$28&gt;0</formula>
    </cfRule>
    <cfRule type="cellIs" dxfId="6797" priority="6846" operator="equal">
      <formula>0</formula>
    </cfRule>
  </conditionalFormatting>
  <conditionalFormatting sqref="S145">
    <cfRule type="cellIs" dxfId="6796" priority="6773" operator="greaterThan">
      <formula>0</formula>
    </cfRule>
    <cfRule type="top10" dxfId="6795" priority="6774" rank="10"/>
  </conditionalFormatting>
  <conditionalFormatting sqref="B160">
    <cfRule type="cellIs" dxfId="6794" priority="6769" operator="equal">
      <formula>"NO CUMPLE CON LA EXPERIENCIA REQUERIDA"</formula>
    </cfRule>
    <cfRule type="cellIs" dxfId="6793" priority="6770" operator="equal">
      <formula>"CUMPLE CON LA EXPERIENCIA REQUERIDA"</formula>
    </cfRule>
  </conditionalFormatting>
  <conditionalFormatting sqref="H145 H148 H151 H154 H157">
    <cfRule type="notContainsBlanks" dxfId="6792" priority="6768">
      <formula>LEN(TRIM(H145))&gt;0</formula>
    </cfRule>
  </conditionalFormatting>
  <conditionalFormatting sqref="G145">
    <cfRule type="notContainsBlanks" dxfId="6791" priority="6767">
      <formula>LEN(TRIM(G145))&gt;0</formula>
    </cfRule>
  </conditionalFormatting>
  <conditionalFormatting sqref="F145">
    <cfRule type="notContainsBlanks" dxfId="6790" priority="6766">
      <formula>LEN(TRIM(F145))&gt;0</formula>
    </cfRule>
  </conditionalFormatting>
  <conditionalFormatting sqref="E145">
    <cfRule type="notContainsBlanks" dxfId="6789" priority="6765">
      <formula>LEN(TRIM(E145))&gt;0</formula>
    </cfRule>
  </conditionalFormatting>
  <conditionalFormatting sqref="D145">
    <cfRule type="notContainsBlanks" dxfId="6788" priority="6764">
      <formula>LEN(TRIM(D145))&gt;0</formula>
    </cfRule>
  </conditionalFormatting>
  <conditionalFormatting sqref="C145">
    <cfRule type="notContainsBlanks" dxfId="6787" priority="6763">
      <formula>LEN(TRIM(C145))&gt;0</formula>
    </cfRule>
  </conditionalFormatting>
  <conditionalFormatting sqref="I145">
    <cfRule type="notContainsBlanks" dxfId="6786" priority="6762">
      <formula>LEN(TRIM(I145))&gt;0</formula>
    </cfRule>
  </conditionalFormatting>
  <conditionalFormatting sqref="S148">
    <cfRule type="cellIs" dxfId="6785" priority="6744" operator="greaterThan">
      <formula>0</formula>
    </cfRule>
    <cfRule type="top10" dxfId="6784" priority="6745" rank="10"/>
  </conditionalFormatting>
  <conditionalFormatting sqref="S151">
    <cfRule type="cellIs" dxfId="6783" priority="6728" operator="greaterThan">
      <formula>0</formula>
    </cfRule>
    <cfRule type="top10" dxfId="6782" priority="6729" rank="10"/>
  </conditionalFormatting>
  <conditionalFormatting sqref="G151">
    <cfRule type="notContainsBlanks" dxfId="6781" priority="6727">
      <formula>LEN(TRIM(G151))&gt;0</formula>
    </cfRule>
  </conditionalFormatting>
  <conditionalFormatting sqref="F151">
    <cfRule type="notContainsBlanks" dxfId="6780" priority="6726">
      <formula>LEN(TRIM(F151))&gt;0</formula>
    </cfRule>
  </conditionalFormatting>
  <conditionalFormatting sqref="E151">
    <cfRule type="notContainsBlanks" dxfId="6779" priority="6725">
      <formula>LEN(TRIM(E151))&gt;0</formula>
    </cfRule>
  </conditionalFormatting>
  <conditionalFormatting sqref="D151">
    <cfRule type="notContainsBlanks" dxfId="6778" priority="6724">
      <formula>LEN(TRIM(D151))&gt;0</formula>
    </cfRule>
  </conditionalFormatting>
  <conditionalFormatting sqref="C151">
    <cfRule type="notContainsBlanks" dxfId="6777" priority="6723">
      <formula>LEN(TRIM(C151))&gt;0</formula>
    </cfRule>
  </conditionalFormatting>
  <conditionalFormatting sqref="I151">
    <cfRule type="notContainsBlanks" dxfId="6776" priority="6722">
      <formula>LEN(TRIM(I151))&gt;0</formula>
    </cfRule>
  </conditionalFormatting>
  <conditionalFormatting sqref="S154">
    <cfRule type="cellIs" dxfId="6775" priority="6706" operator="greaterThan">
      <formula>0</formula>
    </cfRule>
    <cfRule type="top10" dxfId="6774" priority="6707" rank="10"/>
  </conditionalFormatting>
  <conditionalFormatting sqref="S157">
    <cfRule type="cellIs" dxfId="6773" priority="6690" operator="greaterThan">
      <formula>0</formula>
    </cfRule>
    <cfRule type="top10" dxfId="6772" priority="6691" rank="10"/>
  </conditionalFormatting>
  <conditionalFormatting sqref="G157">
    <cfRule type="notContainsBlanks" dxfId="6771" priority="6689">
      <formula>LEN(TRIM(G157))&gt;0</formula>
    </cfRule>
  </conditionalFormatting>
  <conditionalFormatting sqref="F157">
    <cfRule type="notContainsBlanks" dxfId="6770" priority="6688">
      <formula>LEN(TRIM(F157))&gt;0</formula>
    </cfRule>
  </conditionalFormatting>
  <conditionalFormatting sqref="E157">
    <cfRule type="notContainsBlanks" dxfId="6769" priority="6687">
      <formula>LEN(TRIM(E157))&gt;0</formula>
    </cfRule>
  </conditionalFormatting>
  <conditionalFormatting sqref="D157">
    <cfRule type="notContainsBlanks" dxfId="6768" priority="6686">
      <formula>LEN(TRIM(D157))&gt;0</formula>
    </cfRule>
  </conditionalFormatting>
  <conditionalFormatting sqref="C157">
    <cfRule type="notContainsBlanks" dxfId="6767" priority="6685">
      <formula>LEN(TRIM(C157))&gt;0</formula>
    </cfRule>
  </conditionalFormatting>
  <conditionalFormatting sqref="I157">
    <cfRule type="notContainsBlanks" dxfId="6766" priority="6684">
      <formula>LEN(TRIM(I157))&gt;0</formula>
    </cfRule>
  </conditionalFormatting>
  <conditionalFormatting sqref="G148">
    <cfRule type="notContainsBlanks" dxfId="6765" priority="6677">
      <formula>LEN(TRIM(G148))&gt;0</formula>
    </cfRule>
  </conditionalFormatting>
  <conditionalFormatting sqref="E148">
    <cfRule type="notContainsBlanks" dxfId="6764" priority="6675">
      <formula>LEN(TRIM(E148))&gt;0</formula>
    </cfRule>
  </conditionalFormatting>
  <conditionalFormatting sqref="D148">
    <cfRule type="notContainsBlanks" dxfId="6763" priority="6674">
      <formula>LEN(TRIM(D148))&gt;0</formula>
    </cfRule>
  </conditionalFormatting>
  <conditionalFormatting sqref="C148">
    <cfRule type="notContainsBlanks" dxfId="6762" priority="6673">
      <formula>LEN(TRIM(C148))&gt;0</formula>
    </cfRule>
  </conditionalFormatting>
  <conditionalFormatting sqref="G154">
    <cfRule type="notContainsBlanks" dxfId="6761" priority="6672">
      <formula>LEN(TRIM(G154))&gt;0</formula>
    </cfRule>
  </conditionalFormatting>
  <conditionalFormatting sqref="F154">
    <cfRule type="notContainsBlanks" dxfId="6760" priority="6671">
      <formula>LEN(TRIM(F154))&gt;0</formula>
    </cfRule>
  </conditionalFormatting>
  <conditionalFormatting sqref="E154">
    <cfRule type="notContainsBlanks" dxfId="6759" priority="6670">
      <formula>LEN(TRIM(E154))&gt;0</formula>
    </cfRule>
  </conditionalFormatting>
  <conditionalFormatting sqref="D154">
    <cfRule type="notContainsBlanks" dxfId="6758" priority="6669">
      <formula>LEN(TRIM(D154))&gt;0</formula>
    </cfRule>
  </conditionalFormatting>
  <conditionalFormatting sqref="C154">
    <cfRule type="notContainsBlanks" dxfId="6757" priority="6668">
      <formula>LEN(TRIM(C154))&gt;0</formula>
    </cfRule>
  </conditionalFormatting>
  <conditionalFormatting sqref="I148">
    <cfRule type="notContainsBlanks" dxfId="6756" priority="6667">
      <formula>LEN(TRIM(I148))&gt;0</formula>
    </cfRule>
  </conditionalFormatting>
  <conditionalFormatting sqref="I154">
    <cfRule type="notContainsBlanks" dxfId="6755" priority="6666">
      <formula>LEN(TRIM(I154))&gt;0</formula>
    </cfRule>
  </conditionalFormatting>
  <conditionalFormatting sqref="S160">
    <cfRule type="expression" dxfId="6754" priority="6664">
      <formula>$S$28&gt;0</formula>
    </cfRule>
    <cfRule type="cellIs" dxfId="6753" priority="6665" operator="equal">
      <formula>0</formula>
    </cfRule>
  </conditionalFormatting>
  <conditionalFormatting sqref="S161">
    <cfRule type="expression" dxfId="6752" priority="6662">
      <formula>$S$28&gt;0</formula>
    </cfRule>
    <cfRule type="cellIs" dxfId="6751" priority="6663" operator="equal">
      <formula>0</formula>
    </cfRule>
  </conditionalFormatting>
  <conditionalFormatting sqref="N157">
    <cfRule type="expression" dxfId="6750" priority="6623">
      <formula>N157=" "</formula>
    </cfRule>
    <cfRule type="expression" dxfId="6749" priority="6624">
      <formula>N157="NO PRESENTÓ CERTIFICADO"</formula>
    </cfRule>
    <cfRule type="expression" dxfId="6748" priority="6625">
      <formula>N157="PRESENTÓ CERTIFICADO"</formula>
    </cfRule>
  </conditionalFormatting>
  <conditionalFormatting sqref="O157">
    <cfRule type="cellIs" dxfId="6747" priority="6605" operator="equal">
      <formula>"PENDIENTE POR DESCRIPCIÓN"</formula>
    </cfRule>
    <cfRule type="cellIs" dxfId="6746" priority="6606" operator="equal">
      <formula>"DESCRIPCIÓN INSUFICIENTE"</formula>
    </cfRule>
    <cfRule type="cellIs" dxfId="6745" priority="6607" operator="equal">
      <formula>"NO ESTÁ ACORDE A ITEM 5.2.2 (T.R.)"</formula>
    </cfRule>
    <cfRule type="cellIs" dxfId="6744" priority="6608" operator="equal">
      <formula>"ACORDE A ITEM 5.2.2 (T.R.)"</formula>
    </cfRule>
    <cfRule type="cellIs" dxfId="6743" priority="6615" operator="equal">
      <formula>"PENDIENTE POR DESCRIPCIÓN"</formula>
    </cfRule>
    <cfRule type="cellIs" dxfId="6742" priority="6617" operator="equal">
      <formula>"DESCRIPCIÓN INSUFICIENTE"</formula>
    </cfRule>
    <cfRule type="cellIs" dxfId="6741" priority="6618" operator="equal">
      <formula>"NO ESTÁ ACORDE A ITEM 5.2.1 (T.R.)"</formula>
    </cfRule>
    <cfRule type="cellIs" dxfId="6740" priority="6619" operator="equal">
      <formula>"ACORDE A ITEM 5.2.1 (T.R.)"</formula>
    </cfRule>
  </conditionalFormatting>
  <conditionalFormatting sqref="Q157">
    <cfRule type="containsBlanks" dxfId="6739" priority="6610">
      <formula>LEN(TRIM(Q157))=0</formula>
    </cfRule>
    <cfRule type="cellIs" dxfId="6738" priority="6616" operator="equal">
      <formula>"REQUERIMIENTOS SUBSANADOS"</formula>
    </cfRule>
    <cfRule type="containsText" dxfId="6737" priority="6620" operator="containsText" text="NO SUBSANABLE">
      <formula>NOT(ISERROR(SEARCH("NO SUBSANABLE",Q157)))</formula>
    </cfRule>
    <cfRule type="containsText" dxfId="6736" priority="6621" operator="containsText" text="PENDIENTES POR SUBSANAR">
      <formula>NOT(ISERROR(SEARCH("PENDIENTES POR SUBSANAR",Q157)))</formula>
    </cfRule>
    <cfRule type="containsText" dxfId="6735" priority="6622" operator="containsText" text="SIN OBSERVACIÓN">
      <formula>NOT(ISERROR(SEARCH("SIN OBSERVACIÓN",Q157)))</formula>
    </cfRule>
  </conditionalFormatting>
  <conditionalFormatting sqref="R157">
    <cfRule type="containsBlanks" dxfId="6734" priority="6609">
      <formula>LEN(TRIM(R157))=0</formula>
    </cfRule>
    <cfRule type="cellIs" dxfId="6733" priority="6611" operator="equal">
      <formula>"NO CUMPLEN CON LO SOLICITADO"</formula>
    </cfRule>
    <cfRule type="cellIs" dxfId="6732" priority="6612" operator="equal">
      <formula>"CUMPLEN CON LO SOLICITADO"</formula>
    </cfRule>
    <cfRule type="cellIs" dxfId="6731" priority="6613" operator="equal">
      <formula>"PENDIENTES"</formula>
    </cfRule>
    <cfRule type="cellIs" dxfId="6730" priority="6614" operator="equal">
      <formula>"NINGUNO"</formula>
    </cfRule>
  </conditionalFormatting>
  <conditionalFormatting sqref="P157">
    <cfRule type="expression" dxfId="6729" priority="6600">
      <formula>Q157="NO SUBSANABLE"</formula>
    </cfRule>
    <cfRule type="expression" dxfId="6728" priority="6601">
      <formula>Q157="REQUERIMIENTOS SUBSANADOS"</formula>
    </cfRule>
    <cfRule type="expression" dxfId="6727" priority="6602">
      <formula>Q157="PENDIENTES POR SUBSANAR"</formula>
    </cfRule>
    <cfRule type="expression" dxfId="6726" priority="6603">
      <formula>Q157="SIN OBSERVACIÓN"</formula>
    </cfRule>
    <cfRule type="containsBlanks" dxfId="6725" priority="6604">
      <formula>LEN(TRIM(P157))=0</formula>
    </cfRule>
  </conditionalFormatting>
  <conditionalFormatting sqref="S167">
    <cfRule type="cellIs" dxfId="6724" priority="6590" operator="greaterThan">
      <formula>0</formula>
    </cfRule>
    <cfRule type="top10" dxfId="6723" priority="6591" rank="10"/>
  </conditionalFormatting>
  <conditionalFormatting sqref="B182">
    <cfRule type="cellIs" dxfId="6722" priority="6586" operator="equal">
      <formula>"NO CUMPLE CON LA EXPERIENCIA REQUERIDA"</formula>
    </cfRule>
    <cfRule type="cellIs" dxfId="6721" priority="6587" operator="equal">
      <formula>"CUMPLE CON LA EXPERIENCIA REQUERIDA"</formula>
    </cfRule>
  </conditionalFormatting>
  <conditionalFormatting sqref="H167 H176 H179">
    <cfRule type="notContainsBlanks" dxfId="6720" priority="6585">
      <formula>LEN(TRIM(H167))&gt;0</formula>
    </cfRule>
  </conditionalFormatting>
  <conditionalFormatting sqref="G167">
    <cfRule type="notContainsBlanks" dxfId="6719" priority="6584">
      <formula>LEN(TRIM(G167))&gt;0</formula>
    </cfRule>
  </conditionalFormatting>
  <conditionalFormatting sqref="F167">
    <cfRule type="notContainsBlanks" dxfId="6718" priority="6583">
      <formula>LEN(TRIM(F167))&gt;0</formula>
    </cfRule>
  </conditionalFormatting>
  <conditionalFormatting sqref="E167">
    <cfRule type="notContainsBlanks" dxfId="6717" priority="6582">
      <formula>LEN(TRIM(E167))&gt;0</formula>
    </cfRule>
  </conditionalFormatting>
  <conditionalFormatting sqref="D167">
    <cfRule type="notContainsBlanks" dxfId="6716" priority="6581">
      <formula>LEN(TRIM(D167))&gt;0</formula>
    </cfRule>
  </conditionalFormatting>
  <conditionalFormatting sqref="C167">
    <cfRule type="notContainsBlanks" dxfId="6715" priority="6580">
      <formula>LEN(TRIM(C167))&gt;0</formula>
    </cfRule>
  </conditionalFormatting>
  <conditionalFormatting sqref="I167">
    <cfRule type="notContainsBlanks" dxfId="6714" priority="6579">
      <formula>LEN(TRIM(I167))&gt;0</formula>
    </cfRule>
  </conditionalFormatting>
  <conditionalFormatting sqref="S170">
    <cfRule type="cellIs" dxfId="6713" priority="6561" operator="greaterThan">
      <formula>0</formula>
    </cfRule>
    <cfRule type="top10" dxfId="6712" priority="6562" rank="10"/>
  </conditionalFormatting>
  <conditionalFormatting sqref="S173">
    <cfRule type="cellIs" dxfId="6711" priority="6545" operator="greaterThan">
      <formula>0</formula>
    </cfRule>
    <cfRule type="top10" dxfId="6710" priority="6546" rank="10"/>
  </conditionalFormatting>
  <conditionalFormatting sqref="G173">
    <cfRule type="notContainsBlanks" dxfId="6709" priority="6544">
      <formula>LEN(TRIM(G173))&gt;0</formula>
    </cfRule>
  </conditionalFormatting>
  <conditionalFormatting sqref="F173">
    <cfRule type="notContainsBlanks" dxfId="6708" priority="6543">
      <formula>LEN(TRIM(F173))&gt;0</formula>
    </cfRule>
  </conditionalFormatting>
  <conditionalFormatting sqref="E173">
    <cfRule type="notContainsBlanks" dxfId="6707" priority="6542">
      <formula>LEN(TRIM(E173))&gt;0</formula>
    </cfRule>
  </conditionalFormatting>
  <conditionalFormatting sqref="D173">
    <cfRule type="notContainsBlanks" dxfId="6706" priority="6541">
      <formula>LEN(TRIM(D173))&gt;0</formula>
    </cfRule>
  </conditionalFormatting>
  <conditionalFormatting sqref="C173">
    <cfRule type="notContainsBlanks" dxfId="6705" priority="6540">
      <formula>LEN(TRIM(C173))&gt;0</formula>
    </cfRule>
  </conditionalFormatting>
  <conditionalFormatting sqref="I173">
    <cfRule type="notContainsBlanks" dxfId="6704" priority="6539">
      <formula>LEN(TRIM(I173))&gt;0</formula>
    </cfRule>
  </conditionalFormatting>
  <conditionalFormatting sqref="S176">
    <cfRule type="cellIs" dxfId="6703" priority="6523" operator="greaterThan">
      <formula>0</formula>
    </cfRule>
    <cfRule type="top10" dxfId="6702" priority="6524" rank="10"/>
  </conditionalFormatting>
  <conditionalFormatting sqref="S179">
    <cfRule type="cellIs" dxfId="6701" priority="6507" operator="greaterThan">
      <formula>0</formula>
    </cfRule>
    <cfRule type="top10" dxfId="6700" priority="6508" rank="10"/>
  </conditionalFormatting>
  <conditionalFormatting sqref="G179">
    <cfRule type="notContainsBlanks" dxfId="6699" priority="6506">
      <formula>LEN(TRIM(G179))&gt;0</formula>
    </cfRule>
  </conditionalFormatting>
  <conditionalFormatting sqref="F179">
    <cfRule type="notContainsBlanks" dxfId="6698" priority="6505">
      <formula>LEN(TRIM(F179))&gt;0</formula>
    </cfRule>
  </conditionalFormatting>
  <conditionalFormatting sqref="E179">
    <cfRule type="notContainsBlanks" dxfId="6697" priority="6504">
      <formula>LEN(TRIM(E179))&gt;0</formula>
    </cfRule>
  </conditionalFormatting>
  <conditionalFormatting sqref="D179">
    <cfRule type="notContainsBlanks" dxfId="6696" priority="6503">
      <formula>LEN(TRIM(D179))&gt;0</formula>
    </cfRule>
  </conditionalFormatting>
  <conditionalFormatting sqref="C179">
    <cfRule type="notContainsBlanks" dxfId="6695" priority="6502">
      <formula>LEN(TRIM(C179))&gt;0</formula>
    </cfRule>
  </conditionalFormatting>
  <conditionalFormatting sqref="I179">
    <cfRule type="notContainsBlanks" dxfId="6694" priority="6501">
      <formula>LEN(TRIM(I179))&gt;0</formula>
    </cfRule>
  </conditionalFormatting>
  <conditionalFormatting sqref="G170">
    <cfRule type="notContainsBlanks" dxfId="6693" priority="6494">
      <formula>LEN(TRIM(G170))&gt;0</formula>
    </cfRule>
  </conditionalFormatting>
  <conditionalFormatting sqref="F170">
    <cfRule type="notContainsBlanks" dxfId="6692" priority="6493">
      <formula>LEN(TRIM(F170))&gt;0</formula>
    </cfRule>
  </conditionalFormatting>
  <conditionalFormatting sqref="E170">
    <cfRule type="notContainsBlanks" dxfId="6691" priority="6492">
      <formula>LEN(TRIM(E170))&gt;0</formula>
    </cfRule>
  </conditionalFormatting>
  <conditionalFormatting sqref="D170">
    <cfRule type="notContainsBlanks" dxfId="6690" priority="6491">
      <formula>LEN(TRIM(D170))&gt;0</formula>
    </cfRule>
  </conditionalFormatting>
  <conditionalFormatting sqref="C170">
    <cfRule type="notContainsBlanks" dxfId="6689" priority="6490">
      <formula>LEN(TRIM(C170))&gt;0</formula>
    </cfRule>
  </conditionalFormatting>
  <conditionalFormatting sqref="G176">
    <cfRule type="notContainsBlanks" dxfId="6688" priority="6489">
      <formula>LEN(TRIM(G176))&gt;0</formula>
    </cfRule>
  </conditionalFormatting>
  <conditionalFormatting sqref="F176">
    <cfRule type="notContainsBlanks" dxfId="6687" priority="6488">
      <formula>LEN(TRIM(F176))&gt;0</formula>
    </cfRule>
  </conditionalFormatting>
  <conditionalFormatting sqref="E176">
    <cfRule type="notContainsBlanks" dxfId="6686" priority="6487">
      <formula>LEN(TRIM(E176))&gt;0</formula>
    </cfRule>
  </conditionalFormatting>
  <conditionalFormatting sqref="D176">
    <cfRule type="notContainsBlanks" dxfId="6685" priority="6486">
      <formula>LEN(TRIM(D176))&gt;0</formula>
    </cfRule>
  </conditionalFormatting>
  <conditionalFormatting sqref="C176">
    <cfRule type="notContainsBlanks" dxfId="6684" priority="6485">
      <formula>LEN(TRIM(C176))&gt;0</formula>
    </cfRule>
  </conditionalFormatting>
  <conditionalFormatting sqref="I170">
    <cfRule type="notContainsBlanks" dxfId="6683" priority="6484">
      <formula>LEN(TRIM(I170))&gt;0</formula>
    </cfRule>
  </conditionalFormatting>
  <conditionalFormatting sqref="I176">
    <cfRule type="notContainsBlanks" dxfId="6682" priority="6483">
      <formula>LEN(TRIM(I176))&gt;0</formula>
    </cfRule>
  </conditionalFormatting>
  <conditionalFormatting sqref="S182">
    <cfRule type="expression" dxfId="6681" priority="6481">
      <formula>$S$28&gt;0</formula>
    </cfRule>
    <cfRule type="cellIs" dxfId="6680" priority="6482" operator="equal">
      <formula>0</formula>
    </cfRule>
  </conditionalFormatting>
  <conditionalFormatting sqref="S183">
    <cfRule type="expression" dxfId="6679" priority="6479">
      <formula>$S$28&gt;0</formula>
    </cfRule>
    <cfRule type="cellIs" dxfId="6678" priority="6480" operator="equal">
      <formula>0</formula>
    </cfRule>
  </conditionalFormatting>
  <conditionalFormatting sqref="B204">
    <cfRule type="cellIs" dxfId="6677" priority="6403" operator="equal">
      <formula>"NO CUMPLE CON LA EXPERIENCIA REQUERIDA"</formula>
    </cfRule>
    <cfRule type="cellIs" dxfId="6676" priority="6404" operator="equal">
      <formula>"CUMPLE CON LA EXPERIENCIA REQUERIDA"</formula>
    </cfRule>
  </conditionalFormatting>
  <conditionalFormatting sqref="H189 H192 H195 H198 H201">
    <cfRule type="notContainsBlanks" dxfId="6675" priority="6402">
      <formula>LEN(TRIM(H189))&gt;0</formula>
    </cfRule>
  </conditionalFormatting>
  <conditionalFormatting sqref="G189">
    <cfRule type="notContainsBlanks" dxfId="6674" priority="6401">
      <formula>LEN(TRIM(G189))&gt;0</formula>
    </cfRule>
  </conditionalFormatting>
  <conditionalFormatting sqref="F189">
    <cfRule type="notContainsBlanks" dxfId="6673" priority="6400">
      <formula>LEN(TRIM(F189))&gt;0</formula>
    </cfRule>
  </conditionalFormatting>
  <conditionalFormatting sqref="E189">
    <cfRule type="notContainsBlanks" dxfId="6672" priority="6399">
      <formula>LEN(TRIM(E189))&gt;0</formula>
    </cfRule>
  </conditionalFormatting>
  <conditionalFormatting sqref="D189">
    <cfRule type="notContainsBlanks" dxfId="6671" priority="6398">
      <formula>LEN(TRIM(D189))&gt;0</formula>
    </cfRule>
  </conditionalFormatting>
  <conditionalFormatting sqref="C189">
    <cfRule type="notContainsBlanks" dxfId="6670" priority="6397">
      <formula>LEN(TRIM(C189))&gt;0</formula>
    </cfRule>
  </conditionalFormatting>
  <conditionalFormatting sqref="I189">
    <cfRule type="notContainsBlanks" dxfId="6669" priority="6396">
      <formula>LEN(TRIM(I189))&gt;0</formula>
    </cfRule>
  </conditionalFormatting>
  <conditionalFormatting sqref="S192">
    <cfRule type="cellIs" dxfId="6668" priority="6378" operator="greaterThan">
      <formula>0</formula>
    </cfRule>
    <cfRule type="top10" dxfId="6667" priority="6379" rank="10"/>
  </conditionalFormatting>
  <conditionalFormatting sqref="S195">
    <cfRule type="cellIs" dxfId="6666" priority="6362" operator="greaterThan">
      <formula>0</formula>
    </cfRule>
    <cfRule type="top10" dxfId="6665" priority="6363" rank="10"/>
  </conditionalFormatting>
  <conditionalFormatting sqref="G195">
    <cfRule type="notContainsBlanks" dxfId="6664" priority="6361">
      <formula>LEN(TRIM(G195))&gt;0</formula>
    </cfRule>
  </conditionalFormatting>
  <conditionalFormatting sqref="F195">
    <cfRule type="notContainsBlanks" dxfId="6663" priority="6360">
      <formula>LEN(TRIM(F195))&gt;0</formula>
    </cfRule>
  </conditionalFormatting>
  <conditionalFormatting sqref="E195">
    <cfRule type="notContainsBlanks" dxfId="6662" priority="6359">
      <formula>LEN(TRIM(E195))&gt;0</formula>
    </cfRule>
  </conditionalFormatting>
  <conditionalFormatting sqref="D195">
    <cfRule type="notContainsBlanks" dxfId="6661" priority="6358">
      <formula>LEN(TRIM(D195))&gt;0</formula>
    </cfRule>
  </conditionalFormatting>
  <conditionalFormatting sqref="C195">
    <cfRule type="notContainsBlanks" dxfId="6660" priority="6357">
      <formula>LEN(TRIM(C195))&gt;0</formula>
    </cfRule>
  </conditionalFormatting>
  <conditionalFormatting sqref="I195">
    <cfRule type="notContainsBlanks" dxfId="6659" priority="6356">
      <formula>LEN(TRIM(I195))&gt;0</formula>
    </cfRule>
  </conditionalFormatting>
  <conditionalFormatting sqref="S198">
    <cfRule type="cellIs" dxfId="6658" priority="6340" operator="greaterThan">
      <formula>0</formula>
    </cfRule>
    <cfRule type="top10" dxfId="6657" priority="6341" rank="10"/>
  </conditionalFormatting>
  <conditionalFormatting sqref="S201">
    <cfRule type="cellIs" dxfId="6656" priority="6324" operator="greaterThan">
      <formula>0</formula>
    </cfRule>
    <cfRule type="top10" dxfId="6655" priority="6325" rank="10"/>
  </conditionalFormatting>
  <conditionalFormatting sqref="G201">
    <cfRule type="notContainsBlanks" dxfId="6654" priority="6323">
      <formula>LEN(TRIM(G201))&gt;0</formula>
    </cfRule>
  </conditionalFormatting>
  <conditionalFormatting sqref="F201">
    <cfRule type="notContainsBlanks" dxfId="6653" priority="6322">
      <formula>LEN(TRIM(F201))&gt;0</formula>
    </cfRule>
  </conditionalFormatting>
  <conditionalFormatting sqref="E201">
    <cfRule type="notContainsBlanks" dxfId="6652" priority="6321">
      <formula>LEN(TRIM(E201))&gt;0</formula>
    </cfRule>
  </conditionalFormatting>
  <conditionalFormatting sqref="D201">
    <cfRule type="notContainsBlanks" dxfId="6651" priority="6320">
      <formula>LEN(TRIM(D201))&gt;0</formula>
    </cfRule>
  </conditionalFormatting>
  <conditionalFormatting sqref="C201">
    <cfRule type="notContainsBlanks" dxfId="6650" priority="6319">
      <formula>LEN(TRIM(C201))&gt;0</formula>
    </cfRule>
  </conditionalFormatting>
  <conditionalFormatting sqref="I201">
    <cfRule type="notContainsBlanks" dxfId="6649" priority="6318">
      <formula>LEN(TRIM(I201))&gt;0</formula>
    </cfRule>
  </conditionalFormatting>
  <conditionalFormatting sqref="G192">
    <cfRule type="notContainsBlanks" dxfId="6648" priority="6311">
      <formula>LEN(TRIM(G192))&gt;0</formula>
    </cfRule>
  </conditionalFormatting>
  <conditionalFormatting sqref="F192">
    <cfRule type="notContainsBlanks" dxfId="6647" priority="6310">
      <formula>LEN(TRIM(F192))&gt;0</formula>
    </cfRule>
  </conditionalFormatting>
  <conditionalFormatting sqref="E192">
    <cfRule type="notContainsBlanks" dxfId="6646" priority="6309">
      <formula>LEN(TRIM(E192))&gt;0</formula>
    </cfRule>
  </conditionalFormatting>
  <conditionalFormatting sqref="D192">
    <cfRule type="notContainsBlanks" dxfId="6645" priority="6308">
      <formula>LEN(TRIM(D192))&gt;0</formula>
    </cfRule>
  </conditionalFormatting>
  <conditionalFormatting sqref="C192">
    <cfRule type="notContainsBlanks" dxfId="6644" priority="6307">
      <formula>LEN(TRIM(C192))&gt;0</formula>
    </cfRule>
  </conditionalFormatting>
  <conditionalFormatting sqref="G198">
    <cfRule type="notContainsBlanks" dxfId="6643" priority="6306">
      <formula>LEN(TRIM(G198))&gt;0</formula>
    </cfRule>
  </conditionalFormatting>
  <conditionalFormatting sqref="F198">
    <cfRule type="notContainsBlanks" dxfId="6642" priority="6305">
      <formula>LEN(TRIM(F198))&gt;0</formula>
    </cfRule>
  </conditionalFormatting>
  <conditionalFormatting sqref="E198">
    <cfRule type="notContainsBlanks" dxfId="6641" priority="6304">
      <formula>LEN(TRIM(E198))&gt;0</formula>
    </cfRule>
  </conditionalFormatting>
  <conditionalFormatting sqref="D198">
    <cfRule type="notContainsBlanks" dxfId="6640" priority="6303">
      <formula>LEN(TRIM(D198))&gt;0</formula>
    </cfRule>
  </conditionalFormatting>
  <conditionalFormatting sqref="C198">
    <cfRule type="notContainsBlanks" dxfId="6639" priority="6302">
      <formula>LEN(TRIM(C198))&gt;0</formula>
    </cfRule>
  </conditionalFormatting>
  <conditionalFormatting sqref="I192">
    <cfRule type="notContainsBlanks" dxfId="6638" priority="6301">
      <formula>LEN(TRIM(I192))&gt;0</formula>
    </cfRule>
  </conditionalFormatting>
  <conditionalFormatting sqref="I198">
    <cfRule type="notContainsBlanks" dxfId="6637" priority="6300">
      <formula>LEN(TRIM(I198))&gt;0</formula>
    </cfRule>
  </conditionalFormatting>
  <conditionalFormatting sqref="S204">
    <cfRule type="expression" dxfId="6636" priority="6298">
      <formula>$S$28&gt;0</formula>
    </cfRule>
    <cfRule type="cellIs" dxfId="6635" priority="6299" operator="equal">
      <formula>0</formula>
    </cfRule>
  </conditionalFormatting>
  <conditionalFormatting sqref="S205">
    <cfRule type="expression" dxfId="6634" priority="6296">
      <formula>$S$28&gt;0</formula>
    </cfRule>
    <cfRule type="cellIs" dxfId="6633" priority="6297" operator="equal">
      <formula>0</formula>
    </cfRule>
  </conditionalFormatting>
  <conditionalFormatting sqref="N201">
    <cfRule type="expression" dxfId="6632" priority="6257">
      <formula>N201=" "</formula>
    </cfRule>
    <cfRule type="expression" dxfId="6631" priority="6258">
      <formula>N201="NO PRESENTÓ CERTIFICADO"</formula>
    </cfRule>
    <cfRule type="expression" dxfId="6630" priority="6259">
      <formula>N201="PRESENTÓ CERTIFICADO"</formula>
    </cfRule>
  </conditionalFormatting>
  <conditionalFormatting sqref="O201">
    <cfRule type="cellIs" dxfId="6629" priority="6239" operator="equal">
      <formula>"PENDIENTE POR DESCRIPCIÓN"</formula>
    </cfRule>
    <cfRule type="cellIs" dxfId="6628" priority="6240" operator="equal">
      <formula>"DESCRIPCIÓN INSUFICIENTE"</formula>
    </cfRule>
    <cfRule type="cellIs" dxfId="6627" priority="6241" operator="equal">
      <formula>"NO ESTÁ ACORDE A ITEM 5.2.2 (T.R.)"</formula>
    </cfRule>
    <cfRule type="cellIs" dxfId="6626" priority="6242" operator="equal">
      <formula>"ACORDE A ITEM 5.2.2 (T.R.)"</formula>
    </cfRule>
    <cfRule type="cellIs" dxfId="6625" priority="6249" operator="equal">
      <formula>"PENDIENTE POR DESCRIPCIÓN"</formula>
    </cfRule>
    <cfRule type="cellIs" dxfId="6624" priority="6251" operator="equal">
      <formula>"DESCRIPCIÓN INSUFICIENTE"</formula>
    </cfRule>
    <cfRule type="cellIs" dxfId="6623" priority="6252" operator="equal">
      <formula>"NO ESTÁ ACORDE A ITEM 5.2.1 (T.R.)"</formula>
    </cfRule>
    <cfRule type="cellIs" dxfId="6622" priority="6253" operator="equal">
      <formula>"ACORDE A ITEM 5.2.1 (T.R.)"</formula>
    </cfRule>
  </conditionalFormatting>
  <conditionalFormatting sqref="Q201">
    <cfRule type="containsBlanks" dxfId="6621" priority="6244">
      <formula>LEN(TRIM(Q201))=0</formula>
    </cfRule>
    <cfRule type="cellIs" dxfId="6620" priority="6250" operator="equal">
      <formula>"REQUERIMIENTOS SUBSANADOS"</formula>
    </cfRule>
    <cfRule type="containsText" dxfId="6619" priority="6254" operator="containsText" text="NO SUBSANABLE">
      <formula>NOT(ISERROR(SEARCH("NO SUBSANABLE",Q201)))</formula>
    </cfRule>
    <cfRule type="containsText" dxfId="6618" priority="6255" operator="containsText" text="PENDIENTES POR SUBSANAR">
      <formula>NOT(ISERROR(SEARCH("PENDIENTES POR SUBSANAR",Q201)))</formula>
    </cfRule>
    <cfRule type="containsText" dxfId="6617" priority="6256" operator="containsText" text="SIN OBSERVACIÓN">
      <formula>NOT(ISERROR(SEARCH("SIN OBSERVACIÓN",Q201)))</formula>
    </cfRule>
  </conditionalFormatting>
  <conditionalFormatting sqref="R201">
    <cfRule type="containsBlanks" dxfId="6616" priority="6243">
      <formula>LEN(TRIM(R201))=0</formula>
    </cfRule>
    <cfRule type="cellIs" dxfId="6615" priority="6245" operator="equal">
      <formula>"NO CUMPLEN CON LO SOLICITADO"</formula>
    </cfRule>
    <cfRule type="cellIs" dxfId="6614" priority="6246" operator="equal">
      <formula>"CUMPLEN CON LO SOLICITADO"</formula>
    </cfRule>
    <cfRule type="cellIs" dxfId="6613" priority="6247" operator="equal">
      <formula>"PENDIENTES"</formula>
    </cfRule>
    <cfRule type="cellIs" dxfId="6612" priority="6248" operator="equal">
      <formula>"NINGUNO"</formula>
    </cfRule>
  </conditionalFormatting>
  <conditionalFormatting sqref="P192 P195 P198 P201">
    <cfRule type="expression" dxfId="6611" priority="6234">
      <formula>Q192="NO SUBSANABLE"</formula>
    </cfRule>
    <cfRule type="expression" dxfId="6610" priority="6235">
      <formula>Q192="REQUERIMIENTOS SUBSANADOS"</formula>
    </cfRule>
    <cfRule type="expression" dxfId="6609" priority="6236">
      <formula>Q192="PENDIENTES POR SUBSANAR"</formula>
    </cfRule>
    <cfRule type="expression" dxfId="6608" priority="6237">
      <formula>Q192="SIN OBSERVACIÓN"</formula>
    </cfRule>
    <cfRule type="containsBlanks" dxfId="6607" priority="6238">
      <formula>LEN(TRIM(P192))=0</formula>
    </cfRule>
  </conditionalFormatting>
  <conditionalFormatting sqref="N192">
    <cfRule type="expression" dxfId="6606" priority="4573">
      <formula>N192=" "</formula>
    </cfRule>
    <cfRule type="expression" dxfId="6605" priority="4574">
      <formula>N192="NO PRESENTÓ CERTIFICADO"</formula>
    </cfRule>
    <cfRule type="expression" dxfId="6604" priority="4575">
      <formula>N192="PRESENTÓ CERTIFICADO"</formula>
    </cfRule>
  </conditionalFormatting>
  <conditionalFormatting sqref="N195">
    <cfRule type="expression" dxfId="6603" priority="4570">
      <formula>N195=" "</formula>
    </cfRule>
    <cfRule type="expression" dxfId="6602" priority="4571">
      <formula>N195="NO PRESENTÓ CERTIFICADO"</formula>
    </cfRule>
    <cfRule type="expression" dxfId="6601" priority="4572">
      <formula>N195="PRESENTÓ CERTIFICADO"</formula>
    </cfRule>
  </conditionalFormatting>
  <conditionalFormatting sqref="N198">
    <cfRule type="expression" dxfId="6600" priority="4567">
      <formula>N198=" "</formula>
    </cfRule>
    <cfRule type="expression" dxfId="6599" priority="4568">
      <formula>N198="NO PRESENTÓ CERTIFICADO"</formula>
    </cfRule>
    <cfRule type="expression" dxfId="6598" priority="4569">
      <formula>N198="PRESENTÓ CERTIFICADO"</formula>
    </cfRule>
  </conditionalFormatting>
  <conditionalFormatting sqref="O192">
    <cfRule type="cellIs" dxfId="6597" priority="4559" operator="equal">
      <formula>"PENDIENTE POR DESCRIPCIÓN"</formula>
    </cfRule>
    <cfRule type="cellIs" dxfId="6596" priority="4560" operator="equal">
      <formula>"DESCRIPCIÓN INSUFICIENTE"</formula>
    </cfRule>
    <cfRule type="cellIs" dxfId="6595" priority="4561" operator="equal">
      <formula>"NO ESTÁ ACORDE A ITEM 5.2.2 (T.R.)"</formula>
    </cfRule>
    <cfRule type="cellIs" dxfId="6594" priority="4562" operator="equal">
      <formula>"ACORDE A ITEM 5.2.2 (T.R.)"</formula>
    </cfRule>
    <cfRule type="cellIs" dxfId="6593" priority="4563" operator="equal">
      <formula>"PENDIENTE POR DESCRIPCIÓN"</formula>
    </cfRule>
    <cfRule type="cellIs" dxfId="6592" priority="4564" operator="equal">
      <formula>"DESCRIPCIÓN INSUFICIENTE"</formula>
    </cfRule>
    <cfRule type="cellIs" dxfId="6591" priority="4565" operator="equal">
      <formula>"NO ESTÁ ACORDE A ITEM 5.2.1 (T.R.)"</formula>
    </cfRule>
    <cfRule type="cellIs" dxfId="6590" priority="4566" operator="equal">
      <formula>"ACORDE A ITEM 5.2.1 (T.R.)"</formula>
    </cfRule>
  </conditionalFormatting>
  <conditionalFormatting sqref="O195">
    <cfRule type="cellIs" dxfId="6589" priority="4551" operator="equal">
      <formula>"PENDIENTE POR DESCRIPCIÓN"</formula>
    </cfRule>
    <cfRule type="cellIs" dxfId="6588" priority="4552" operator="equal">
      <formula>"DESCRIPCIÓN INSUFICIENTE"</formula>
    </cfRule>
    <cfRule type="cellIs" dxfId="6587" priority="4553" operator="equal">
      <formula>"NO ESTÁ ACORDE A ITEM 5.2.2 (T.R.)"</formula>
    </cfRule>
    <cfRule type="cellIs" dxfId="6586" priority="4554" operator="equal">
      <formula>"ACORDE A ITEM 5.2.2 (T.R.)"</formula>
    </cfRule>
    <cfRule type="cellIs" dxfId="6585" priority="4555" operator="equal">
      <formula>"PENDIENTE POR DESCRIPCIÓN"</formula>
    </cfRule>
    <cfRule type="cellIs" dxfId="6584" priority="4556" operator="equal">
      <formula>"DESCRIPCIÓN INSUFICIENTE"</formula>
    </cfRule>
    <cfRule type="cellIs" dxfId="6583" priority="4557" operator="equal">
      <formula>"NO ESTÁ ACORDE A ITEM 5.2.1 (T.R.)"</formula>
    </cfRule>
    <cfRule type="cellIs" dxfId="6582" priority="4558" operator="equal">
      <formula>"ACORDE A ITEM 5.2.1 (T.R.)"</formula>
    </cfRule>
  </conditionalFormatting>
  <conditionalFormatting sqref="O198">
    <cfRule type="cellIs" dxfId="6581" priority="4543" operator="equal">
      <formula>"PENDIENTE POR DESCRIPCIÓN"</formula>
    </cfRule>
    <cfRule type="cellIs" dxfId="6580" priority="4544" operator="equal">
      <formula>"DESCRIPCIÓN INSUFICIENTE"</formula>
    </cfRule>
    <cfRule type="cellIs" dxfId="6579" priority="4545" operator="equal">
      <formula>"NO ESTÁ ACORDE A ITEM 5.2.2 (T.R.)"</formula>
    </cfRule>
    <cfRule type="cellIs" dxfId="6578" priority="4546" operator="equal">
      <formula>"ACORDE A ITEM 5.2.2 (T.R.)"</formula>
    </cfRule>
    <cfRule type="cellIs" dxfId="6577" priority="4547" operator="equal">
      <formula>"PENDIENTE POR DESCRIPCIÓN"</formula>
    </cfRule>
    <cfRule type="cellIs" dxfId="6576" priority="4548" operator="equal">
      <formula>"DESCRIPCIÓN INSUFICIENTE"</formula>
    </cfRule>
    <cfRule type="cellIs" dxfId="6575" priority="4549" operator="equal">
      <formula>"NO ESTÁ ACORDE A ITEM 5.2.1 (T.R.)"</formula>
    </cfRule>
    <cfRule type="cellIs" dxfId="6574" priority="4550" operator="equal">
      <formula>"ACORDE A ITEM 5.2.1 (T.R.)"</formula>
    </cfRule>
  </conditionalFormatting>
  <conditionalFormatting sqref="Q192">
    <cfRule type="containsBlanks" dxfId="6573" priority="4534">
      <formula>LEN(TRIM(Q192))=0</formula>
    </cfRule>
    <cfRule type="cellIs" dxfId="6572" priority="4539" operator="equal">
      <formula>"REQUERIMIENTOS SUBSANADOS"</formula>
    </cfRule>
    <cfRule type="containsText" dxfId="6571" priority="4540" operator="containsText" text="NO SUBSANABLE">
      <formula>NOT(ISERROR(SEARCH("NO SUBSANABLE",Q192)))</formula>
    </cfRule>
    <cfRule type="containsText" dxfId="6570" priority="4541" operator="containsText" text="PENDIENTES POR SUBSANAR">
      <formula>NOT(ISERROR(SEARCH("PENDIENTES POR SUBSANAR",Q192)))</formula>
    </cfRule>
    <cfRule type="containsText" dxfId="6569" priority="4542" operator="containsText" text="SIN OBSERVACIÓN">
      <formula>NOT(ISERROR(SEARCH("SIN OBSERVACIÓN",Q192)))</formula>
    </cfRule>
  </conditionalFormatting>
  <conditionalFormatting sqref="R192">
    <cfRule type="containsBlanks" dxfId="6568" priority="4533">
      <formula>LEN(TRIM(R192))=0</formula>
    </cfRule>
    <cfRule type="cellIs" dxfId="6567" priority="4535" operator="equal">
      <formula>"NO CUMPLEN CON LO SOLICITADO"</formula>
    </cfRule>
    <cfRule type="cellIs" dxfId="6566" priority="4536" operator="equal">
      <formula>"CUMPLEN CON LO SOLICITADO"</formula>
    </cfRule>
    <cfRule type="cellIs" dxfId="6565" priority="4537" operator="equal">
      <formula>"PENDIENTES"</formula>
    </cfRule>
    <cfRule type="cellIs" dxfId="6564" priority="4538" operator="equal">
      <formula>"NINGUNO"</formula>
    </cfRule>
  </conditionalFormatting>
  <conditionalFormatting sqref="Q195">
    <cfRule type="containsBlanks" dxfId="6563" priority="4524">
      <formula>LEN(TRIM(Q195))=0</formula>
    </cfRule>
    <cfRule type="cellIs" dxfId="6562" priority="4529" operator="equal">
      <formula>"REQUERIMIENTOS SUBSANADOS"</formula>
    </cfRule>
    <cfRule type="containsText" dxfId="6561" priority="4530" operator="containsText" text="NO SUBSANABLE">
      <formula>NOT(ISERROR(SEARCH("NO SUBSANABLE",Q195)))</formula>
    </cfRule>
    <cfRule type="containsText" dxfId="6560" priority="4531" operator="containsText" text="PENDIENTES POR SUBSANAR">
      <formula>NOT(ISERROR(SEARCH("PENDIENTES POR SUBSANAR",Q195)))</formula>
    </cfRule>
    <cfRule type="containsText" dxfId="6559" priority="4532" operator="containsText" text="SIN OBSERVACIÓN">
      <formula>NOT(ISERROR(SEARCH("SIN OBSERVACIÓN",Q195)))</formula>
    </cfRule>
  </conditionalFormatting>
  <conditionalFormatting sqref="R195">
    <cfRule type="containsBlanks" dxfId="6558" priority="4523">
      <formula>LEN(TRIM(R195))=0</formula>
    </cfRule>
    <cfRule type="cellIs" dxfId="6557" priority="4525" operator="equal">
      <formula>"NO CUMPLEN CON LO SOLICITADO"</formula>
    </cfRule>
    <cfRule type="cellIs" dxfId="6556" priority="4526" operator="equal">
      <formula>"CUMPLEN CON LO SOLICITADO"</formula>
    </cfRule>
    <cfRule type="cellIs" dxfId="6555" priority="4527" operator="equal">
      <formula>"PENDIENTES"</formula>
    </cfRule>
    <cfRule type="cellIs" dxfId="6554" priority="4528" operator="equal">
      <formula>"NINGUNO"</formula>
    </cfRule>
  </conditionalFormatting>
  <conditionalFormatting sqref="Q198">
    <cfRule type="containsBlanks" dxfId="6553" priority="4514">
      <formula>LEN(TRIM(Q198))=0</formula>
    </cfRule>
    <cfRule type="cellIs" dxfId="6552" priority="4519" operator="equal">
      <formula>"REQUERIMIENTOS SUBSANADOS"</formula>
    </cfRule>
    <cfRule type="containsText" dxfId="6551" priority="4520" operator="containsText" text="NO SUBSANABLE">
      <formula>NOT(ISERROR(SEARCH("NO SUBSANABLE",Q198)))</formula>
    </cfRule>
    <cfRule type="containsText" dxfId="6550" priority="4521" operator="containsText" text="PENDIENTES POR SUBSANAR">
      <formula>NOT(ISERROR(SEARCH("PENDIENTES POR SUBSANAR",Q198)))</formula>
    </cfRule>
    <cfRule type="containsText" dxfId="6549" priority="4522" operator="containsText" text="SIN OBSERVACIÓN">
      <formula>NOT(ISERROR(SEARCH("SIN OBSERVACIÓN",Q198)))</formula>
    </cfRule>
  </conditionalFormatting>
  <conditionalFormatting sqref="R198">
    <cfRule type="containsBlanks" dxfId="6548" priority="4513">
      <formula>LEN(TRIM(R198))=0</formula>
    </cfRule>
    <cfRule type="cellIs" dxfId="6547" priority="4515" operator="equal">
      <formula>"NO CUMPLEN CON LO SOLICITADO"</formula>
    </cfRule>
    <cfRule type="cellIs" dxfId="6546" priority="4516" operator="equal">
      <formula>"CUMPLEN CON LO SOLICITADO"</formula>
    </cfRule>
    <cfRule type="cellIs" dxfId="6545" priority="4517" operator="equal">
      <formula>"PENDIENTES"</formula>
    </cfRule>
    <cfRule type="cellIs" dxfId="6544" priority="4518" operator="equal">
      <formula>"NINGUNO"</formula>
    </cfRule>
  </conditionalFormatting>
  <conditionalFormatting sqref="M198">
    <cfRule type="expression" dxfId="6543" priority="3681">
      <formula>L198="NO CUMPLE"</formula>
    </cfRule>
    <cfRule type="expression" dxfId="6542" priority="3682">
      <formula>L198="CUMPLE"</formula>
    </cfRule>
  </conditionalFormatting>
  <conditionalFormatting sqref="L198:L199">
    <cfRule type="cellIs" dxfId="6541" priority="3679" operator="equal">
      <formula>"NO CUMPLE"</formula>
    </cfRule>
    <cfRule type="cellIs" dxfId="6540" priority="3680" operator="equal">
      <formula>"CUMPLE"</formula>
    </cfRule>
  </conditionalFormatting>
  <conditionalFormatting sqref="M199">
    <cfRule type="expression" dxfId="6539" priority="3677">
      <formula>L199="NO CUMPLE"</formula>
    </cfRule>
    <cfRule type="expression" dxfId="6538" priority="3678">
      <formula>L199="CUMPLE"</formula>
    </cfRule>
  </conditionalFormatting>
  <conditionalFormatting sqref="M127">
    <cfRule type="expression" dxfId="6537" priority="3779">
      <formula>L127="NO CUMPLE"</formula>
    </cfRule>
    <cfRule type="expression" dxfId="6536" priority="3780">
      <formula>L127="CUMPLE"</formula>
    </cfRule>
  </conditionalFormatting>
  <conditionalFormatting sqref="L148:L149">
    <cfRule type="cellIs" dxfId="6535" priority="3751" operator="equal">
      <formula>"NO CUMPLE"</formula>
    </cfRule>
    <cfRule type="cellIs" dxfId="6534" priority="3752" operator="equal">
      <formula>"CUMPLE"</formula>
    </cfRule>
  </conditionalFormatting>
  <conditionalFormatting sqref="M149">
    <cfRule type="expression" dxfId="6533" priority="3749">
      <formula>L149="NO CUMPLE"</formula>
    </cfRule>
    <cfRule type="expression" dxfId="6532" priority="3750">
      <formula>L149="CUMPLE"</formula>
    </cfRule>
  </conditionalFormatting>
  <conditionalFormatting sqref="L151:L152">
    <cfRule type="cellIs" dxfId="6531" priority="3745" operator="equal">
      <formula>"NO CUMPLE"</formula>
    </cfRule>
    <cfRule type="cellIs" dxfId="6530" priority="3746" operator="equal">
      <formula>"CUMPLE"</formula>
    </cfRule>
  </conditionalFormatting>
  <conditionalFormatting sqref="M152">
    <cfRule type="expression" dxfId="6529" priority="3743">
      <formula>L152="NO CUMPLE"</formula>
    </cfRule>
    <cfRule type="expression" dxfId="6528" priority="3744">
      <formula>L152="CUMPLE"</formula>
    </cfRule>
  </conditionalFormatting>
  <conditionalFormatting sqref="M133">
    <cfRule type="expression" dxfId="6527" priority="3767">
      <formula>L133="NO CUMPLE"</formula>
    </cfRule>
    <cfRule type="expression" dxfId="6526" priority="3768">
      <formula>L133="CUMPLE"</formula>
    </cfRule>
  </conditionalFormatting>
  <conditionalFormatting sqref="L154:L155">
    <cfRule type="cellIs" dxfId="6525" priority="3739" operator="equal">
      <formula>"NO CUMPLE"</formula>
    </cfRule>
    <cfRule type="cellIs" dxfId="6524" priority="3740" operator="equal">
      <formula>"CUMPLE"</formula>
    </cfRule>
  </conditionalFormatting>
  <conditionalFormatting sqref="L135:L136">
    <cfRule type="cellIs" dxfId="6523" priority="3763" operator="equal">
      <formula>"NO CUMPLE"</formula>
    </cfRule>
    <cfRule type="cellIs" dxfId="6522" priority="3764" operator="equal">
      <formula>"CUMPLE"</formula>
    </cfRule>
  </conditionalFormatting>
  <conditionalFormatting sqref="M136">
    <cfRule type="expression" dxfId="6521" priority="3761">
      <formula>L136="NO CUMPLE"</formula>
    </cfRule>
    <cfRule type="expression" dxfId="6520" priority="3762">
      <formula>L136="CUMPLE"</formula>
    </cfRule>
  </conditionalFormatting>
  <conditionalFormatting sqref="M145">
    <cfRule type="expression" dxfId="6519" priority="3759">
      <formula>L145="NO CUMPLE"</formula>
    </cfRule>
    <cfRule type="expression" dxfId="6518" priority="3760">
      <formula>L145="CUMPLE"</formula>
    </cfRule>
  </conditionalFormatting>
  <conditionalFormatting sqref="M126">
    <cfRule type="expression" dxfId="6517" priority="3783">
      <formula>L126="NO CUMPLE"</formula>
    </cfRule>
    <cfRule type="expression" dxfId="6516" priority="3784">
      <formula>L126="CUMPLE"</formula>
    </cfRule>
  </conditionalFormatting>
  <conditionalFormatting sqref="L126:L127">
    <cfRule type="cellIs" dxfId="6515" priority="3781" operator="equal">
      <formula>"NO CUMPLE"</formula>
    </cfRule>
    <cfRule type="cellIs" dxfId="6514" priority="3782" operator="equal">
      <formula>"CUMPLE"</formula>
    </cfRule>
  </conditionalFormatting>
  <conditionalFormatting sqref="M148">
    <cfRule type="expression" dxfId="6513" priority="3753">
      <formula>L148="NO CUMPLE"</formula>
    </cfRule>
    <cfRule type="expression" dxfId="6512" priority="3754">
      <formula>L148="CUMPLE"</formula>
    </cfRule>
  </conditionalFormatting>
  <conditionalFormatting sqref="L129:L130">
    <cfRule type="cellIs" dxfId="6511" priority="3775" operator="equal">
      <formula>"NO CUMPLE"</formula>
    </cfRule>
    <cfRule type="cellIs" dxfId="6510" priority="3776" operator="equal">
      <formula>"CUMPLE"</formula>
    </cfRule>
  </conditionalFormatting>
  <conditionalFormatting sqref="M130">
    <cfRule type="expression" dxfId="6509" priority="3773">
      <formula>L130="NO CUMPLE"</formula>
    </cfRule>
    <cfRule type="expression" dxfId="6508" priority="3774">
      <formula>L130="CUMPLE"</formula>
    </cfRule>
  </conditionalFormatting>
  <conditionalFormatting sqref="M132">
    <cfRule type="expression" dxfId="6507" priority="3771">
      <formula>L132="NO CUMPLE"</formula>
    </cfRule>
    <cfRule type="expression" dxfId="6506" priority="3772">
      <formula>L132="CUMPLE"</formula>
    </cfRule>
  </conditionalFormatting>
  <conditionalFormatting sqref="L132:L133">
    <cfRule type="cellIs" dxfId="6505" priority="3769" operator="equal">
      <formula>"NO CUMPLE"</formula>
    </cfRule>
    <cfRule type="cellIs" dxfId="6504" priority="3770" operator="equal">
      <formula>"CUMPLE"</formula>
    </cfRule>
  </conditionalFormatting>
  <conditionalFormatting sqref="M135">
    <cfRule type="expression" dxfId="6503" priority="3765">
      <formula>L135="NO CUMPLE"</formula>
    </cfRule>
    <cfRule type="expression" dxfId="6502" priority="3766">
      <formula>L135="CUMPLE"</formula>
    </cfRule>
  </conditionalFormatting>
  <conditionalFormatting sqref="M155">
    <cfRule type="expression" dxfId="6501" priority="3737">
      <formula>L155="NO CUMPLE"</formula>
    </cfRule>
    <cfRule type="expression" dxfId="6500" priority="3738">
      <formula>L155="CUMPLE"</formula>
    </cfRule>
  </conditionalFormatting>
  <conditionalFormatting sqref="M129">
    <cfRule type="expression" dxfId="6499" priority="3777">
      <formula>L129="NO CUMPLE"</formula>
    </cfRule>
    <cfRule type="expression" dxfId="6498" priority="3778">
      <formula>L129="CUMPLE"</formula>
    </cfRule>
  </conditionalFormatting>
  <conditionalFormatting sqref="M154">
    <cfRule type="expression" dxfId="6497" priority="3741">
      <formula>L154="NO CUMPLE"</formula>
    </cfRule>
    <cfRule type="expression" dxfId="6496" priority="3742">
      <formula>L154="CUMPLE"</formula>
    </cfRule>
  </conditionalFormatting>
  <conditionalFormatting sqref="M114">
    <cfRule type="expression" dxfId="6495" priority="3791">
      <formula>L114="NO CUMPLE"</formula>
    </cfRule>
    <cfRule type="expression" dxfId="6494" priority="3792">
      <formula>L114="CUMPLE"</formula>
    </cfRule>
  </conditionalFormatting>
  <conditionalFormatting sqref="L145:L146">
    <cfRule type="cellIs" dxfId="6493" priority="3757" operator="equal">
      <formula>"NO CUMPLE"</formula>
    </cfRule>
    <cfRule type="cellIs" dxfId="6492" priority="3758" operator="equal">
      <formula>"CUMPLE"</formula>
    </cfRule>
  </conditionalFormatting>
  <conditionalFormatting sqref="M146">
    <cfRule type="expression" dxfId="6491" priority="3755">
      <formula>L146="NO CUMPLE"</formula>
    </cfRule>
    <cfRule type="expression" dxfId="6490" priority="3756">
      <formula>L146="CUMPLE"</formula>
    </cfRule>
  </conditionalFormatting>
  <conditionalFormatting sqref="M151">
    <cfRule type="expression" dxfId="6489" priority="3747">
      <formula>L151="NO CUMPLE"</formula>
    </cfRule>
    <cfRule type="expression" dxfId="6488" priority="3748">
      <formula>L151="CUMPLE"</formula>
    </cfRule>
  </conditionalFormatting>
  <conditionalFormatting sqref="M113">
    <cfRule type="expression" dxfId="6487" priority="3795">
      <formula>L113="NO CUMPLE"</formula>
    </cfRule>
    <cfRule type="expression" dxfId="6486" priority="3796">
      <formula>L113="CUMPLE"</formula>
    </cfRule>
  </conditionalFormatting>
  <conditionalFormatting sqref="L113:L114">
    <cfRule type="cellIs" dxfId="6485" priority="3793" operator="equal">
      <formula>"NO CUMPLE"</formula>
    </cfRule>
    <cfRule type="cellIs" dxfId="6484" priority="3794" operator="equal">
      <formula>"CUMPLE"</formula>
    </cfRule>
  </conditionalFormatting>
  <conditionalFormatting sqref="L123:L124">
    <cfRule type="cellIs" dxfId="6483" priority="3787" operator="equal">
      <formula>"NO CUMPLE"</formula>
    </cfRule>
    <cfRule type="cellIs" dxfId="6482" priority="3788" operator="equal">
      <formula>"CUMPLE"</formula>
    </cfRule>
  </conditionalFormatting>
  <conditionalFormatting sqref="M124">
    <cfRule type="expression" dxfId="6481" priority="3785">
      <formula>L124="NO CUMPLE"</formula>
    </cfRule>
    <cfRule type="expression" dxfId="6480" priority="3786">
      <formula>L124="CUMPLE"</formula>
    </cfRule>
  </conditionalFormatting>
  <conditionalFormatting sqref="J41:J46">
    <cfRule type="cellIs" dxfId="6479" priority="4109" operator="equal">
      <formula>"NO CUMPLE"</formula>
    </cfRule>
    <cfRule type="cellIs" dxfId="6478" priority="4110" operator="equal">
      <formula>"CUMPLE"</formula>
    </cfRule>
  </conditionalFormatting>
  <conditionalFormatting sqref="K38">
    <cfRule type="expression" dxfId="6477" priority="4105">
      <formula>J38="NO CUMPLE"</formula>
    </cfRule>
    <cfRule type="expression" dxfId="6476" priority="4106">
      <formula>J38="CUMPLE"</formula>
    </cfRule>
  </conditionalFormatting>
  <conditionalFormatting sqref="K39:K40">
    <cfRule type="expression" dxfId="6475" priority="4103">
      <formula>J39="NO CUMPLE"</formula>
    </cfRule>
    <cfRule type="expression" dxfId="6474" priority="4104">
      <formula>J39="CUMPLE"</formula>
    </cfRule>
  </conditionalFormatting>
  <conditionalFormatting sqref="J47">
    <cfRule type="cellIs" dxfId="6473" priority="4101" operator="equal">
      <formula>"NO CUMPLE"</formula>
    </cfRule>
    <cfRule type="cellIs" dxfId="6472" priority="4102" operator="equal">
      <formula>"CUMPLE"</formula>
    </cfRule>
  </conditionalFormatting>
  <conditionalFormatting sqref="J48:J49">
    <cfRule type="cellIs" dxfId="6471" priority="4099" operator="equal">
      <formula>"NO CUMPLE"</formula>
    </cfRule>
    <cfRule type="cellIs" dxfId="6470" priority="4100" operator="equal">
      <formula>"CUMPLE"</formula>
    </cfRule>
  </conditionalFormatting>
  <conditionalFormatting sqref="K41">
    <cfRule type="expression" dxfId="6469" priority="4097">
      <formula>J41="NO CUMPLE"</formula>
    </cfRule>
    <cfRule type="expression" dxfId="6468" priority="4098">
      <formula>J41="CUMPLE"</formula>
    </cfRule>
  </conditionalFormatting>
  <conditionalFormatting sqref="K42:K43">
    <cfRule type="expression" dxfId="6467" priority="4095">
      <formula>J42="NO CUMPLE"</formula>
    </cfRule>
    <cfRule type="expression" dxfId="6466" priority="4096">
      <formula>J42="CUMPLE"</formula>
    </cfRule>
  </conditionalFormatting>
  <conditionalFormatting sqref="K44">
    <cfRule type="expression" dxfId="6465" priority="4093">
      <formula>J44="NO CUMPLE"</formula>
    </cfRule>
    <cfRule type="expression" dxfId="6464" priority="4094">
      <formula>J44="CUMPLE"</formula>
    </cfRule>
  </conditionalFormatting>
  <conditionalFormatting sqref="K45:K46">
    <cfRule type="expression" dxfId="6463" priority="4091">
      <formula>J45="NO CUMPLE"</formula>
    </cfRule>
    <cfRule type="expression" dxfId="6462" priority="4092">
      <formula>J45="CUMPLE"</formula>
    </cfRule>
  </conditionalFormatting>
  <conditionalFormatting sqref="K47">
    <cfRule type="expression" dxfId="6461" priority="4089">
      <formula>J47="NO CUMPLE"</formula>
    </cfRule>
    <cfRule type="expression" dxfId="6460" priority="4090">
      <formula>J47="CUMPLE"</formula>
    </cfRule>
  </conditionalFormatting>
  <conditionalFormatting sqref="K48:K49">
    <cfRule type="expression" dxfId="6459" priority="4087">
      <formula>J48="NO CUMPLE"</formula>
    </cfRule>
    <cfRule type="expression" dxfId="6458" priority="4088">
      <formula>J48="CUMPLE"</formula>
    </cfRule>
  </conditionalFormatting>
  <conditionalFormatting sqref="K60">
    <cfRule type="expression" dxfId="6457" priority="4079">
      <formula>J60="NO CUMPLE"</formula>
    </cfRule>
    <cfRule type="expression" dxfId="6456" priority="4080">
      <formula>J60="CUMPLE"</formula>
    </cfRule>
  </conditionalFormatting>
  <conditionalFormatting sqref="K61:K62">
    <cfRule type="expression" dxfId="6455" priority="4077">
      <formula>J61="NO CUMPLE"</formula>
    </cfRule>
    <cfRule type="expression" dxfId="6454" priority="4078">
      <formula>J61="CUMPLE"</formula>
    </cfRule>
  </conditionalFormatting>
  <conditionalFormatting sqref="K63">
    <cfRule type="expression" dxfId="6453" priority="4071">
      <formula>J63="NO CUMPLE"</formula>
    </cfRule>
    <cfRule type="expression" dxfId="6452" priority="4072">
      <formula>J63="CUMPLE"</formula>
    </cfRule>
  </conditionalFormatting>
  <conditionalFormatting sqref="K64:K65">
    <cfRule type="expression" dxfId="6451" priority="4069">
      <formula>J64="NO CUMPLE"</formula>
    </cfRule>
    <cfRule type="expression" dxfId="6450" priority="4070">
      <formula>J64="CUMPLE"</formula>
    </cfRule>
  </conditionalFormatting>
  <conditionalFormatting sqref="K66">
    <cfRule type="expression" dxfId="6449" priority="4067">
      <formula>J66="NO CUMPLE"</formula>
    </cfRule>
    <cfRule type="expression" dxfId="6448" priority="4068">
      <formula>J66="CUMPLE"</formula>
    </cfRule>
  </conditionalFormatting>
  <conditionalFormatting sqref="K67:K68">
    <cfRule type="expression" dxfId="6447" priority="4065">
      <formula>J67="NO CUMPLE"</formula>
    </cfRule>
    <cfRule type="expression" dxfId="6446" priority="4066">
      <formula>J67="CUMPLE"</formula>
    </cfRule>
  </conditionalFormatting>
  <conditionalFormatting sqref="K69">
    <cfRule type="expression" dxfId="6445" priority="4063">
      <formula>J69="NO CUMPLE"</formula>
    </cfRule>
    <cfRule type="expression" dxfId="6444" priority="4064">
      <formula>J69="CUMPLE"</formula>
    </cfRule>
  </conditionalFormatting>
  <conditionalFormatting sqref="K70:K71">
    <cfRule type="expression" dxfId="6443" priority="4061">
      <formula>J70="NO CUMPLE"</formula>
    </cfRule>
    <cfRule type="expression" dxfId="6442" priority="4062">
      <formula>J70="CUMPLE"</formula>
    </cfRule>
  </conditionalFormatting>
  <conditionalFormatting sqref="K82">
    <cfRule type="expression" dxfId="6441" priority="4053">
      <formula>J82="NO CUMPLE"</formula>
    </cfRule>
    <cfRule type="expression" dxfId="6440" priority="4054">
      <formula>J82="CUMPLE"</formula>
    </cfRule>
  </conditionalFormatting>
  <conditionalFormatting sqref="K83:K84">
    <cfRule type="expression" dxfId="6439" priority="4051">
      <formula>J83="NO CUMPLE"</formula>
    </cfRule>
    <cfRule type="expression" dxfId="6438" priority="4052">
      <formula>J83="CUMPLE"</formula>
    </cfRule>
  </conditionalFormatting>
  <conditionalFormatting sqref="K85">
    <cfRule type="expression" dxfId="6437" priority="4045">
      <formula>J85="NO CUMPLE"</formula>
    </cfRule>
    <cfRule type="expression" dxfId="6436" priority="4046">
      <formula>J85="CUMPLE"</formula>
    </cfRule>
  </conditionalFormatting>
  <conditionalFormatting sqref="K86:K87">
    <cfRule type="expression" dxfId="6435" priority="4043">
      <formula>J86="NO CUMPLE"</formula>
    </cfRule>
    <cfRule type="expression" dxfId="6434" priority="4044">
      <formula>J86="CUMPLE"</formula>
    </cfRule>
  </conditionalFormatting>
  <conditionalFormatting sqref="K88">
    <cfRule type="expression" dxfId="6433" priority="4041">
      <formula>J88="NO CUMPLE"</formula>
    </cfRule>
    <cfRule type="expression" dxfId="6432" priority="4042">
      <formula>J88="CUMPLE"</formula>
    </cfRule>
  </conditionalFormatting>
  <conditionalFormatting sqref="K89:K90">
    <cfRule type="expression" dxfId="6431" priority="4039">
      <formula>J89="NO CUMPLE"</formula>
    </cfRule>
    <cfRule type="expression" dxfId="6430" priority="4040">
      <formula>J89="CUMPLE"</formula>
    </cfRule>
  </conditionalFormatting>
  <conditionalFormatting sqref="K91">
    <cfRule type="expression" dxfId="6429" priority="4037">
      <formula>J91="NO CUMPLE"</formula>
    </cfRule>
    <cfRule type="expression" dxfId="6428" priority="4038">
      <formula>J91="CUMPLE"</formula>
    </cfRule>
  </conditionalFormatting>
  <conditionalFormatting sqref="K92:K93">
    <cfRule type="expression" dxfId="6427" priority="4035">
      <formula>J92="NO CUMPLE"</formula>
    </cfRule>
    <cfRule type="expression" dxfId="6426" priority="4036">
      <formula>J92="CUMPLE"</formula>
    </cfRule>
  </conditionalFormatting>
  <conditionalFormatting sqref="J101:J112">
    <cfRule type="cellIs" dxfId="6425" priority="4031" operator="equal">
      <formula>"NO CUMPLE"</formula>
    </cfRule>
    <cfRule type="cellIs" dxfId="6424" priority="4032" operator="equal">
      <formula>"CUMPLE"</formula>
    </cfRule>
  </conditionalFormatting>
  <conditionalFormatting sqref="K104">
    <cfRule type="expression" dxfId="6423" priority="4027">
      <formula>J104="NO CUMPLE"</formula>
    </cfRule>
    <cfRule type="expression" dxfId="6422" priority="4028">
      <formula>J104="CUMPLE"</formula>
    </cfRule>
  </conditionalFormatting>
  <conditionalFormatting sqref="K105:K106">
    <cfRule type="expression" dxfId="6421" priority="4025">
      <formula>J105="NO CUMPLE"</formula>
    </cfRule>
    <cfRule type="expression" dxfId="6420" priority="4026">
      <formula>J105="CUMPLE"</formula>
    </cfRule>
  </conditionalFormatting>
  <conditionalFormatting sqref="K107">
    <cfRule type="expression" dxfId="6419" priority="4019">
      <formula>J107="NO CUMPLE"</formula>
    </cfRule>
    <cfRule type="expression" dxfId="6418" priority="4020">
      <formula>J107="CUMPLE"</formula>
    </cfRule>
  </conditionalFormatting>
  <conditionalFormatting sqref="K108:K109">
    <cfRule type="expression" dxfId="6417" priority="4017">
      <formula>J108="NO CUMPLE"</formula>
    </cfRule>
    <cfRule type="expression" dxfId="6416" priority="4018">
      <formula>J108="CUMPLE"</formula>
    </cfRule>
  </conditionalFormatting>
  <conditionalFormatting sqref="K110">
    <cfRule type="expression" dxfId="6415" priority="4015">
      <formula>J110="NO CUMPLE"</formula>
    </cfRule>
    <cfRule type="expression" dxfId="6414" priority="4016">
      <formula>J110="CUMPLE"</formula>
    </cfRule>
  </conditionalFormatting>
  <conditionalFormatting sqref="K111:K112">
    <cfRule type="expression" dxfId="6413" priority="4013">
      <formula>J111="NO CUMPLE"</formula>
    </cfRule>
    <cfRule type="expression" dxfId="6412" priority="4014">
      <formula>J111="CUMPLE"</formula>
    </cfRule>
  </conditionalFormatting>
  <conditionalFormatting sqref="K113">
    <cfRule type="expression" dxfId="6411" priority="4011">
      <formula>J113="NO CUMPLE"</formula>
    </cfRule>
    <cfRule type="expression" dxfId="6410" priority="4012">
      <formula>J113="CUMPLE"</formula>
    </cfRule>
  </conditionalFormatting>
  <conditionalFormatting sqref="K114:K115">
    <cfRule type="expression" dxfId="6409" priority="4009">
      <formula>J114="NO CUMPLE"</formula>
    </cfRule>
    <cfRule type="expression" dxfId="6408" priority="4010">
      <formula>J114="CUMPLE"</formula>
    </cfRule>
  </conditionalFormatting>
  <conditionalFormatting sqref="J123:J134">
    <cfRule type="cellIs" dxfId="6407" priority="4005" operator="equal">
      <formula>"NO CUMPLE"</formula>
    </cfRule>
    <cfRule type="cellIs" dxfId="6406" priority="4006" operator="equal">
      <formula>"CUMPLE"</formula>
    </cfRule>
  </conditionalFormatting>
  <conditionalFormatting sqref="K126">
    <cfRule type="expression" dxfId="6405" priority="4001">
      <formula>J126="NO CUMPLE"</formula>
    </cfRule>
    <cfRule type="expression" dxfId="6404" priority="4002">
      <formula>J126="CUMPLE"</formula>
    </cfRule>
  </conditionalFormatting>
  <conditionalFormatting sqref="K127:K128">
    <cfRule type="expression" dxfId="6403" priority="3999">
      <formula>J127="NO CUMPLE"</formula>
    </cfRule>
    <cfRule type="expression" dxfId="6402" priority="4000">
      <formula>J127="CUMPLE"</formula>
    </cfRule>
  </conditionalFormatting>
  <conditionalFormatting sqref="J135">
    <cfRule type="cellIs" dxfId="6401" priority="3997" operator="equal">
      <formula>"NO CUMPLE"</formula>
    </cfRule>
    <cfRule type="cellIs" dxfId="6400" priority="3998" operator="equal">
      <formula>"CUMPLE"</formula>
    </cfRule>
  </conditionalFormatting>
  <conditionalFormatting sqref="J136:J137">
    <cfRule type="cellIs" dxfId="6399" priority="3995" operator="equal">
      <formula>"NO CUMPLE"</formula>
    </cfRule>
    <cfRule type="cellIs" dxfId="6398" priority="3996" operator="equal">
      <formula>"CUMPLE"</formula>
    </cfRule>
  </conditionalFormatting>
  <conditionalFormatting sqref="K129">
    <cfRule type="expression" dxfId="6397" priority="3993">
      <formula>J129="NO CUMPLE"</formula>
    </cfRule>
    <cfRule type="expression" dxfId="6396" priority="3994">
      <formula>J129="CUMPLE"</formula>
    </cfRule>
  </conditionalFormatting>
  <conditionalFormatting sqref="K130:K131">
    <cfRule type="expression" dxfId="6395" priority="3991">
      <formula>J130="NO CUMPLE"</formula>
    </cfRule>
    <cfRule type="expression" dxfId="6394" priority="3992">
      <formula>J130="CUMPLE"</formula>
    </cfRule>
  </conditionalFormatting>
  <conditionalFormatting sqref="K132">
    <cfRule type="expression" dxfId="6393" priority="3989">
      <formula>J132="NO CUMPLE"</formula>
    </cfRule>
    <cfRule type="expression" dxfId="6392" priority="3990">
      <formula>J132="CUMPLE"</formula>
    </cfRule>
  </conditionalFormatting>
  <conditionalFormatting sqref="K133:K134">
    <cfRule type="expression" dxfId="6391" priority="3987">
      <formula>J133="NO CUMPLE"</formula>
    </cfRule>
    <cfRule type="expression" dxfId="6390" priority="3988">
      <formula>J133="CUMPLE"</formula>
    </cfRule>
  </conditionalFormatting>
  <conditionalFormatting sqref="K135">
    <cfRule type="expression" dxfId="6389" priority="3985">
      <formula>J135="NO CUMPLE"</formula>
    </cfRule>
    <cfRule type="expression" dxfId="6388" priority="3986">
      <formula>J135="CUMPLE"</formula>
    </cfRule>
  </conditionalFormatting>
  <conditionalFormatting sqref="K136:K137">
    <cfRule type="expression" dxfId="6387" priority="3983">
      <formula>J136="NO CUMPLE"</formula>
    </cfRule>
    <cfRule type="expression" dxfId="6386" priority="3984">
      <formula>J136="CUMPLE"</formula>
    </cfRule>
  </conditionalFormatting>
  <conditionalFormatting sqref="J145:J156">
    <cfRule type="cellIs" dxfId="6385" priority="3979" operator="equal">
      <formula>"NO CUMPLE"</formula>
    </cfRule>
    <cfRule type="cellIs" dxfId="6384" priority="3980" operator="equal">
      <formula>"CUMPLE"</formula>
    </cfRule>
  </conditionalFormatting>
  <conditionalFormatting sqref="K148">
    <cfRule type="expression" dxfId="6383" priority="3975">
      <formula>J148="NO CUMPLE"</formula>
    </cfRule>
    <cfRule type="expression" dxfId="6382" priority="3976">
      <formula>J148="CUMPLE"</formula>
    </cfRule>
  </conditionalFormatting>
  <conditionalFormatting sqref="K149:K150">
    <cfRule type="expression" dxfId="6381" priority="3973">
      <formula>J149="NO CUMPLE"</formula>
    </cfRule>
    <cfRule type="expression" dxfId="6380" priority="3974">
      <formula>J149="CUMPLE"</formula>
    </cfRule>
  </conditionalFormatting>
  <conditionalFormatting sqref="J157">
    <cfRule type="cellIs" dxfId="6379" priority="3971" operator="equal">
      <formula>"NO CUMPLE"</formula>
    </cfRule>
    <cfRule type="cellIs" dxfId="6378" priority="3972" operator="equal">
      <formula>"CUMPLE"</formula>
    </cfRule>
  </conditionalFormatting>
  <conditionalFormatting sqref="J158:J159">
    <cfRule type="cellIs" dxfId="6377" priority="3969" operator="equal">
      <formula>"NO CUMPLE"</formula>
    </cfRule>
    <cfRule type="cellIs" dxfId="6376" priority="3970" operator="equal">
      <formula>"CUMPLE"</formula>
    </cfRule>
  </conditionalFormatting>
  <conditionalFormatting sqref="K151">
    <cfRule type="expression" dxfId="6375" priority="3967">
      <formula>J151="NO CUMPLE"</formula>
    </cfRule>
    <cfRule type="expression" dxfId="6374" priority="3968">
      <formula>J151="CUMPLE"</formula>
    </cfRule>
  </conditionalFormatting>
  <conditionalFormatting sqref="K152:K153">
    <cfRule type="expression" dxfId="6373" priority="3965">
      <formula>J152="NO CUMPLE"</formula>
    </cfRule>
    <cfRule type="expression" dxfId="6372" priority="3966">
      <formula>J152="CUMPLE"</formula>
    </cfRule>
  </conditionalFormatting>
  <conditionalFormatting sqref="K154">
    <cfRule type="expression" dxfId="6371" priority="3963">
      <formula>J154="NO CUMPLE"</formula>
    </cfRule>
    <cfRule type="expression" dxfId="6370" priority="3964">
      <formula>J154="CUMPLE"</formula>
    </cfRule>
  </conditionalFormatting>
  <conditionalFormatting sqref="K155:K156">
    <cfRule type="expression" dxfId="6369" priority="3961">
      <formula>J155="NO CUMPLE"</formula>
    </cfRule>
    <cfRule type="expression" dxfId="6368" priority="3962">
      <formula>J155="CUMPLE"</formula>
    </cfRule>
  </conditionalFormatting>
  <conditionalFormatting sqref="K157">
    <cfRule type="expression" dxfId="6367" priority="3959">
      <formula>J157="NO CUMPLE"</formula>
    </cfRule>
    <cfRule type="expression" dxfId="6366" priority="3960">
      <formula>J157="CUMPLE"</formula>
    </cfRule>
  </conditionalFormatting>
  <conditionalFormatting sqref="K158:K159">
    <cfRule type="expression" dxfId="6365" priority="3957">
      <formula>J158="NO CUMPLE"</formula>
    </cfRule>
    <cfRule type="expression" dxfId="6364" priority="3958">
      <formula>J158="CUMPLE"</formula>
    </cfRule>
  </conditionalFormatting>
  <conditionalFormatting sqref="K170">
    <cfRule type="expression" dxfId="6363" priority="3949">
      <formula>J170="NO CUMPLE"</formula>
    </cfRule>
    <cfRule type="expression" dxfId="6362" priority="3950">
      <formula>J170="CUMPLE"</formula>
    </cfRule>
  </conditionalFormatting>
  <conditionalFormatting sqref="K171:K172">
    <cfRule type="expression" dxfId="6361" priority="3947">
      <formula>J171="NO CUMPLE"</formula>
    </cfRule>
    <cfRule type="expression" dxfId="6360" priority="3948">
      <formula>J171="CUMPLE"</formula>
    </cfRule>
  </conditionalFormatting>
  <conditionalFormatting sqref="J181">
    <cfRule type="cellIs" dxfId="6359" priority="3943" operator="equal">
      <formula>"NO CUMPLE"</formula>
    </cfRule>
    <cfRule type="cellIs" dxfId="6358" priority="3944" operator="equal">
      <formula>"CUMPLE"</formula>
    </cfRule>
  </conditionalFormatting>
  <conditionalFormatting sqref="K173">
    <cfRule type="expression" dxfId="6357" priority="3941">
      <formula>J173="NO CUMPLE"</formula>
    </cfRule>
    <cfRule type="expression" dxfId="6356" priority="3942">
      <formula>J173="CUMPLE"</formula>
    </cfRule>
  </conditionalFormatting>
  <conditionalFormatting sqref="K174:K175">
    <cfRule type="expression" dxfId="6355" priority="3939">
      <formula>J174="NO CUMPLE"</formula>
    </cfRule>
    <cfRule type="expression" dxfId="6354" priority="3940">
      <formula>J174="CUMPLE"</formula>
    </cfRule>
  </conditionalFormatting>
  <conditionalFormatting sqref="K176">
    <cfRule type="expression" dxfId="6353" priority="3937">
      <formula>J176="NO CUMPLE"</formula>
    </cfRule>
    <cfRule type="expression" dxfId="6352" priority="3938">
      <formula>J176="CUMPLE"</formula>
    </cfRule>
  </conditionalFormatting>
  <conditionalFormatting sqref="K177:K178">
    <cfRule type="expression" dxfId="6351" priority="3935">
      <formula>J177="NO CUMPLE"</formula>
    </cfRule>
    <cfRule type="expression" dxfId="6350" priority="3936">
      <formula>J177="CUMPLE"</formula>
    </cfRule>
  </conditionalFormatting>
  <conditionalFormatting sqref="K179">
    <cfRule type="expression" dxfId="6349" priority="3933">
      <formula>J179="NO CUMPLE"</formula>
    </cfRule>
    <cfRule type="expression" dxfId="6348" priority="3934">
      <formula>J179="CUMPLE"</formula>
    </cfRule>
  </conditionalFormatting>
  <conditionalFormatting sqref="K180:K181">
    <cfRule type="expression" dxfId="6347" priority="3931">
      <formula>J180="NO CUMPLE"</formula>
    </cfRule>
    <cfRule type="expression" dxfId="6346" priority="3932">
      <formula>J180="CUMPLE"</formula>
    </cfRule>
  </conditionalFormatting>
  <conditionalFormatting sqref="J192:J200">
    <cfRule type="cellIs" dxfId="6345" priority="3927" operator="equal">
      <formula>"NO CUMPLE"</formula>
    </cfRule>
    <cfRule type="cellIs" dxfId="6344" priority="3928" operator="equal">
      <formula>"CUMPLE"</formula>
    </cfRule>
  </conditionalFormatting>
  <conditionalFormatting sqref="K192">
    <cfRule type="expression" dxfId="6343" priority="3923">
      <formula>J192="NO CUMPLE"</formula>
    </cfRule>
    <cfRule type="expression" dxfId="6342" priority="3924">
      <formula>J192="CUMPLE"</formula>
    </cfRule>
  </conditionalFormatting>
  <conditionalFormatting sqref="K193:K194">
    <cfRule type="expression" dxfId="6341" priority="3921">
      <formula>J193="NO CUMPLE"</formula>
    </cfRule>
    <cfRule type="expression" dxfId="6340" priority="3922">
      <formula>J193="CUMPLE"</formula>
    </cfRule>
  </conditionalFormatting>
  <conditionalFormatting sqref="J201">
    <cfRule type="cellIs" dxfId="6339" priority="3919" operator="equal">
      <formula>"NO CUMPLE"</formula>
    </cfRule>
    <cfRule type="cellIs" dxfId="6338" priority="3920" operator="equal">
      <formula>"CUMPLE"</formula>
    </cfRule>
  </conditionalFormatting>
  <conditionalFormatting sqref="J202:J203">
    <cfRule type="cellIs" dxfId="6337" priority="3917" operator="equal">
      <formula>"NO CUMPLE"</formula>
    </cfRule>
    <cfRule type="cellIs" dxfId="6336" priority="3918" operator="equal">
      <formula>"CUMPLE"</formula>
    </cfRule>
  </conditionalFormatting>
  <conditionalFormatting sqref="K195">
    <cfRule type="expression" dxfId="6335" priority="3915">
      <formula>J195="NO CUMPLE"</formula>
    </cfRule>
    <cfRule type="expression" dxfId="6334" priority="3916">
      <formula>J195="CUMPLE"</formula>
    </cfRule>
  </conditionalFormatting>
  <conditionalFormatting sqref="K196:K197">
    <cfRule type="expression" dxfId="6333" priority="3913">
      <formula>J196="NO CUMPLE"</formula>
    </cfRule>
    <cfRule type="expression" dxfId="6332" priority="3914">
      <formula>J196="CUMPLE"</formula>
    </cfRule>
  </conditionalFormatting>
  <conditionalFormatting sqref="K198">
    <cfRule type="expression" dxfId="6331" priority="3911">
      <formula>J198="NO CUMPLE"</formula>
    </cfRule>
    <cfRule type="expression" dxfId="6330" priority="3912">
      <formula>J198="CUMPLE"</formula>
    </cfRule>
  </conditionalFormatting>
  <conditionalFormatting sqref="K199:K200">
    <cfRule type="expression" dxfId="6329" priority="3909">
      <formula>J199="NO CUMPLE"</formula>
    </cfRule>
    <cfRule type="expression" dxfId="6328" priority="3910">
      <formula>J199="CUMPLE"</formula>
    </cfRule>
  </conditionalFormatting>
  <conditionalFormatting sqref="K201">
    <cfRule type="expression" dxfId="6327" priority="3907">
      <formula>J201="NO CUMPLE"</formula>
    </cfRule>
    <cfRule type="expression" dxfId="6326" priority="3908">
      <formula>J201="CUMPLE"</formula>
    </cfRule>
  </conditionalFormatting>
  <conditionalFormatting sqref="K202:K203">
    <cfRule type="expression" dxfId="6325" priority="3905">
      <formula>J202="NO CUMPLE"</formula>
    </cfRule>
    <cfRule type="expression" dxfId="6324" priority="3906">
      <formula>J202="CUMPLE"</formula>
    </cfRule>
  </conditionalFormatting>
  <conditionalFormatting sqref="M193">
    <cfRule type="expression" dxfId="6323" priority="3689">
      <formula>L193="NO CUMPLE"</formula>
    </cfRule>
    <cfRule type="expression" dxfId="6322" priority="3690">
      <formula>L193="CUMPLE"</formula>
    </cfRule>
  </conditionalFormatting>
  <conditionalFormatting sqref="L192:L193">
    <cfRule type="cellIs" dxfId="6321" priority="3691" operator="equal">
      <formula>"NO CUMPLE"</formula>
    </cfRule>
    <cfRule type="cellIs" dxfId="6320" priority="3692" operator="equal">
      <formula>"CUMPLE"</formula>
    </cfRule>
  </conditionalFormatting>
  <conditionalFormatting sqref="M58">
    <cfRule type="expression" dxfId="6319" priority="3899">
      <formula>L58="NO CUMPLE"</formula>
    </cfRule>
    <cfRule type="expression" dxfId="6318" priority="3900">
      <formula>L58="CUMPLE"</formula>
    </cfRule>
  </conditionalFormatting>
  <conditionalFormatting sqref="M57">
    <cfRule type="expression" dxfId="6317" priority="3903">
      <formula>L57="NO CUMPLE"</formula>
    </cfRule>
    <cfRule type="expression" dxfId="6316" priority="3904">
      <formula>L57="CUMPLE"</formula>
    </cfRule>
  </conditionalFormatting>
  <conditionalFormatting sqref="L57:L58">
    <cfRule type="cellIs" dxfId="6315" priority="3901" operator="equal">
      <formula>"NO CUMPLE"</formula>
    </cfRule>
    <cfRule type="cellIs" dxfId="6314" priority="3902" operator="equal">
      <formula>"CUMPLE"</formula>
    </cfRule>
  </conditionalFormatting>
  <conditionalFormatting sqref="M192">
    <cfRule type="expression" dxfId="6313" priority="3693">
      <formula>L192="NO CUMPLE"</formula>
    </cfRule>
    <cfRule type="expression" dxfId="6312" priority="3694">
      <formula>L192="CUMPLE"</formula>
    </cfRule>
  </conditionalFormatting>
  <conditionalFormatting sqref="L38:L39">
    <cfRule type="cellIs" dxfId="6311" priority="3665" operator="equal">
      <formula>"NO CUMPLE"</formula>
    </cfRule>
    <cfRule type="cellIs" dxfId="6310" priority="3666" operator="equal">
      <formula>"CUMPLE"</formula>
    </cfRule>
  </conditionalFormatting>
  <conditionalFormatting sqref="M61">
    <cfRule type="expression" dxfId="6309" priority="3869">
      <formula>L61="NO CUMPLE"</formula>
    </cfRule>
    <cfRule type="expression" dxfId="6308" priority="3870">
      <formula>L61="CUMPLE"</formula>
    </cfRule>
  </conditionalFormatting>
  <conditionalFormatting sqref="M60">
    <cfRule type="expression" dxfId="6307" priority="3873">
      <formula>L60="NO CUMPLE"</formula>
    </cfRule>
    <cfRule type="expression" dxfId="6306" priority="3874">
      <formula>L60="CUMPLE"</formula>
    </cfRule>
  </conditionalFormatting>
  <conditionalFormatting sqref="L60:L61">
    <cfRule type="cellIs" dxfId="6305" priority="3871" operator="equal">
      <formula>"NO CUMPLE"</formula>
    </cfRule>
    <cfRule type="cellIs" dxfId="6304" priority="3872" operator="equal">
      <formula>"CUMPLE"</formula>
    </cfRule>
  </conditionalFormatting>
  <conditionalFormatting sqref="M64">
    <cfRule type="expression" dxfId="6303" priority="3863">
      <formula>L64="NO CUMPLE"</formula>
    </cfRule>
    <cfRule type="expression" dxfId="6302" priority="3864">
      <formula>L64="CUMPLE"</formula>
    </cfRule>
  </conditionalFormatting>
  <conditionalFormatting sqref="M63">
    <cfRule type="expression" dxfId="6301" priority="3867">
      <formula>L63="NO CUMPLE"</formula>
    </cfRule>
    <cfRule type="expression" dxfId="6300" priority="3868">
      <formula>L63="CUMPLE"</formula>
    </cfRule>
  </conditionalFormatting>
  <conditionalFormatting sqref="L63:L64">
    <cfRule type="cellIs" dxfId="6299" priority="3865" operator="equal">
      <formula>"NO CUMPLE"</formula>
    </cfRule>
    <cfRule type="cellIs" dxfId="6298" priority="3866" operator="equal">
      <formula>"CUMPLE"</formula>
    </cfRule>
  </conditionalFormatting>
  <conditionalFormatting sqref="M67">
    <cfRule type="expression" dxfId="6297" priority="3857">
      <formula>L67="NO CUMPLE"</formula>
    </cfRule>
    <cfRule type="expression" dxfId="6296" priority="3858">
      <formula>L67="CUMPLE"</formula>
    </cfRule>
  </conditionalFormatting>
  <conditionalFormatting sqref="M66">
    <cfRule type="expression" dxfId="6295" priority="3861">
      <formula>L66="NO CUMPLE"</formula>
    </cfRule>
    <cfRule type="expression" dxfId="6294" priority="3862">
      <formula>L66="CUMPLE"</formula>
    </cfRule>
  </conditionalFormatting>
  <conditionalFormatting sqref="L66:L67">
    <cfRule type="cellIs" dxfId="6293" priority="3859" operator="equal">
      <formula>"NO CUMPLE"</formula>
    </cfRule>
    <cfRule type="cellIs" dxfId="6292" priority="3860" operator="equal">
      <formula>"CUMPLE"</formula>
    </cfRule>
  </conditionalFormatting>
  <conditionalFormatting sqref="M70">
    <cfRule type="expression" dxfId="6291" priority="3851">
      <formula>L70="NO CUMPLE"</formula>
    </cfRule>
    <cfRule type="expression" dxfId="6290" priority="3852">
      <formula>L70="CUMPLE"</formula>
    </cfRule>
  </conditionalFormatting>
  <conditionalFormatting sqref="M69">
    <cfRule type="expression" dxfId="6289" priority="3855">
      <formula>L69="NO CUMPLE"</formula>
    </cfRule>
    <cfRule type="expression" dxfId="6288" priority="3856">
      <formula>L69="CUMPLE"</formula>
    </cfRule>
  </conditionalFormatting>
  <conditionalFormatting sqref="L69:L70">
    <cfRule type="cellIs" dxfId="6287" priority="3853" operator="equal">
      <formula>"NO CUMPLE"</formula>
    </cfRule>
    <cfRule type="cellIs" dxfId="6286" priority="3854" operator="equal">
      <formula>"CUMPLE"</formula>
    </cfRule>
  </conditionalFormatting>
  <conditionalFormatting sqref="M80">
    <cfRule type="expression" dxfId="6285" priority="3845">
      <formula>L80="NO CUMPLE"</formula>
    </cfRule>
    <cfRule type="expression" dxfId="6284" priority="3846">
      <formula>L80="CUMPLE"</formula>
    </cfRule>
  </conditionalFormatting>
  <conditionalFormatting sqref="M79">
    <cfRule type="expression" dxfId="6283" priority="3849">
      <formula>L79="NO CUMPLE"</formula>
    </cfRule>
    <cfRule type="expression" dxfId="6282" priority="3850">
      <formula>L79="CUMPLE"</formula>
    </cfRule>
  </conditionalFormatting>
  <conditionalFormatting sqref="L79:L80">
    <cfRule type="cellIs" dxfId="6281" priority="3847" operator="equal">
      <formula>"NO CUMPLE"</formula>
    </cfRule>
    <cfRule type="cellIs" dxfId="6280" priority="3848" operator="equal">
      <formula>"CUMPLE"</formula>
    </cfRule>
  </conditionalFormatting>
  <conditionalFormatting sqref="M83">
    <cfRule type="expression" dxfId="6279" priority="3839">
      <formula>L83="NO CUMPLE"</formula>
    </cfRule>
    <cfRule type="expression" dxfId="6278" priority="3840">
      <formula>L83="CUMPLE"</formula>
    </cfRule>
  </conditionalFormatting>
  <conditionalFormatting sqref="M82">
    <cfRule type="expression" dxfId="6277" priority="3843">
      <formula>L82="NO CUMPLE"</formula>
    </cfRule>
    <cfRule type="expression" dxfId="6276" priority="3844">
      <formula>L82="CUMPLE"</formula>
    </cfRule>
  </conditionalFormatting>
  <conditionalFormatting sqref="L82:L83">
    <cfRule type="cellIs" dxfId="6275" priority="3841" operator="equal">
      <formula>"NO CUMPLE"</formula>
    </cfRule>
    <cfRule type="cellIs" dxfId="6274" priority="3842" operator="equal">
      <formula>"CUMPLE"</formula>
    </cfRule>
  </conditionalFormatting>
  <conditionalFormatting sqref="M86">
    <cfRule type="expression" dxfId="6273" priority="3833">
      <formula>L86="NO CUMPLE"</formula>
    </cfRule>
    <cfRule type="expression" dxfId="6272" priority="3834">
      <formula>L86="CUMPLE"</formula>
    </cfRule>
  </conditionalFormatting>
  <conditionalFormatting sqref="M85">
    <cfRule type="expression" dxfId="6271" priority="3837">
      <formula>L85="NO CUMPLE"</formula>
    </cfRule>
    <cfRule type="expression" dxfId="6270" priority="3838">
      <formula>L85="CUMPLE"</formula>
    </cfRule>
  </conditionalFormatting>
  <conditionalFormatting sqref="L85:L86">
    <cfRule type="cellIs" dxfId="6269" priority="3835" operator="equal">
      <formula>"NO CUMPLE"</formula>
    </cfRule>
    <cfRule type="cellIs" dxfId="6268" priority="3836" operator="equal">
      <formula>"CUMPLE"</formula>
    </cfRule>
  </conditionalFormatting>
  <conditionalFormatting sqref="M89">
    <cfRule type="expression" dxfId="6267" priority="3827">
      <formula>L89="NO CUMPLE"</formula>
    </cfRule>
    <cfRule type="expression" dxfId="6266" priority="3828">
      <formula>L89="CUMPLE"</formula>
    </cfRule>
  </conditionalFormatting>
  <conditionalFormatting sqref="M88">
    <cfRule type="expression" dxfId="6265" priority="3831">
      <formula>L88="NO CUMPLE"</formula>
    </cfRule>
    <cfRule type="expression" dxfId="6264" priority="3832">
      <formula>L88="CUMPLE"</formula>
    </cfRule>
  </conditionalFormatting>
  <conditionalFormatting sqref="L88:L89">
    <cfRule type="cellIs" dxfId="6263" priority="3829" operator="equal">
      <formula>"NO CUMPLE"</formula>
    </cfRule>
    <cfRule type="cellIs" dxfId="6262" priority="3830" operator="equal">
      <formula>"CUMPLE"</formula>
    </cfRule>
  </conditionalFormatting>
  <conditionalFormatting sqref="M92">
    <cfRule type="expression" dxfId="6261" priority="3821">
      <formula>L92="NO CUMPLE"</formula>
    </cfRule>
    <cfRule type="expression" dxfId="6260" priority="3822">
      <formula>L92="CUMPLE"</formula>
    </cfRule>
  </conditionalFormatting>
  <conditionalFormatting sqref="M91">
    <cfRule type="expression" dxfId="6259" priority="3825">
      <formula>L91="NO CUMPLE"</formula>
    </cfRule>
    <cfRule type="expression" dxfId="6258" priority="3826">
      <formula>L91="CUMPLE"</formula>
    </cfRule>
  </conditionalFormatting>
  <conditionalFormatting sqref="L91:L92">
    <cfRule type="cellIs" dxfId="6257" priority="3823" operator="equal">
      <formula>"NO CUMPLE"</formula>
    </cfRule>
    <cfRule type="cellIs" dxfId="6256" priority="3824" operator="equal">
      <formula>"CUMPLE"</formula>
    </cfRule>
  </conditionalFormatting>
  <conditionalFormatting sqref="M102">
    <cfRule type="expression" dxfId="6255" priority="3815">
      <formula>L102="NO CUMPLE"</formula>
    </cfRule>
    <cfRule type="expression" dxfId="6254" priority="3816">
      <formula>L102="CUMPLE"</formula>
    </cfRule>
  </conditionalFormatting>
  <conditionalFormatting sqref="M101">
    <cfRule type="expression" dxfId="6253" priority="3819">
      <formula>L101="NO CUMPLE"</formula>
    </cfRule>
    <cfRule type="expression" dxfId="6252" priority="3820">
      <formula>L101="CUMPLE"</formula>
    </cfRule>
  </conditionalFormatting>
  <conditionalFormatting sqref="L101:L102">
    <cfRule type="cellIs" dxfId="6251" priority="3817" operator="equal">
      <formula>"NO CUMPLE"</formula>
    </cfRule>
    <cfRule type="cellIs" dxfId="6250" priority="3818" operator="equal">
      <formula>"CUMPLE"</formula>
    </cfRule>
  </conditionalFormatting>
  <conditionalFormatting sqref="M105">
    <cfRule type="expression" dxfId="6249" priority="3809">
      <formula>L105="NO CUMPLE"</formula>
    </cfRule>
    <cfRule type="expression" dxfId="6248" priority="3810">
      <formula>L105="CUMPLE"</formula>
    </cfRule>
  </conditionalFormatting>
  <conditionalFormatting sqref="M104">
    <cfRule type="expression" dxfId="6247" priority="3813">
      <formula>L104="NO CUMPLE"</formula>
    </cfRule>
    <cfRule type="expression" dxfId="6246" priority="3814">
      <formula>L104="CUMPLE"</formula>
    </cfRule>
  </conditionalFormatting>
  <conditionalFormatting sqref="L104:L105">
    <cfRule type="cellIs" dxfId="6245" priority="3811" operator="equal">
      <formula>"NO CUMPLE"</formula>
    </cfRule>
    <cfRule type="cellIs" dxfId="6244" priority="3812" operator="equal">
      <formula>"CUMPLE"</formula>
    </cfRule>
  </conditionalFormatting>
  <conditionalFormatting sqref="M108">
    <cfRule type="expression" dxfId="6243" priority="3803">
      <formula>L108="NO CUMPLE"</formula>
    </cfRule>
    <cfRule type="expression" dxfId="6242" priority="3804">
      <formula>L108="CUMPLE"</formula>
    </cfRule>
  </conditionalFormatting>
  <conditionalFormatting sqref="M107">
    <cfRule type="expression" dxfId="6241" priority="3807">
      <formula>L107="NO CUMPLE"</formula>
    </cfRule>
    <cfRule type="expression" dxfId="6240" priority="3808">
      <formula>L107="CUMPLE"</formula>
    </cfRule>
  </conditionalFormatting>
  <conditionalFormatting sqref="L107:L108">
    <cfRule type="cellIs" dxfId="6239" priority="3805" operator="equal">
      <formula>"NO CUMPLE"</formula>
    </cfRule>
    <cfRule type="cellIs" dxfId="6238" priority="3806" operator="equal">
      <formula>"CUMPLE"</formula>
    </cfRule>
  </conditionalFormatting>
  <conditionalFormatting sqref="M111">
    <cfRule type="expression" dxfId="6237" priority="3797">
      <formula>L111="NO CUMPLE"</formula>
    </cfRule>
    <cfRule type="expression" dxfId="6236" priority="3798">
      <formula>L111="CUMPLE"</formula>
    </cfRule>
  </conditionalFormatting>
  <conditionalFormatting sqref="M110">
    <cfRule type="expression" dxfId="6235" priority="3801">
      <formula>L110="NO CUMPLE"</formula>
    </cfRule>
    <cfRule type="expression" dxfId="6234" priority="3802">
      <formula>L110="CUMPLE"</formula>
    </cfRule>
  </conditionalFormatting>
  <conditionalFormatting sqref="L110:L111">
    <cfRule type="cellIs" dxfId="6233" priority="3799" operator="equal">
      <formula>"NO CUMPLE"</formula>
    </cfRule>
    <cfRule type="cellIs" dxfId="6232" priority="3800" operator="equal">
      <formula>"CUMPLE"</formula>
    </cfRule>
  </conditionalFormatting>
  <conditionalFormatting sqref="M123">
    <cfRule type="expression" dxfId="6231" priority="3789">
      <formula>L123="NO CUMPLE"</formula>
    </cfRule>
    <cfRule type="expression" dxfId="6230" priority="3790">
      <formula>L123="CUMPLE"</formula>
    </cfRule>
  </conditionalFormatting>
  <conditionalFormatting sqref="M157">
    <cfRule type="expression" dxfId="6229" priority="3735">
      <formula>L157="NO CUMPLE"</formula>
    </cfRule>
    <cfRule type="expression" dxfId="6228" priority="3736">
      <formula>L157="CUMPLE"</formula>
    </cfRule>
  </conditionalFormatting>
  <conditionalFormatting sqref="M158">
    <cfRule type="expression" dxfId="6227" priority="3731">
      <formula>L158="NO CUMPLE"</formula>
    </cfRule>
    <cfRule type="expression" dxfId="6226" priority="3732">
      <formula>L158="CUMPLE"</formula>
    </cfRule>
  </conditionalFormatting>
  <conditionalFormatting sqref="L157:L158">
    <cfRule type="cellIs" dxfId="6225" priority="3733" operator="equal">
      <formula>"NO CUMPLE"</formula>
    </cfRule>
    <cfRule type="cellIs" dxfId="6224" priority="3734" operator="equal">
      <formula>"CUMPLE"</formula>
    </cfRule>
  </conditionalFormatting>
  <conditionalFormatting sqref="M168">
    <cfRule type="expression" dxfId="6223" priority="3725">
      <formula>L168="NO CUMPLE"</formula>
    </cfRule>
    <cfRule type="expression" dxfId="6222" priority="3726">
      <formula>L168="CUMPLE"</formula>
    </cfRule>
  </conditionalFormatting>
  <conditionalFormatting sqref="M167">
    <cfRule type="expression" dxfId="6221" priority="3729">
      <formula>L167="NO CUMPLE"</formula>
    </cfRule>
    <cfRule type="expression" dxfId="6220" priority="3730">
      <formula>L167="CUMPLE"</formula>
    </cfRule>
  </conditionalFormatting>
  <conditionalFormatting sqref="L167:L168">
    <cfRule type="cellIs" dxfId="6219" priority="3727" operator="equal">
      <formula>"NO CUMPLE"</formula>
    </cfRule>
    <cfRule type="cellIs" dxfId="6218" priority="3728" operator="equal">
      <formula>"CUMPLE"</formula>
    </cfRule>
  </conditionalFormatting>
  <conditionalFormatting sqref="M171">
    <cfRule type="expression" dxfId="6217" priority="3719">
      <formula>L171="NO CUMPLE"</formula>
    </cfRule>
    <cfRule type="expression" dxfId="6216" priority="3720">
      <formula>L171="CUMPLE"</formula>
    </cfRule>
  </conditionalFormatting>
  <conditionalFormatting sqref="M170">
    <cfRule type="expression" dxfId="6215" priority="3723">
      <formula>L170="NO CUMPLE"</formula>
    </cfRule>
    <cfRule type="expression" dxfId="6214" priority="3724">
      <formula>L170="CUMPLE"</formula>
    </cfRule>
  </conditionalFormatting>
  <conditionalFormatting sqref="L170:L171">
    <cfRule type="cellIs" dxfId="6213" priority="3721" operator="equal">
      <formula>"NO CUMPLE"</formula>
    </cfRule>
    <cfRule type="cellIs" dxfId="6212" priority="3722" operator="equal">
      <formula>"CUMPLE"</formula>
    </cfRule>
  </conditionalFormatting>
  <conditionalFormatting sqref="M174">
    <cfRule type="expression" dxfId="6211" priority="3713">
      <formula>L174="NO CUMPLE"</formula>
    </cfRule>
    <cfRule type="expression" dxfId="6210" priority="3714">
      <formula>L174="CUMPLE"</formula>
    </cfRule>
  </conditionalFormatting>
  <conditionalFormatting sqref="M173">
    <cfRule type="expression" dxfId="6209" priority="3717">
      <formula>L173="NO CUMPLE"</formula>
    </cfRule>
    <cfRule type="expression" dxfId="6208" priority="3718">
      <formula>L173="CUMPLE"</formula>
    </cfRule>
  </conditionalFormatting>
  <conditionalFormatting sqref="L173:L174">
    <cfRule type="cellIs" dxfId="6207" priority="3715" operator="equal">
      <formula>"NO CUMPLE"</formula>
    </cfRule>
    <cfRule type="cellIs" dxfId="6206" priority="3716" operator="equal">
      <formula>"CUMPLE"</formula>
    </cfRule>
  </conditionalFormatting>
  <conditionalFormatting sqref="M177">
    <cfRule type="expression" dxfId="6205" priority="3707">
      <formula>L177="NO CUMPLE"</formula>
    </cfRule>
    <cfRule type="expression" dxfId="6204" priority="3708">
      <formula>L177="CUMPLE"</formula>
    </cfRule>
  </conditionalFormatting>
  <conditionalFormatting sqref="M176">
    <cfRule type="expression" dxfId="6203" priority="3711">
      <formula>L176="NO CUMPLE"</formula>
    </cfRule>
    <cfRule type="expression" dxfId="6202" priority="3712">
      <formula>L176="CUMPLE"</formula>
    </cfRule>
  </conditionalFormatting>
  <conditionalFormatting sqref="L176:L177">
    <cfRule type="cellIs" dxfId="6201" priority="3709" operator="equal">
      <formula>"NO CUMPLE"</formula>
    </cfRule>
    <cfRule type="cellIs" dxfId="6200" priority="3710" operator="equal">
      <formula>"CUMPLE"</formula>
    </cfRule>
  </conditionalFormatting>
  <conditionalFormatting sqref="M180">
    <cfRule type="expression" dxfId="6199" priority="3701">
      <formula>L180="NO CUMPLE"</formula>
    </cfRule>
    <cfRule type="expression" dxfId="6198" priority="3702">
      <formula>L180="CUMPLE"</formula>
    </cfRule>
  </conditionalFormatting>
  <conditionalFormatting sqref="M179">
    <cfRule type="expression" dxfId="6197" priority="3705">
      <formula>L179="NO CUMPLE"</formula>
    </cfRule>
    <cfRule type="expression" dxfId="6196" priority="3706">
      <formula>L179="CUMPLE"</formula>
    </cfRule>
  </conditionalFormatting>
  <conditionalFormatting sqref="L179:L180">
    <cfRule type="cellIs" dxfId="6195" priority="3703" operator="equal">
      <formula>"NO CUMPLE"</formula>
    </cfRule>
    <cfRule type="cellIs" dxfId="6194" priority="3704" operator="equal">
      <formula>"CUMPLE"</formula>
    </cfRule>
  </conditionalFormatting>
  <conditionalFormatting sqref="M190">
    <cfRule type="expression" dxfId="6193" priority="3695">
      <formula>L190="NO CUMPLE"</formula>
    </cfRule>
    <cfRule type="expression" dxfId="6192" priority="3696">
      <formula>L190="CUMPLE"</formula>
    </cfRule>
  </conditionalFormatting>
  <conditionalFormatting sqref="M189">
    <cfRule type="expression" dxfId="6191" priority="3699">
      <formula>L189="NO CUMPLE"</formula>
    </cfRule>
    <cfRule type="expression" dxfId="6190" priority="3700">
      <formula>L189="CUMPLE"</formula>
    </cfRule>
  </conditionalFormatting>
  <conditionalFormatting sqref="L189:L190">
    <cfRule type="cellIs" dxfId="6189" priority="3697" operator="equal">
      <formula>"NO CUMPLE"</formula>
    </cfRule>
    <cfRule type="cellIs" dxfId="6188" priority="3698" operator="equal">
      <formula>"CUMPLE"</formula>
    </cfRule>
  </conditionalFormatting>
  <conditionalFormatting sqref="M196">
    <cfRule type="expression" dxfId="6187" priority="3683">
      <formula>L196="NO CUMPLE"</formula>
    </cfRule>
    <cfRule type="expression" dxfId="6186" priority="3684">
      <formula>L196="CUMPLE"</formula>
    </cfRule>
  </conditionalFormatting>
  <conditionalFormatting sqref="M195">
    <cfRule type="expression" dxfId="6185" priority="3687">
      <formula>L195="NO CUMPLE"</formula>
    </cfRule>
    <cfRule type="expression" dxfId="6184" priority="3688">
      <formula>L195="CUMPLE"</formula>
    </cfRule>
  </conditionalFormatting>
  <conditionalFormatting sqref="L195:L196">
    <cfRule type="cellIs" dxfId="6183" priority="3685" operator="equal">
      <formula>"NO CUMPLE"</formula>
    </cfRule>
    <cfRule type="cellIs" dxfId="6182" priority="3686" operator="equal">
      <formula>"CUMPLE"</formula>
    </cfRule>
  </conditionalFormatting>
  <conditionalFormatting sqref="L44:L45">
    <cfRule type="cellIs" dxfId="6181" priority="3653" operator="equal">
      <formula>"NO CUMPLE"</formula>
    </cfRule>
    <cfRule type="cellIs" dxfId="6180" priority="3654" operator="equal">
      <formula>"CUMPLE"</formula>
    </cfRule>
  </conditionalFormatting>
  <conditionalFormatting sqref="M202">
    <cfRule type="expression" dxfId="6179" priority="3671">
      <formula>L202="NO CUMPLE"</formula>
    </cfRule>
    <cfRule type="expression" dxfId="6178" priority="3672">
      <formula>L202="CUMPLE"</formula>
    </cfRule>
  </conditionalFormatting>
  <conditionalFormatting sqref="M201">
    <cfRule type="expression" dxfId="6177" priority="3675">
      <formula>L201="NO CUMPLE"</formula>
    </cfRule>
    <cfRule type="expression" dxfId="6176" priority="3676">
      <formula>L201="CUMPLE"</formula>
    </cfRule>
  </conditionalFormatting>
  <conditionalFormatting sqref="L201:L202">
    <cfRule type="cellIs" dxfId="6175" priority="3673" operator="equal">
      <formula>"NO CUMPLE"</formula>
    </cfRule>
    <cfRule type="cellIs" dxfId="6174" priority="3674" operator="equal">
      <formula>"CUMPLE"</formula>
    </cfRule>
  </conditionalFormatting>
  <conditionalFormatting sqref="S13">
    <cfRule type="cellIs" dxfId="6173" priority="3669" operator="greaterThan">
      <formula>0</formula>
    </cfRule>
    <cfRule type="top10" dxfId="6172" priority="3670" rank="10"/>
  </conditionalFormatting>
  <conditionalFormatting sqref="L41:L42">
    <cfRule type="cellIs" dxfId="6171" priority="3659" operator="equal">
      <formula>"NO CUMPLE"</formula>
    </cfRule>
    <cfRule type="cellIs" dxfId="6170" priority="3660" operator="equal">
      <formula>"CUMPLE"</formula>
    </cfRule>
  </conditionalFormatting>
  <conditionalFormatting sqref="L47:L48">
    <cfRule type="cellIs" dxfId="6169" priority="3647" operator="equal">
      <formula>"NO CUMPLE"</formula>
    </cfRule>
    <cfRule type="cellIs" dxfId="6168" priority="3648" operator="equal">
      <formula>"CUMPLE"</formula>
    </cfRule>
  </conditionalFormatting>
  <conditionalFormatting sqref="M20 M23 M26">
    <cfRule type="expression" dxfId="6167" priority="3641">
      <formula>L20="NO CUMPLE"</formula>
    </cfRule>
    <cfRule type="expression" dxfId="6166" priority="3642">
      <formula>L20="CUMPLE"</formula>
    </cfRule>
  </conditionalFormatting>
  <conditionalFormatting sqref="M19 M22 M25">
    <cfRule type="expression" dxfId="6165" priority="3643">
      <formula>L19="NO CUMPLE"</formula>
    </cfRule>
    <cfRule type="expression" dxfId="6164" priority="3644">
      <formula>L19="CUMPLE"</formula>
    </cfRule>
  </conditionalFormatting>
  <conditionalFormatting sqref="N41">
    <cfRule type="expression" dxfId="6163" priority="3602">
      <formula>N41=" "</formula>
    </cfRule>
    <cfRule type="expression" dxfId="6162" priority="3603">
      <formula>N41="NO PRESENTÓ CERTIFICADO"</formula>
    </cfRule>
    <cfRule type="expression" dxfId="6161" priority="3604">
      <formula>N41="PRESENTÓ CERTIFICADO"</formula>
    </cfRule>
  </conditionalFormatting>
  <conditionalFormatting sqref="Q41">
    <cfRule type="containsBlanks" dxfId="6160" priority="3589">
      <formula>LEN(TRIM(Q41))=0</formula>
    </cfRule>
    <cfRule type="cellIs" dxfId="6159" priority="3595" operator="equal">
      <formula>"REQUERIMIENTOS SUBSANADOS"</formula>
    </cfRule>
    <cfRule type="containsText" dxfId="6158" priority="3599" operator="containsText" text="NO SUBSANABLE">
      <formula>NOT(ISERROR(SEARCH("NO SUBSANABLE",Q41)))</formula>
    </cfRule>
    <cfRule type="containsText" dxfId="6157" priority="3600" operator="containsText" text="PENDIENTES POR SUBSANAR">
      <formula>NOT(ISERROR(SEARCH("PENDIENTES POR SUBSANAR",Q41)))</formula>
    </cfRule>
    <cfRule type="containsText" dxfId="6156" priority="3601" operator="containsText" text="SIN OBSERVACIÓN">
      <formula>NOT(ISERROR(SEARCH("SIN OBSERVACIÓN",Q41)))</formula>
    </cfRule>
  </conditionalFormatting>
  <conditionalFormatting sqref="R41">
    <cfRule type="containsBlanks" dxfId="6155" priority="3588">
      <formula>LEN(TRIM(R41))=0</formula>
    </cfRule>
    <cfRule type="cellIs" dxfId="6154" priority="3590" operator="equal">
      <formula>"NO CUMPLEN CON LO SOLICITADO"</formula>
    </cfRule>
    <cfRule type="cellIs" dxfId="6153" priority="3591" operator="equal">
      <formula>"CUMPLEN CON LO SOLICITADO"</formula>
    </cfRule>
    <cfRule type="cellIs" dxfId="6152" priority="3592" operator="equal">
      <formula>"PENDIENTES"</formula>
    </cfRule>
    <cfRule type="cellIs" dxfId="6151" priority="3593" operator="equal">
      <formula>"NINGUNO"</formula>
    </cfRule>
  </conditionalFormatting>
  <conditionalFormatting sqref="P41">
    <cfRule type="expression" dxfId="6150" priority="3579">
      <formula>Q41="NO SUBSANABLE"</formula>
    </cfRule>
    <cfRule type="expression" dxfId="6149" priority="3580">
      <formula>Q41="REQUERIMIENTOS SUBSANADOS"</formula>
    </cfRule>
    <cfRule type="expression" dxfId="6148" priority="3581">
      <formula>Q41="PENDIENTES POR SUBSANAR"</formula>
    </cfRule>
    <cfRule type="expression" dxfId="6147" priority="3582">
      <formula>Q41="SIN OBSERVACIÓN"</formula>
    </cfRule>
    <cfRule type="containsBlanks" dxfId="6146" priority="3583">
      <formula>LEN(TRIM(P41))=0</formula>
    </cfRule>
  </conditionalFormatting>
  <conditionalFormatting sqref="N44">
    <cfRule type="expression" dxfId="6145" priority="3576">
      <formula>N44=" "</formula>
    </cfRule>
    <cfRule type="expression" dxfId="6144" priority="3577">
      <formula>N44="NO PRESENTÓ CERTIFICADO"</formula>
    </cfRule>
    <cfRule type="expression" dxfId="6143" priority="3578">
      <formula>N44="PRESENTÓ CERTIFICADO"</formula>
    </cfRule>
  </conditionalFormatting>
  <conditionalFormatting sqref="Q44">
    <cfRule type="containsBlanks" dxfId="6142" priority="3563">
      <formula>LEN(TRIM(Q44))=0</formula>
    </cfRule>
    <cfRule type="cellIs" dxfId="6141" priority="3569" operator="equal">
      <formula>"REQUERIMIENTOS SUBSANADOS"</formula>
    </cfRule>
    <cfRule type="containsText" dxfId="6140" priority="3573" operator="containsText" text="NO SUBSANABLE">
      <formula>NOT(ISERROR(SEARCH("NO SUBSANABLE",Q44)))</formula>
    </cfRule>
    <cfRule type="containsText" dxfId="6139" priority="3574" operator="containsText" text="PENDIENTES POR SUBSANAR">
      <formula>NOT(ISERROR(SEARCH("PENDIENTES POR SUBSANAR",Q44)))</formula>
    </cfRule>
    <cfRule type="containsText" dxfId="6138" priority="3575" operator="containsText" text="SIN OBSERVACIÓN">
      <formula>NOT(ISERROR(SEARCH("SIN OBSERVACIÓN",Q44)))</formula>
    </cfRule>
  </conditionalFormatting>
  <conditionalFormatting sqref="R44">
    <cfRule type="containsBlanks" dxfId="6137" priority="3562">
      <formula>LEN(TRIM(R44))=0</formula>
    </cfRule>
    <cfRule type="cellIs" dxfId="6136" priority="3564" operator="equal">
      <formula>"NO CUMPLEN CON LO SOLICITADO"</formula>
    </cfRule>
    <cfRule type="cellIs" dxfId="6135" priority="3565" operator="equal">
      <formula>"CUMPLEN CON LO SOLICITADO"</formula>
    </cfRule>
    <cfRule type="cellIs" dxfId="6134" priority="3566" operator="equal">
      <formula>"PENDIENTES"</formula>
    </cfRule>
    <cfRule type="cellIs" dxfId="6133" priority="3567" operator="equal">
      <formula>"NINGUNO"</formula>
    </cfRule>
  </conditionalFormatting>
  <conditionalFormatting sqref="P44">
    <cfRule type="expression" dxfId="6132" priority="3553">
      <formula>Q44="NO SUBSANABLE"</formula>
    </cfRule>
    <cfRule type="expression" dxfId="6131" priority="3554">
      <formula>Q44="REQUERIMIENTOS SUBSANADOS"</formula>
    </cfRule>
    <cfRule type="expression" dxfId="6130" priority="3555">
      <formula>Q44="PENDIENTES POR SUBSANAR"</formula>
    </cfRule>
    <cfRule type="expression" dxfId="6129" priority="3556">
      <formula>Q44="SIN OBSERVACIÓN"</formula>
    </cfRule>
    <cfRule type="containsBlanks" dxfId="6128" priority="3557">
      <formula>LEN(TRIM(P44))=0</formula>
    </cfRule>
  </conditionalFormatting>
  <conditionalFormatting sqref="N47">
    <cfRule type="expression" dxfId="6127" priority="3550">
      <formula>N47=" "</formula>
    </cfRule>
    <cfRule type="expression" dxfId="6126" priority="3551">
      <formula>N47="NO PRESENTÓ CERTIFICADO"</formula>
    </cfRule>
    <cfRule type="expression" dxfId="6125" priority="3552">
      <formula>N47="PRESENTÓ CERTIFICADO"</formula>
    </cfRule>
  </conditionalFormatting>
  <conditionalFormatting sqref="Q47">
    <cfRule type="containsBlanks" dxfId="6124" priority="3537">
      <formula>LEN(TRIM(Q47))=0</formula>
    </cfRule>
    <cfRule type="cellIs" dxfId="6123" priority="3543" operator="equal">
      <formula>"REQUERIMIENTOS SUBSANADOS"</formula>
    </cfRule>
    <cfRule type="containsText" dxfId="6122" priority="3547" operator="containsText" text="NO SUBSANABLE">
      <formula>NOT(ISERROR(SEARCH("NO SUBSANABLE",Q47)))</formula>
    </cfRule>
    <cfRule type="containsText" dxfId="6121" priority="3548" operator="containsText" text="PENDIENTES POR SUBSANAR">
      <formula>NOT(ISERROR(SEARCH("PENDIENTES POR SUBSANAR",Q47)))</formula>
    </cfRule>
    <cfRule type="containsText" dxfId="6120" priority="3549" operator="containsText" text="SIN OBSERVACIÓN">
      <formula>NOT(ISERROR(SEARCH("SIN OBSERVACIÓN",Q47)))</formula>
    </cfRule>
  </conditionalFormatting>
  <conditionalFormatting sqref="R47">
    <cfRule type="containsBlanks" dxfId="6119" priority="3536">
      <formula>LEN(TRIM(R47))=0</formula>
    </cfRule>
    <cfRule type="cellIs" dxfId="6118" priority="3538" operator="equal">
      <formula>"NO CUMPLEN CON LO SOLICITADO"</formula>
    </cfRule>
    <cfRule type="cellIs" dxfId="6117" priority="3539" operator="equal">
      <formula>"CUMPLEN CON LO SOLICITADO"</formula>
    </cfRule>
    <cfRule type="cellIs" dxfId="6116" priority="3540" operator="equal">
      <formula>"PENDIENTES"</formula>
    </cfRule>
    <cfRule type="cellIs" dxfId="6115" priority="3541" operator="equal">
      <formula>"NINGUNO"</formula>
    </cfRule>
  </conditionalFormatting>
  <conditionalFormatting sqref="P47">
    <cfRule type="expression" dxfId="6114" priority="3527">
      <formula>Q47="NO SUBSANABLE"</formula>
    </cfRule>
    <cfRule type="expression" dxfId="6113" priority="3528">
      <formula>Q47="REQUERIMIENTOS SUBSANADOS"</formula>
    </cfRule>
    <cfRule type="expression" dxfId="6112" priority="3529">
      <formula>Q47="PENDIENTES POR SUBSANAR"</formula>
    </cfRule>
    <cfRule type="expression" dxfId="6111" priority="3530">
      <formula>Q47="SIN OBSERVACIÓN"</formula>
    </cfRule>
    <cfRule type="containsBlanks" dxfId="6110" priority="3531">
      <formula>LEN(TRIM(P47))=0</formula>
    </cfRule>
  </conditionalFormatting>
  <conditionalFormatting sqref="P91">
    <cfRule type="expression" dxfId="6109" priority="3345">
      <formula>Q91="NO SUBSANABLE"</formula>
    </cfRule>
    <cfRule type="expression" dxfId="6108" priority="3346">
      <formula>Q91="REQUERIMIENTOS SUBSANADOS"</formula>
    </cfRule>
    <cfRule type="expression" dxfId="6107" priority="3347">
      <formula>Q91="PENDIENTES POR SUBSANAR"</formula>
    </cfRule>
    <cfRule type="expression" dxfId="6106" priority="3348">
      <formula>Q91="SIN OBSERVACIÓN"</formula>
    </cfRule>
    <cfRule type="containsBlanks" dxfId="6105" priority="3349">
      <formula>LEN(TRIM(P91))=0</formula>
    </cfRule>
  </conditionalFormatting>
  <conditionalFormatting sqref="P107">
    <cfRule type="expression" dxfId="6104" priority="3267">
      <formula>Q107="NO SUBSANABLE"</formula>
    </cfRule>
    <cfRule type="expression" dxfId="6103" priority="3268">
      <formula>Q107="REQUERIMIENTOS SUBSANADOS"</formula>
    </cfRule>
    <cfRule type="expression" dxfId="6102" priority="3269">
      <formula>Q107="PENDIENTES POR SUBSANAR"</formula>
    </cfRule>
    <cfRule type="expression" dxfId="6101" priority="3270">
      <formula>Q107="SIN OBSERVACIÓN"</formula>
    </cfRule>
    <cfRule type="containsBlanks" dxfId="6100" priority="3271">
      <formula>LEN(TRIM(P107))=0</formula>
    </cfRule>
  </conditionalFormatting>
  <conditionalFormatting sqref="N135">
    <cfRule type="expression" dxfId="6099" priority="3206">
      <formula>N135=" "</formula>
    </cfRule>
    <cfRule type="expression" dxfId="6098" priority="3207">
      <formula>N135="NO PRESENTÓ CERTIFICADO"</formula>
    </cfRule>
    <cfRule type="expression" dxfId="6097" priority="3208">
      <formula>N135="PRESENTÓ CERTIFICADO"</formula>
    </cfRule>
  </conditionalFormatting>
  <conditionalFormatting sqref="O135">
    <cfRule type="cellIs" dxfId="6096" priority="3188" operator="equal">
      <formula>"PENDIENTE POR DESCRIPCIÓN"</formula>
    </cfRule>
    <cfRule type="cellIs" dxfId="6095" priority="3189" operator="equal">
      <formula>"DESCRIPCIÓN INSUFICIENTE"</formula>
    </cfRule>
    <cfRule type="cellIs" dxfId="6094" priority="3190" operator="equal">
      <formula>"NO ESTÁ ACORDE A ITEM 5.2.2 (T.R.)"</formula>
    </cfRule>
    <cfRule type="cellIs" dxfId="6093" priority="3191" operator="equal">
      <formula>"ACORDE A ITEM 5.2.2 (T.R.)"</formula>
    </cfRule>
    <cfRule type="cellIs" dxfId="6092" priority="3198" operator="equal">
      <formula>"PENDIENTE POR DESCRIPCIÓN"</formula>
    </cfRule>
    <cfRule type="cellIs" dxfId="6091" priority="3200" operator="equal">
      <formula>"DESCRIPCIÓN INSUFICIENTE"</formula>
    </cfRule>
    <cfRule type="cellIs" dxfId="6090" priority="3201" operator="equal">
      <formula>"NO ESTÁ ACORDE A ITEM 5.2.1 (T.R.)"</formula>
    </cfRule>
    <cfRule type="cellIs" dxfId="6089" priority="3202" operator="equal">
      <formula>"ACORDE A ITEM 5.2.1 (T.R.)"</formula>
    </cfRule>
  </conditionalFormatting>
  <conditionalFormatting sqref="Q135">
    <cfRule type="containsBlanks" dxfId="6088" priority="3193">
      <formula>LEN(TRIM(Q135))=0</formula>
    </cfRule>
    <cfRule type="cellIs" dxfId="6087" priority="3199" operator="equal">
      <formula>"REQUERIMIENTOS SUBSANADOS"</formula>
    </cfRule>
    <cfRule type="containsText" dxfId="6086" priority="3203" operator="containsText" text="NO SUBSANABLE">
      <formula>NOT(ISERROR(SEARCH("NO SUBSANABLE",Q135)))</formula>
    </cfRule>
    <cfRule type="containsText" dxfId="6085" priority="3204" operator="containsText" text="PENDIENTES POR SUBSANAR">
      <formula>NOT(ISERROR(SEARCH("PENDIENTES POR SUBSANAR",Q135)))</formula>
    </cfRule>
    <cfRule type="containsText" dxfId="6084" priority="3205" operator="containsText" text="SIN OBSERVACIÓN">
      <formula>NOT(ISERROR(SEARCH("SIN OBSERVACIÓN",Q135)))</formula>
    </cfRule>
  </conditionalFormatting>
  <conditionalFormatting sqref="R135">
    <cfRule type="containsBlanks" dxfId="6083" priority="3192">
      <formula>LEN(TRIM(R135))=0</formula>
    </cfRule>
    <cfRule type="cellIs" dxfId="6082" priority="3194" operator="equal">
      <formula>"NO CUMPLEN CON LO SOLICITADO"</formula>
    </cfRule>
    <cfRule type="cellIs" dxfId="6081" priority="3195" operator="equal">
      <formula>"CUMPLEN CON LO SOLICITADO"</formula>
    </cfRule>
    <cfRule type="cellIs" dxfId="6080" priority="3196" operator="equal">
      <formula>"PENDIENTES"</formula>
    </cfRule>
    <cfRule type="cellIs" dxfId="6079" priority="3197" operator="equal">
      <formula>"NINGUNO"</formula>
    </cfRule>
  </conditionalFormatting>
  <conditionalFormatting sqref="P135">
    <cfRule type="expression" dxfId="6078" priority="3183">
      <formula>Q135="NO SUBSANABLE"</formula>
    </cfRule>
    <cfRule type="expression" dxfId="6077" priority="3184">
      <formula>Q135="REQUERIMIENTOS SUBSANADOS"</formula>
    </cfRule>
    <cfRule type="expression" dxfId="6076" priority="3185">
      <formula>Q135="PENDIENTES POR SUBSANAR"</formula>
    </cfRule>
    <cfRule type="expression" dxfId="6075" priority="3186">
      <formula>Q135="SIN OBSERVACIÓN"</formula>
    </cfRule>
    <cfRule type="containsBlanks" dxfId="6074" priority="3187">
      <formula>LEN(TRIM(P135))=0</formula>
    </cfRule>
  </conditionalFormatting>
  <conditionalFormatting sqref="N151">
    <cfRule type="expression" dxfId="6073" priority="3128">
      <formula>N151=" "</formula>
    </cfRule>
    <cfRule type="expression" dxfId="6072" priority="3129">
      <formula>N151="NO PRESENTÓ CERTIFICADO"</formula>
    </cfRule>
    <cfRule type="expression" dxfId="6071" priority="3130">
      <formula>N151="PRESENTÓ CERTIFICADO"</formula>
    </cfRule>
  </conditionalFormatting>
  <conditionalFormatting sqref="O151">
    <cfRule type="cellIs" dxfId="6070" priority="3110" operator="equal">
      <formula>"PENDIENTE POR DESCRIPCIÓN"</formula>
    </cfRule>
    <cfRule type="cellIs" dxfId="6069" priority="3111" operator="equal">
      <formula>"DESCRIPCIÓN INSUFICIENTE"</formula>
    </cfRule>
    <cfRule type="cellIs" dxfId="6068" priority="3112" operator="equal">
      <formula>"NO ESTÁ ACORDE A ITEM 5.2.2 (T.R.)"</formula>
    </cfRule>
    <cfRule type="cellIs" dxfId="6067" priority="3113" operator="equal">
      <formula>"ACORDE A ITEM 5.2.2 (T.R.)"</formula>
    </cfRule>
    <cfRule type="cellIs" dxfId="6066" priority="3120" operator="equal">
      <formula>"PENDIENTE POR DESCRIPCIÓN"</formula>
    </cfRule>
    <cfRule type="cellIs" dxfId="6065" priority="3122" operator="equal">
      <formula>"DESCRIPCIÓN INSUFICIENTE"</formula>
    </cfRule>
    <cfRule type="cellIs" dxfId="6064" priority="3123" operator="equal">
      <formula>"NO ESTÁ ACORDE A ITEM 5.2.1 (T.R.)"</formula>
    </cfRule>
    <cfRule type="cellIs" dxfId="6063" priority="3124" operator="equal">
      <formula>"ACORDE A ITEM 5.2.1 (T.R.)"</formula>
    </cfRule>
  </conditionalFormatting>
  <conditionalFormatting sqref="Q151">
    <cfRule type="containsBlanks" dxfId="6062" priority="3115">
      <formula>LEN(TRIM(Q151))=0</formula>
    </cfRule>
    <cfRule type="cellIs" dxfId="6061" priority="3121" operator="equal">
      <formula>"REQUERIMIENTOS SUBSANADOS"</formula>
    </cfRule>
    <cfRule type="containsText" dxfId="6060" priority="3125" operator="containsText" text="NO SUBSANABLE">
      <formula>NOT(ISERROR(SEARCH("NO SUBSANABLE",Q151)))</formula>
    </cfRule>
    <cfRule type="containsText" dxfId="6059" priority="3126" operator="containsText" text="PENDIENTES POR SUBSANAR">
      <formula>NOT(ISERROR(SEARCH("PENDIENTES POR SUBSANAR",Q151)))</formula>
    </cfRule>
    <cfRule type="containsText" dxfId="6058" priority="3127" operator="containsText" text="SIN OBSERVACIÓN">
      <formula>NOT(ISERROR(SEARCH("SIN OBSERVACIÓN",Q151)))</formula>
    </cfRule>
  </conditionalFormatting>
  <conditionalFormatting sqref="R151">
    <cfRule type="containsBlanks" dxfId="6057" priority="3114">
      <formula>LEN(TRIM(R151))=0</formula>
    </cfRule>
    <cfRule type="cellIs" dxfId="6056" priority="3116" operator="equal">
      <formula>"NO CUMPLEN CON LO SOLICITADO"</formula>
    </cfRule>
    <cfRule type="cellIs" dxfId="6055" priority="3117" operator="equal">
      <formula>"CUMPLEN CON LO SOLICITADO"</formula>
    </cfRule>
    <cfRule type="cellIs" dxfId="6054" priority="3118" operator="equal">
      <formula>"PENDIENTES"</formula>
    </cfRule>
    <cfRule type="cellIs" dxfId="6053" priority="3119" operator="equal">
      <formula>"NINGUNO"</formula>
    </cfRule>
  </conditionalFormatting>
  <conditionalFormatting sqref="P151">
    <cfRule type="expression" dxfId="6052" priority="3105">
      <formula>Q151="NO SUBSANABLE"</formula>
    </cfRule>
    <cfRule type="expression" dxfId="6051" priority="3106">
      <formula>Q151="REQUERIMIENTOS SUBSANADOS"</formula>
    </cfRule>
    <cfRule type="expression" dxfId="6050" priority="3107">
      <formula>Q151="PENDIENTES POR SUBSANAR"</formula>
    </cfRule>
    <cfRule type="expression" dxfId="6049" priority="3108">
      <formula>Q151="SIN OBSERVACIÓN"</formula>
    </cfRule>
    <cfRule type="containsBlanks" dxfId="6048" priority="3109">
      <formula>LEN(TRIM(P151))=0</formula>
    </cfRule>
  </conditionalFormatting>
  <conditionalFormatting sqref="N154">
    <cfRule type="expression" dxfId="6047" priority="3102">
      <formula>N154=" "</formula>
    </cfRule>
    <cfRule type="expression" dxfId="6046" priority="3103">
      <formula>N154="NO PRESENTÓ CERTIFICADO"</formula>
    </cfRule>
    <cfRule type="expression" dxfId="6045" priority="3104">
      <formula>N154="PRESENTÓ CERTIFICADO"</formula>
    </cfRule>
  </conditionalFormatting>
  <conditionalFormatting sqref="O154">
    <cfRule type="cellIs" dxfId="6044" priority="3084" operator="equal">
      <formula>"PENDIENTE POR DESCRIPCIÓN"</formula>
    </cfRule>
    <cfRule type="cellIs" dxfId="6043" priority="3085" operator="equal">
      <formula>"DESCRIPCIÓN INSUFICIENTE"</formula>
    </cfRule>
    <cfRule type="cellIs" dxfId="6042" priority="3086" operator="equal">
      <formula>"NO ESTÁ ACORDE A ITEM 5.2.2 (T.R.)"</formula>
    </cfRule>
    <cfRule type="cellIs" dxfId="6041" priority="3087" operator="equal">
      <formula>"ACORDE A ITEM 5.2.2 (T.R.)"</formula>
    </cfRule>
    <cfRule type="cellIs" dxfId="6040" priority="3094" operator="equal">
      <formula>"PENDIENTE POR DESCRIPCIÓN"</formula>
    </cfRule>
    <cfRule type="cellIs" dxfId="6039" priority="3096" operator="equal">
      <formula>"DESCRIPCIÓN INSUFICIENTE"</formula>
    </cfRule>
    <cfRule type="cellIs" dxfId="6038" priority="3097" operator="equal">
      <formula>"NO ESTÁ ACORDE A ITEM 5.2.1 (T.R.)"</formula>
    </cfRule>
    <cfRule type="cellIs" dxfId="6037" priority="3098" operator="equal">
      <formula>"ACORDE A ITEM 5.2.1 (T.R.)"</formula>
    </cfRule>
  </conditionalFormatting>
  <conditionalFormatting sqref="Q154">
    <cfRule type="containsBlanks" dxfId="6036" priority="3089">
      <formula>LEN(TRIM(Q154))=0</formula>
    </cfRule>
    <cfRule type="cellIs" dxfId="6035" priority="3095" operator="equal">
      <formula>"REQUERIMIENTOS SUBSANADOS"</formula>
    </cfRule>
    <cfRule type="containsText" dxfId="6034" priority="3099" operator="containsText" text="NO SUBSANABLE">
      <formula>NOT(ISERROR(SEARCH("NO SUBSANABLE",Q154)))</formula>
    </cfRule>
    <cfRule type="containsText" dxfId="6033" priority="3100" operator="containsText" text="PENDIENTES POR SUBSANAR">
      <formula>NOT(ISERROR(SEARCH("PENDIENTES POR SUBSANAR",Q154)))</formula>
    </cfRule>
    <cfRule type="containsText" dxfId="6032" priority="3101" operator="containsText" text="SIN OBSERVACIÓN">
      <formula>NOT(ISERROR(SEARCH("SIN OBSERVACIÓN",Q154)))</formula>
    </cfRule>
  </conditionalFormatting>
  <conditionalFormatting sqref="R154">
    <cfRule type="containsBlanks" dxfId="6031" priority="3088">
      <formula>LEN(TRIM(R154))=0</formula>
    </cfRule>
    <cfRule type="cellIs" dxfId="6030" priority="3090" operator="equal">
      <formula>"NO CUMPLEN CON LO SOLICITADO"</formula>
    </cfRule>
    <cfRule type="cellIs" dxfId="6029" priority="3091" operator="equal">
      <formula>"CUMPLEN CON LO SOLICITADO"</formula>
    </cfRule>
    <cfRule type="cellIs" dxfId="6028" priority="3092" operator="equal">
      <formula>"PENDIENTES"</formula>
    </cfRule>
    <cfRule type="cellIs" dxfId="6027" priority="3093" operator="equal">
      <formula>"NINGUNO"</formula>
    </cfRule>
  </conditionalFormatting>
  <conditionalFormatting sqref="P154">
    <cfRule type="expression" dxfId="6026" priority="3079">
      <formula>Q154="NO SUBSANABLE"</formula>
    </cfRule>
    <cfRule type="expression" dxfId="6025" priority="3080">
      <formula>Q154="REQUERIMIENTOS SUBSANADOS"</formula>
    </cfRule>
    <cfRule type="expression" dxfId="6024" priority="3081">
      <formula>Q154="PENDIENTES POR SUBSANAR"</formula>
    </cfRule>
    <cfRule type="expression" dxfId="6023" priority="3082">
      <formula>Q154="SIN OBSERVACIÓN"</formula>
    </cfRule>
    <cfRule type="containsBlanks" dxfId="6022" priority="3083">
      <formula>LEN(TRIM(P154))=0</formula>
    </cfRule>
  </conditionalFormatting>
  <conditionalFormatting sqref="K35">
    <cfRule type="expression" dxfId="6021" priority="3077">
      <formula>J35="NO CUMPLE"</formula>
    </cfRule>
    <cfRule type="expression" dxfId="6020" priority="3078">
      <formula>J35="CUMPLE"</formula>
    </cfRule>
  </conditionalFormatting>
  <conditionalFormatting sqref="K36:K37">
    <cfRule type="expression" dxfId="6019" priority="3075">
      <formula>J36="NO CUMPLE"</formula>
    </cfRule>
    <cfRule type="expression" dxfId="6018" priority="3076">
      <formula>J36="CUMPLE"</formula>
    </cfRule>
  </conditionalFormatting>
  <conditionalFormatting sqref="K57">
    <cfRule type="expression" dxfId="6017" priority="3073">
      <formula>J57="NO CUMPLE"</formula>
    </cfRule>
    <cfRule type="expression" dxfId="6016" priority="3074">
      <formula>J57="CUMPLE"</formula>
    </cfRule>
  </conditionalFormatting>
  <conditionalFormatting sqref="K58:K59">
    <cfRule type="expression" dxfId="6015" priority="3071">
      <formula>J58="NO CUMPLE"</formula>
    </cfRule>
    <cfRule type="expression" dxfId="6014" priority="3072">
      <formula>J58="CUMPLE"</formula>
    </cfRule>
  </conditionalFormatting>
  <conditionalFormatting sqref="K79">
    <cfRule type="expression" dxfId="6013" priority="3069">
      <formula>J79="NO CUMPLE"</formula>
    </cfRule>
    <cfRule type="expression" dxfId="6012" priority="3070">
      <formula>J79="CUMPLE"</formula>
    </cfRule>
  </conditionalFormatting>
  <conditionalFormatting sqref="K80:K81">
    <cfRule type="expression" dxfId="6011" priority="3067">
      <formula>J80="NO CUMPLE"</formula>
    </cfRule>
    <cfRule type="expression" dxfId="6010" priority="3068">
      <formula>J80="CUMPLE"</formula>
    </cfRule>
  </conditionalFormatting>
  <conditionalFormatting sqref="K101">
    <cfRule type="expression" dxfId="6009" priority="3065">
      <formula>J101="NO CUMPLE"</formula>
    </cfRule>
    <cfRule type="expression" dxfId="6008" priority="3066">
      <formula>J101="CUMPLE"</formula>
    </cfRule>
  </conditionalFormatting>
  <conditionalFormatting sqref="K102:K103">
    <cfRule type="expression" dxfId="6007" priority="3063">
      <formula>J102="NO CUMPLE"</formula>
    </cfRule>
    <cfRule type="expression" dxfId="6006" priority="3064">
      <formula>J102="CUMPLE"</formula>
    </cfRule>
  </conditionalFormatting>
  <conditionalFormatting sqref="K123">
    <cfRule type="expression" dxfId="6005" priority="3061">
      <formula>J123="NO CUMPLE"</formula>
    </cfRule>
    <cfRule type="expression" dxfId="6004" priority="3062">
      <formula>J123="CUMPLE"</formula>
    </cfRule>
  </conditionalFormatting>
  <conditionalFormatting sqref="K124:K125">
    <cfRule type="expression" dxfId="6003" priority="3059">
      <formula>J124="NO CUMPLE"</formula>
    </cfRule>
    <cfRule type="expression" dxfId="6002" priority="3060">
      <formula>J124="CUMPLE"</formula>
    </cfRule>
  </conditionalFormatting>
  <conditionalFormatting sqref="K145">
    <cfRule type="expression" dxfId="6001" priority="3057">
      <formula>J145="NO CUMPLE"</formula>
    </cfRule>
    <cfRule type="expression" dxfId="6000" priority="3058">
      <formula>J145="CUMPLE"</formula>
    </cfRule>
  </conditionalFormatting>
  <conditionalFormatting sqref="K146:K147">
    <cfRule type="expression" dxfId="5999" priority="3055">
      <formula>J146="NO CUMPLE"</formula>
    </cfRule>
    <cfRule type="expression" dxfId="5998" priority="3056">
      <formula>J146="CUMPLE"</formula>
    </cfRule>
  </conditionalFormatting>
  <conditionalFormatting sqref="J167">
    <cfRule type="cellIs" dxfId="5997" priority="3053" operator="equal">
      <formula>"NO CUMPLE"</formula>
    </cfRule>
    <cfRule type="cellIs" dxfId="5996" priority="3054" operator="equal">
      <formula>"CUMPLE"</formula>
    </cfRule>
  </conditionalFormatting>
  <conditionalFormatting sqref="K167">
    <cfRule type="expression" dxfId="5995" priority="3049">
      <formula>J167="NO CUMPLE"</formula>
    </cfRule>
    <cfRule type="expression" dxfId="5994" priority="3050">
      <formula>J167="CUMPLE"</formula>
    </cfRule>
  </conditionalFormatting>
  <conditionalFormatting sqref="K168:K169">
    <cfRule type="expression" dxfId="5993" priority="3047">
      <formula>J168="NO CUMPLE"</formula>
    </cfRule>
    <cfRule type="expression" dxfId="5992" priority="3048">
      <formula>J168="CUMPLE"</formula>
    </cfRule>
  </conditionalFormatting>
  <conditionalFormatting sqref="J189">
    <cfRule type="cellIs" dxfId="5991" priority="3045" operator="equal">
      <formula>"NO CUMPLE"</formula>
    </cfRule>
    <cfRule type="cellIs" dxfId="5990" priority="3046" operator="equal">
      <formula>"CUMPLE"</formula>
    </cfRule>
  </conditionalFormatting>
  <conditionalFormatting sqref="J190:J191">
    <cfRule type="cellIs" dxfId="5989" priority="3043" operator="equal">
      <formula>"NO CUMPLE"</formula>
    </cfRule>
    <cfRule type="cellIs" dxfId="5988" priority="3044" operator="equal">
      <formula>"CUMPLE"</formula>
    </cfRule>
  </conditionalFormatting>
  <conditionalFormatting sqref="K189">
    <cfRule type="expression" dxfId="5987" priority="3041">
      <formula>J189="NO CUMPLE"</formula>
    </cfRule>
    <cfRule type="expression" dxfId="5986" priority="3042">
      <formula>J189="CUMPLE"</formula>
    </cfRule>
  </conditionalFormatting>
  <conditionalFormatting sqref="K190:K191">
    <cfRule type="expression" dxfId="5985" priority="3039">
      <formula>J190="NO CUMPLE"</formula>
    </cfRule>
    <cfRule type="expression" dxfId="5984" priority="3040">
      <formula>J190="CUMPLE"</formula>
    </cfRule>
  </conditionalFormatting>
  <conditionalFormatting sqref="S211">
    <cfRule type="cellIs" dxfId="5983" priority="3037" operator="greaterThan">
      <formula>0</formula>
    </cfRule>
    <cfRule type="top10" dxfId="5982" priority="3038" rank="10"/>
  </conditionalFormatting>
  <conditionalFormatting sqref="B226">
    <cfRule type="cellIs" dxfId="5981" priority="3033" operator="equal">
      <formula>"NO CUMPLE CON LA EXPERIENCIA REQUERIDA"</formula>
    </cfRule>
    <cfRule type="cellIs" dxfId="5980" priority="3034" operator="equal">
      <formula>"CUMPLE CON LA EXPERIENCIA REQUERIDA"</formula>
    </cfRule>
  </conditionalFormatting>
  <conditionalFormatting sqref="H211 H214 H217 H220 H223">
    <cfRule type="notContainsBlanks" dxfId="5979" priority="3032">
      <formula>LEN(TRIM(H211))&gt;0</formula>
    </cfRule>
  </conditionalFormatting>
  <conditionalFormatting sqref="G211">
    <cfRule type="notContainsBlanks" dxfId="5978" priority="3031">
      <formula>LEN(TRIM(G211))&gt;0</formula>
    </cfRule>
  </conditionalFormatting>
  <conditionalFormatting sqref="F211">
    <cfRule type="notContainsBlanks" dxfId="5977" priority="3030">
      <formula>LEN(TRIM(F211))&gt;0</formula>
    </cfRule>
  </conditionalFormatting>
  <conditionalFormatting sqref="E211">
    <cfRule type="notContainsBlanks" dxfId="5976" priority="3029">
      <formula>LEN(TRIM(E211))&gt;0</formula>
    </cfRule>
  </conditionalFormatting>
  <conditionalFormatting sqref="D211">
    <cfRule type="notContainsBlanks" dxfId="5975" priority="3028">
      <formula>LEN(TRIM(D211))&gt;0</formula>
    </cfRule>
  </conditionalFormatting>
  <conditionalFormatting sqref="C211">
    <cfRule type="notContainsBlanks" dxfId="5974" priority="3027">
      <formula>LEN(TRIM(C211))&gt;0</formula>
    </cfRule>
  </conditionalFormatting>
  <conditionalFormatting sqref="I211">
    <cfRule type="notContainsBlanks" dxfId="5973" priority="3026">
      <formula>LEN(TRIM(I211))&gt;0</formula>
    </cfRule>
  </conditionalFormatting>
  <conditionalFormatting sqref="S214">
    <cfRule type="cellIs" dxfId="5972" priority="3022" operator="greaterThan">
      <formula>0</formula>
    </cfRule>
    <cfRule type="top10" dxfId="5971" priority="3023" rank="10"/>
  </conditionalFormatting>
  <conditionalFormatting sqref="S217">
    <cfRule type="cellIs" dxfId="5970" priority="3020" operator="greaterThan">
      <formula>0</formula>
    </cfRule>
    <cfRule type="top10" dxfId="5969" priority="3021" rank="10"/>
  </conditionalFormatting>
  <conditionalFormatting sqref="G217">
    <cfRule type="notContainsBlanks" dxfId="5968" priority="3019">
      <formula>LEN(TRIM(G217))&gt;0</formula>
    </cfRule>
  </conditionalFormatting>
  <conditionalFormatting sqref="F217">
    <cfRule type="notContainsBlanks" dxfId="5967" priority="3018">
      <formula>LEN(TRIM(F217))&gt;0</formula>
    </cfRule>
  </conditionalFormatting>
  <conditionalFormatting sqref="E217">
    <cfRule type="notContainsBlanks" dxfId="5966" priority="3017">
      <formula>LEN(TRIM(E217))&gt;0</formula>
    </cfRule>
  </conditionalFormatting>
  <conditionalFormatting sqref="D217">
    <cfRule type="notContainsBlanks" dxfId="5965" priority="3016">
      <formula>LEN(TRIM(D217))&gt;0</formula>
    </cfRule>
  </conditionalFormatting>
  <conditionalFormatting sqref="C217">
    <cfRule type="notContainsBlanks" dxfId="5964" priority="3015">
      <formula>LEN(TRIM(C217))&gt;0</formula>
    </cfRule>
  </conditionalFormatting>
  <conditionalFormatting sqref="I217">
    <cfRule type="notContainsBlanks" dxfId="5963" priority="3014">
      <formula>LEN(TRIM(I217))&gt;0</formula>
    </cfRule>
  </conditionalFormatting>
  <conditionalFormatting sqref="S220">
    <cfRule type="cellIs" dxfId="5962" priority="3012" operator="greaterThan">
      <formula>0</formula>
    </cfRule>
    <cfRule type="top10" dxfId="5961" priority="3013" rank="10"/>
  </conditionalFormatting>
  <conditionalFormatting sqref="S223">
    <cfRule type="cellIs" dxfId="5960" priority="3010" operator="greaterThan">
      <formula>0</formula>
    </cfRule>
    <cfRule type="top10" dxfId="5959" priority="3011" rank="10"/>
  </conditionalFormatting>
  <conditionalFormatting sqref="G223">
    <cfRule type="notContainsBlanks" dxfId="5958" priority="3009">
      <formula>LEN(TRIM(G223))&gt;0</formula>
    </cfRule>
  </conditionalFormatting>
  <conditionalFormatting sqref="F223">
    <cfRule type="notContainsBlanks" dxfId="5957" priority="3008">
      <formula>LEN(TRIM(F223))&gt;0</formula>
    </cfRule>
  </conditionalFormatting>
  <conditionalFormatting sqref="E223">
    <cfRule type="notContainsBlanks" dxfId="5956" priority="3007">
      <formula>LEN(TRIM(E223))&gt;0</formula>
    </cfRule>
  </conditionalFormatting>
  <conditionalFormatting sqref="D223">
    <cfRule type="notContainsBlanks" dxfId="5955" priority="3006">
      <formula>LEN(TRIM(D223))&gt;0</formula>
    </cfRule>
  </conditionalFormatting>
  <conditionalFormatting sqref="C223">
    <cfRule type="notContainsBlanks" dxfId="5954" priority="3005">
      <formula>LEN(TRIM(C223))&gt;0</formula>
    </cfRule>
  </conditionalFormatting>
  <conditionalFormatting sqref="I223">
    <cfRule type="notContainsBlanks" dxfId="5953" priority="3004">
      <formula>LEN(TRIM(I223))&gt;0</formula>
    </cfRule>
  </conditionalFormatting>
  <conditionalFormatting sqref="G214">
    <cfRule type="notContainsBlanks" dxfId="5952" priority="3003">
      <formula>LEN(TRIM(G214))&gt;0</formula>
    </cfRule>
  </conditionalFormatting>
  <conditionalFormatting sqref="F214">
    <cfRule type="notContainsBlanks" dxfId="5951" priority="3002">
      <formula>LEN(TRIM(F214))&gt;0</formula>
    </cfRule>
  </conditionalFormatting>
  <conditionalFormatting sqref="E214">
    <cfRule type="notContainsBlanks" dxfId="5950" priority="3001">
      <formula>LEN(TRIM(E214))&gt;0</formula>
    </cfRule>
  </conditionalFormatting>
  <conditionalFormatting sqref="D214">
    <cfRule type="notContainsBlanks" dxfId="5949" priority="3000">
      <formula>LEN(TRIM(D214))&gt;0</formula>
    </cfRule>
  </conditionalFormatting>
  <conditionalFormatting sqref="C214">
    <cfRule type="notContainsBlanks" dxfId="5948" priority="2999">
      <formula>LEN(TRIM(C214))&gt;0</formula>
    </cfRule>
  </conditionalFormatting>
  <conditionalFormatting sqref="G220">
    <cfRule type="notContainsBlanks" dxfId="5947" priority="2998">
      <formula>LEN(TRIM(G220))&gt;0</formula>
    </cfRule>
  </conditionalFormatting>
  <conditionalFormatting sqref="F220">
    <cfRule type="notContainsBlanks" dxfId="5946" priority="2997">
      <formula>LEN(TRIM(F220))&gt;0</formula>
    </cfRule>
  </conditionalFormatting>
  <conditionalFormatting sqref="E220">
    <cfRule type="notContainsBlanks" dxfId="5945" priority="2996">
      <formula>LEN(TRIM(E220))&gt;0</formula>
    </cfRule>
  </conditionalFormatting>
  <conditionalFormatting sqref="D220">
    <cfRule type="notContainsBlanks" dxfId="5944" priority="2995">
      <formula>LEN(TRIM(D220))&gt;0</formula>
    </cfRule>
  </conditionalFormatting>
  <conditionalFormatting sqref="C220">
    <cfRule type="notContainsBlanks" dxfId="5943" priority="2994">
      <formula>LEN(TRIM(C220))&gt;0</formula>
    </cfRule>
  </conditionalFormatting>
  <conditionalFormatting sqref="I214">
    <cfRule type="notContainsBlanks" dxfId="5942" priority="2993">
      <formula>LEN(TRIM(I214))&gt;0</formula>
    </cfRule>
  </conditionalFormatting>
  <conditionalFormatting sqref="I220">
    <cfRule type="notContainsBlanks" dxfId="5941" priority="2992">
      <formula>LEN(TRIM(I220))&gt;0</formula>
    </cfRule>
  </conditionalFormatting>
  <conditionalFormatting sqref="S226">
    <cfRule type="expression" dxfId="5940" priority="2990">
      <formula>$S$28&gt;0</formula>
    </cfRule>
    <cfRule type="cellIs" dxfId="5939" priority="2991" operator="equal">
      <formula>0</formula>
    </cfRule>
  </conditionalFormatting>
  <conditionalFormatting sqref="S227">
    <cfRule type="expression" dxfId="5938" priority="2988">
      <formula>$S$28&gt;0</formula>
    </cfRule>
    <cfRule type="cellIs" dxfId="5937" priority="2989" operator="equal">
      <formula>0</formula>
    </cfRule>
  </conditionalFormatting>
  <conditionalFormatting sqref="N223">
    <cfRule type="expression" dxfId="5936" priority="2949">
      <formula>N223=" "</formula>
    </cfRule>
    <cfRule type="expression" dxfId="5935" priority="2950">
      <formula>N223="NO PRESENTÓ CERTIFICADO"</formula>
    </cfRule>
    <cfRule type="expression" dxfId="5934" priority="2951">
      <formula>N223="PRESENTÓ CERTIFICADO"</formula>
    </cfRule>
  </conditionalFormatting>
  <conditionalFormatting sqref="O223">
    <cfRule type="cellIs" dxfId="5933" priority="2931" operator="equal">
      <formula>"PENDIENTE POR DESCRIPCIÓN"</formula>
    </cfRule>
    <cfRule type="cellIs" dxfId="5932" priority="2932" operator="equal">
      <formula>"DESCRIPCIÓN INSUFICIENTE"</formula>
    </cfRule>
    <cfRule type="cellIs" dxfId="5931" priority="2933" operator="equal">
      <formula>"NO ESTÁ ACORDE A ITEM 5.2.2 (T.R.)"</formula>
    </cfRule>
    <cfRule type="cellIs" dxfId="5930" priority="2934" operator="equal">
      <formula>"ACORDE A ITEM 5.2.2 (T.R.)"</formula>
    </cfRule>
    <cfRule type="cellIs" dxfId="5929" priority="2941" operator="equal">
      <formula>"PENDIENTE POR DESCRIPCIÓN"</formula>
    </cfRule>
    <cfRule type="cellIs" dxfId="5928" priority="2943" operator="equal">
      <formula>"DESCRIPCIÓN INSUFICIENTE"</formula>
    </cfRule>
    <cfRule type="cellIs" dxfId="5927" priority="2944" operator="equal">
      <formula>"NO ESTÁ ACORDE A ITEM 5.2.1 (T.R.)"</formula>
    </cfRule>
    <cfRule type="cellIs" dxfId="5926" priority="2945" operator="equal">
      <formula>"ACORDE A ITEM 5.2.1 (T.R.)"</formula>
    </cfRule>
  </conditionalFormatting>
  <conditionalFormatting sqref="Q223">
    <cfRule type="containsBlanks" dxfId="5925" priority="2936">
      <formula>LEN(TRIM(Q223))=0</formula>
    </cfRule>
    <cfRule type="cellIs" dxfId="5924" priority="2942" operator="equal">
      <formula>"REQUERIMIENTOS SUBSANADOS"</formula>
    </cfRule>
    <cfRule type="containsText" dxfId="5923" priority="2946" operator="containsText" text="NO SUBSANABLE">
      <formula>NOT(ISERROR(SEARCH("NO SUBSANABLE",Q223)))</formula>
    </cfRule>
    <cfRule type="containsText" dxfId="5922" priority="2947" operator="containsText" text="PENDIENTES POR SUBSANAR">
      <formula>NOT(ISERROR(SEARCH("PENDIENTES POR SUBSANAR",Q223)))</formula>
    </cfRule>
    <cfRule type="containsText" dxfId="5921" priority="2948" operator="containsText" text="SIN OBSERVACIÓN">
      <formula>NOT(ISERROR(SEARCH("SIN OBSERVACIÓN",Q223)))</formula>
    </cfRule>
  </conditionalFormatting>
  <conditionalFormatting sqref="R223">
    <cfRule type="containsBlanks" dxfId="5920" priority="2935">
      <formula>LEN(TRIM(R223))=0</formula>
    </cfRule>
    <cfRule type="cellIs" dxfId="5919" priority="2937" operator="equal">
      <formula>"NO CUMPLEN CON LO SOLICITADO"</formula>
    </cfRule>
    <cfRule type="cellIs" dxfId="5918" priority="2938" operator="equal">
      <formula>"CUMPLEN CON LO SOLICITADO"</formula>
    </cfRule>
    <cfRule type="cellIs" dxfId="5917" priority="2939" operator="equal">
      <formula>"PENDIENTES"</formula>
    </cfRule>
    <cfRule type="cellIs" dxfId="5916" priority="2940" operator="equal">
      <formula>"NINGUNO"</formula>
    </cfRule>
  </conditionalFormatting>
  <conditionalFormatting sqref="P214 P217 P220 P223">
    <cfRule type="expression" dxfId="5915" priority="2926">
      <formula>Q214="NO SUBSANABLE"</formula>
    </cfRule>
    <cfRule type="expression" dxfId="5914" priority="2927">
      <formula>Q214="REQUERIMIENTOS SUBSANADOS"</formula>
    </cfRule>
    <cfRule type="expression" dxfId="5913" priority="2928">
      <formula>Q214="PENDIENTES POR SUBSANAR"</formula>
    </cfRule>
    <cfRule type="expression" dxfId="5912" priority="2929">
      <formula>Q214="SIN OBSERVACIÓN"</formula>
    </cfRule>
    <cfRule type="containsBlanks" dxfId="5911" priority="2930">
      <formula>LEN(TRIM(P214))=0</formula>
    </cfRule>
  </conditionalFormatting>
  <conditionalFormatting sqref="N214">
    <cfRule type="expression" dxfId="5910" priority="2923">
      <formula>N214=" "</formula>
    </cfRule>
    <cfRule type="expression" dxfId="5909" priority="2924">
      <formula>N214="NO PRESENTÓ CERTIFICADO"</formula>
    </cfRule>
    <cfRule type="expression" dxfId="5908" priority="2925">
      <formula>N214="PRESENTÓ CERTIFICADO"</formula>
    </cfRule>
  </conditionalFormatting>
  <conditionalFormatting sqref="N217">
    <cfRule type="expression" dxfId="5907" priority="2920">
      <formula>N217=" "</formula>
    </cfRule>
    <cfRule type="expression" dxfId="5906" priority="2921">
      <formula>N217="NO PRESENTÓ CERTIFICADO"</formula>
    </cfRule>
    <cfRule type="expression" dxfId="5905" priority="2922">
      <formula>N217="PRESENTÓ CERTIFICADO"</formula>
    </cfRule>
  </conditionalFormatting>
  <conditionalFormatting sqref="N220">
    <cfRule type="expression" dxfId="5904" priority="2917">
      <formula>N220=" "</formula>
    </cfRule>
    <cfRule type="expression" dxfId="5903" priority="2918">
      <formula>N220="NO PRESENTÓ CERTIFICADO"</formula>
    </cfRule>
    <cfRule type="expression" dxfId="5902" priority="2919">
      <formula>N220="PRESENTÓ CERTIFICADO"</formula>
    </cfRule>
  </conditionalFormatting>
  <conditionalFormatting sqref="O214">
    <cfRule type="cellIs" dxfId="5901" priority="2909" operator="equal">
      <formula>"PENDIENTE POR DESCRIPCIÓN"</formula>
    </cfRule>
    <cfRule type="cellIs" dxfId="5900" priority="2910" operator="equal">
      <formula>"DESCRIPCIÓN INSUFICIENTE"</formula>
    </cfRule>
    <cfRule type="cellIs" dxfId="5899" priority="2911" operator="equal">
      <formula>"NO ESTÁ ACORDE A ITEM 5.2.2 (T.R.)"</formula>
    </cfRule>
    <cfRule type="cellIs" dxfId="5898" priority="2912" operator="equal">
      <formula>"ACORDE A ITEM 5.2.2 (T.R.)"</formula>
    </cfRule>
    <cfRule type="cellIs" dxfId="5897" priority="2913" operator="equal">
      <formula>"PENDIENTE POR DESCRIPCIÓN"</formula>
    </cfRule>
    <cfRule type="cellIs" dxfId="5896" priority="2914" operator="equal">
      <formula>"DESCRIPCIÓN INSUFICIENTE"</formula>
    </cfRule>
    <cfRule type="cellIs" dxfId="5895" priority="2915" operator="equal">
      <formula>"NO ESTÁ ACORDE A ITEM 5.2.1 (T.R.)"</formula>
    </cfRule>
    <cfRule type="cellIs" dxfId="5894" priority="2916" operator="equal">
      <formula>"ACORDE A ITEM 5.2.1 (T.R.)"</formula>
    </cfRule>
  </conditionalFormatting>
  <conditionalFormatting sqref="O217">
    <cfRule type="cellIs" dxfId="5893" priority="2901" operator="equal">
      <formula>"PENDIENTE POR DESCRIPCIÓN"</formula>
    </cfRule>
    <cfRule type="cellIs" dxfId="5892" priority="2902" operator="equal">
      <formula>"DESCRIPCIÓN INSUFICIENTE"</formula>
    </cfRule>
    <cfRule type="cellIs" dxfId="5891" priority="2903" operator="equal">
      <formula>"NO ESTÁ ACORDE A ITEM 5.2.2 (T.R.)"</formula>
    </cfRule>
    <cfRule type="cellIs" dxfId="5890" priority="2904" operator="equal">
      <formula>"ACORDE A ITEM 5.2.2 (T.R.)"</formula>
    </cfRule>
    <cfRule type="cellIs" dxfId="5889" priority="2905" operator="equal">
      <formula>"PENDIENTE POR DESCRIPCIÓN"</formula>
    </cfRule>
    <cfRule type="cellIs" dxfId="5888" priority="2906" operator="equal">
      <formula>"DESCRIPCIÓN INSUFICIENTE"</formula>
    </cfRule>
    <cfRule type="cellIs" dxfId="5887" priority="2907" operator="equal">
      <formula>"NO ESTÁ ACORDE A ITEM 5.2.1 (T.R.)"</formula>
    </cfRule>
    <cfRule type="cellIs" dxfId="5886" priority="2908" operator="equal">
      <formula>"ACORDE A ITEM 5.2.1 (T.R.)"</formula>
    </cfRule>
  </conditionalFormatting>
  <conditionalFormatting sqref="O220">
    <cfRule type="cellIs" dxfId="5885" priority="2893" operator="equal">
      <formula>"PENDIENTE POR DESCRIPCIÓN"</formula>
    </cfRule>
    <cfRule type="cellIs" dxfId="5884" priority="2894" operator="equal">
      <formula>"DESCRIPCIÓN INSUFICIENTE"</formula>
    </cfRule>
    <cfRule type="cellIs" dxfId="5883" priority="2895" operator="equal">
      <formula>"NO ESTÁ ACORDE A ITEM 5.2.2 (T.R.)"</formula>
    </cfRule>
    <cfRule type="cellIs" dxfId="5882" priority="2896" operator="equal">
      <formula>"ACORDE A ITEM 5.2.2 (T.R.)"</formula>
    </cfRule>
    <cfRule type="cellIs" dxfId="5881" priority="2897" operator="equal">
      <formula>"PENDIENTE POR DESCRIPCIÓN"</formula>
    </cfRule>
    <cfRule type="cellIs" dxfId="5880" priority="2898" operator="equal">
      <formula>"DESCRIPCIÓN INSUFICIENTE"</formula>
    </cfRule>
    <cfRule type="cellIs" dxfId="5879" priority="2899" operator="equal">
      <formula>"NO ESTÁ ACORDE A ITEM 5.2.1 (T.R.)"</formula>
    </cfRule>
    <cfRule type="cellIs" dxfId="5878" priority="2900" operator="equal">
      <formula>"ACORDE A ITEM 5.2.1 (T.R.)"</formula>
    </cfRule>
  </conditionalFormatting>
  <conditionalFormatting sqref="Q214">
    <cfRule type="containsBlanks" dxfId="5877" priority="2884">
      <formula>LEN(TRIM(Q214))=0</formula>
    </cfRule>
    <cfRule type="cellIs" dxfId="5876" priority="2889" operator="equal">
      <formula>"REQUERIMIENTOS SUBSANADOS"</formula>
    </cfRule>
    <cfRule type="containsText" dxfId="5875" priority="2890" operator="containsText" text="NO SUBSANABLE">
      <formula>NOT(ISERROR(SEARCH("NO SUBSANABLE",Q214)))</formula>
    </cfRule>
    <cfRule type="containsText" dxfId="5874" priority="2891" operator="containsText" text="PENDIENTES POR SUBSANAR">
      <formula>NOT(ISERROR(SEARCH("PENDIENTES POR SUBSANAR",Q214)))</formula>
    </cfRule>
    <cfRule type="containsText" dxfId="5873" priority="2892" operator="containsText" text="SIN OBSERVACIÓN">
      <formula>NOT(ISERROR(SEARCH("SIN OBSERVACIÓN",Q214)))</formula>
    </cfRule>
  </conditionalFormatting>
  <conditionalFormatting sqref="R214">
    <cfRule type="containsBlanks" dxfId="5872" priority="2883">
      <formula>LEN(TRIM(R214))=0</formula>
    </cfRule>
    <cfRule type="cellIs" dxfId="5871" priority="2885" operator="equal">
      <formula>"NO CUMPLEN CON LO SOLICITADO"</formula>
    </cfRule>
    <cfRule type="cellIs" dxfId="5870" priority="2886" operator="equal">
      <formula>"CUMPLEN CON LO SOLICITADO"</formula>
    </cfRule>
    <cfRule type="cellIs" dxfId="5869" priority="2887" operator="equal">
      <formula>"PENDIENTES"</formula>
    </cfRule>
    <cfRule type="cellIs" dxfId="5868" priority="2888" operator="equal">
      <formula>"NINGUNO"</formula>
    </cfRule>
  </conditionalFormatting>
  <conditionalFormatting sqref="Q217">
    <cfRule type="containsBlanks" dxfId="5867" priority="2874">
      <formula>LEN(TRIM(Q217))=0</formula>
    </cfRule>
    <cfRule type="cellIs" dxfId="5866" priority="2879" operator="equal">
      <formula>"REQUERIMIENTOS SUBSANADOS"</formula>
    </cfRule>
    <cfRule type="containsText" dxfId="5865" priority="2880" operator="containsText" text="NO SUBSANABLE">
      <formula>NOT(ISERROR(SEARCH("NO SUBSANABLE",Q217)))</formula>
    </cfRule>
    <cfRule type="containsText" dxfId="5864" priority="2881" operator="containsText" text="PENDIENTES POR SUBSANAR">
      <formula>NOT(ISERROR(SEARCH("PENDIENTES POR SUBSANAR",Q217)))</formula>
    </cfRule>
    <cfRule type="containsText" dxfId="5863" priority="2882" operator="containsText" text="SIN OBSERVACIÓN">
      <formula>NOT(ISERROR(SEARCH("SIN OBSERVACIÓN",Q217)))</formula>
    </cfRule>
  </conditionalFormatting>
  <conditionalFormatting sqref="R217">
    <cfRule type="containsBlanks" dxfId="5862" priority="2873">
      <formula>LEN(TRIM(R217))=0</formula>
    </cfRule>
    <cfRule type="cellIs" dxfId="5861" priority="2875" operator="equal">
      <formula>"NO CUMPLEN CON LO SOLICITADO"</formula>
    </cfRule>
    <cfRule type="cellIs" dxfId="5860" priority="2876" operator="equal">
      <formula>"CUMPLEN CON LO SOLICITADO"</formula>
    </cfRule>
    <cfRule type="cellIs" dxfId="5859" priority="2877" operator="equal">
      <formula>"PENDIENTES"</formula>
    </cfRule>
    <cfRule type="cellIs" dxfId="5858" priority="2878" operator="equal">
      <formula>"NINGUNO"</formula>
    </cfRule>
  </conditionalFormatting>
  <conditionalFormatting sqref="Q220">
    <cfRule type="containsBlanks" dxfId="5857" priority="2864">
      <formula>LEN(TRIM(Q220))=0</formula>
    </cfRule>
    <cfRule type="cellIs" dxfId="5856" priority="2869" operator="equal">
      <formula>"REQUERIMIENTOS SUBSANADOS"</formula>
    </cfRule>
    <cfRule type="containsText" dxfId="5855" priority="2870" operator="containsText" text="NO SUBSANABLE">
      <formula>NOT(ISERROR(SEARCH("NO SUBSANABLE",Q220)))</formula>
    </cfRule>
    <cfRule type="containsText" dxfId="5854" priority="2871" operator="containsText" text="PENDIENTES POR SUBSANAR">
      <formula>NOT(ISERROR(SEARCH("PENDIENTES POR SUBSANAR",Q220)))</formula>
    </cfRule>
    <cfRule type="containsText" dxfId="5853" priority="2872" operator="containsText" text="SIN OBSERVACIÓN">
      <formula>NOT(ISERROR(SEARCH("SIN OBSERVACIÓN",Q220)))</formula>
    </cfRule>
  </conditionalFormatting>
  <conditionalFormatting sqref="R220">
    <cfRule type="containsBlanks" dxfId="5852" priority="2863">
      <formula>LEN(TRIM(R220))=0</formula>
    </cfRule>
    <cfRule type="cellIs" dxfId="5851" priority="2865" operator="equal">
      <formula>"NO CUMPLEN CON LO SOLICITADO"</formula>
    </cfRule>
    <cfRule type="cellIs" dxfId="5850" priority="2866" operator="equal">
      <formula>"CUMPLEN CON LO SOLICITADO"</formula>
    </cfRule>
    <cfRule type="cellIs" dxfId="5849" priority="2867" operator="equal">
      <formula>"PENDIENTES"</formula>
    </cfRule>
    <cfRule type="cellIs" dxfId="5848" priority="2868" operator="equal">
      <formula>"NINGUNO"</formula>
    </cfRule>
  </conditionalFormatting>
  <conditionalFormatting sqref="M220">
    <cfRule type="expression" dxfId="5847" priority="2821">
      <formula>L220="NO CUMPLE"</formula>
    </cfRule>
    <cfRule type="expression" dxfId="5846" priority="2822">
      <formula>L220="CUMPLE"</formula>
    </cfRule>
  </conditionalFormatting>
  <conditionalFormatting sqref="L220:L221">
    <cfRule type="cellIs" dxfId="5845" priority="2819" operator="equal">
      <formula>"NO CUMPLE"</formula>
    </cfRule>
    <cfRule type="cellIs" dxfId="5844" priority="2820" operator="equal">
      <formula>"CUMPLE"</formula>
    </cfRule>
  </conditionalFormatting>
  <conditionalFormatting sqref="M221">
    <cfRule type="expression" dxfId="5843" priority="2817">
      <formula>L221="NO CUMPLE"</formula>
    </cfRule>
    <cfRule type="expression" dxfId="5842" priority="2818">
      <formula>L221="CUMPLE"</formula>
    </cfRule>
  </conditionalFormatting>
  <conditionalFormatting sqref="J214:J222">
    <cfRule type="cellIs" dxfId="5841" priority="2861" operator="equal">
      <formula>"NO CUMPLE"</formula>
    </cfRule>
    <cfRule type="cellIs" dxfId="5840" priority="2862" operator="equal">
      <formula>"CUMPLE"</formula>
    </cfRule>
  </conditionalFormatting>
  <conditionalFormatting sqref="K214">
    <cfRule type="expression" dxfId="5839" priority="2859">
      <formula>J214="NO CUMPLE"</formula>
    </cfRule>
    <cfRule type="expression" dxfId="5838" priority="2860">
      <formula>J214="CUMPLE"</formula>
    </cfRule>
  </conditionalFormatting>
  <conditionalFormatting sqref="K215:K216">
    <cfRule type="expression" dxfId="5837" priority="2857">
      <formula>J215="NO CUMPLE"</formula>
    </cfRule>
    <cfRule type="expression" dxfId="5836" priority="2858">
      <formula>J215="CUMPLE"</formula>
    </cfRule>
  </conditionalFormatting>
  <conditionalFormatting sqref="J223">
    <cfRule type="cellIs" dxfId="5835" priority="2855" operator="equal">
      <formula>"NO CUMPLE"</formula>
    </cfRule>
    <cfRule type="cellIs" dxfId="5834" priority="2856" operator="equal">
      <formula>"CUMPLE"</formula>
    </cfRule>
  </conditionalFormatting>
  <conditionalFormatting sqref="J224:J225">
    <cfRule type="cellIs" dxfId="5833" priority="2853" operator="equal">
      <formula>"NO CUMPLE"</formula>
    </cfRule>
    <cfRule type="cellIs" dxfId="5832" priority="2854" operator="equal">
      <formula>"CUMPLE"</formula>
    </cfRule>
  </conditionalFormatting>
  <conditionalFormatting sqref="K217">
    <cfRule type="expression" dxfId="5831" priority="2851">
      <formula>J217="NO CUMPLE"</formula>
    </cfRule>
    <cfRule type="expression" dxfId="5830" priority="2852">
      <formula>J217="CUMPLE"</formula>
    </cfRule>
  </conditionalFormatting>
  <conditionalFormatting sqref="K218:K219">
    <cfRule type="expression" dxfId="5829" priority="2849">
      <formula>J218="NO CUMPLE"</formula>
    </cfRule>
    <cfRule type="expression" dxfId="5828" priority="2850">
      <formula>J218="CUMPLE"</formula>
    </cfRule>
  </conditionalFormatting>
  <conditionalFormatting sqref="K220">
    <cfRule type="expression" dxfId="5827" priority="2847">
      <formula>J220="NO CUMPLE"</formula>
    </cfRule>
    <cfRule type="expression" dxfId="5826" priority="2848">
      <formula>J220="CUMPLE"</formula>
    </cfRule>
  </conditionalFormatting>
  <conditionalFormatting sqref="K221:K222">
    <cfRule type="expression" dxfId="5825" priority="2845">
      <formula>J221="NO CUMPLE"</formula>
    </cfRule>
    <cfRule type="expression" dxfId="5824" priority="2846">
      <formula>J221="CUMPLE"</formula>
    </cfRule>
  </conditionalFormatting>
  <conditionalFormatting sqref="K223">
    <cfRule type="expression" dxfId="5823" priority="2843">
      <formula>J223="NO CUMPLE"</formula>
    </cfRule>
    <cfRule type="expression" dxfId="5822" priority="2844">
      <formula>J223="CUMPLE"</formula>
    </cfRule>
  </conditionalFormatting>
  <conditionalFormatting sqref="K224:K225">
    <cfRule type="expression" dxfId="5821" priority="2841">
      <formula>J224="NO CUMPLE"</formula>
    </cfRule>
    <cfRule type="expression" dxfId="5820" priority="2842">
      <formula>J224="CUMPLE"</formula>
    </cfRule>
  </conditionalFormatting>
  <conditionalFormatting sqref="M215">
    <cfRule type="expression" dxfId="5819" priority="2829">
      <formula>L215="NO CUMPLE"</formula>
    </cfRule>
    <cfRule type="expression" dxfId="5818" priority="2830">
      <formula>L215="CUMPLE"</formula>
    </cfRule>
  </conditionalFormatting>
  <conditionalFormatting sqref="L214:L215">
    <cfRule type="cellIs" dxfId="5817" priority="2831" operator="equal">
      <formula>"NO CUMPLE"</formula>
    </cfRule>
    <cfRule type="cellIs" dxfId="5816" priority="2832" operator="equal">
      <formula>"CUMPLE"</formula>
    </cfRule>
  </conditionalFormatting>
  <conditionalFormatting sqref="M214">
    <cfRule type="expression" dxfId="5815" priority="2833">
      <formula>L214="NO CUMPLE"</formula>
    </cfRule>
    <cfRule type="expression" dxfId="5814" priority="2834">
      <formula>L214="CUMPLE"</formula>
    </cfRule>
  </conditionalFormatting>
  <conditionalFormatting sqref="M212">
    <cfRule type="expression" dxfId="5813" priority="2835">
      <formula>L212="NO CUMPLE"</formula>
    </cfRule>
    <cfRule type="expression" dxfId="5812" priority="2836">
      <formula>L212="CUMPLE"</formula>
    </cfRule>
  </conditionalFormatting>
  <conditionalFormatting sqref="M211">
    <cfRule type="expression" dxfId="5811" priority="2839">
      <formula>L211="NO CUMPLE"</formula>
    </cfRule>
    <cfRule type="expression" dxfId="5810" priority="2840">
      <formula>L211="CUMPLE"</formula>
    </cfRule>
  </conditionalFormatting>
  <conditionalFormatting sqref="L211:L212">
    <cfRule type="cellIs" dxfId="5809" priority="2837" operator="equal">
      <formula>"NO CUMPLE"</formula>
    </cfRule>
    <cfRule type="cellIs" dxfId="5808" priority="2838" operator="equal">
      <formula>"CUMPLE"</formula>
    </cfRule>
  </conditionalFormatting>
  <conditionalFormatting sqref="M218">
    <cfRule type="expression" dxfId="5807" priority="2823">
      <formula>L218="NO CUMPLE"</formula>
    </cfRule>
    <cfRule type="expression" dxfId="5806" priority="2824">
      <formula>L218="CUMPLE"</formula>
    </cfRule>
  </conditionalFormatting>
  <conditionalFormatting sqref="M217">
    <cfRule type="expression" dxfId="5805" priority="2827">
      <formula>L217="NO CUMPLE"</formula>
    </cfRule>
    <cfRule type="expression" dxfId="5804" priority="2828">
      <formula>L217="CUMPLE"</formula>
    </cfRule>
  </conditionalFormatting>
  <conditionalFormatting sqref="L217:L218">
    <cfRule type="cellIs" dxfId="5803" priority="2825" operator="equal">
      <formula>"NO CUMPLE"</formula>
    </cfRule>
    <cfRule type="cellIs" dxfId="5802" priority="2826" operator="equal">
      <formula>"CUMPLE"</formula>
    </cfRule>
  </conditionalFormatting>
  <conditionalFormatting sqref="M224">
    <cfRule type="expression" dxfId="5801" priority="2811">
      <formula>L224="NO CUMPLE"</formula>
    </cfRule>
    <cfRule type="expression" dxfId="5800" priority="2812">
      <formula>L224="CUMPLE"</formula>
    </cfRule>
  </conditionalFormatting>
  <conditionalFormatting sqref="M223">
    <cfRule type="expression" dxfId="5799" priority="2815">
      <formula>L223="NO CUMPLE"</formula>
    </cfRule>
    <cfRule type="expression" dxfId="5798" priority="2816">
      <formula>L223="CUMPLE"</formula>
    </cfRule>
  </conditionalFormatting>
  <conditionalFormatting sqref="L223:L224">
    <cfRule type="cellIs" dxfId="5797" priority="2813" operator="equal">
      <formula>"NO CUMPLE"</formula>
    </cfRule>
    <cfRule type="cellIs" dxfId="5796" priority="2814" operator="equal">
      <formula>"CUMPLE"</formula>
    </cfRule>
  </conditionalFormatting>
  <conditionalFormatting sqref="J211">
    <cfRule type="cellIs" dxfId="5795" priority="2809" operator="equal">
      <formula>"NO CUMPLE"</formula>
    </cfRule>
    <cfRule type="cellIs" dxfId="5794" priority="2810" operator="equal">
      <formula>"CUMPLE"</formula>
    </cfRule>
  </conditionalFormatting>
  <conditionalFormatting sqref="J212:J213">
    <cfRule type="cellIs" dxfId="5793" priority="2807" operator="equal">
      <formula>"NO CUMPLE"</formula>
    </cfRule>
    <cfRule type="cellIs" dxfId="5792" priority="2808" operator="equal">
      <formula>"CUMPLE"</formula>
    </cfRule>
  </conditionalFormatting>
  <conditionalFormatting sqref="K211">
    <cfRule type="expression" dxfId="5791" priority="2805">
      <formula>J211="NO CUMPLE"</formula>
    </cfRule>
    <cfRule type="expression" dxfId="5790" priority="2806">
      <formula>J211="CUMPLE"</formula>
    </cfRule>
  </conditionalFormatting>
  <conditionalFormatting sqref="K212:K213">
    <cfRule type="expression" dxfId="5789" priority="2803">
      <formula>J212="NO CUMPLE"</formula>
    </cfRule>
    <cfRule type="expression" dxfId="5788" priority="2804">
      <formula>J212="CUMPLE"</formula>
    </cfRule>
  </conditionalFormatting>
  <conditionalFormatting sqref="M41">
    <cfRule type="expression" dxfId="5787" priority="2785">
      <formula>L41="NO CUMPLE"</formula>
    </cfRule>
    <cfRule type="expression" dxfId="5786" priority="2786">
      <formula>L41="CUMPLE"</formula>
    </cfRule>
  </conditionalFormatting>
  <conditionalFormatting sqref="M42">
    <cfRule type="expression" dxfId="5785" priority="2783">
      <formula>L42="NO CUMPLE"</formula>
    </cfRule>
    <cfRule type="expression" dxfId="5784" priority="2784">
      <formula>L42="CUMPLE"</formula>
    </cfRule>
  </conditionalFormatting>
  <conditionalFormatting sqref="M17">
    <cfRule type="expression" dxfId="5783" priority="2795">
      <formula>L17="NO CUMPLE"</formula>
    </cfRule>
    <cfRule type="expression" dxfId="5782" priority="2796">
      <formula>L17="CUMPLE"</formula>
    </cfRule>
  </conditionalFormatting>
  <conditionalFormatting sqref="M16">
    <cfRule type="expression" dxfId="5781" priority="2797">
      <formula>L16="NO CUMPLE"</formula>
    </cfRule>
    <cfRule type="expression" dxfId="5780" priority="2798">
      <formula>L16="CUMPLE"</formula>
    </cfRule>
  </conditionalFormatting>
  <conditionalFormatting sqref="M36">
    <cfRule type="expression" dxfId="5779" priority="2791">
      <formula>L36="NO CUMPLE"</formula>
    </cfRule>
    <cfRule type="expression" dxfId="5778" priority="2792">
      <formula>L36="CUMPLE"</formula>
    </cfRule>
  </conditionalFormatting>
  <conditionalFormatting sqref="M35">
    <cfRule type="expression" dxfId="5777" priority="2793">
      <formula>L35="NO CUMPLE"</formula>
    </cfRule>
    <cfRule type="expression" dxfId="5776" priority="2794">
      <formula>L35="CUMPLE"</formula>
    </cfRule>
  </conditionalFormatting>
  <conditionalFormatting sqref="M39">
    <cfRule type="expression" dxfId="5775" priority="2787">
      <formula>L39="NO CUMPLE"</formula>
    </cfRule>
    <cfRule type="expression" dxfId="5774" priority="2788">
      <formula>L39="CUMPLE"</formula>
    </cfRule>
  </conditionalFormatting>
  <conditionalFormatting sqref="M38">
    <cfRule type="expression" dxfId="5773" priority="2789">
      <formula>L38="NO CUMPLE"</formula>
    </cfRule>
    <cfRule type="expression" dxfId="5772" priority="2790">
      <formula>L38="CUMPLE"</formula>
    </cfRule>
  </conditionalFormatting>
  <conditionalFormatting sqref="M45">
    <cfRule type="expression" dxfId="5771" priority="2779">
      <formula>L45="NO CUMPLE"</formula>
    </cfRule>
    <cfRule type="expression" dxfId="5770" priority="2780">
      <formula>L45="CUMPLE"</formula>
    </cfRule>
  </conditionalFormatting>
  <conditionalFormatting sqref="M44">
    <cfRule type="expression" dxfId="5769" priority="2781">
      <formula>L44="NO CUMPLE"</formula>
    </cfRule>
    <cfRule type="expression" dxfId="5768" priority="2782">
      <formula>L44="CUMPLE"</formula>
    </cfRule>
  </conditionalFormatting>
  <conditionalFormatting sqref="M48">
    <cfRule type="expression" dxfId="5767" priority="2775">
      <formula>L48="NO CUMPLE"</formula>
    </cfRule>
    <cfRule type="expression" dxfId="5766" priority="2776">
      <formula>L48="CUMPLE"</formula>
    </cfRule>
  </conditionalFormatting>
  <conditionalFormatting sqref="M47">
    <cfRule type="expression" dxfId="5765" priority="2777">
      <formula>L47="NO CUMPLE"</formula>
    </cfRule>
    <cfRule type="expression" dxfId="5764" priority="2778">
      <formula>L47="CUMPLE"</formula>
    </cfRule>
  </conditionalFormatting>
  <conditionalFormatting sqref="B248">
    <cfRule type="cellIs" dxfId="5763" priority="2769" operator="equal">
      <formula>"NO CUMPLE CON LA EXPERIENCIA REQUERIDA"</formula>
    </cfRule>
    <cfRule type="cellIs" dxfId="5762" priority="2770" operator="equal">
      <formula>"CUMPLE CON LA EXPERIENCIA REQUERIDA"</formula>
    </cfRule>
  </conditionalFormatting>
  <conditionalFormatting sqref="H233 H236 H239 H242 H245">
    <cfRule type="notContainsBlanks" dxfId="5761" priority="2768">
      <formula>LEN(TRIM(H233))&gt;0</formula>
    </cfRule>
  </conditionalFormatting>
  <conditionalFormatting sqref="G233">
    <cfRule type="notContainsBlanks" dxfId="5760" priority="2767">
      <formula>LEN(TRIM(G233))&gt;0</formula>
    </cfRule>
  </conditionalFormatting>
  <conditionalFormatting sqref="F233">
    <cfRule type="notContainsBlanks" dxfId="5759" priority="2766">
      <formula>LEN(TRIM(F233))&gt;0</formula>
    </cfRule>
  </conditionalFormatting>
  <conditionalFormatting sqref="E233">
    <cfRule type="notContainsBlanks" dxfId="5758" priority="2765">
      <formula>LEN(TRIM(E233))&gt;0</formula>
    </cfRule>
  </conditionalFormatting>
  <conditionalFormatting sqref="D233">
    <cfRule type="notContainsBlanks" dxfId="5757" priority="2764">
      <formula>LEN(TRIM(D233))&gt;0</formula>
    </cfRule>
  </conditionalFormatting>
  <conditionalFormatting sqref="C233">
    <cfRule type="notContainsBlanks" dxfId="5756" priority="2763">
      <formula>LEN(TRIM(C233))&gt;0</formula>
    </cfRule>
  </conditionalFormatting>
  <conditionalFormatting sqref="I233">
    <cfRule type="notContainsBlanks" dxfId="5755" priority="2762">
      <formula>LEN(TRIM(I233))&gt;0</formula>
    </cfRule>
  </conditionalFormatting>
  <conditionalFormatting sqref="S236">
    <cfRule type="cellIs" dxfId="5754" priority="2758" operator="greaterThan">
      <formula>0</formula>
    </cfRule>
    <cfRule type="top10" dxfId="5753" priority="2759" rank="10"/>
  </conditionalFormatting>
  <conditionalFormatting sqref="S239">
    <cfRule type="cellIs" dxfId="5752" priority="2756" operator="greaterThan">
      <formula>0</formula>
    </cfRule>
    <cfRule type="top10" dxfId="5751" priority="2757" rank="10"/>
  </conditionalFormatting>
  <conditionalFormatting sqref="G239">
    <cfRule type="notContainsBlanks" dxfId="5750" priority="2755">
      <formula>LEN(TRIM(G239))&gt;0</formula>
    </cfRule>
  </conditionalFormatting>
  <conditionalFormatting sqref="F239">
    <cfRule type="notContainsBlanks" dxfId="5749" priority="2754">
      <formula>LEN(TRIM(F239))&gt;0</formula>
    </cfRule>
  </conditionalFormatting>
  <conditionalFormatting sqref="E239">
    <cfRule type="notContainsBlanks" dxfId="5748" priority="2753">
      <formula>LEN(TRIM(E239))&gt;0</formula>
    </cfRule>
  </conditionalFormatting>
  <conditionalFormatting sqref="D239">
    <cfRule type="notContainsBlanks" dxfId="5747" priority="2752">
      <formula>LEN(TRIM(D239))&gt;0</formula>
    </cfRule>
  </conditionalFormatting>
  <conditionalFormatting sqref="C239">
    <cfRule type="notContainsBlanks" dxfId="5746" priority="2751">
      <formula>LEN(TRIM(C239))&gt;0</formula>
    </cfRule>
  </conditionalFormatting>
  <conditionalFormatting sqref="I239">
    <cfRule type="notContainsBlanks" dxfId="5745" priority="2750">
      <formula>LEN(TRIM(I239))&gt;0</formula>
    </cfRule>
  </conditionalFormatting>
  <conditionalFormatting sqref="S242">
    <cfRule type="cellIs" dxfId="5744" priority="2748" operator="greaterThan">
      <formula>0</formula>
    </cfRule>
    <cfRule type="top10" dxfId="5743" priority="2749" rank="10"/>
  </conditionalFormatting>
  <conditionalFormatting sqref="S245">
    <cfRule type="cellIs" dxfId="5742" priority="2746" operator="greaterThan">
      <formula>0</formula>
    </cfRule>
    <cfRule type="top10" dxfId="5741" priority="2747" rank="10"/>
  </conditionalFormatting>
  <conditionalFormatting sqref="G245">
    <cfRule type="notContainsBlanks" dxfId="5740" priority="2745">
      <formula>LEN(TRIM(G245))&gt;0</formula>
    </cfRule>
  </conditionalFormatting>
  <conditionalFormatting sqref="F245">
    <cfRule type="notContainsBlanks" dxfId="5739" priority="2744">
      <formula>LEN(TRIM(F245))&gt;0</formula>
    </cfRule>
  </conditionalFormatting>
  <conditionalFormatting sqref="E245">
    <cfRule type="notContainsBlanks" dxfId="5738" priority="2743">
      <formula>LEN(TRIM(E245))&gt;0</formula>
    </cfRule>
  </conditionalFormatting>
  <conditionalFormatting sqref="D245">
    <cfRule type="notContainsBlanks" dxfId="5737" priority="2742">
      <formula>LEN(TRIM(D245))&gt;0</formula>
    </cfRule>
  </conditionalFormatting>
  <conditionalFormatting sqref="C245">
    <cfRule type="notContainsBlanks" dxfId="5736" priority="2741">
      <formula>LEN(TRIM(C245))&gt;0</formula>
    </cfRule>
  </conditionalFormatting>
  <conditionalFormatting sqref="I245">
    <cfRule type="notContainsBlanks" dxfId="5735" priority="2740">
      <formula>LEN(TRIM(I245))&gt;0</formula>
    </cfRule>
  </conditionalFormatting>
  <conditionalFormatting sqref="G236">
    <cfRule type="notContainsBlanks" dxfId="5734" priority="2739">
      <formula>LEN(TRIM(G236))&gt;0</formula>
    </cfRule>
  </conditionalFormatting>
  <conditionalFormatting sqref="F236">
    <cfRule type="notContainsBlanks" dxfId="5733" priority="2738">
      <formula>LEN(TRIM(F236))&gt;0</formula>
    </cfRule>
  </conditionalFormatting>
  <conditionalFormatting sqref="E236">
    <cfRule type="notContainsBlanks" dxfId="5732" priority="2737">
      <formula>LEN(TRIM(E236))&gt;0</formula>
    </cfRule>
  </conditionalFormatting>
  <conditionalFormatting sqref="D236">
    <cfRule type="notContainsBlanks" dxfId="5731" priority="2736">
      <formula>LEN(TRIM(D236))&gt;0</formula>
    </cfRule>
  </conditionalFormatting>
  <conditionalFormatting sqref="C236">
    <cfRule type="notContainsBlanks" dxfId="5730" priority="2735">
      <formula>LEN(TRIM(C236))&gt;0</formula>
    </cfRule>
  </conditionalFormatting>
  <conditionalFormatting sqref="G242">
    <cfRule type="notContainsBlanks" dxfId="5729" priority="2734">
      <formula>LEN(TRIM(G242))&gt;0</formula>
    </cfRule>
  </conditionalFormatting>
  <conditionalFormatting sqref="F242">
    <cfRule type="notContainsBlanks" dxfId="5728" priority="2733">
      <formula>LEN(TRIM(F242))&gt;0</formula>
    </cfRule>
  </conditionalFormatting>
  <conditionalFormatting sqref="E242">
    <cfRule type="notContainsBlanks" dxfId="5727" priority="2732">
      <formula>LEN(TRIM(E242))&gt;0</formula>
    </cfRule>
  </conditionalFormatting>
  <conditionalFormatting sqref="D242">
    <cfRule type="notContainsBlanks" dxfId="5726" priority="2731">
      <formula>LEN(TRIM(D242))&gt;0</formula>
    </cfRule>
  </conditionalFormatting>
  <conditionalFormatting sqref="C242">
    <cfRule type="notContainsBlanks" dxfId="5725" priority="2730">
      <formula>LEN(TRIM(C242))&gt;0</formula>
    </cfRule>
  </conditionalFormatting>
  <conditionalFormatting sqref="I242">
    <cfRule type="notContainsBlanks" dxfId="5724" priority="2728">
      <formula>LEN(TRIM(I242))&gt;0</formula>
    </cfRule>
  </conditionalFormatting>
  <conditionalFormatting sqref="S248">
    <cfRule type="expression" dxfId="5723" priority="2726">
      <formula>$S$28&gt;0</formula>
    </cfRule>
    <cfRule type="cellIs" dxfId="5722" priority="2727" operator="equal">
      <formula>0</formula>
    </cfRule>
  </conditionalFormatting>
  <conditionalFormatting sqref="S249">
    <cfRule type="expression" dxfId="5721" priority="2724">
      <formula>$S$28&gt;0</formula>
    </cfRule>
    <cfRule type="cellIs" dxfId="5720" priority="2725" operator="equal">
      <formula>0</formula>
    </cfRule>
  </conditionalFormatting>
  <conditionalFormatting sqref="N245">
    <cfRule type="expression" dxfId="5719" priority="2685">
      <formula>N245=" "</formula>
    </cfRule>
    <cfRule type="expression" dxfId="5718" priority="2686">
      <formula>N245="NO PRESENTÓ CERTIFICADO"</formula>
    </cfRule>
    <cfRule type="expression" dxfId="5717" priority="2687">
      <formula>N245="PRESENTÓ CERTIFICADO"</formula>
    </cfRule>
  </conditionalFormatting>
  <conditionalFormatting sqref="O245">
    <cfRule type="cellIs" dxfId="5716" priority="2667" operator="equal">
      <formula>"PENDIENTE POR DESCRIPCIÓN"</formula>
    </cfRule>
    <cfRule type="cellIs" dxfId="5715" priority="2668" operator="equal">
      <formula>"DESCRIPCIÓN INSUFICIENTE"</formula>
    </cfRule>
    <cfRule type="cellIs" dxfId="5714" priority="2669" operator="equal">
      <formula>"NO ESTÁ ACORDE A ITEM 5.2.2 (T.R.)"</formula>
    </cfRule>
    <cfRule type="cellIs" dxfId="5713" priority="2670" operator="equal">
      <formula>"ACORDE A ITEM 5.2.2 (T.R.)"</formula>
    </cfRule>
    <cfRule type="cellIs" dxfId="5712" priority="2677" operator="equal">
      <formula>"PENDIENTE POR DESCRIPCIÓN"</formula>
    </cfRule>
    <cfRule type="cellIs" dxfId="5711" priority="2679" operator="equal">
      <formula>"DESCRIPCIÓN INSUFICIENTE"</formula>
    </cfRule>
    <cfRule type="cellIs" dxfId="5710" priority="2680" operator="equal">
      <formula>"NO ESTÁ ACORDE A ITEM 5.2.1 (T.R.)"</formula>
    </cfRule>
    <cfRule type="cellIs" dxfId="5709" priority="2681" operator="equal">
      <formula>"ACORDE A ITEM 5.2.1 (T.R.)"</formula>
    </cfRule>
  </conditionalFormatting>
  <conditionalFormatting sqref="Q245">
    <cfRule type="containsBlanks" dxfId="5708" priority="2672">
      <formula>LEN(TRIM(Q245))=0</formula>
    </cfRule>
    <cfRule type="cellIs" dxfId="5707" priority="2678" operator="equal">
      <formula>"REQUERIMIENTOS SUBSANADOS"</formula>
    </cfRule>
    <cfRule type="containsText" dxfId="5706" priority="2682" operator="containsText" text="NO SUBSANABLE">
      <formula>NOT(ISERROR(SEARCH("NO SUBSANABLE",Q245)))</formula>
    </cfRule>
    <cfRule type="containsText" dxfId="5705" priority="2683" operator="containsText" text="PENDIENTES POR SUBSANAR">
      <formula>NOT(ISERROR(SEARCH("PENDIENTES POR SUBSANAR",Q245)))</formula>
    </cfRule>
    <cfRule type="containsText" dxfId="5704" priority="2684" operator="containsText" text="SIN OBSERVACIÓN">
      <formula>NOT(ISERROR(SEARCH("SIN OBSERVACIÓN",Q245)))</formula>
    </cfRule>
  </conditionalFormatting>
  <conditionalFormatting sqref="R245">
    <cfRule type="containsBlanks" dxfId="5703" priority="2671">
      <formula>LEN(TRIM(R245))=0</formula>
    </cfRule>
    <cfRule type="cellIs" dxfId="5702" priority="2673" operator="equal">
      <formula>"NO CUMPLEN CON LO SOLICITADO"</formula>
    </cfRule>
    <cfRule type="cellIs" dxfId="5701" priority="2674" operator="equal">
      <formula>"CUMPLEN CON LO SOLICITADO"</formula>
    </cfRule>
    <cfRule type="cellIs" dxfId="5700" priority="2675" operator="equal">
      <formula>"PENDIENTES"</formula>
    </cfRule>
    <cfRule type="cellIs" dxfId="5699" priority="2676" operator="equal">
      <formula>"NINGUNO"</formula>
    </cfRule>
  </conditionalFormatting>
  <conditionalFormatting sqref="P242 P245">
    <cfRule type="expression" dxfId="5698" priority="2662">
      <formula>Q242="NO SUBSANABLE"</formula>
    </cfRule>
    <cfRule type="expression" dxfId="5697" priority="2663">
      <formula>Q242="REQUERIMIENTOS SUBSANADOS"</formula>
    </cfRule>
    <cfRule type="expression" dxfId="5696" priority="2664">
      <formula>Q242="PENDIENTES POR SUBSANAR"</formula>
    </cfRule>
    <cfRule type="expression" dxfId="5695" priority="2665">
      <formula>Q242="SIN OBSERVACIÓN"</formula>
    </cfRule>
    <cfRule type="containsBlanks" dxfId="5694" priority="2666">
      <formula>LEN(TRIM(P242))=0</formula>
    </cfRule>
  </conditionalFormatting>
  <conditionalFormatting sqref="N242">
    <cfRule type="expression" dxfId="5693" priority="2653">
      <formula>N242=" "</formula>
    </cfRule>
    <cfRule type="expression" dxfId="5692" priority="2654">
      <formula>N242="NO PRESENTÓ CERTIFICADO"</formula>
    </cfRule>
    <cfRule type="expression" dxfId="5691" priority="2655">
      <formula>N242="PRESENTÓ CERTIFICADO"</formula>
    </cfRule>
  </conditionalFormatting>
  <conditionalFormatting sqref="O242">
    <cfRule type="cellIs" dxfId="5690" priority="2629" operator="equal">
      <formula>"PENDIENTE POR DESCRIPCIÓN"</formula>
    </cfRule>
    <cfRule type="cellIs" dxfId="5689" priority="2630" operator="equal">
      <formula>"DESCRIPCIÓN INSUFICIENTE"</formula>
    </cfRule>
    <cfRule type="cellIs" dxfId="5688" priority="2631" operator="equal">
      <formula>"NO ESTÁ ACORDE A ITEM 5.2.2 (T.R.)"</formula>
    </cfRule>
    <cfRule type="cellIs" dxfId="5687" priority="2632" operator="equal">
      <formula>"ACORDE A ITEM 5.2.2 (T.R.)"</formula>
    </cfRule>
    <cfRule type="cellIs" dxfId="5686" priority="2633" operator="equal">
      <formula>"PENDIENTE POR DESCRIPCIÓN"</formula>
    </cfRule>
    <cfRule type="cellIs" dxfId="5685" priority="2634" operator="equal">
      <formula>"DESCRIPCIÓN INSUFICIENTE"</formula>
    </cfRule>
    <cfRule type="cellIs" dxfId="5684" priority="2635" operator="equal">
      <formula>"NO ESTÁ ACORDE A ITEM 5.2.1 (T.R.)"</formula>
    </cfRule>
    <cfRule type="cellIs" dxfId="5683" priority="2636" operator="equal">
      <formula>"ACORDE A ITEM 5.2.1 (T.R.)"</formula>
    </cfRule>
  </conditionalFormatting>
  <conditionalFormatting sqref="Q242">
    <cfRule type="containsBlanks" dxfId="5682" priority="2600">
      <formula>LEN(TRIM(Q242))=0</formula>
    </cfRule>
    <cfRule type="cellIs" dxfId="5681" priority="2605" operator="equal">
      <formula>"REQUERIMIENTOS SUBSANADOS"</formula>
    </cfRule>
    <cfRule type="containsText" dxfId="5680" priority="2606" operator="containsText" text="NO SUBSANABLE">
      <formula>NOT(ISERROR(SEARCH("NO SUBSANABLE",Q242)))</formula>
    </cfRule>
    <cfRule type="containsText" dxfId="5679" priority="2607" operator="containsText" text="PENDIENTES POR SUBSANAR">
      <formula>NOT(ISERROR(SEARCH("PENDIENTES POR SUBSANAR",Q242)))</formula>
    </cfRule>
    <cfRule type="containsText" dxfId="5678" priority="2608" operator="containsText" text="SIN OBSERVACIÓN">
      <formula>NOT(ISERROR(SEARCH("SIN OBSERVACIÓN",Q242)))</formula>
    </cfRule>
  </conditionalFormatting>
  <conditionalFormatting sqref="R242">
    <cfRule type="containsBlanks" dxfId="5677" priority="2599">
      <formula>LEN(TRIM(R242))=0</formula>
    </cfRule>
    <cfRule type="cellIs" dxfId="5676" priority="2601" operator="equal">
      <formula>"NO CUMPLEN CON LO SOLICITADO"</formula>
    </cfRule>
    <cfRule type="cellIs" dxfId="5675" priority="2602" operator="equal">
      <formula>"CUMPLEN CON LO SOLICITADO"</formula>
    </cfRule>
    <cfRule type="cellIs" dxfId="5674" priority="2603" operator="equal">
      <formula>"PENDIENTES"</formula>
    </cfRule>
    <cfRule type="cellIs" dxfId="5673" priority="2604" operator="equal">
      <formula>"NINGUNO"</formula>
    </cfRule>
  </conditionalFormatting>
  <conditionalFormatting sqref="M242">
    <cfRule type="expression" dxfId="5672" priority="2557">
      <formula>L242="NO CUMPLE"</formula>
    </cfRule>
    <cfRule type="expression" dxfId="5671" priority="2558">
      <formula>L242="CUMPLE"</formula>
    </cfRule>
  </conditionalFormatting>
  <conditionalFormatting sqref="L242:L243">
    <cfRule type="cellIs" dxfId="5670" priority="2555" operator="equal">
      <formula>"NO CUMPLE"</formula>
    </cfRule>
    <cfRule type="cellIs" dxfId="5669" priority="2556" operator="equal">
      <formula>"CUMPLE"</formula>
    </cfRule>
  </conditionalFormatting>
  <conditionalFormatting sqref="M243">
    <cfRule type="expression" dxfId="5668" priority="2553">
      <formula>L243="NO CUMPLE"</formula>
    </cfRule>
    <cfRule type="expression" dxfId="5667" priority="2554">
      <formula>L243="CUMPLE"</formula>
    </cfRule>
  </conditionalFormatting>
  <conditionalFormatting sqref="J242:J244">
    <cfRule type="cellIs" dxfId="5666" priority="2597" operator="equal">
      <formula>"NO CUMPLE"</formula>
    </cfRule>
    <cfRule type="cellIs" dxfId="5665" priority="2598" operator="equal">
      <formula>"CUMPLE"</formula>
    </cfRule>
  </conditionalFormatting>
  <conditionalFormatting sqref="K236">
    <cfRule type="expression" dxfId="5664" priority="2595">
      <formula>J236="NO CUMPLE"</formula>
    </cfRule>
    <cfRule type="expression" dxfId="5663" priority="2596">
      <formula>J236="CUMPLE"</formula>
    </cfRule>
  </conditionalFormatting>
  <conditionalFormatting sqref="K237:K238">
    <cfRule type="expression" dxfId="5662" priority="2593">
      <formula>J237="NO CUMPLE"</formula>
    </cfRule>
    <cfRule type="expression" dxfId="5661" priority="2594">
      <formula>J237="CUMPLE"</formula>
    </cfRule>
  </conditionalFormatting>
  <conditionalFormatting sqref="J245">
    <cfRule type="cellIs" dxfId="5660" priority="2591" operator="equal">
      <formula>"NO CUMPLE"</formula>
    </cfRule>
    <cfRule type="cellIs" dxfId="5659" priority="2592" operator="equal">
      <formula>"CUMPLE"</formula>
    </cfRule>
  </conditionalFormatting>
  <conditionalFormatting sqref="J246:J247">
    <cfRule type="cellIs" dxfId="5658" priority="2589" operator="equal">
      <formula>"NO CUMPLE"</formula>
    </cfRule>
    <cfRule type="cellIs" dxfId="5657" priority="2590" operator="equal">
      <formula>"CUMPLE"</formula>
    </cfRule>
  </conditionalFormatting>
  <conditionalFormatting sqref="K239">
    <cfRule type="expression" dxfId="5656" priority="2587">
      <formula>J239="NO CUMPLE"</formula>
    </cfRule>
    <cfRule type="expression" dxfId="5655" priority="2588">
      <formula>J239="CUMPLE"</formula>
    </cfRule>
  </conditionalFormatting>
  <conditionalFormatting sqref="K240:K241">
    <cfRule type="expression" dxfId="5654" priority="2585">
      <formula>J240="NO CUMPLE"</formula>
    </cfRule>
    <cfRule type="expression" dxfId="5653" priority="2586">
      <formula>J240="CUMPLE"</formula>
    </cfRule>
  </conditionalFormatting>
  <conditionalFormatting sqref="K242">
    <cfRule type="expression" dxfId="5652" priority="2583">
      <formula>J242="NO CUMPLE"</formula>
    </cfRule>
    <cfRule type="expression" dxfId="5651" priority="2584">
      <formula>J242="CUMPLE"</formula>
    </cfRule>
  </conditionalFormatting>
  <conditionalFormatting sqref="K243:K244">
    <cfRule type="expression" dxfId="5650" priority="2581">
      <formula>J243="NO CUMPLE"</formula>
    </cfRule>
    <cfRule type="expression" dxfId="5649" priority="2582">
      <formula>J243="CUMPLE"</formula>
    </cfRule>
  </conditionalFormatting>
  <conditionalFormatting sqref="K245">
    <cfRule type="expression" dxfId="5648" priority="2579">
      <formula>J245="NO CUMPLE"</formula>
    </cfRule>
    <cfRule type="expression" dxfId="5647" priority="2580">
      <formula>J245="CUMPLE"</formula>
    </cfRule>
  </conditionalFormatting>
  <conditionalFormatting sqref="K246:K247">
    <cfRule type="expression" dxfId="5646" priority="2577">
      <formula>J246="NO CUMPLE"</formula>
    </cfRule>
    <cfRule type="expression" dxfId="5645" priority="2578">
      <formula>J246="CUMPLE"</formula>
    </cfRule>
  </conditionalFormatting>
  <conditionalFormatting sqref="M237">
    <cfRule type="expression" dxfId="5644" priority="2565">
      <formula>L237="NO CUMPLE"</formula>
    </cfRule>
    <cfRule type="expression" dxfId="5643" priority="2566">
      <formula>L237="CUMPLE"</formula>
    </cfRule>
  </conditionalFormatting>
  <conditionalFormatting sqref="L236:L237">
    <cfRule type="cellIs" dxfId="5642" priority="2567" operator="equal">
      <formula>"NO CUMPLE"</formula>
    </cfRule>
    <cfRule type="cellIs" dxfId="5641" priority="2568" operator="equal">
      <formula>"CUMPLE"</formula>
    </cfRule>
  </conditionalFormatting>
  <conditionalFormatting sqref="M236">
    <cfRule type="expression" dxfId="5640" priority="2569">
      <formula>L236="NO CUMPLE"</formula>
    </cfRule>
    <cfRule type="expression" dxfId="5639" priority="2570">
      <formula>L236="CUMPLE"</formula>
    </cfRule>
  </conditionalFormatting>
  <conditionalFormatting sqref="M234">
    <cfRule type="expression" dxfId="5638" priority="2571">
      <formula>L234="NO CUMPLE"</formula>
    </cfRule>
    <cfRule type="expression" dxfId="5637" priority="2572">
      <formula>L234="CUMPLE"</formula>
    </cfRule>
  </conditionalFormatting>
  <conditionalFormatting sqref="M233">
    <cfRule type="expression" dxfId="5636" priority="2575">
      <formula>L233="NO CUMPLE"</formula>
    </cfRule>
    <cfRule type="expression" dxfId="5635" priority="2576">
      <formula>L233="CUMPLE"</formula>
    </cfRule>
  </conditionalFormatting>
  <conditionalFormatting sqref="L233:L234">
    <cfRule type="cellIs" dxfId="5634" priority="2573" operator="equal">
      <formula>"NO CUMPLE"</formula>
    </cfRule>
    <cfRule type="cellIs" dxfId="5633" priority="2574" operator="equal">
      <formula>"CUMPLE"</formula>
    </cfRule>
  </conditionalFormatting>
  <conditionalFormatting sqref="M240">
    <cfRule type="expression" dxfId="5632" priority="2559">
      <formula>L240="NO CUMPLE"</formula>
    </cfRule>
    <cfRule type="expression" dxfId="5631" priority="2560">
      <formula>L240="CUMPLE"</formula>
    </cfRule>
  </conditionalFormatting>
  <conditionalFormatting sqref="M239">
    <cfRule type="expression" dxfId="5630" priority="2563">
      <formula>L239="NO CUMPLE"</formula>
    </cfRule>
    <cfRule type="expression" dxfId="5629" priority="2564">
      <formula>L239="CUMPLE"</formula>
    </cfRule>
  </conditionalFormatting>
  <conditionalFormatting sqref="L239:L240">
    <cfRule type="cellIs" dxfId="5628" priority="2561" operator="equal">
      <formula>"NO CUMPLE"</formula>
    </cfRule>
    <cfRule type="cellIs" dxfId="5627" priority="2562" operator="equal">
      <formula>"CUMPLE"</formula>
    </cfRule>
  </conditionalFormatting>
  <conditionalFormatting sqref="M246">
    <cfRule type="expression" dxfId="5626" priority="2547">
      <formula>L246="NO CUMPLE"</formula>
    </cfRule>
    <cfRule type="expression" dxfId="5625" priority="2548">
      <formula>L246="CUMPLE"</formula>
    </cfRule>
  </conditionalFormatting>
  <conditionalFormatting sqref="M245">
    <cfRule type="expression" dxfId="5624" priority="2551">
      <formula>L245="NO CUMPLE"</formula>
    </cfRule>
    <cfRule type="expression" dxfId="5623" priority="2552">
      <formula>L245="CUMPLE"</formula>
    </cfRule>
  </conditionalFormatting>
  <conditionalFormatting sqref="L245:L246">
    <cfRule type="cellIs" dxfId="5622" priority="2549" operator="equal">
      <formula>"NO CUMPLE"</formula>
    </cfRule>
    <cfRule type="cellIs" dxfId="5621" priority="2550" operator="equal">
      <formula>"CUMPLE"</formula>
    </cfRule>
  </conditionalFormatting>
  <conditionalFormatting sqref="J233">
    <cfRule type="cellIs" dxfId="5620" priority="2545" operator="equal">
      <formula>"NO CUMPLE"</formula>
    </cfRule>
    <cfRule type="cellIs" dxfId="5619" priority="2546" operator="equal">
      <formula>"CUMPLE"</formula>
    </cfRule>
  </conditionalFormatting>
  <conditionalFormatting sqref="J234:J235">
    <cfRule type="cellIs" dxfId="5618" priority="2543" operator="equal">
      <formula>"NO CUMPLE"</formula>
    </cfRule>
    <cfRule type="cellIs" dxfId="5617" priority="2544" operator="equal">
      <formula>"CUMPLE"</formula>
    </cfRule>
  </conditionalFormatting>
  <conditionalFormatting sqref="K233">
    <cfRule type="expression" dxfId="5616" priority="2541">
      <formula>J233="NO CUMPLE"</formula>
    </cfRule>
    <cfRule type="expression" dxfId="5615" priority="2542">
      <formula>J233="CUMPLE"</formula>
    </cfRule>
  </conditionalFormatting>
  <conditionalFormatting sqref="K234:K235">
    <cfRule type="expression" dxfId="5614" priority="2539">
      <formula>J234="NO CUMPLE"</formula>
    </cfRule>
    <cfRule type="expression" dxfId="5613" priority="2540">
      <formula>J234="CUMPLE"</formula>
    </cfRule>
  </conditionalFormatting>
  <conditionalFormatting sqref="S255">
    <cfRule type="cellIs" dxfId="5612" priority="2537" operator="greaterThan">
      <formula>0</formula>
    </cfRule>
    <cfRule type="top10" dxfId="5611" priority="2538" rank="10"/>
  </conditionalFormatting>
  <conditionalFormatting sqref="B270">
    <cfRule type="cellIs" dxfId="5610" priority="2533" operator="equal">
      <formula>"NO CUMPLE CON LA EXPERIENCIA REQUERIDA"</formula>
    </cfRule>
    <cfRule type="cellIs" dxfId="5609" priority="2534" operator="equal">
      <formula>"CUMPLE CON LA EXPERIENCIA REQUERIDA"</formula>
    </cfRule>
  </conditionalFormatting>
  <conditionalFormatting sqref="H255">
    <cfRule type="notContainsBlanks" dxfId="5608" priority="2532">
      <formula>LEN(TRIM(H255))&gt;0</formula>
    </cfRule>
  </conditionalFormatting>
  <conditionalFormatting sqref="G255">
    <cfRule type="notContainsBlanks" dxfId="5607" priority="2531">
      <formula>LEN(TRIM(G255))&gt;0</formula>
    </cfRule>
  </conditionalFormatting>
  <conditionalFormatting sqref="F255">
    <cfRule type="notContainsBlanks" dxfId="5606" priority="2530">
      <formula>LEN(TRIM(F255))&gt;0</formula>
    </cfRule>
  </conditionalFormatting>
  <conditionalFormatting sqref="E255">
    <cfRule type="notContainsBlanks" dxfId="5605" priority="2529">
      <formula>LEN(TRIM(E255))&gt;0</formula>
    </cfRule>
  </conditionalFormatting>
  <conditionalFormatting sqref="D255">
    <cfRule type="notContainsBlanks" dxfId="5604" priority="2528">
      <formula>LEN(TRIM(D255))&gt;0</formula>
    </cfRule>
  </conditionalFormatting>
  <conditionalFormatting sqref="C255">
    <cfRule type="notContainsBlanks" dxfId="5603" priority="2527">
      <formula>LEN(TRIM(C255))&gt;0</formula>
    </cfRule>
  </conditionalFormatting>
  <conditionalFormatting sqref="I255">
    <cfRule type="notContainsBlanks" dxfId="5602" priority="2526">
      <formula>LEN(TRIM(I255))&gt;0</formula>
    </cfRule>
  </conditionalFormatting>
  <conditionalFormatting sqref="S258">
    <cfRule type="cellIs" dxfId="5601" priority="2522" operator="greaterThan">
      <formula>0</formula>
    </cfRule>
    <cfRule type="top10" dxfId="5600" priority="2523" rank="10"/>
  </conditionalFormatting>
  <conditionalFormatting sqref="S261">
    <cfRule type="cellIs" dxfId="5599" priority="2520" operator="greaterThan">
      <formula>0</formula>
    </cfRule>
    <cfRule type="top10" dxfId="5598" priority="2521" rank="10"/>
  </conditionalFormatting>
  <conditionalFormatting sqref="G261">
    <cfRule type="notContainsBlanks" dxfId="5597" priority="2519">
      <formula>LEN(TRIM(G261))&gt;0</formula>
    </cfRule>
  </conditionalFormatting>
  <conditionalFormatting sqref="F261">
    <cfRule type="notContainsBlanks" dxfId="5596" priority="2518">
      <formula>LEN(TRIM(F261))&gt;0</formula>
    </cfRule>
  </conditionalFormatting>
  <conditionalFormatting sqref="E261">
    <cfRule type="notContainsBlanks" dxfId="5595" priority="2517">
      <formula>LEN(TRIM(E261))&gt;0</formula>
    </cfRule>
  </conditionalFormatting>
  <conditionalFormatting sqref="D261">
    <cfRule type="notContainsBlanks" dxfId="5594" priority="2516">
      <formula>LEN(TRIM(D261))&gt;0</formula>
    </cfRule>
  </conditionalFormatting>
  <conditionalFormatting sqref="C261">
    <cfRule type="notContainsBlanks" dxfId="5593" priority="2515">
      <formula>LEN(TRIM(C261))&gt;0</formula>
    </cfRule>
  </conditionalFormatting>
  <conditionalFormatting sqref="S264">
    <cfRule type="cellIs" dxfId="5592" priority="2512" operator="greaterThan">
      <formula>0</formula>
    </cfRule>
    <cfRule type="top10" dxfId="5591" priority="2513" rank="10"/>
  </conditionalFormatting>
  <conditionalFormatting sqref="S267">
    <cfRule type="cellIs" dxfId="5590" priority="2510" operator="greaterThan">
      <formula>0</formula>
    </cfRule>
    <cfRule type="top10" dxfId="5589" priority="2511" rank="10"/>
  </conditionalFormatting>
  <conditionalFormatting sqref="G267">
    <cfRule type="notContainsBlanks" dxfId="5588" priority="2509">
      <formula>LEN(TRIM(G267))&gt;0</formula>
    </cfRule>
  </conditionalFormatting>
  <conditionalFormatting sqref="F267">
    <cfRule type="notContainsBlanks" dxfId="5587" priority="2508">
      <formula>LEN(TRIM(F267))&gt;0</formula>
    </cfRule>
  </conditionalFormatting>
  <conditionalFormatting sqref="E267">
    <cfRule type="notContainsBlanks" dxfId="5586" priority="2507">
      <formula>LEN(TRIM(E267))&gt;0</formula>
    </cfRule>
  </conditionalFormatting>
  <conditionalFormatting sqref="D267">
    <cfRule type="notContainsBlanks" dxfId="5585" priority="2506">
      <formula>LEN(TRIM(D267))&gt;0</formula>
    </cfRule>
  </conditionalFormatting>
  <conditionalFormatting sqref="C267">
    <cfRule type="notContainsBlanks" dxfId="5584" priority="2505">
      <formula>LEN(TRIM(C267))&gt;0</formula>
    </cfRule>
  </conditionalFormatting>
  <conditionalFormatting sqref="G258">
    <cfRule type="notContainsBlanks" dxfId="5583" priority="2503">
      <formula>LEN(TRIM(G258))&gt;0</formula>
    </cfRule>
  </conditionalFormatting>
  <conditionalFormatting sqref="F258">
    <cfRule type="notContainsBlanks" dxfId="5582" priority="2502">
      <formula>LEN(TRIM(F258))&gt;0</formula>
    </cfRule>
  </conditionalFormatting>
  <conditionalFormatting sqref="E258">
    <cfRule type="notContainsBlanks" dxfId="5581" priority="2501">
      <formula>LEN(TRIM(E258))&gt;0</formula>
    </cfRule>
  </conditionalFormatting>
  <conditionalFormatting sqref="D258">
    <cfRule type="notContainsBlanks" dxfId="5580" priority="2500">
      <formula>LEN(TRIM(D258))&gt;0</formula>
    </cfRule>
  </conditionalFormatting>
  <conditionalFormatting sqref="C258">
    <cfRule type="notContainsBlanks" dxfId="5579" priority="2499">
      <formula>LEN(TRIM(C258))&gt;0</formula>
    </cfRule>
  </conditionalFormatting>
  <conditionalFormatting sqref="G264">
    <cfRule type="notContainsBlanks" dxfId="5578" priority="2498">
      <formula>LEN(TRIM(G264))&gt;0</formula>
    </cfRule>
  </conditionalFormatting>
  <conditionalFormatting sqref="F264">
    <cfRule type="notContainsBlanks" dxfId="5577" priority="2497">
      <formula>LEN(TRIM(F264))&gt;0</formula>
    </cfRule>
  </conditionalFormatting>
  <conditionalFormatting sqref="E264">
    <cfRule type="notContainsBlanks" dxfId="5576" priority="2496">
      <formula>LEN(TRIM(E264))&gt;0</formula>
    </cfRule>
  </conditionalFormatting>
  <conditionalFormatting sqref="D264">
    <cfRule type="notContainsBlanks" dxfId="5575" priority="2495">
      <formula>LEN(TRIM(D264))&gt;0</formula>
    </cfRule>
  </conditionalFormatting>
  <conditionalFormatting sqref="C264">
    <cfRule type="notContainsBlanks" dxfId="5574" priority="2494">
      <formula>LEN(TRIM(C264))&gt;0</formula>
    </cfRule>
  </conditionalFormatting>
  <conditionalFormatting sqref="S270">
    <cfRule type="expression" dxfId="5573" priority="2490">
      <formula>$S$28&gt;0</formula>
    </cfRule>
    <cfRule type="cellIs" dxfId="5572" priority="2491" operator="equal">
      <formula>0</formula>
    </cfRule>
  </conditionalFormatting>
  <conditionalFormatting sqref="S271">
    <cfRule type="expression" dxfId="5571" priority="2488">
      <formula>$S$28&gt;0</formula>
    </cfRule>
    <cfRule type="cellIs" dxfId="5570" priority="2489" operator="equal">
      <formula>0</formula>
    </cfRule>
  </conditionalFormatting>
  <conditionalFormatting sqref="N255">
    <cfRule type="expression" dxfId="5569" priority="2475">
      <formula>N255=" "</formula>
    </cfRule>
    <cfRule type="expression" dxfId="5568" priority="2476">
      <formula>N255="NO PRESENTÓ CERTIFICADO"</formula>
    </cfRule>
    <cfRule type="expression" dxfId="5567" priority="2477">
      <formula>N255="PRESENTÓ CERTIFICADO"</formula>
    </cfRule>
  </conditionalFormatting>
  <conditionalFormatting sqref="O255">
    <cfRule type="cellIs" dxfId="5566" priority="2457" operator="equal">
      <formula>"PENDIENTE POR DESCRIPCIÓN"</formula>
    </cfRule>
    <cfRule type="cellIs" dxfId="5565" priority="2458" operator="equal">
      <formula>"DESCRIPCIÓN INSUFICIENTE"</formula>
    </cfRule>
    <cfRule type="cellIs" dxfId="5564" priority="2459" operator="equal">
      <formula>"NO ESTÁ ACORDE A ITEM 5.2.2 (T.R.)"</formula>
    </cfRule>
    <cfRule type="cellIs" dxfId="5563" priority="2460" operator="equal">
      <formula>"ACORDE A ITEM 5.2.2 (T.R.)"</formula>
    </cfRule>
    <cfRule type="cellIs" dxfId="5562" priority="2467" operator="equal">
      <formula>"PENDIENTE POR DESCRIPCIÓN"</formula>
    </cfRule>
    <cfRule type="cellIs" dxfId="5561" priority="2469" operator="equal">
      <formula>"DESCRIPCIÓN INSUFICIENTE"</formula>
    </cfRule>
    <cfRule type="cellIs" dxfId="5560" priority="2470" operator="equal">
      <formula>"NO ESTÁ ACORDE A ITEM 5.2.1 (T.R.)"</formula>
    </cfRule>
    <cfRule type="cellIs" dxfId="5559" priority="2471" operator="equal">
      <formula>"ACORDE A ITEM 5.2.1 (T.R.)"</formula>
    </cfRule>
  </conditionalFormatting>
  <conditionalFormatting sqref="Q255">
    <cfRule type="containsBlanks" dxfId="5558" priority="2462">
      <formula>LEN(TRIM(Q255))=0</formula>
    </cfRule>
    <cfRule type="cellIs" dxfId="5557" priority="2468" operator="equal">
      <formula>"REQUERIMIENTOS SUBSANADOS"</formula>
    </cfRule>
    <cfRule type="containsText" dxfId="5556" priority="2472" operator="containsText" text="NO SUBSANABLE">
      <formula>NOT(ISERROR(SEARCH("NO SUBSANABLE",Q255)))</formula>
    </cfRule>
    <cfRule type="containsText" dxfId="5555" priority="2473" operator="containsText" text="PENDIENTES POR SUBSANAR">
      <formula>NOT(ISERROR(SEARCH("PENDIENTES POR SUBSANAR",Q255)))</formula>
    </cfRule>
    <cfRule type="containsText" dxfId="5554" priority="2474" operator="containsText" text="SIN OBSERVACIÓN">
      <formula>NOT(ISERROR(SEARCH("SIN OBSERVACIÓN",Q255)))</formula>
    </cfRule>
  </conditionalFormatting>
  <conditionalFormatting sqref="R255">
    <cfRule type="containsBlanks" dxfId="5553" priority="2461">
      <formula>LEN(TRIM(R255))=0</formula>
    </cfRule>
    <cfRule type="cellIs" dxfId="5552" priority="2463" operator="equal">
      <formula>"NO CUMPLEN CON LO SOLICITADO"</formula>
    </cfRule>
    <cfRule type="cellIs" dxfId="5551" priority="2464" operator="equal">
      <formula>"CUMPLEN CON LO SOLICITADO"</formula>
    </cfRule>
    <cfRule type="cellIs" dxfId="5550" priority="2465" operator="equal">
      <formula>"PENDIENTES"</formula>
    </cfRule>
    <cfRule type="cellIs" dxfId="5549" priority="2466" operator="equal">
      <formula>"NINGUNO"</formula>
    </cfRule>
  </conditionalFormatting>
  <conditionalFormatting sqref="P255">
    <cfRule type="expression" dxfId="5548" priority="2452">
      <formula>Q255="NO SUBSANABLE"</formula>
    </cfRule>
    <cfRule type="expression" dxfId="5547" priority="2453">
      <formula>Q255="REQUERIMIENTOS SUBSANADOS"</formula>
    </cfRule>
    <cfRule type="expression" dxfId="5546" priority="2454">
      <formula>Q255="PENDIENTES POR SUBSANAR"</formula>
    </cfRule>
    <cfRule type="expression" dxfId="5545" priority="2455">
      <formula>Q255="SIN OBSERVACIÓN"</formula>
    </cfRule>
    <cfRule type="containsBlanks" dxfId="5544" priority="2456">
      <formula>LEN(TRIM(P255))=0</formula>
    </cfRule>
  </conditionalFormatting>
  <conditionalFormatting sqref="M264">
    <cfRule type="expression" dxfId="5543" priority="2321">
      <formula>L264="NO CUMPLE"</formula>
    </cfRule>
    <cfRule type="expression" dxfId="5542" priority="2322">
      <formula>L264="CUMPLE"</formula>
    </cfRule>
  </conditionalFormatting>
  <conditionalFormatting sqref="L264:L265">
    <cfRule type="cellIs" dxfId="5541" priority="2319" operator="equal">
      <formula>"NO CUMPLE"</formula>
    </cfRule>
    <cfRule type="cellIs" dxfId="5540" priority="2320" operator="equal">
      <formula>"CUMPLE"</formula>
    </cfRule>
  </conditionalFormatting>
  <conditionalFormatting sqref="M265">
    <cfRule type="expression" dxfId="5539" priority="2317">
      <formula>L265="NO CUMPLE"</formula>
    </cfRule>
    <cfRule type="expression" dxfId="5538" priority="2318">
      <formula>L265="CUMPLE"</formula>
    </cfRule>
  </conditionalFormatting>
  <conditionalFormatting sqref="J258:J266">
    <cfRule type="cellIs" dxfId="5537" priority="2361" operator="equal">
      <formula>"NO CUMPLE"</formula>
    </cfRule>
    <cfRule type="cellIs" dxfId="5536" priority="2362" operator="equal">
      <formula>"CUMPLE"</formula>
    </cfRule>
  </conditionalFormatting>
  <conditionalFormatting sqref="K258">
    <cfRule type="expression" dxfId="5535" priority="2359">
      <formula>J258="NO CUMPLE"</formula>
    </cfRule>
    <cfRule type="expression" dxfId="5534" priority="2360">
      <formula>J258="CUMPLE"</formula>
    </cfRule>
  </conditionalFormatting>
  <conditionalFormatting sqref="K259:K260">
    <cfRule type="expression" dxfId="5533" priority="2357">
      <formula>J259="NO CUMPLE"</formula>
    </cfRule>
    <cfRule type="expression" dxfId="5532" priority="2358">
      <formula>J259="CUMPLE"</formula>
    </cfRule>
  </conditionalFormatting>
  <conditionalFormatting sqref="J268:J269">
    <cfRule type="cellIs" dxfId="5531" priority="2353" operator="equal">
      <formula>"NO CUMPLE"</formula>
    </cfRule>
    <cfRule type="cellIs" dxfId="5530" priority="2354" operator="equal">
      <formula>"CUMPLE"</formula>
    </cfRule>
  </conditionalFormatting>
  <conditionalFormatting sqref="K261">
    <cfRule type="expression" dxfId="5529" priority="2351">
      <formula>J261="NO CUMPLE"</formula>
    </cfRule>
    <cfRule type="expression" dxfId="5528" priority="2352">
      <formula>J261="CUMPLE"</formula>
    </cfRule>
  </conditionalFormatting>
  <conditionalFormatting sqref="K262:K263">
    <cfRule type="expression" dxfId="5527" priority="2349">
      <formula>J262="NO CUMPLE"</formula>
    </cfRule>
    <cfRule type="expression" dxfId="5526" priority="2350">
      <formula>J262="CUMPLE"</formula>
    </cfRule>
  </conditionalFormatting>
  <conditionalFormatting sqref="K264">
    <cfRule type="expression" dxfId="5525" priority="2347">
      <formula>J264="NO CUMPLE"</formula>
    </cfRule>
    <cfRule type="expression" dxfId="5524" priority="2348">
      <formula>J264="CUMPLE"</formula>
    </cfRule>
  </conditionalFormatting>
  <conditionalFormatting sqref="K265:K266">
    <cfRule type="expression" dxfId="5523" priority="2345">
      <formula>J265="NO CUMPLE"</formula>
    </cfRule>
    <cfRule type="expression" dxfId="5522" priority="2346">
      <formula>J265="CUMPLE"</formula>
    </cfRule>
  </conditionalFormatting>
  <conditionalFormatting sqref="K267">
    <cfRule type="expression" dxfId="5521" priority="2343">
      <formula>J267="NO CUMPLE"</formula>
    </cfRule>
    <cfRule type="expression" dxfId="5520" priority="2344">
      <formula>J267="CUMPLE"</formula>
    </cfRule>
  </conditionalFormatting>
  <conditionalFormatting sqref="K268:K269">
    <cfRule type="expression" dxfId="5519" priority="2341">
      <formula>J268="NO CUMPLE"</formula>
    </cfRule>
    <cfRule type="expression" dxfId="5518" priority="2342">
      <formula>J268="CUMPLE"</formula>
    </cfRule>
  </conditionalFormatting>
  <conditionalFormatting sqref="M259">
    <cfRule type="expression" dxfId="5517" priority="2329">
      <formula>L259="NO CUMPLE"</formula>
    </cfRule>
    <cfRule type="expression" dxfId="5516" priority="2330">
      <formula>L259="CUMPLE"</formula>
    </cfRule>
  </conditionalFormatting>
  <conditionalFormatting sqref="L258:L259">
    <cfRule type="cellIs" dxfId="5515" priority="2331" operator="equal">
      <formula>"NO CUMPLE"</formula>
    </cfRule>
    <cfRule type="cellIs" dxfId="5514" priority="2332" operator="equal">
      <formula>"CUMPLE"</formula>
    </cfRule>
  </conditionalFormatting>
  <conditionalFormatting sqref="M258">
    <cfRule type="expression" dxfId="5513" priority="2333">
      <formula>L258="NO CUMPLE"</formula>
    </cfRule>
    <cfRule type="expression" dxfId="5512" priority="2334">
      <formula>L258="CUMPLE"</formula>
    </cfRule>
  </conditionalFormatting>
  <conditionalFormatting sqref="M256">
    <cfRule type="expression" dxfId="5511" priority="2335">
      <formula>L256="NO CUMPLE"</formula>
    </cfRule>
    <cfRule type="expression" dxfId="5510" priority="2336">
      <formula>L256="CUMPLE"</formula>
    </cfRule>
  </conditionalFormatting>
  <conditionalFormatting sqref="M255">
    <cfRule type="expression" dxfId="5509" priority="2339">
      <formula>L255="NO CUMPLE"</formula>
    </cfRule>
    <cfRule type="expression" dxfId="5508" priority="2340">
      <formula>L255="CUMPLE"</formula>
    </cfRule>
  </conditionalFormatting>
  <conditionalFormatting sqref="L255:L256">
    <cfRule type="cellIs" dxfId="5507" priority="2337" operator="equal">
      <formula>"NO CUMPLE"</formula>
    </cfRule>
    <cfRule type="cellIs" dxfId="5506" priority="2338" operator="equal">
      <formula>"CUMPLE"</formula>
    </cfRule>
  </conditionalFormatting>
  <conditionalFormatting sqref="M262">
    <cfRule type="expression" dxfId="5505" priority="2323">
      <formula>L262="NO CUMPLE"</formula>
    </cfRule>
    <cfRule type="expression" dxfId="5504" priority="2324">
      <formula>L262="CUMPLE"</formula>
    </cfRule>
  </conditionalFormatting>
  <conditionalFormatting sqref="M261">
    <cfRule type="expression" dxfId="5503" priority="2327">
      <formula>L261="NO CUMPLE"</formula>
    </cfRule>
    <cfRule type="expression" dxfId="5502" priority="2328">
      <formula>L261="CUMPLE"</formula>
    </cfRule>
  </conditionalFormatting>
  <conditionalFormatting sqref="L261:L262">
    <cfRule type="cellIs" dxfId="5501" priority="2325" operator="equal">
      <formula>"NO CUMPLE"</formula>
    </cfRule>
    <cfRule type="cellIs" dxfId="5500" priority="2326" operator="equal">
      <formula>"CUMPLE"</formula>
    </cfRule>
  </conditionalFormatting>
  <conditionalFormatting sqref="M268">
    <cfRule type="expression" dxfId="5499" priority="2311">
      <formula>L268="NO CUMPLE"</formula>
    </cfRule>
    <cfRule type="expression" dxfId="5498" priority="2312">
      <formula>L268="CUMPLE"</formula>
    </cfRule>
  </conditionalFormatting>
  <conditionalFormatting sqref="M267">
    <cfRule type="expression" dxfId="5497" priority="2315">
      <formula>L267="NO CUMPLE"</formula>
    </cfRule>
    <cfRule type="expression" dxfId="5496" priority="2316">
      <formula>L267="CUMPLE"</formula>
    </cfRule>
  </conditionalFormatting>
  <conditionalFormatting sqref="L267:L268">
    <cfRule type="cellIs" dxfId="5495" priority="2313" operator="equal">
      <formula>"NO CUMPLE"</formula>
    </cfRule>
    <cfRule type="cellIs" dxfId="5494" priority="2314" operator="equal">
      <formula>"CUMPLE"</formula>
    </cfRule>
  </conditionalFormatting>
  <conditionalFormatting sqref="K255">
    <cfRule type="expression" dxfId="5493" priority="2305">
      <formula>J255="NO CUMPLE"</formula>
    </cfRule>
    <cfRule type="expression" dxfId="5492" priority="2306">
      <formula>J255="CUMPLE"</formula>
    </cfRule>
  </conditionalFormatting>
  <conditionalFormatting sqref="K256:K257">
    <cfRule type="expression" dxfId="5491" priority="2303">
      <formula>J256="NO CUMPLE"</formula>
    </cfRule>
    <cfRule type="expression" dxfId="5490" priority="2304">
      <formula>J256="CUMPLE"</formula>
    </cfRule>
  </conditionalFormatting>
  <conditionalFormatting sqref="S277">
    <cfRule type="cellIs" dxfId="5489" priority="2301" operator="greaterThan">
      <formula>0</formula>
    </cfRule>
    <cfRule type="top10" dxfId="5488" priority="2302" rank="10"/>
  </conditionalFormatting>
  <conditionalFormatting sqref="B292">
    <cfRule type="cellIs" dxfId="5487" priority="2297" operator="equal">
      <formula>"NO CUMPLE CON LA EXPERIENCIA REQUERIDA"</formula>
    </cfRule>
    <cfRule type="cellIs" dxfId="5486" priority="2298" operator="equal">
      <formula>"CUMPLE CON LA EXPERIENCIA REQUERIDA"</formula>
    </cfRule>
  </conditionalFormatting>
  <conditionalFormatting sqref="H277 H280 H283 H286 H289">
    <cfRule type="notContainsBlanks" dxfId="5485" priority="2296">
      <formula>LEN(TRIM(H277))&gt;0</formula>
    </cfRule>
  </conditionalFormatting>
  <conditionalFormatting sqref="G277">
    <cfRule type="notContainsBlanks" dxfId="5484" priority="2295">
      <formula>LEN(TRIM(G277))&gt;0</formula>
    </cfRule>
  </conditionalFormatting>
  <conditionalFormatting sqref="F277">
    <cfRule type="notContainsBlanks" dxfId="5483" priority="2294">
      <formula>LEN(TRIM(F277))&gt;0</formula>
    </cfRule>
  </conditionalFormatting>
  <conditionalFormatting sqref="E277">
    <cfRule type="notContainsBlanks" dxfId="5482" priority="2293">
      <formula>LEN(TRIM(E277))&gt;0</formula>
    </cfRule>
  </conditionalFormatting>
  <conditionalFormatting sqref="D277">
    <cfRule type="notContainsBlanks" dxfId="5481" priority="2292">
      <formula>LEN(TRIM(D277))&gt;0</formula>
    </cfRule>
  </conditionalFormatting>
  <conditionalFormatting sqref="C277">
    <cfRule type="notContainsBlanks" dxfId="5480" priority="2291">
      <formula>LEN(TRIM(C277))&gt;0</formula>
    </cfRule>
  </conditionalFormatting>
  <conditionalFormatting sqref="I277">
    <cfRule type="notContainsBlanks" dxfId="5479" priority="2290">
      <formula>LEN(TRIM(I277))&gt;0</formula>
    </cfRule>
  </conditionalFormatting>
  <conditionalFormatting sqref="S280">
    <cfRule type="cellIs" dxfId="5478" priority="2286" operator="greaterThan">
      <formula>0</formula>
    </cfRule>
    <cfRule type="top10" dxfId="5477" priority="2287" rank="10"/>
  </conditionalFormatting>
  <conditionalFormatting sqref="S283">
    <cfRule type="cellIs" dxfId="5476" priority="2284" operator="greaterThan">
      <formula>0</formula>
    </cfRule>
    <cfRule type="top10" dxfId="5475" priority="2285" rank="10"/>
  </conditionalFormatting>
  <conditionalFormatting sqref="G283">
    <cfRule type="notContainsBlanks" dxfId="5474" priority="2283">
      <formula>LEN(TRIM(G283))&gt;0</formula>
    </cfRule>
  </conditionalFormatting>
  <conditionalFormatting sqref="F283">
    <cfRule type="notContainsBlanks" dxfId="5473" priority="2282">
      <formula>LEN(TRIM(F283))&gt;0</formula>
    </cfRule>
  </conditionalFormatting>
  <conditionalFormatting sqref="E283">
    <cfRule type="notContainsBlanks" dxfId="5472" priority="2281">
      <formula>LEN(TRIM(E283))&gt;0</formula>
    </cfRule>
  </conditionalFormatting>
  <conditionalFormatting sqref="D283">
    <cfRule type="notContainsBlanks" dxfId="5471" priority="2280">
      <formula>LEN(TRIM(D283))&gt;0</formula>
    </cfRule>
  </conditionalFormatting>
  <conditionalFormatting sqref="C283">
    <cfRule type="notContainsBlanks" dxfId="5470" priority="2279">
      <formula>LEN(TRIM(C283))&gt;0</formula>
    </cfRule>
  </conditionalFormatting>
  <conditionalFormatting sqref="I283">
    <cfRule type="notContainsBlanks" dxfId="5469" priority="2278">
      <formula>LEN(TRIM(I283))&gt;0</formula>
    </cfRule>
  </conditionalFormatting>
  <conditionalFormatting sqref="S286">
    <cfRule type="cellIs" dxfId="5468" priority="2276" operator="greaterThan">
      <formula>0</formula>
    </cfRule>
    <cfRule type="top10" dxfId="5467" priority="2277" rank="10"/>
  </conditionalFormatting>
  <conditionalFormatting sqref="S289">
    <cfRule type="cellIs" dxfId="5466" priority="2274" operator="greaterThan">
      <formula>0</formula>
    </cfRule>
    <cfRule type="top10" dxfId="5465" priority="2275" rank="10"/>
  </conditionalFormatting>
  <conditionalFormatting sqref="G289">
    <cfRule type="notContainsBlanks" dxfId="5464" priority="2273">
      <formula>LEN(TRIM(G289))&gt;0</formula>
    </cfRule>
  </conditionalFormatting>
  <conditionalFormatting sqref="F289">
    <cfRule type="notContainsBlanks" dxfId="5463" priority="2272">
      <formula>LEN(TRIM(F289))&gt;0</formula>
    </cfRule>
  </conditionalFormatting>
  <conditionalFormatting sqref="E289">
    <cfRule type="notContainsBlanks" dxfId="5462" priority="2271">
      <formula>LEN(TRIM(E289))&gt;0</formula>
    </cfRule>
  </conditionalFormatting>
  <conditionalFormatting sqref="D289">
    <cfRule type="notContainsBlanks" dxfId="5461" priority="2270">
      <formula>LEN(TRIM(D289))&gt;0</formula>
    </cfRule>
  </conditionalFormatting>
  <conditionalFormatting sqref="C289">
    <cfRule type="notContainsBlanks" dxfId="5460" priority="2269">
      <formula>LEN(TRIM(C289))&gt;0</formula>
    </cfRule>
  </conditionalFormatting>
  <conditionalFormatting sqref="I289">
    <cfRule type="notContainsBlanks" dxfId="5459" priority="2268">
      <formula>LEN(TRIM(I289))&gt;0</formula>
    </cfRule>
  </conditionalFormatting>
  <conditionalFormatting sqref="G280">
    <cfRule type="notContainsBlanks" dxfId="5458" priority="2267">
      <formula>LEN(TRIM(G280))&gt;0</formula>
    </cfRule>
  </conditionalFormatting>
  <conditionalFormatting sqref="F280">
    <cfRule type="notContainsBlanks" dxfId="5457" priority="2266">
      <formula>LEN(TRIM(F280))&gt;0</formula>
    </cfRule>
  </conditionalFormatting>
  <conditionalFormatting sqref="E280">
    <cfRule type="notContainsBlanks" dxfId="5456" priority="2265">
      <formula>LEN(TRIM(E280))&gt;0</formula>
    </cfRule>
  </conditionalFormatting>
  <conditionalFormatting sqref="D280">
    <cfRule type="notContainsBlanks" dxfId="5455" priority="2264">
      <formula>LEN(TRIM(D280))&gt;0</formula>
    </cfRule>
  </conditionalFormatting>
  <conditionalFormatting sqref="C280">
    <cfRule type="notContainsBlanks" dxfId="5454" priority="2263">
      <formula>LEN(TRIM(C280))&gt;0</formula>
    </cfRule>
  </conditionalFormatting>
  <conditionalFormatting sqref="G286">
    <cfRule type="notContainsBlanks" dxfId="5453" priority="2262">
      <formula>LEN(TRIM(G286))&gt;0</formula>
    </cfRule>
  </conditionalFormatting>
  <conditionalFormatting sqref="F286">
    <cfRule type="notContainsBlanks" dxfId="5452" priority="2261">
      <formula>LEN(TRIM(F286))&gt;0</formula>
    </cfRule>
  </conditionalFormatting>
  <conditionalFormatting sqref="E286">
    <cfRule type="notContainsBlanks" dxfId="5451" priority="2260">
      <formula>LEN(TRIM(E286))&gt;0</formula>
    </cfRule>
  </conditionalFormatting>
  <conditionalFormatting sqref="D286">
    <cfRule type="notContainsBlanks" dxfId="5450" priority="2259">
      <formula>LEN(TRIM(D286))&gt;0</formula>
    </cfRule>
  </conditionalFormatting>
  <conditionalFormatting sqref="C286">
    <cfRule type="notContainsBlanks" dxfId="5449" priority="2258">
      <formula>LEN(TRIM(C286))&gt;0</formula>
    </cfRule>
  </conditionalFormatting>
  <conditionalFormatting sqref="I280">
    <cfRule type="notContainsBlanks" dxfId="5448" priority="2257">
      <formula>LEN(TRIM(I280))&gt;0</formula>
    </cfRule>
  </conditionalFormatting>
  <conditionalFormatting sqref="I286">
    <cfRule type="notContainsBlanks" dxfId="5447" priority="2256">
      <formula>LEN(TRIM(I286))&gt;0</formula>
    </cfRule>
  </conditionalFormatting>
  <conditionalFormatting sqref="S292">
    <cfRule type="expression" dxfId="5446" priority="2254">
      <formula>$S$28&gt;0</formula>
    </cfRule>
    <cfRule type="cellIs" dxfId="5445" priority="2255" operator="equal">
      <formula>0</formula>
    </cfRule>
  </conditionalFormatting>
  <conditionalFormatting sqref="S293">
    <cfRule type="expression" dxfId="5444" priority="2252">
      <formula>$S$28&gt;0</formula>
    </cfRule>
    <cfRule type="cellIs" dxfId="5443" priority="2253" operator="equal">
      <formula>0</formula>
    </cfRule>
  </conditionalFormatting>
  <conditionalFormatting sqref="N277">
    <cfRule type="expression" dxfId="5442" priority="2239">
      <formula>N277=" "</formula>
    </cfRule>
    <cfRule type="expression" dxfId="5441" priority="2240">
      <formula>N277="NO PRESENTÓ CERTIFICADO"</formula>
    </cfRule>
    <cfRule type="expression" dxfId="5440" priority="2241">
      <formula>N277="PRESENTÓ CERTIFICADO"</formula>
    </cfRule>
  </conditionalFormatting>
  <conditionalFormatting sqref="O277">
    <cfRule type="cellIs" dxfId="5439" priority="2221" operator="equal">
      <formula>"PENDIENTE POR DESCRIPCIÓN"</formula>
    </cfRule>
    <cfRule type="cellIs" dxfId="5438" priority="2222" operator="equal">
      <formula>"DESCRIPCIÓN INSUFICIENTE"</formula>
    </cfRule>
    <cfRule type="cellIs" dxfId="5437" priority="2223" operator="equal">
      <formula>"NO ESTÁ ACORDE A ITEM 5.2.2 (T.R.)"</formula>
    </cfRule>
    <cfRule type="cellIs" dxfId="5436" priority="2224" operator="equal">
      <formula>"ACORDE A ITEM 5.2.2 (T.R.)"</formula>
    </cfRule>
    <cfRule type="cellIs" dxfId="5435" priority="2231" operator="equal">
      <formula>"PENDIENTE POR DESCRIPCIÓN"</formula>
    </cfRule>
    <cfRule type="cellIs" dxfId="5434" priority="2233" operator="equal">
      <formula>"DESCRIPCIÓN INSUFICIENTE"</formula>
    </cfRule>
    <cfRule type="cellIs" dxfId="5433" priority="2234" operator="equal">
      <formula>"NO ESTÁ ACORDE A ITEM 5.2.1 (T.R.)"</formula>
    </cfRule>
    <cfRule type="cellIs" dxfId="5432" priority="2235" operator="equal">
      <formula>"ACORDE A ITEM 5.2.1 (T.R.)"</formula>
    </cfRule>
  </conditionalFormatting>
  <conditionalFormatting sqref="P277">
    <cfRule type="expression" dxfId="5431" priority="2216">
      <formula>Q277="NO SUBSANABLE"</formula>
    </cfRule>
    <cfRule type="expression" dxfId="5430" priority="2217">
      <formula>Q277="REQUERIMIENTOS SUBSANADOS"</formula>
    </cfRule>
    <cfRule type="expression" dxfId="5429" priority="2218">
      <formula>Q277="PENDIENTES POR SUBSANAR"</formula>
    </cfRule>
    <cfRule type="expression" dxfId="5428" priority="2219">
      <formula>Q277="SIN OBSERVACIÓN"</formula>
    </cfRule>
    <cfRule type="containsBlanks" dxfId="5427" priority="2220">
      <formula>LEN(TRIM(P277))=0</formula>
    </cfRule>
  </conditionalFormatting>
  <conditionalFormatting sqref="N289">
    <cfRule type="expression" dxfId="5426" priority="2213">
      <formula>N289=" "</formula>
    </cfRule>
    <cfRule type="expression" dxfId="5425" priority="2214">
      <formula>N289="NO PRESENTÓ CERTIFICADO"</formula>
    </cfRule>
    <cfRule type="expression" dxfId="5424" priority="2215">
      <formula>N289="PRESENTÓ CERTIFICADO"</formula>
    </cfRule>
  </conditionalFormatting>
  <conditionalFormatting sqref="O289">
    <cfRule type="cellIs" dxfId="5423" priority="2195" operator="equal">
      <formula>"PENDIENTE POR DESCRIPCIÓN"</formula>
    </cfRule>
    <cfRule type="cellIs" dxfId="5422" priority="2196" operator="equal">
      <formula>"DESCRIPCIÓN INSUFICIENTE"</formula>
    </cfRule>
    <cfRule type="cellIs" dxfId="5421" priority="2197" operator="equal">
      <formula>"NO ESTÁ ACORDE A ITEM 5.2.2 (T.R.)"</formula>
    </cfRule>
    <cfRule type="cellIs" dxfId="5420" priority="2198" operator="equal">
      <formula>"ACORDE A ITEM 5.2.2 (T.R.)"</formula>
    </cfRule>
    <cfRule type="cellIs" dxfId="5419" priority="2205" operator="equal">
      <formula>"PENDIENTE POR DESCRIPCIÓN"</formula>
    </cfRule>
    <cfRule type="cellIs" dxfId="5418" priority="2207" operator="equal">
      <formula>"DESCRIPCIÓN INSUFICIENTE"</formula>
    </cfRule>
    <cfRule type="cellIs" dxfId="5417" priority="2208" operator="equal">
      <formula>"NO ESTÁ ACORDE A ITEM 5.2.1 (T.R.)"</formula>
    </cfRule>
    <cfRule type="cellIs" dxfId="5416" priority="2209" operator="equal">
      <formula>"ACORDE A ITEM 5.2.1 (T.R.)"</formula>
    </cfRule>
  </conditionalFormatting>
  <conditionalFormatting sqref="Q289">
    <cfRule type="containsBlanks" dxfId="5415" priority="2200">
      <formula>LEN(TRIM(Q289))=0</formula>
    </cfRule>
    <cfRule type="cellIs" dxfId="5414" priority="2206" operator="equal">
      <formula>"REQUERIMIENTOS SUBSANADOS"</formula>
    </cfRule>
    <cfRule type="containsText" dxfId="5413" priority="2210" operator="containsText" text="NO SUBSANABLE">
      <formula>NOT(ISERROR(SEARCH("NO SUBSANABLE",Q289)))</formula>
    </cfRule>
    <cfRule type="containsText" dxfId="5412" priority="2211" operator="containsText" text="PENDIENTES POR SUBSANAR">
      <formula>NOT(ISERROR(SEARCH("PENDIENTES POR SUBSANAR",Q289)))</formula>
    </cfRule>
    <cfRule type="containsText" dxfId="5411" priority="2212" operator="containsText" text="SIN OBSERVACIÓN">
      <formula>NOT(ISERROR(SEARCH("SIN OBSERVACIÓN",Q289)))</formula>
    </cfRule>
  </conditionalFormatting>
  <conditionalFormatting sqref="R289">
    <cfRule type="containsBlanks" dxfId="5410" priority="2199">
      <formula>LEN(TRIM(R289))=0</formula>
    </cfRule>
    <cfRule type="cellIs" dxfId="5409" priority="2201" operator="equal">
      <formula>"NO CUMPLEN CON LO SOLICITADO"</formula>
    </cfRule>
    <cfRule type="cellIs" dxfId="5408" priority="2202" operator="equal">
      <formula>"CUMPLEN CON LO SOLICITADO"</formula>
    </cfRule>
    <cfRule type="cellIs" dxfId="5407" priority="2203" operator="equal">
      <formula>"PENDIENTES"</formula>
    </cfRule>
    <cfRule type="cellIs" dxfId="5406" priority="2204" operator="equal">
      <formula>"NINGUNO"</formula>
    </cfRule>
  </conditionalFormatting>
  <conditionalFormatting sqref="P280 P283 P286 P289">
    <cfRule type="expression" dxfId="5405" priority="2190">
      <formula>Q280="NO SUBSANABLE"</formula>
    </cfRule>
    <cfRule type="expression" dxfId="5404" priority="2191">
      <formula>Q280="REQUERIMIENTOS SUBSANADOS"</formula>
    </cfRule>
    <cfRule type="expression" dxfId="5403" priority="2192">
      <formula>Q280="PENDIENTES POR SUBSANAR"</formula>
    </cfRule>
    <cfRule type="expression" dxfId="5402" priority="2193">
      <formula>Q280="SIN OBSERVACIÓN"</formula>
    </cfRule>
    <cfRule type="containsBlanks" dxfId="5401" priority="2194">
      <formula>LEN(TRIM(P280))=0</formula>
    </cfRule>
  </conditionalFormatting>
  <conditionalFormatting sqref="N286">
    <cfRule type="expression" dxfId="5400" priority="2181">
      <formula>N286=" "</formula>
    </cfRule>
    <cfRule type="expression" dxfId="5399" priority="2182">
      <formula>N286="NO PRESENTÓ CERTIFICADO"</formula>
    </cfRule>
    <cfRule type="expression" dxfId="5398" priority="2183">
      <formula>N286="PRESENTÓ CERTIFICADO"</formula>
    </cfRule>
  </conditionalFormatting>
  <conditionalFormatting sqref="O286">
    <cfRule type="cellIs" dxfId="5397" priority="2157" operator="equal">
      <formula>"PENDIENTE POR DESCRIPCIÓN"</formula>
    </cfRule>
    <cfRule type="cellIs" dxfId="5396" priority="2158" operator="equal">
      <formula>"DESCRIPCIÓN INSUFICIENTE"</formula>
    </cfRule>
    <cfRule type="cellIs" dxfId="5395" priority="2159" operator="equal">
      <formula>"NO ESTÁ ACORDE A ITEM 5.2.2 (T.R.)"</formula>
    </cfRule>
    <cfRule type="cellIs" dxfId="5394" priority="2160" operator="equal">
      <formula>"ACORDE A ITEM 5.2.2 (T.R.)"</formula>
    </cfRule>
    <cfRule type="cellIs" dxfId="5393" priority="2161" operator="equal">
      <formula>"PENDIENTE POR DESCRIPCIÓN"</formula>
    </cfRule>
    <cfRule type="cellIs" dxfId="5392" priority="2162" operator="equal">
      <formula>"DESCRIPCIÓN INSUFICIENTE"</formula>
    </cfRule>
    <cfRule type="cellIs" dxfId="5391" priority="2163" operator="equal">
      <formula>"NO ESTÁ ACORDE A ITEM 5.2.1 (T.R.)"</formula>
    </cfRule>
    <cfRule type="cellIs" dxfId="5390" priority="2164" operator="equal">
      <formula>"ACORDE A ITEM 5.2.1 (T.R.)"</formula>
    </cfRule>
  </conditionalFormatting>
  <conditionalFormatting sqref="Q283">
    <cfRule type="containsBlanks" dxfId="5389" priority="2138">
      <formula>LEN(TRIM(Q283))=0</formula>
    </cfRule>
    <cfRule type="cellIs" dxfId="5388" priority="2143" operator="equal">
      <formula>"REQUERIMIENTOS SUBSANADOS"</formula>
    </cfRule>
    <cfRule type="containsText" dxfId="5387" priority="2144" operator="containsText" text="NO SUBSANABLE">
      <formula>NOT(ISERROR(SEARCH("NO SUBSANABLE",Q283)))</formula>
    </cfRule>
    <cfRule type="containsText" dxfId="5386" priority="2145" operator="containsText" text="PENDIENTES POR SUBSANAR">
      <formula>NOT(ISERROR(SEARCH("PENDIENTES POR SUBSANAR",Q283)))</formula>
    </cfRule>
    <cfRule type="containsText" dxfId="5385" priority="2146" operator="containsText" text="SIN OBSERVACIÓN">
      <formula>NOT(ISERROR(SEARCH("SIN OBSERVACIÓN",Q283)))</formula>
    </cfRule>
  </conditionalFormatting>
  <conditionalFormatting sqref="R283">
    <cfRule type="containsBlanks" dxfId="5384" priority="2137">
      <formula>LEN(TRIM(R283))=0</formula>
    </cfRule>
    <cfRule type="cellIs" dxfId="5383" priority="2139" operator="equal">
      <formula>"NO CUMPLEN CON LO SOLICITADO"</formula>
    </cfRule>
    <cfRule type="cellIs" dxfId="5382" priority="2140" operator="equal">
      <formula>"CUMPLEN CON LO SOLICITADO"</formula>
    </cfRule>
    <cfRule type="cellIs" dxfId="5381" priority="2141" operator="equal">
      <formula>"PENDIENTES"</formula>
    </cfRule>
    <cfRule type="cellIs" dxfId="5380" priority="2142" operator="equal">
      <formula>"NINGUNO"</formula>
    </cfRule>
  </conditionalFormatting>
  <conditionalFormatting sqref="Q286">
    <cfRule type="containsBlanks" dxfId="5379" priority="2128">
      <formula>LEN(TRIM(Q286))=0</formula>
    </cfRule>
    <cfRule type="cellIs" dxfId="5378" priority="2133" operator="equal">
      <formula>"REQUERIMIENTOS SUBSANADOS"</formula>
    </cfRule>
    <cfRule type="containsText" dxfId="5377" priority="2134" operator="containsText" text="NO SUBSANABLE">
      <formula>NOT(ISERROR(SEARCH("NO SUBSANABLE",Q286)))</formula>
    </cfRule>
    <cfRule type="containsText" dxfId="5376" priority="2135" operator="containsText" text="PENDIENTES POR SUBSANAR">
      <formula>NOT(ISERROR(SEARCH("PENDIENTES POR SUBSANAR",Q286)))</formula>
    </cfRule>
    <cfRule type="containsText" dxfId="5375" priority="2136" operator="containsText" text="SIN OBSERVACIÓN">
      <formula>NOT(ISERROR(SEARCH("SIN OBSERVACIÓN",Q286)))</formula>
    </cfRule>
  </conditionalFormatting>
  <conditionalFormatting sqref="R286">
    <cfRule type="containsBlanks" dxfId="5374" priority="2127">
      <formula>LEN(TRIM(R286))=0</formula>
    </cfRule>
    <cfRule type="cellIs" dxfId="5373" priority="2129" operator="equal">
      <formula>"NO CUMPLEN CON LO SOLICITADO"</formula>
    </cfRule>
    <cfRule type="cellIs" dxfId="5372" priority="2130" operator="equal">
      <formula>"CUMPLEN CON LO SOLICITADO"</formula>
    </cfRule>
    <cfRule type="cellIs" dxfId="5371" priority="2131" operator="equal">
      <formula>"PENDIENTES"</formula>
    </cfRule>
    <cfRule type="cellIs" dxfId="5370" priority="2132" operator="equal">
      <formula>"NINGUNO"</formula>
    </cfRule>
  </conditionalFormatting>
  <conditionalFormatting sqref="M286">
    <cfRule type="expression" dxfId="5369" priority="2085">
      <formula>L286="NO CUMPLE"</formula>
    </cfRule>
    <cfRule type="expression" dxfId="5368" priority="2086">
      <formula>L286="CUMPLE"</formula>
    </cfRule>
  </conditionalFormatting>
  <conditionalFormatting sqref="L286:L287">
    <cfRule type="cellIs" dxfId="5367" priority="2083" operator="equal">
      <formula>"NO CUMPLE"</formula>
    </cfRule>
    <cfRule type="cellIs" dxfId="5366" priority="2084" operator="equal">
      <formula>"CUMPLE"</formula>
    </cfRule>
  </conditionalFormatting>
  <conditionalFormatting sqref="M287">
    <cfRule type="expression" dxfId="5365" priority="2081">
      <formula>L287="NO CUMPLE"</formula>
    </cfRule>
    <cfRule type="expression" dxfId="5364" priority="2082">
      <formula>L287="CUMPLE"</formula>
    </cfRule>
  </conditionalFormatting>
  <conditionalFormatting sqref="J280:J288">
    <cfRule type="cellIs" dxfId="5363" priority="2125" operator="equal">
      <formula>"NO CUMPLE"</formula>
    </cfRule>
    <cfRule type="cellIs" dxfId="5362" priority="2126" operator="equal">
      <formula>"CUMPLE"</formula>
    </cfRule>
  </conditionalFormatting>
  <conditionalFormatting sqref="K280">
    <cfRule type="expression" dxfId="5361" priority="2123">
      <formula>J280="NO CUMPLE"</formula>
    </cfRule>
    <cfRule type="expression" dxfId="5360" priority="2124">
      <formula>J280="CUMPLE"</formula>
    </cfRule>
  </conditionalFormatting>
  <conditionalFormatting sqref="K281:K282">
    <cfRule type="expression" dxfId="5359" priority="2121">
      <formula>J281="NO CUMPLE"</formula>
    </cfRule>
    <cfRule type="expression" dxfId="5358" priority="2122">
      <formula>J281="CUMPLE"</formula>
    </cfRule>
  </conditionalFormatting>
  <conditionalFormatting sqref="J289">
    <cfRule type="cellIs" dxfId="5357" priority="2119" operator="equal">
      <formula>"NO CUMPLE"</formula>
    </cfRule>
    <cfRule type="cellIs" dxfId="5356" priority="2120" operator="equal">
      <formula>"CUMPLE"</formula>
    </cfRule>
  </conditionalFormatting>
  <conditionalFormatting sqref="J290:J291">
    <cfRule type="cellIs" dxfId="5355" priority="2117" operator="equal">
      <formula>"NO CUMPLE"</formula>
    </cfRule>
    <cfRule type="cellIs" dxfId="5354" priority="2118" operator="equal">
      <formula>"CUMPLE"</formula>
    </cfRule>
  </conditionalFormatting>
  <conditionalFormatting sqref="K283">
    <cfRule type="expression" dxfId="5353" priority="2115">
      <formula>J283="NO CUMPLE"</formula>
    </cfRule>
    <cfRule type="expression" dxfId="5352" priority="2116">
      <formula>J283="CUMPLE"</formula>
    </cfRule>
  </conditionalFormatting>
  <conditionalFormatting sqref="K284:K285">
    <cfRule type="expression" dxfId="5351" priority="2113">
      <formula>J284="NO CUMPLE"</formula>
    </cfRule>
    <cfRule type="expression" dxfId="5350" priority="2114">
      <formula>J284="CUMPLE"</formula>
    </cfRule>
  </conditionalFormatting>
  <conditionalFormatting sqref="K286">
    <cfRule type="expression" dxfId="5349" priority="2111">
      <formula>J286="NO CUMPLE"</formula>
    </cfRule>
    <cfRule type="expression" dxfId="5348" priority="2112">
      <formula>J286="CUMPLE"</formula>
    </cfRule>
  </conditionalFormatting>
  <conditionalFormatting sqref="K287:K288">
    <cfRule type="expression" dxfId="5347" priority="2109">
      <formula>J287="NO CUMPLE"</formula>
    </cfRule>
    <cfRule type="expression" dxfId="5346" priority="2110">
      <formula>J287="CUMPLE"</formula>
    </cfRule>
  </conditionalFormatting>
  <conditionalFormatting sqref="K289">
    <cfRule type="expression" dxfId="5345" priority="2107">
      <formula>J289="NO CUMPLE"</formula>
    </cfRule>
    <cfRule type="expression" dxfId="5344" priority="2108">
      <formula>J289="CUMPLE"</formula>
    </cfRule>
  </conditionalFormatting>
  <conditionalFormatting sqref="K290:K291">
    <cfRule type="expression" dxfId="5343" priority="2105">
      <formula>J290="NO CUMPLE"</formula>
    </cfRule>
    <cfRule type="expression" dxfId="5342" priority="2106">
      <formula>J290="CUMPLE"</formula>
    </cfRule>
  </conditionalFormatting>
  <conditionalFormatting sqref="M281">
    <cfRule type="expression" dxfId="5341" priority="2093">
      <formula>L281="NO CUMPLE"</formula>
    </cfRule>
    <cfRule type="expression" dxfId="5340" priority="2094">
      <formula>L281="CUMPLE"</formula>
    </cfRule>
  </conditionalFormatting>
  <conditionalFormatting sqref="L280:L281">
    <cfRule type="cellIs" dxfId="5339" priority="2095" operator="equal">
      <formula>"NO CUMPLE"</formula>
    </cfRule>
    <cfRule type="cellIs" dxfId="5338" priority="2096" operator="equal">
      <formula>"CUMPLE"</formula>
    </cfRule>
  </conditionalFormatting>
  <conditionalFormatting sqref="M280">
    <cfRule type="expression" dxfId="5337" priority="2097">
      <formula>L280="NO CUMPLE"</formula>
    </cfRule>
    <cfRule type="expression" dxfId="5336" priority="2098">
      <formula>L280="CUMPLE"</formula>
    </cfRule>
  </conditionalFormatting>
  <conditionalFormatting sqref="M278">
    <cfRule type="expression" dxfId="5335" priority="2099">
      <formula>L278="NO CUMPLE"</formula>
    </cfRule>
    <cfRule type="expression" dxfId="5334" priority="2100">
      <formula>L278="CUMPLE"</formula>
    </cfRule>
  </conditionalFormatting>
  <conditionalFormatting sqref="M277">
    <cfRule type="expression" dxfId="5333" priority="2103">
      <formula>L277="NO CUMPLE"</formula>
    </cfRule>
    <cfRule type="expression" dxfId="5332" priority="2104">
      <formula>L277="CUMPLE"</formula>
    </cfRule>
  </conditionalFormatting>
  <conditionalFormatting sqref="L277:L278">
    <cfRule type="cellIs" dxfId="5331" priority="2101" operator="equal">
      <formula>"NO CUMPLE"</formula>
    </cfRule>
    <cfRule type="cellIs" dxfId="5330" priority="2102" operator="equal">
      <formula>"CUMPLE"</formula>
    </cfRule>
  </conditionalFormatting>
  <conditionalFormatting sqref="M284">
    <cfRule type="expression" dxfId="5329" priority="2087">
      <formula>L284="NO CUMPLE"</formula>
    </cfRule>
    <cfRule type="expression" dxfId="5328" priority="2088">
      <formula>L284="CUMPLE"</formula>
    </cfRule>
  </conditionalFormatting>
  <conditionalFormatting sqref="M283">
    <cfRule type="expression" dxfId="5327" priority="2091">
      <formula>L283="NO CUMPLE"</formula>
    </cfRule>
    <cfRule type="expression" dxfId="5326" priority="2092">
      <formula>L283="CUMPLE"</formula>
    </cfRule>
  </conditionalFormatting>
  <conditionalFormatting sqref="L283:L284">
    <cfRule type="cellIs" dxfId="5325" priority="2089" operator="equal">
      <formula>"NO CUMPLE"</formula>
    </cfRule>
    <cfRule type="cellIs" dxfId="5324" priority="2090" operator="equal">
      <formula>"CUMPLE"</formula>
    </cfRule>
  </conditionalFormatting>
  <conditionalFormatting sqref="M290">
    <cfRule type="expression" dxfId="5323" priority="2075">
      <formula>L290="NO CUMPLE"</formula>
    </cfRule>
    <cfRule type="expression" dxfId="5322" priority="2076">
      <formula>L290="CUMPLE"</formula>
    </cfRule>
  </conditionalFormatting>
  <conditionalFormatting sqref="M289">
    <cfRule type="expression" dxfId="5321" priority="2079">
      <formula>L289="NO CUMPLE"</formula>
    </cfRule>
    <cfRule type="expression" dxfId="5320" priority="2080">
      <formula>L289="CUMPLE"</formula>
    </cfRule>
  </conditionalFormatting>
  <conditionalFormatting sqref="L289:L290">
    <cfRule type="cellIs" dxfId="5319" priority="2077" operator="equal">
      <formula>"NO CUMPLE"</formula>
    </cfRule>
    <cfRule type="cellIs" dxfId="5318" priority="2078" operator="equal">
      <formula>"CUMPLE"</formula>
    </cfRule>
  </conditionalFormatting>
  <conditionalFormatting sqref="J277">
    <cfRule type="cellIs" dxfId="5317" priority="2073" operator="equal">
      <formula>"NO CUMPLE"</formula>
    </cfRule>
    <cfRule type="cellIs" dxfId="5316" priority="2074" operator="equal">
      <formula>"CUMPLE"</formula>
    </cfRule>
  </conditionalFormatting>
  <conditionalFormatting sqref="J278:J279">
    <cfRule type="cellIs" dxfId="5315" priority="2071" operator="equal">
      <formula>"NO CUMPLE"</formula>
    </cfRule>
    <cfRule type="cellIs" dxfId="5314" priority="2072" operator="equal">
      <formula>"CUMPLE"</formula>
    </cfRule>
  </conditionalFormatting>
  <conditionalFormatting sqref="K277">
    <cfRule type="expression" dxfId="5313" priority="2069">
      <formula>J277="NO CUMPLE"</formula>
    </cfRule>
    <cfRule type="expression" dxfId="5312" priority="2070">
      <formula>J277="CUMPLE"</formula>
    </cfRule>
  </conditionalFormatting>
  <conditionalFormatting sqref="K278:K279">
    <cfRule type="expression" dxfId="5311" priority="2067">
      <formula>J278="NO CUMPLE"</formula>
    </cfRule>
    <cfRule type="expression" dxfId="5310" priority="2068">
      <formula>J278="CUMPLE"</formula>
    </cfRule>
  </conditionalFormatting>
  <conditionalFormatting sqref="S299">
    <cfRule type="cellIs" dxfId="5309" priority="2065" operator="greaterThan">
      <formula>0</formula>
    </cfRule>
    <cfRule type="top10" dxfId="5308" priority="2066" rank="10"/>
  </conditionalFormatting>
  <conditionalFormatting sqref="B314">
    <cfRule type="cellIs" dxfId="5307" priority="2061" operator="equal">
      <formula>"NO CUMPLE CON LA EXPERIENCIA REQUERIDA"</formula>
    </cfRule>
    <cfRule type="cellIs" dxfId="5306" priority="2062" operator="equal">
      <formula>"CUMPLE CON LA EXPERIENCIA REQUERIDA"</formula>
    </cfRule>
  </conditionalFormatting>
  <conditionalFormatting sqref="H299 H302 H305 H308 H311">
    <cfRule type="notContainsBlanks" dxfId="5305" priority="2060">
      <formula>LEN(TRIM(H299))&gt;0</formula>
    </cfRule>
  </conditionalFormatting>
  <conditionalFormatting sqref="G299">
    <cfRule type="notContainsBlanks" dxfId="5304" priority="2059">
      <formula>LEN(TRIM(G299))&gt;0</formula>
    </cfRule>
  </conditionalFormatting>
  <conditionalFormatting sqref="F299">
    <cfRule type="notContainsBlanks" dxfId="5303" priority="2058">
      <formula>LEN(TRIM(F299))&gt;0</formula>
    </cfRule>
  </conditionalFormatting>
  <conditionalFormatting sqref="E299">
    <cfRule type="notContainsBlanks" dxfId="5302" priority="2057">
      <formula>LEN(TRIM(E299))&gt;0</formula>
    </cfRule>
  </conditionalFormatting>
  <conditionalFormatting sqref="D299">
    <cfRule type="notContainsBlanks" dxfId="5301" priority="2056">
      <formula>LEN(TRIM(D299))&gt;0</formula>
    </cfRule>
  </conditionalFormatting>
  <conditionalFormatting sqref="C299">
    <cfRule type="notContainsBlanks" dxfId="5300" priority="2055">
      <formula>LEN(TRIM(C299))&gt;0</formula>
    </cfRule>
  </conditionalFormatting>
  <conditionalFormatting sqref="I299">
    <cfRule type="notContainsBlanks" dxfId="5299" priority="2054">
      <formula>LEN(TRIM(I299))&gt;0</formula>
    </cfRule>
  </conditionalFormatting>
  <conditionalFormatting sqref="S302">
    <cfRule type="cellIs" dxfId="5298" priority="2050" operator="greaterThan">
      <formula>0</formula>
    </cfRule>
    <cfRule type="top10" dxfId="5297" priority="2051" rank="10"/>
  </conditionalFormatting>
  <conditionalFormatting sqref="S305">
    <cfRule type="cellIs" dxfId="5296" priority="2048" operator="greaterThan">
      <formula>0</formula>
    </cfRule>
    <cfRule type="top10" dxfId="5295" priority="2049" rank="10"/>
  </conditionalFormatting>
  <conditionalFormatting sqref="G305">
    <cfRule type="notContainsBlanks" dxfId="5294" priority="2047">
      <formula>LEN(TRIM(G305))&gt;0</formula>
    </cfRule>
  </conditionalFormatting>
  <conditionalFormatting sqref="F305">
    <cfRule type="notContainsBlanks" dxfId="5293" priority="2046">
      <formula>LEN(TRIM(F305))&gt;0</formula>
    </cfRule>
  </conditionalFormatting>
  <conditionalFormatting sqref="E305">
    <cfRule type="notContainsBlanks" dxfId="5292" priority="2045">
      <formula>LEN(TRIM(E305))&gt;0</formula>
    </cfRule>
  </conditionalFormatting>
  <conditionalFormatting sqref="D305">
    <cfRule type="notContainsBlanks" dxfId="5291" priority="2044">
      <formula>LEN(TRIM(D305))&gt;0</formula>
    </cfRule>
  </conditionalFormatting>
  <conditionalFormatting sqref="C305">
    <cfRule type="notContainsBlanks" dxfId="5290" priority="2043">
      <formula>LEN(TRIM(C305))&gt;0</formula>
    </cfRule>
  </conditionalFormatting>
  <conditionalFormatting sqref="I305">
    <cfRule type="notContainsBlanks" dxfId="5289" priority="2042">
      <formula>LEN(TRIM(I305))&gt;0</formula>
    </cfRule>
  </conditionalFormatting>
  <conditionalFormatting sqref="S308">
    <cfRule type="cellIs" dxfId="5288" priority="2040" operator="greaterThan">
      <formula>0</formula>
    </cfRule>
    <cfRule type="top10" dxfId="5287" priority="2041" rank="10"/>
  </conditionalFormatting>
  <conditionalFormatting sqref="S311">
    <cfRule type="cellIs" dxfId="5286" priority="2038" operator="greaterThan">
      <formula>0</formula>
    </cfRule>
    <cfRule type="top10" dxfId="5285" priority="2039" rank="10"/>
  </conditionalFormatting>
  <conditionalFormatting sqref="G311">
    <cfRule type="notContainsBlanks" dxfId="5284" priority="2037">
      <formula>LEN(TRIM(G311))&gt;0</formula>
    </cfRule>
  </conditionalFormatting>
  <conditionalFormatting sqref="F311">
    <cfRule type="notContainsBlanks" dxfId="5283" priority="2036">
      <formula>LEN(TRIM(F311))&gt;0</formula>
    </cfRule>
  </conditionalFormatting>
  <conditionalFormatting sqref="E311">
    <cfRule type="notContainsBlanks" dxfId="5282" priority="2035">
      <formula>LEN(TRIM(E311))&gt;0</formula>
    </cfRule>
  </conditionalFormatting>
  <conditionalFormatting sqref="D311">
    <cfRule type="notContainsBlanks" dxfId="5281" priority="2034">
      <formula>LEN(TRIM(D311))&gt;0</formula>
    </cfRule>
  </conditionalFormatting>
  <conditionalFormatting sqref="C311">
    <cfRule type="notContainsBlanks" dxfId="5280" priority="2033">
      <formula>LEN(TRIM(C311))&gt;0</formula>
    </cfRule>
  </conditionalFormatting>
  <conditionalFormatting sqref="I311">
    <cfRule type="notContainsBlanks" dxfId="5279" priority="2032">
      <formula>LEN(TRIM(I311))&gt;0</formula>
    </cfRule>
  </conditionalFormatting>
  <conditionalFormatting sqref="G302">
    <cfRule type="notContainsBlanks" dxfId="5278" priority="2031">
      <formula>LEN(TRIM(G302))&gt;0</formula>
    </cfRule>
  </conditionalFormatting>
  <conditionalFormatting sqref="F302">
    <cfRule type="notContainsBlanks" dxfId="5277" priority="2030">
      <formula>LEN(TRIM(F302))&gt;0</formula>
    </cfRule>
  </conditionalFormatting>
  <conditionalFormatting sqref="E302">
    <cfRule type="notContainsBlanks" dxfId="5276" priority="2029">
      <formula>LEN(TRIM(E302))&gt;0</formula>
    </cfRule>
  </conditionalFormatting>
  <conditionalFormatting sqref="D302">
    <cfRule type="notContainsBlanks" dxfId="5275" priority="2028">
      <formula>LEN(TRIM(D302))&gt;0</formula>
    </cfRule>
  </conditionalFormatting>
  <conditionalFormatting sqref="C302">
    <cfRule type="notContainsBlanks" dxfId="5274" priority="2027">
      <formula>LEN(TRIM(C302))&gt;0</formula>
    </cfRule>
  </conditionalFormatting>
  <conditionalFormatting sqref="G308">
    <cfRule type="notContainsBlanks" dxfId="5273" priority="2026">
      <formula>LEN(TRIM(G308))&gt;0</formula>
    </cfRule>
  </conditionalFormatting>
  <conditionalFormatting sqref="F308">
    <cfRule type="notContainsBlanks" dxfId="5272" priority="2025">
      <formula>LEN(TRIM(F308))&gt;0</formula>
    </cfRule>
  </conditionalFormatting>
  <conditionalFormatting sqref="E308">
    <cfRule type="notContainsBlanks" dxfId="5271" priority="2024">
      <formula>LEN(TRIM(E308))&gt;0</formula>
    </cfRule>
  </conditionalFormatting>
  <conditionalFormatting sqref="D308">
    <cfRule type="notContainsBlanks" dxfId="5270" priority="2023">
      <formula>LEN(TRIM(D308))&gt;0</formula>
    </cfRule>
  </conditionalFormatting>
  <conditionalFormatting sqref="C308">
    <cfRule type="notContainsBlanks" dxfId="5269" priority="2022">
      <formula>LEN(TRIM(C308))&gt;0</formula>
    </cfRule>
  </conditionalFormatting>
  <conditionalFormatting sqref="I302">
    <cfRule type="notContainsBlanks" dxfId="5268" priority="2021">
      <formula>LEN(TRIM(I302))&gt;0</formula>
    </cfRule>
  </conditionalFormatting>
  <conditionalFormatting sqref="I308">
    <cfRule type="notContainsBlanks" dxfId="5267" priority="2020">
      <formula>LEN(TRIM(I308))&gt;0</formula>
    </cfRule>
  </conditionalFormatting>
  <conditionalFormatting sqref="S314">
    <cfRule type="expression" dxfId="5266" priority="2018">
      <formula>$S$28&gt;0</formula>
    </cfRule>
    <cfRule type="cellIs" dxfId="5265" priority="2019" operator="equal">
      <formula>0</formula>
    </cfRule>
  </conditionalFormatting>
  <conditionalFormatting sqref="S315">
    <cfRule type="expression" dxfId="5264" priority="2016">
      <formula>$S$28&gt;0</formula>
    </cfRule>
    <cfRule type="cellIs" dxfId="5263" priority="2017" operator="equal">
      <formula>0</formula>
    </cfRule>
  </conditionalFormatting>
  <conditionalFormatting sqref="N299">
    <cfRule type="expression" dxfId="5262" priority="2003">
      <formula>N299=" "</formula>
    </cfRule>
    <cfRule type="expression" dxfId="5261" priority="2004">
      <formula>N299="NO PRESENTÓ CERTIFICADO"</formula>
    </cfRule>
    <cfRule type="expression" dxfId="5260" priority="2005">
      <formula>N299="PRESENTÓ CERTIFICADO"</formula>
    </cfRule>
  </conditionalFormatting>
  <conditionalFormatting sqref="O299">
    <cfRule type="cellIs" dxfId="5259" priority="1985" operator="equal">
      <formula>"PENDIENTE POR DESCRIPCIÓN"</formula>
    </cfRule>
    <cfRule type="cellIs" dxfId="5258" priority="1986" operator="equal">
      <formula>"DESCRIPCIÓN INSUFICIENTE"</formula>
    </cfRule>
    <cfRule type="cellIs" dxfId="5257" priority="1987" operator="equal">
      <formula>"NO ESTÁ ACORDE A ITEM 5.2.2 (T.R.)"</formula>
    </cfRule>
    <cfRule type="cellIs" dxfId="5256" priority="1988" operator="equal">
      <formula>"ACORDE A ITEM 5.2.2 (T.R.)"</formula>
    </cfRule>
    <cfRule type="cellIs" dxfId="5255" priority="1995" operator="equal">
      <formula>"PENDIENTE POR DESCRIPCIÓN"</formula>
    </cfRule>
    <cfRule type="cellIs" dxfId="5254" priority="1997" operator="equal">
      <formula>"DESCRIPCIÓN INSUFICIENTE"</formula>
    </cfRule>
    <cfRule type="cellIs" dxfId="5253" priority="1998" operator="equal">
      <formula>"NO ESTÁ ACORDE A ITEM 5.2.1 (T.R.)"</formula>
    </cfRule>
    <cfRule type="cellIs" dxfId="5252" priority="1999" operator="equal">
      <formula>"ACORDE A ITEM 5.2.1 (T.R.)"</formula>
    </cfRule>
  </conditionalFormatting>
  <conditionalFormatting sqref="Q299">
    <cfRule type="containsBlanks" dxfId="5251" priority="1990">
      <formula>LEN(TRIM(Q299))=0</formula>
    </cfRule>
    <cfRule type="cellIs" dxfId="5250" priority="1996" operator="equal">
      <formula>"REQUERIMIENTOS SUBSANADOS"</formula>
    </cfRule>
    <cfRule type="containsText" dxfId="5249" priority="2000" operator="containsText" text="NO SUBSANABLE">
      <formula>NOT(ISERROR(SEARCH("NO SUBSANABLE",Q299)))</formula>
    </cfRule>
    <cfRule type="containsText" dxfId="5248" priority="2001" operator="containsText" text="PENDIENTES POR SUBSANAR">
      <formula>NOT(ISERROR(SEARCH("PENDIENTES POR SUBSANAR",Q299)))</formula>
    </cfRule>
    <cfRule type="containsText" dxfId="5247" priority="2002" operator="containsText" text="SIN OBSERVACIÓN">
      <formula>NOT(ISERROR(SEARCH("SIN OBSERVACIÓN",Q299)))</formula>
    </cfRule>
  </conditionalFormatting>
  <conditionalFormatting sqref="R299">
    <cfRule type="containsBlanks" dxfId="5246" priority="1989">
      <formula>LEN(TRIM(R299))=0</formula>
    </cfRule>
    <cfRule type="cellIs" dxfId="5245" priority="1991" operator="equal">
      <formula>"NO CUMPLEN CON LO SOLICITADO"</formula>
    </cfRule>
    <cfRule type="cellIs" dxfId="5244" priority="1992" operator="equal">
      <formula>"CUMPLEN CON LO SOLICITADO"</formula>
    </cfRule>
    <cfRule type="cellIs" dxfId="5243" priority="1993" operator="equal">
      <formula>"PENDIENTES"</formula>
    </cfRule>
    <cfRule type="cellIs" dxfId="5242" priority="1994" operator="equal">
      <formula>"NINGUNO"</formula>
    </cfRule>
  </conditionalFormatting>
  <conditionalFormatting sqref="P299">
    <cfRule type="expression" dxfId="5241" priority="1980">
      <formula>Q299="NO SUBSANABLE"</formula>
    </cfRule>
    <cfRule type="expression" dxfId="5240" priority="1981">
      <formula>Q299="REQUERIMIENTOS SUBSANADOS"</formula>
    </cfRule>
    <cfRule type="expression" dxfId="5239" priority="1982">
      <formula>Q299="PENDIENTES POR SUBSANAR"</formula>
    </cfRule>
    <cfRule type="expression" dxfId="5238" priority="1983">
      <formula>Q299="SIN OBSERVACIÓN"</formula>
    </cfRule>
    <cfRule type="containsBlanks" dxfId="5237" priority="1984">
      <formula>LEN(TRIM(P299))=0</formula>
    </cfRule>
  </conditionalFormatting>
  <conditionalFormatting sqref="N311">
    <cfRule type="expression" dxfId="5236" priority="1977">
      <formula>N311=" "</formula>
    </cfRule>
    <cfRule type="expression" dxfId="5235" priority="1978">
      <formula>N311="NO PRESENTÓ CERTIFICADO"</formula>
    </cfRule>
    <cfRule type="expression" dxfId="5234" priority="1979">
      <formula>N311="PRESENTÓ CERTIFICADO"</formula>
    </cfRule>
  </conditionalFormatting>
  <conditionalFormatting sqref="O311">
    <cfRule type="cellIs" dxfId="5233" priority="1959" operator="equal">
      <formula>"PENDIENTE POR DESCRIPCIÓN"</formula>
    </cfRule>
    <cfRule type="cellIs" dxfId="5232" priority="1960" operator="equal">
      <formula>"DESCRIPCIÓN INSUFICIENTE"</formula>
    </cfRule>
    <cfRule type="cellIs" dxfId="5231" priority="1961" operator="equal">
      <formula>"NO ESTÁ ACORDE A ITEM 5.2.2 (T.R.)"</formula>
    </cfRule>
    <cfRule type="cellIs" dxfId="5230" priority="1962" operator="equal">
      <formula>"ACORDE A ITEM 5.2.2 (T.R.)"</formula>
    </cfRule>
    <cfRule type="cellIs" dxfId="5229" priority="1969" operator="equal">
      <formula>"PENDIENTE POR DESCRIPCIÓN"</formula>
    </cfRule>
    <cfRule type="cellIs" dxfId="5228" priority="1971" operator="equal">
      <formula>"DESCRIPCIÓN INSUFICIENTE"</formula>
    </cfRule>
    <cfRule type="cellIs" dxfId="5227" priority="1972" operator="equal">
      <formula>"NO ESTÁ ACORDE A ITEM 5.2.1 (T.R.)"</formula>
    </cfRule>
    <cfRule type="cellIs" dxfId="5226" priority="1973" operator="equal">
      <formula>"ACORDE A ITEM 5.2.1 (T.R.)"</formula>
    </cfRule>
  </conditionalFormatting>
  <conditionalFormatting sqref="Q311">
    <cfRule type="containsBlanks" dxfId="5225" priority="1964">
      <formula>LEN(TRIM(Q311))=0</formula>
    </cfRule>
    <cfRule type="cellIs" dxfId="5224" priority="1970" operator="equal">
      <formula>"REQUERIMIENTOS SUBSANADOS"</formula>
    </cfRule>
    <cfRule type="containsText" dxfId="5223" priority="1974" operator="containsText" text="NO SUBSANABLE">
      <formula>NOT(ISERROR(SEARCH("NO SUBSANABLE",Q311)))</formula>
    </cfRule>
    <cfRule type="containsText" dxfId="5222" priority="1975" operator="containsText" text="PENDIENTES POR SUBSANAR">
      <formula>NOT(ISERROR(SEARCH("PENDIENTES POR SUBSANAR",Q311)))</formula>
    </cfRule>
    <cfRule type="containsText" dxfId="5221" priority="1976" operator="containsText" text="SIN OBSERVACIÓN">
      <formula>NOT(ISERROR(SEARCH("SIN OBSERVACIÓN",Q311)))</formula>
    </cfRule>
  </conditionalFormatting>
  <conditionalFormatting sqref="R311">
    <cfRule type="containsBlanks" dxfId="5220" priority="1963">
      <formula>LEN(TRIM(R311))=0</formula>
    </cfRule>
    <cfRule type="cellIs" dxfId="5219" priority="1965" operator="equal">
      <formula>"NO CUMPLEN CON LO SOLICITADO"</formula>
    </cfRule>
    <cfRule type="cellIs" dxfId="5218" priority="1966" operator="equal">
      <formula>"CUMPLEN CON LO SOLICITADO"</formula>
    </cfRule>
    <cfRule type="cellIs" dxfId="5217" priority="1967" operator="equal">
      <formula>"PENDIENTES"</formula>
    </cfRule>
    <cfRule type="cellIs" dxfId="5216" priority="1968" operator="equal">
      <formula>"NINGUNO"</formula>
    </cfRule>
  </conditionalFormatting>
  <conditionalFormatting sqref="P302 P305 P308 P311">
    <cfRule type="expression" dxfId="5215" priority="1954">
      <formula>Q302="NO SUBSANABLE"</formula>
    </cfRule>
    <cfRule type="expression" dxfId="5214" priority="1955">
      <formula>Q302="REQUERIMIENTOS SUBSANADOS"</formula>
    </cfRule>
    <cfRule type="expression" dxfId="5213" priority="1956">
      <formula>Q302="PENDIENTES POR SUBSANAR"</formula>
    </cfRule>
    <cfRule type="expression" dxfId="5212" priority="1957">
      <formula>Q302="SIN OBSERVACIÓN"</formula>
    </cfRule>
    <cfRule type="containsBlanks" dxfId="5211" priority="1958">
      <formula>LEN(TRIM(P302))=0</formula>
    </cfRule>
  </conditionalFormatting>
  <conditionalFormatting sqref="N302">
    <cfRule type="expression" dxfId="5210" priority="1951">
      <formula>N302=" "</formula>
    </cfRule>
    <cfRule type="expression" dxfId="5209" priority="1952">
      <formula>N302="NO PRESENTÓ CERTIFICADO"</formula>
    </cfRule>
    <cfRule type="expression" dxfId="5208" priority="1953">
      <formula>N302="PRESENTÓ CERTIFICADO"</formula>
    </cfRule>
  </conditionalFormatting>
  <conditionalFormatting sqref="N305">
    <cfRule type="expression" dxfId="5207" priority="1948">
      <formula>N305=" "</formula>
    </cfRule>
    <cfRule type="expression" dxfId="5206" priority="1949">
      <formula>N305="NO PRESENTÓ CERTIFICADO"</formula>
    </cfRule>
    <cfRule type="expression" dxfId="5205" priority="1950">
      <formula>N305="PRESENTÓ CERTIFICADO"</formula>
    </cfRule>
  </conditionalFormatting>
  <conditionalFormatting sqref="N308">
    <cfRule type="expression" dxfId="5204" priority="1945">
      <formula>N308=" "</formula>
    </cfRule>
    <cfRule type="expression" dxfId="5203" priority="1946">
      <formula>N308="NO PRESENTÓ CERTIFICADO"</formula>
    </cfRule>
    <cfRule type="expression" dxfId="5202" priority="1947">
      <formula>N308="PRESENTÓ CERTIFICADO"</formula>
    </cfRule>
  </conditionalFormatting>
  <conditionalFormatting sqref="O302">
    <cfRule type="cellIs" dxfId="5201" priority="1937" operator="equal">
      <formula>"PENDIENTE POR DESCRIPCIÓN"</formula>
    </cfRule>
    <cfRule type="cellIs" dxfId="5200" priority="1938" operator="equal">
      <formula>"DESCRIPCIÓN INSUFICIENTE"</formula>
    </cfRule>
    <cfRule type="cellIs" dxfId="5199" priority="1939" operator="equal">
      <formula>"NO ESTÁ ACORDE A ITEM 5.2.2 (T.R.)"</formula>
    </cfRule>
    <cfRule type="cellIs" dxfId="5198" priority="1940" operator="equal">
      <formula>"ACORDE A ITEM 5.2.2 (T.R.)"</formula>
    </cfRule>
    <cfRule type="cellIs" dxfId="5197" priority="1941" operator="equal">
      <formula>"PENDIENTE POR DESCRIPCIÓN"</formula>
    </cfRule>
    <cfRule type="cellIs" dxfId="5196" priority="1942" operator="equal">
      <formula>"DESCRIPCIÓN INSUFICIENTE"</formula>
    </cfRule>
    <cfRule type="cellIs" dxfId="5195" priority="1943" operator="equal">
      <formula>"NO ESTÁ ACORDE A ITEM 5.2.1 (T.R.)"</formula>
    </cfRule>
    <cfRule type="cellIs" dxfId="5194" priority="1944" operator="equal">
      <formula>"ACORDE A ITEM 5.2.1 (T.R.)"</formula>
    </cfRule>
  </conditionalFormatting>
  <conditionalFormatting sqref="O305">
    <cfRule type="cellIs" dxfId="5193" priority="1929" operator="equal">
      <formula>"PENDIENTE POR DESCRIPCIÓN"</formula>
    </cfRule>
    <cfRule type="cellIs" dxfId="5192" priority="1930" operator="equal">
      <formula>"DESCRIPCIÓN INSUFICIENTE"</formula>
    </cfRule>
    <cfRule type="cellIs" dxfId="5191" priority="1931" operator="equal">
      <formula>"NO ESTÁ ACORDE A ITEM 5.2.2 (T.R.)"</formula>
    </cfRule>
    <cfRule type="cellIs" dxfId="5190" priority="1932" operator="equal">
      <formula>"ACORDE A ITEM 5.2.2 (T.R.)"</formula>
    </cfRule>
    <cfRule type="cellIs" dxfId="5189" priority="1933" operator="equal">
      <formula>"PENDIENTE POR DESCRIPCIÓN"</formula>
    </cfRule>
    <cfRule type="cellIs" dxfId="5188" priority="1934" operator="equal">
      <formula>"DESCRIPCIÓN INSUFICIENTE"</formula>
    </cfRule>
    <cfRule type="cellIs" dxfId="5187" priority="1935" operator="equal">
      <formula>"NO ESTÁ ACORDE A ITEM 5.2.1 (T.R.)"</formula>
    </cfRule>
    <cfRule type="cellIs" dxfId="5186" priority="1936" operator="equal">
      <formula>"ACORDE A ITEM 5.2.1 (T.R.)"</formula>
    </cfRule>
  </conditionalFormatting>
  <conditionalFormatting sqref="O308">
    <cfRule type="cellIs" dxfId="5185" priority="1921" operator="equal">
      <formula>"PENDIENTE POR DESCRIPCIÓN"</formula>
    </cfRule>
    <cfRule type="cellIs" dxfId="5184" priority="1922" operator="equal">
      <formula>"DESCRIPCIÓN INSUFICIENTE"</formula>
    </cfRule>
    <cfRule type="cellIs" dxfId="5183" priority="1923" operator="equal">
      <formula>"NO ESTÁ ACORDE A ITEM 5.2.2 (T.R.)"</formula>
    </cfRule>
    <cfRule type="cellIs" dxfId="5182" priority="1924" operator="equal">
      <formula>"ACORDE A ITEM 5.2.2 (T.R.)"</formula>
    </cfRule>
    <cfRule type="cellIs" dxfId="5181" priority="1925" operator="equal">
      <formula>"PENDIENTE POR DESCRIPCIÓN"</formula>
    </cfRule>
    <cfRule type="cellIs" dxfId="5180" priority="1926" operator="equal">
      <formula>"DESCRIPCIÓN INSUFICIENTE"</formula>
    </cfRule>
    <cfRule type="cellIs" dxfId="5179" priority="1927" operator="equal">
      <formula>"NO ESTÁ ACORDE A ITEM 5.2.1 (T.R.)"</formula>
    </cfRule>
    <cfRule type="cellIs" dxfId="5178" priority="1928" operator="equal">
      <formula>"ACORDE A ITEM 5.2.1 (T.R.)"</formula>
    </cfRule>
  </conditionalFormatting>
  <conditionalFormatting sqref="Q302">
    <cfRule type="containsBlanks" dxfId="5177" priority="1912">
      <formula>LEN(TRIM(Q302))=0</formula>
    </cfRule>
    <cfRule type="cellIs" dxfId="5176" priority="1917" operator="equal">
      <formula>"REQUERIMIENTOS SUBSANADOS"</formula>
    </cfRule>
    <cfRule type="containsText" dxfId="5175" priority="1918" operator="containsText" text="NO SUBSANABLE">
      <formula>NOT(ISERROR(SEARCH("NO SUBSANABLE",Q302)))</formula>
    </cfRule>
    <cfRule type="containsText" dxfId="5174" priority="1919" operator="containsText" text="PENDIENTES POR SUBSANAR">
      <formula>NOT(ISERROR(SEARCH("PENDIENTES POR SUBSANAR",Q302)))</formula>
    </cfRule>
    <cfRule type="containsText" dxfId="5173" priority="1920" operator="containsText" text="SIN OBSERVACIÓN">
      <formula>NOT(ISERROR(SEARCH("SIN OBSERVACIÓN",Q302)))</formula>
    </cfRule>
  </conditionalFormatting>
  <conditionalFormatting sqref="R302">
    <cfRule type="containsBlanks" dxfId="5172" priority="1911">
      <formula>LEN(TRIM(R302))=0</formula>
    </cfRule>
    <cfRule type="cellIs" dxfId="5171" priority="1913" operator="equal">
      <formula>"NO CUMPLEN CON LO SOLICITADO"</formula>
    </cfRule>
    <cfRule type="cellIs" dxfId="5170" priority="1914" operator="equal">
      <formula>"CUMPLEN CON LO SOLICITADO"</formula>
    </cfRule>
    <cfRule type="cellIs" dxfId="5169" priority="1915" operator="equal">
      <formula>"PENDIENTES"</formula>
    </cfRule>
    <cfRule type="cellIs" dxfId="5168" priority="1916" operator="equal">
      <formula>"NINGUNO"</formula>
    </cfRule>
  </conditionalFormatting>
  <conditionalFormatting sqref="Q305">
    <cfRule type="containsBlanks" dxfId="5167" priority="1902">
      <formula>LEN(TRIM(Q305))=0</formula>
    </cfRule>
    <cfRule type="cellIs" dxfId="5166" priority="1907" operator="equal">
      <formula>"REQUERIMIENTOS SUBSANADOS"</formula>
    </cfRule>
    <cfRule type="containsText" dxfId="5165" priority="1908" operator="containsText" text="NO SUBSANABLE">
      <formula>NOT(ISERROR(SEARCH("NO SUBSANABLE",Q305)))</formula>
    </cfRule>
    <cfRule type="containsText" dxfId="5164" priority="1909" operator="containsText" text="PENDIENTES POR SUBSANAR">
      <formula>NOT(ISERROR(SEARCH("PENDIENTES POR SUBSANAR",Q305)))</formula>
    </cfRule>
    <cfRule type="containsText" dxfId="5163" priority="1910" operator="containsText" text="SIN OBSERVACIÓN">
      <formula>NOT(ISERROR(SEARCH("SIN OBSERVACIÓN",Q305)))</formula>
    </cfRule>
  </conditionalFormatting>
  <conditionalFormatting sqref="R305">
    <cfRule type="containsBlanks" dxfId="5162" priority="1901">
      <formula>LEN(TRIM(R305))=0</formula>
    </cfRule>
    <cfRule type="cellIs" dxfId="5161" priority="1903" operator="equal">
      <formula>"NO CUMPLEN CON LO SOLICITADO"</formula>
    </cfRule>
    <cfRule type="cellIs" dxfId="5160" priority="1904" operator="equal">
      <formula>"CUMPLEN CON LO SOLICITADO"</formula>
    </cfRule>
    <cfRule type="cellIs" dxfId="5159" priority="1905" operator="equal">
      <formula>"PENDIENTES"</formula>
    </cfRule>
    <cfRule type="cellIs" dxfId="5158" priority="1906" operator="equal">
      <formula>"NINGUNO"</formula>
    </cfRule>
  </conditionalFormatting>
  <conditionalFormatting sqref="Q308">
    <cfRule type="containsBlanks" dxfId="5157" priority="1892">
      <formula>LEN(TRIM(Q308))=0</formula>
    </cfRule>
    <cfRule type="cellIs" dxfId="5156" priority="1897" operator="equal">
      <formula>"REQUERIMIENTOS SUBSANADOS"</formula>
    </cfRule>
    <cfRule type="containsText" dxfId="5155" priority="1898" operator="containsText" text="NO SUBSANABLE">
      <formula>NOT(ISERROR(SEARCH("NO SUBSANABLE",Q308)))</formula>
    </cfRule>
    <cfRule type="containsText" dxfId="5154" priority="1899" operator="containsText" text="PENDIENTES POR SUBSANAR">
      <formula>NOT(ISERROR(SEARCH("PENDIENTES POR SUBSANAR",Q308)))</formula>
    </cfRule>
    <cfRule type="containsText" dxfId="5153" priority="1900" operator="containsText" text="SIN OBSERVACIÓN">
      <formula>NOT(ISERROR(SEARCH("SIN OBSERVACIÓN",Q308)))</formula>
    </cfRule>
  </conditionalFormatting>
  <conditionalFormatting sqref="R308">
    <cfRule type="containsBlanks" dxfId="5152" priority="1891">
      <formula>LEN(TRIM(R308))=0</formula>
    </cfRule>
    <cfRule type="cellIs" dxfId="5151" priority="1893" operator="equal">
      <formula>"NO CUMPLEN CON LO SOLICITADO"</formula>
    </cfRule>
    <cfRule type="cellIs" dxfId="5150" priority="1894" operator="equal">
      <formula>"CUMPLEN CON LO SOLICITADO"</formula>
    </cfRule>
    <cfRule type="cellIs" dxfId="5149" priority="1895" operator="equal">
      <formula>"PENDIENTES"</formula>
    </cfRule>
    <cfRule type="cellIs" dxfId="5148" priority="1896" operator="equal">
      <formula>"NINGUNO"</formula>
    </cfRule>
  </conditionalFormatting>
  <conditionalFormatting sqref="M308">
    <cfRule type="expression" dxfId="5147" priority="1849">
      <formula>L308="NO CUMPLE"</formula>
    </cfRule>
    <cfRule type="expression" dxfId="5146" priority="1850">
      <formula>L308="CUMPLE"</formula>
    </cfRule>
  </conditionalFormatting>
  <conditionalFormatting sqref="L308:L309">
    <cfRule type="cellIs" dxfId="5145" priority="1847" operator="equal">
      <formula>"NO CUMPLE"</formula>
    </cfRule>
    <cfRule type="cellIs" dxfId="5144" priority="1848" operator="equal">
      <formula>"CUMPLE"</formula>
    </cfRule>
  </conditionalFormatting>
  <conditionalFormatting sqref="M309">
    <cfRule type="expression" dxfId="5143" priority="1845">
      <formula>L309="NO CUMPLE"</formula>
    </cfRule>
    <cfRule type="expression" dxfId="5142" priority="1846">
      <formula>L309="CUMPLE"</formula>
    </cfRule>
  </conditionalFormatting>
  <conditionalFormatting sqref="J302:J310">
    <cfRule type="cellIs" dxfId="5141" priority="1889" operator="equal">
      <formula>"NO CUMPLE"</formula>
    </cfRule>
    <cfRule type="cellIs" dxfId="5140" priority="1890" operator="equal">
      <formula>"CUMPLE"</formula>
    </cfRule>
  </conditionalFormatting>
  <conditionalFormatting sqref="K302">
    <cfRule type="expression" dxfId="5139" priority="1887">
      <formula>J302="NO CUMPLE"</formula>
    </cfRule>
    <cfRule type="expression" dxfId="5138" priority="1888">
      <formula>J302="CUMPLE"</formula>
    </cfRule>
  </conditionalFormatting>
  <conditionalFormatting sqref="K303:K304">
    <cfRule type="expression" dxfId="5137" priority="1885">
      <formula>J303="NO CUMPLE"</formula>
    </cfRule>
    <cfRule type="expression" dxfId="5136" priority="1886">
      <formula>J303="CUMPLE"</formula>
    </cfRule>
  </conditionalFormatting>
  <conditionalFormatting sqref="J311">
    <cfRule type="cellIs" dxfId="5135" priority="1883" operator="equal">
      <formula>"NO CUMPLE"</formula>
    </cfRule>
    <cfRule type="cellIs" dxfId="5134" priority="1884" operator="equal">
      <formula>"CUMPLE"</formula>
    </cfRule>
  </conditionalFormatting>
  <conditionalFormatting sqref="J312:J313">
    <cfRule type="cellIs" dxfId="5133" priority="1881" operator="equal">
      <formula>"NO CUMPLE"</formula>
    </cfRule>
    <cfRule type="cellIs" dxfId="5132" priority="1882" operator="equal">
      <formula>"CUMPLE"</formula>
    </cfRule>
  </conditionalFormatting>
  <conditionalFormatting sqref="K305">
    <cfRule type="expression" dxfId="5131" priority="1879">
      <formula>J305="NO CUMPLE"</formula>
    </cfRule>
    <cfRule type="expression" dxfId="5130" priority="1880">
      <formula>J305="CUMPLE"</formula>
    </cfRule>
  </conditionalFormatting>
  <conditionalFormatting sqref="K306:K307">
    <cfRule type="expression" dxfId="5129" priority="1877">
      <formula>J306="NO CUMPLE"</formula>
    </cfRule>
    <cfRule type="expression" dxfId="5128" priority="1878">
      <formula>J306="CUMPLE"</formula>
    </cfRule>
  </conditionalFormatting>
  <conditionalFormatting sqref="K308">
    <cfRule type="expression" dxfId="5127" priority="1875">
      <formula>J308="NO CUMPLE"</formula>
    </cfRule>
    <cfRule type="expression" dxfId="5126" priority="1876">
      <formula>J308="CUMPLE"</formula>
    </cfRule>
  </conditionalFormatting>
  <conditionalFormatting sqref="K309:K310">
    <cfRule type="expression" dxfId="5125" priority="1873">
      <formula>J309="NO CUMPLE"</formula>
    </cfRule>
    <cfRule type="expression" dxfId="5124" priority="1874">
      <formula>J309="CUMPLE"</formula>
    </cfRule>
  </conditionalFormatting>
  <conditionalFormatting sqref="K311">
    <cfRule type="expression" dxfId="5123" priority="1871">
      <formula>J311="NO CUMPLE"</formula>
    </cfRule>
    <cfRule type="expression" dxfId="5122" priority="1872">
      <formula>J311="CUMPLE"</formula>
    </cfRule>
  </conditionalFormatting>
  <conditionalFormatting sqref="K312:K313">
    <cfRule type="expression" dxfId="5121" priority="1869">
      <formula>J312="NO CUMPLE"</formula>
    </cfRule>
    <cfRule type="expression" dxfId="5120" priority="1870">
      <formula>J312="CUMPLE"</formula>
    </cfRule>
  </conditionalFormatting>
  <conditionalFormatting sqref="M303">
    <cfRule type="expression" dxfId="5119" priority="1857">
      <formula>L303="NO CUMPLE"</formula>
    </cfRule>
    <cfRule type="expression" dxfId="5118" priority="1858">
      <formula>L303="CUMPLE"</formula>
    </cfRule>
  </conditionalFormatting>
  <conditionalFormatting sqref="L302:L303">
    <cfRule type="cellIs" dxfId="5117" priority="1859" operator="equal">
      <formula>"NO CUMPLE"</formula>
    </cfRule>
    <cfRule type="cellIs" dxfId="5116" priority="1860" operator="equal">
      <formula>"CUMPLE"</formula>
    </cfRule>
  </conditionalFormatting>
  <conditionalFormatting sqref="M302">
    <cfRule type="expression" dxfId="5115" priority="1861">
      <formula>L302="NO CUMPLE"</formula>
    </cfRule>
    <cfRule type="expression" dxfId="5114" priority="1862">
      <formula>L302="CUMPLE"</formula>
    </cfRule>
  </conditionalFormatting>
  <conditionalFormatting sqref="M300">
    <cfRule type="expression" dxfId="5113" priority="1863">
      <formula>L300="NO CUMPLE"</formula>
    </cfRule>
    <cfRule type="expression" dxfId="5112" priority="1864">
      <formula>L300="CUMPLE"</formula>
    </cfRule>
  </conditionalFormatting>
  <conditionalFormatting sqref="M299">
    <cfRule type="expression" dxfId="5111" priority="1867">
      <formula>L299="NO CUMPLE"</formula>
    </cfRule>
    <cfRule type="expression" dxfId="5110" priority="1868">
      <formula>L299="CUMPLE"</formula>
    </cfRule>
  </conditionalFormatting>
  <conditionalFormatting sqref="L299:L300">
    <cfRule type="cellIs" dxfId="5109" priority="1865" operator="equal">
      <formula>"NO CUMPLE"</formula>
    </cfRule>
    <cfRule type="cellIs" dxfId="5108" priority="1866" operator="equal">
      <formula>"CUMPLE"</formula>
    </cfRule>
  </conditionalFormatting>
  <conditionalFormatting sqref="M306">
    <cfRule type="expression" dxfId="5107" priority="1851">
      <formula>L306="NO CUMPLE"</formula>
    </cfRule>
    <cfRule type="expression" dxfId="5106" priority="1852">
      <formula>L306="CUMPLE"</formula>
    </cfRule>
  </conditionalFormatting>
  <conditionalFormatting sqref="M305">
    <cfRule type="expression" dxfId="5105" priority="1855">
      <formula>L305="NO CUMPLE"</formula>
    </cfRule>
    <cfRule type="expression" dxfId="5104" priority="1856">
      <formula>L305="CUMPLE"</formula>
    </cfRule>
  </conditionalFormatting>
  <conditionalFormatting sqref="L305:L306">
    <cfRule type="cellIs" dxfId="5103" priority="1853" operator="equal">
      <formula>"NO CUMPLE"</formula>
    </cfRule>
    <cfRule type="cellIs" dxfId="5102" priority="1854" operator="equal">
      <formula>"CUMPLE"</formula>
    </cfRule>
  </conditionalFormatting>
  <conditionalFormatting sqref="M312">
    <cfRule type="expression" dxfId="5101" priority="1839">
      <formula>L312="NO CUMPLE"</formula>
    </cfRule>
    <cfRule type="expression" dxfId="5100" priority="1840">
      <formula>L312="CUMPLE"</formula>
    </cfRule>
  </conditionalFormatting>
  <conditionalFormatting sqref="M311">
    <cfRule type="expression" dxfId="5099" priority="1843">
      <formula>L311="NO CUMPLE"</formula>
    </cfRule>
    <cfRule type="expression" dxfId="5098" priority="1844">
      <formula>L311="CUMPLE"</formula>
    </cfRule>
  </conditionalFormatting>
  <conditionalFormatting sqref="L311:L312">
    <cfRule type="cellIs" dxfId="5097" priority="1841" operator="equal">
      <formula>"NO CUMPLE"</formula>
    </cfRule>
    <cfRule type="cellIs" dxfId="5096" priority="1842" operator="equal">
      <formula>"CUMPLE"</formula>
    </cfRule>
  </conditionalFormatting>
  <conditionalFormatting sqref="J299">
    <cfRule type="cellIs" dxfId="5095" priority="1837" operator="equal">
      <formula>"NO CUMPLE"</formula>
    </cfRule>
    <cfRule type="cellIs" dxfId="5094" priority="1838" operator="equal">
      <formula>"CUMPLE"</formula>
    </cfRule>
  </conditionalFormatting>
  <conditionalFormatting sqref="J300:J301">
    <cfRule type="cellIs" dxfId="5093" priority="1835" operator="equal">
      <formula>"NO CUMPLE"</formula>
    </cfRule>
    <cfRule type="cellIs" dxfId="5092" priority="1836" operator="equal">
      <formula>"CUMPLE"</formula>
    </cfRule>
  </conditionalFormatting>
  <conditionalFormatting sqref="K299">
    <cfRule type="expression" dxfId="5091" priority="1833">
      <formula>J299="NO CUMPLE"</formula>
    </cfRule>
    <cfRule type="expression" dxfId="5090" priority="1834">
      <formula>J299="CUMPLE"</formula>
    </cfRule>
  </conditionalFormatting>
  <conditionalFormatting sqref="K300:K301">
    <cfRule type="expression" dxfId="5089" priority="1831">
      <formula>J300="NO CUMPLE"</formula>
    </cfRule>
    <cfRule type="expression" dxfId="5088" priority="1832">
      <formula>J300="CUMPLE"</formula>
    </cfRule>
  </conditionalFormatting>
  <conditionalFormatting sqref="T116">
    <cfRule type="cellIs" dxfId="5087" priority="1817" operator="equal">
      <formula>"NO CUMPLE"</formula>
    </cfRule>
    <cfRule type="cellIs" dxfId="5086" priority="1818" operator="equal">
      <formula>"CUMPLE"</formula>
    </cfRule>
  </conditionalFormatting>
  <conditionalFormatting sqref="T101">
    <cfRule type="cellIs" dxfId="5085" priority="1815" operator="equal">
      <formula>"NO"</formula>
    </cfRule>
    <cfRule type="cellIs" dxfId="5084" priority="1816" operator="equal">
      <formula>"SI"</formula>
    </cfRule>
  </conditionalFormatting>
  <conditionalFormatting sqref="T138">
    <cfRule type="cellIs" dxfId="5083" priority="1801" operator="equal">
      <formula>"NO CUMPLE"</formula>
    </cfRule>
    <cfRule type="cellIs" dxfId="5082" priority="1802" operator="equal">
      <formula>"CUMPLE"</formula>
    </cfRule>
  </conditionalFormatting>
  <conditionalFormatting sqref="T123">
    <cfRule type="cellIs" dxfId="5081" priority="1799" operator="equal">
      <formula>"NO"</formula>
    </cfRule>
    <cfRule type="cellIs" dxfId="5080" priority="1800" operator="equal">
      <formula>"SI"</formula>
    </cfRule>
  </conditionalFormatting>
  <conditionalFormatting sqref="T160">
    <cfRule type="cellIs" dxfId="5079" priority="1785" operator="equal">
      <formula>"NO CUMPLE"</formula>
    </cfRule>
    <cfRule type="cellIs" dxfId="5078" priority="1786" operator="equal">
      <formula>"CUMPLE"</formula>
    </cfRule>
  </conditionalFormatting>
  <conditionalFormatting sqref="T145">
    <cfRule type="cellIs" dxfId="5077" priority="1783" operator="equal">
      <formula>"NO"</formula>
    </cfRule>
    <cfRule type="cellIs" dxfId="5076" priority="1784" operator="equal">
      <formula>"SI"</formula>
    </cfRule>
  </conditionalFormatting>
  <conditionalFormatting sqref="U151:U153">
    <cfRule type="cellIs" dxfId="5075" priority="1777" operator="equal">
      <formula>0</formula>
    </cfRule>
    <cfRule type="cellIs" dxfId="5074" priority="1778" operator="equal">
      <formula>1</formula>
    </cfRule>
  </conditionalFormatting>
  <conditionalFormatting sqref="U154:U156">
    <cfRule type="cellIs" dxfId="5073" priority="1775" operator="equal">
      <formula>0</formula>
    </cfRule>
    <cfRule type="cellIs" dxfId="5072" priority="1776" operator="equal">
      <formula>1</formula>
    </cfRule>
  </conditionalFormatting>
  <conditionalFormatting sqref="U157:U159">
    <cfRule type="cellIs" dxfId="5071" priority="1773" operator="equal">
      <formula>0</formula>
    </cfRule>
    <cfRule type="cellIs" dxfId="5070" priority="1774" operator="equal">
      <formula>1</formula>
    </cfRule>
  </conditionalFormatting>
  <conditionalFormatting sqref="T182">
    <cfRule type="cellIs" dxfId="5069" priority="1769" operator="equal">
      <formula>"NO CUMPLE"</formula>
    </cfRule>
    <cfRule type="cellIs" dxfId="5068" priority="1770" operator="equal">
      <formula>"CUMPLE"</formula>
    </cfRule>
  </conditionalFormatting>
  <conditionalFormatting sqref="T167">
    <cfRule type="cellIs" dxfId="5067" priority="1767" operator="equal">
      <formula>"NO"</formula>
    </cfRule>
    <cfRule type="cellIs" dxfId="5066" priority="1768" operator="equal">
      <formula>"SI"</formula>
    </cfRule>
  </conditionalFormatting>
  <conditionalFormatting sqref="T204">
    <cfRule type="cellIs" dxfId="5065" priority="1753" operator="equal">
      <formula>"NO CUMPLE"</formula>
    </cfRule>
    <cfRule type="cellIs" dxfId="5064" priority="1754" operator="equal">
      <formula>"CUMPLE"</formula>
    </cfRule>
  </conditionalFormatting>
  <conditionalFormatting sqref="T189">
    <cfRule type="cellIs" dxfId="5063" priority="1751" operator="equal">
      <formula>"NO"</formula>
    </cfRule>
    <cfRule type="cellIs" dxfId="5062" priority="1752" operator="equal">
      <formula>"SI"</formula>
    </cfRule>
  </conditionalFormatting>
  <conditionalFormatting sqref="U192:U194">
    <cfRule type="cellIs" dxfId="5061" priority="1747" operator="equal">
      <formula>0</formula>
    </cfRule>
    <cfRule type="cellIs" dxfId="5060" priority="1748" operator="equal">
      <formula>1</formula>
    </cfRule>
  </conditionalFormatting>
  <conditionalFormatting sqref="U195:U197">
    <cfRule type="cellIs" dxfId="5059" priority="1745" operator="equal">
      <formula>0</formula>
    </cfRule>
    <cfRule type="cellIs" dxfId="5058" priority="1746" operator="equal">
      <formula>1</formula>
    </cfRule>
  </conditionalFormatting>
  <conditionalFormatting sqref="U198:U200">
    <cfRule type="cellIs" dxfId="5057" priority="1743" operator="equal">
      <formula>0</formula>
    </cfRule>
    <cfRule type="cellIs" dxfId="5056" priority="1744" operator="equal">
      <formula>1</formula>
    </cfRule>
  </conditionalFormatting>
  <conditionalFormatting sqref="U201:U203">
    <cfRule type="cellIs" dxfId="5055" priority="1741" operator="equal">
      <formula>0</formula>
    </cfRule>
    <cfRule type="cellIs" dxfId="5054" priority="1742" operator="equal">
      <formula>1</formula>
    </cfRule>
  </conditionalFormatting>
  <conditionalFormatting sqref="T226">
    <cfRule type="cellIs" dxfId="5053" priority="1737" operator="equal">
      <formula>"NO CUMPLE"</formula>
    </cfRule>
    <cfRule type="cellIs" dxfId="5052" priority="1738" operator="equal">
      <formula>"CUMPLE"</formula>
    </cfRule>
  </conditionalFormatting>
  <conditionalFormatting sqref="T211">
    <cfRule type="cellIs" dxfId="5051" priority="1735" operator="equal">
      <formula>"NO"</formula>
    </cfRule>
    <cfRule type="cellIs" dxfId="5050" priority="1736" operator="equal">
      <formula>"SI"</formula>
    </cfRule>
  </conditionalFormatting>
  <conditionalFormatting sqref="U214:U216">
    <cfRule type="cellIs" dxfId="5049" priority="1731" operator="equal">
      <formula>0</formula>
    </cfRule>
    <cfRule type="cellIs" dxfId="5048" priority="1732" operator="equal">
      <formula>1</formula>
    </cfRule>
  </conditionalFormatting>
  <conditionalFormatting sqref="U217:U219">
    <cfRule type="cellIs" dxfId="5047" priority="1729" operator="equal">
      <formula>0</formula>
    </cfRule>
    <cfRule type="cellIs" dxfId="5046" priority="1730" operator="equal">
      <formula>1</formula>
    </cfRule>
  </conditionalFormatting>
  <conditionalFormatting sqref="U220:U222">
    <cfRule type="cellIs" dxfId="5045" priority="1727" operator="equal">
      <formula>0</formula>
    </cfRule>
    <cfRule type="cellIs" dxfId="5044" priority="1728" operator="equal">
      <formula>1</formula>
    </cfRule>
  </conditionalFormatting>
  <conditionalFormatting sqref="U223:U225">
    <cfRule type="cellIs" dxfId="5043" priority="1725" operator="equal">
      <formula>0</formula>
    </cfRule>
    <cfRule type="cellIs" dxfId="5042" priority="1726" operator="equal">
      <formula>1</formula>
    </cfRule>
  </conditionalFormatting>
  <conditionalFormatting sqref="T248">
    <cfRule type="cellIs" dxfId="5041" priority="1721" operator="equal">
      <formula>"NO CUMPLE"</formula>
    </cfRule>
    <cfRule type="cellIs" dxfId="5040" priority="1722" operator="equal">
      <formula>"CUMPLE"</formula>
    </cfRule>
  </conditionalFormatting>
  <conditionalFormatting sqref="T233">
    <cfRule type="cellIs" dxfId="5039" priority="1719" operator="equal">
      <formula>"NO"</formula>
    </cfRule>
    <cfRule type="cellIs" dxfId="5038" priority="1720" operator="equal">
      <formula>"SI"</formula>
    </cfRule>
  </conditionalFormatting>
  <conditionalFormatting sqref="U242:U244">
    <cfRule type="cellIs" dxfId="5037" priority="1711" operator="equal">
      <formula>0</formula>
    </cfRule>
    <cfRule type="cellIs" dxfId="5036" priority="1712" operator="equal">
      <formula>1</formula>
    </cfRule>
  </conditionalFormatting>
  <conditionalFormatting sqref="U245:U247">
    <cfRule type="cellIs" dxfId="5035" priority="1709" operator="equal">
      <formula>0</formula>
    </cfRule>
    <cfRule type="cellIs" dxfId="5034" priority="1710" operator="equal">
      <formula>1</formula>
    </cfRule>
  </conditionalFormatting>
  <conditionalFormatting sqref="T270">
    <cfRule type="cellIs" dxfId="5033" priority="1705" operator="equal">
      <formula>"NO CUMPLE"</formula>
    </cfRule>
    <cfRule type="cellIs" dxfId="5032" priority="1706" operator="equal">
      <formula>"CUMPLE"</formula>
    </cfRule>
  </conditionalFormatting>
  <conditionalFormatting sqref="T255">
    <cfRule type="cellIs" dxfId="5031" priority="1703" operator="equal">
      <formula>"NO"</formula>
    </cfRule>
    <cfRule type="cellIs" dxfId="5030" priority="1704" operator="equal">
      <formula>"SI"</formula>
    </cfRule>
  </conditionalFormatting>
  <conditionalFormatting sqref="U255:U257">
    <cfRule type="cellIs" dxfId="5029" priority="1701" operator="equal">
      <formula>0</formula>
    </cfRule>
    <cfRule type="cellIs" dxfId="5028" priority="1702" operator="equal">
      <formula>1</formula>
    </cfRule>
  </conditionalFormatting>
  <conditionalFormatting sqref="T292">
    <cfRule type="cellIs" dxfId="5027" priority="1689" operator="equal">
      <formula>"NO CUMPLE"</formula>
    </cfRule>
    <cfRule type="cellIs" dxfId="5026" priority="1690" operator="equal">
      <formula>"CUMPLE"</formula>
    </cfRule>
  </conditionalFormatting>
  <conditionalFormatting sqref="T277">
    <cfRule type="cellIs" dxfId="5025" priority="1687" operator="equal">
      <formula>"NO"</formula>
    </cfRule>
    <cfRule type="cellIs" dxfId="5024" priority="1688" operator="equal">
      <formula>"SI"</formula>
    </cfRule>
  </conditionalFormatting>
  <conditionalFormatting sqref="U277:U279">
    <cfRule type="cellIs" dxfId="5023" priority="1685" operator="equal">
      <formula>0</formula>
    </cfRule>
    <cfRule type="cellIs" dxfId="5022" priority="1686" operator="equal">
      <formula>1</formula>
    </cfRule>
  </conditionalFormatting>
  <conditionalFormatting sqref="U286:U288">
    <cfRule type="cellIs" dxfId="5021" priority="1679" operator="equal">
      <formula>0</formula>
    </cfRule>
    <cfRule type="cellIs" dxfId="5020" priority="1680" operator="equal">
      <formula>1</formula>
    </cfRule>
  </conditionalFormatting>
  <conditionalFormatting sqref="U289:U291">
    <cfRule type="cellIs" dxfId="5019" priority="1677" operator="equal">
      <formula>0</formula>
    </cfRule>
    <cfRule type="cellIs" dxfId="5018" priority="1678" operator="equal">
      <formula>1</formula>
    </cfRule>
  </conditionalFormatting>
  <conditionalFormatting sqref="T314">
    <cfRule type="cellIs" dxfId="5017" priority="1673" operator="equal">
      <formula>"NO CUMPLE"</formula>
    </cfRule>
    <cfRule type="cellIs" dxfId="5016" priority="1674" operator="equal">
      <formula>"CUMPLE"</formula>
    </cfRule>
  </conditionalFormatting>
  <conditionalFormatting sqref="T299">
    <cfRule type="cellIs" dxfId="5015" priority="1671" operator="equal">
      <formula>"NO"</formula>
    </cfRule>
    <cfRule type="cellIs" dxfId="5014" priority="1672" operator="equal">
      <formula>"SI"</formula>
    </cfRule>
  </conditionalFormatting>
  <conditionalFormatting sqref="U299:U301">
    <cfRule type="cellIs" dxfId="5013" priority="1669" operator="equal">
      <formula>0</formula>
    </cfRule>
    <cfRule type="cellIs" dxfId="5012" priority="1670" operator="equal">
      <formula>1</formula>
    </cfRule>
  </conditionalFormatting>
  <conditionalFormatting sqref="U302:U304">
    <cfRule type="cellIs" dxfId="5011" priority="1667" operator="equal">
      <formula>0</formula>
    </cfRule>
    <cfRule type="cellIs" dxfId="5010" priority="1668" operator="equal">
      <formula>1</formula>
    </cfRule>
  </conditionalFormatting>
  <conditionalFormatting sqref="U305:U307">
    <cfRule type="cellIs" dxfId="5009" priority="1665" operator="equal">
      <formula>0</formula>
    </cfRule>
    <cfRule type="cellIs" dxfId="5008" priority="1666" operator="equal">
      <formula>1</formula>
    </cfRule>
  </conditionalFormatting>
  <conditionalFormatting sqref="U308:U310">
    <cfRule type="cellIs" dxfId="5007" priority="1663" operator="equal">
      <formula>0</formula>
    </cfRule>
    <cfRule type="cellIs" dxfId="5006" priority="1664" operator="equal">
      <formula>1</formula>
    </cfRule>
  </conditionalFormatting>
  <conditionalFormatting sqref="U311:U313">
    <cfRule type="cellIs" dxfId="5005" priority="1661" operator="equal">
      <formula>0</formula>
    </cfRule>
    <cfRule type="cellIs" dxfId="5004" priority="1662" operator="equal">
      <formula>1</formula>
    </cfRule>
  </conditionalFormatting>
  <conditionalFormatting sqref="K16">
    <cfRule type="expression" dxfId="5003" priority="1657">
      <formula>J16="NO CUMPLE"</formula>
    </cfRule>
    <cfRule type="expression" dxfId="5002" priority="1658">
      <formula>J16="CUMPLE"</formula>
    </cfRule>
  </conditionalFormatting>
  <conditionalFormatting sqref="K17:K18">
    <cfRule type="expression" dxfId="5001" priority="1655">
      <formula>J17="NO CUMPLE"</formula>
    </cfRule>
    <cfRule type="expression" dxfId="5000" priority="1656">
      <formula>J17="CUMPLE"</formula>
    </cfRule>
  </conditionalFormatting>
  <conditionalFormatting sqref="K19">
    <cfRule type="expression" dxfId="4999" priority="1653">
      <formula>J19="NO CUMPLE"</formula>
    </cfRule>
    <cfRule type="expression" dxfId="4998" priority="1654">
      <formula>J19="CUMPLE"</formula>
    </cfRule>
  </conditionalFormatting>
  <conditionalFormatting sqref="K20:K21">
    <cfRule type="expression" dxfId="4997" priority="1651">
      <formula>J20="NO CUMPLE"</formula>
    </cfRule>
    <cfRule type="expression" dxfId="4996" priority="1652">
      <formula>J20="CUMPLE"</formula>
    </cfRule>
  </conditionalFormatting>
  <conditionalFormatting sqref="K22">
    <cfRule type="expression" dxfId="4995" priority="1649">
      <formula>J22="NO CUMPLE"</formula>
    </cfRule>
    <cfRule type="expression" dxfId="4994" priority="1650">
      <formula>J22="CUMPLE"</formula>
    </cfRule>
  </conditionalFormatting>
  <conditionalFormatting sqref="K23:K24">
    <cfRule type="expression" dxfId="4993" priority="1647">
      <formula>J23="NO CUMPLE"</formula>
    </cfRule>
    <cfRule type="expression" dxfId="4992" priority="1648">
      <formula>J23="CUMPLE"</formula>
    </cfRule>
  </conditionalFormatting>
  <conditionalFormatting sqref="K25">
    <cfRule type="expression" dxfId="4991" priority="1645">
      <formula>J25="NO CUMPLE"</formula>
    </cfRule>
    <cfRule type="expression" dxfId="4990" priority="1646">
      <formula>J25="CUMPLE"</formula>
    </cfRule>
  </conditionalFormatting>
  <conditionalFormatting sqref="K26:K27">
    <cfRule type="expression" dxfId="4989" priority="1643">
      <formula>J26="NO CUMPLE"</formula>
    </cfRule>
    <cfRule type="expression" dxfId="4988" priority="1644">
      <formula>J26="CUMPLE"</formula>
    </cfRule>
  </conditionalFormatting>
  <conditionalFormatting sqref="N280">
    <cfRule type="expression" dxfId="4987" priority="1640">
      <formula>N280=" "</formula>
    </cfRule>
    <cfRule type="expression" dxfId="4986" priority="1641">
      <formula>N280="NO PRESENTÓ CERTIFICADO"</formula>
    </cfRule>
    <cfRule type="expression" dxfId="4985" priority="1642">
      <formula>N280="PRESENTÓ CERTIFICADO"</formula>
    </cfRule>
  </conditionalFormatting>
  <conditionalFormatting sqref="O280">
    <cfRule type="cellIs" dxfId="4984" priority="1632" operator="equal">
      <formula>"PENDIENTE POR DESCRIPCIÓN"</formula>
    </cfRule>
    <cfRule type="cellIs" dxfId="4983" priority="1633" operator="equal">
      <formula>"DESCRIPCIÓN INSUFICIENTE"</formula>
    </cfRule>
    <cfRule type="cellIs" dxfId="4982" priority="1634" operator="equal">
      <formula>"NO ESTÁ ACORDE A ITEM 5.2.2 (T.R.)"</formula>
    </cfRule>
    <cfRule type="cellIs" dxfId="4981" priority="1635" operator="equal">
      <formula>"ACORDE A ITEM 5.2.2 (T.R.)"</formula>
    </cfRule>
    <cfRule type="cellIs" dxfId="4980" priority="1636" operator="equal">
      <formula>"PENDIENTE POR DESCRIPCIÓN"</formula>
    </cfRule>
    <cfRule type="cellIs" dxfId="4979" priority="1637" operator="equal">
      <formula>"DESCRIPCIÓN INSUFICIENTE"</formula>
    </cfRule>
    <cfRule type="cellIs" dxfId="4978" priority="1638" operator="equal">
      <formula>"NO ESTÁ ACORDE A ITEM 5.2.1 (T.R.)"</formula>
    </cfRule>
    <cfRule type="cellIs" dxfId="4977" priority="1639" operator="equal">
      <formula>"ACORDE A ITEM 5.2.1 (T.R.)"</formula>
    </cfRule>
  </conditionalFormatting>
  <conditionalFormatting sqref="N283">
    <cfRule type="expression" dxfId="4976" priority="1624">
      <formula>N283=" "</formula>
    </cfRule>
    <cfRule type="expression" dxfId="4975" priority="1625">
      <formula>N283="NO PRESENTÓ CERTIFICADO"</formula>
    </cfRule>
    <cfRule type="expression" dxfId="4974" priority="1626">
      <formula>N283="PRESENTÓ CERTIFICADO"</formula>
    </cfRule>
  </conditionalFormatting>
  <conditionalFormatting sqref="O283">
    <cfRule type="cellIs" dxfId="4973" priority="1616" operator="equal">
      <formula>"PENDIENTE POR DESCRIPCIÓN"</formula>
    </cfRule>
    <cfRule type="cellIs" dxfId="4972" priority="1617" operator="equal">
      <formula>"DESCRIPCIÓN INSUFICIENTE"</formula>
    </cfRule>
    <cfRule type="cellIs" dxfId="4971" priority="1618" operator="equal">
      <formula>"NO ESTÁ ACORDE A ITEM 5.2.2 (T.R.)"</formula>
    </cfRule>
    <cfRule type="cellIs" dxfId="4970" priority="1619" operator="equal">
      <formula>"ACORDE A ITEM 5.2.2 (T.R.)"</formula>
    </cfRule>
    <cfRule type="cellIs" dxfId="4969" priority="1620" operator="equal">
      <formula>"PENDIENTE POR DESCRIPCIÓN"</formula>
    </cfRule>
    <cfRule type="cellIs" dxfId="4968" priority="1621" operator="equal">
      <formula>"DESCRIPCIÓN INSUFICIENTE"</formula>
    </cfRule>
    <cfRule type="cellIs" dxfId="4967" priority="1622" operator="equal">
      <formula>"NO ESTÁ ACORDE A ITEM 5.2.1 (T.R.)"</formula>
    </cfRule>
    <cfRule type="cellIs" dxfId="4966" priority="1623" operator="equal">
      <formula>"ACORDE A ITEM 5.2.1 (T.R.)"</formula>
    </cfRule>
  </conditionalFormatting>
  <conditionalFormatting sqref="Q277">
    <cfRule type="containsBlanks" dxfId="4965" priority="1607">
      <formula>LEN(TRIM(Q277))=0</formula>
    </cfRule>
    <cfRule type="cellIs" dxfId="4964" priority="1612" operator="equal">
      <formula>"REQUERIMIENTOS SUBSANADOS"</formula>
    </cfRule>
    <cfRule type="containsText" dxfId="4963" priority="1613" operator="containsText" text="NO SUBSANABLE">
      <formula>NOT(ISERROR(SEARCH("NO SUBSANABLE",Q277)))</formula>
    </cfRule>
    <cfRule type="containsText" dxfId="4962" priority="1614" operator="containsText" text="PENDIENTES POR SUBSANAR">
      <formula>NOT(ISERROR(SEARCH("PENDIENTES POR SUBSANAR",Q277)))</formula>
    </cfRule>
    <cfRule type="containsText" dxfId="4961" priority="1615" operator="containsText" text="SIN OBSERVACIÓN">
      <formula>NOT(ISERROR(SEARCH("SIN OBSERVACIÓN",Q277)))</formula>
    </cfRule>
  </conditionalFormatting>
  <conditionalFormatting sqref="R277">
    <cfRule type="containsBlanks" dxfId="4960" priority="1606">
      <formula>LEN(TRIM(R277))=0</formula>
    </cfRule>
    <cfRule type="cellIs" dxfId="4959" priority="1608" operator="equal">
      <formula>"NO CUMPLEN CON LO SOLICITADO"</formula>
    </cfRule>
    <cfRule type="cellIs" dxfId="4958" priority="1609" operator="equal">
      <formula>"CUMPLEN CON LO SOLICITADO"</formula>
    </cfRule>
    <cfRule type="cellIs" dxfId="4957" priority="1610" operator="equal">
      <formula>"PENDIENTES"</formula>
    </cfRule>
    <cfRule type="cellIs" dxfId="4956" priority="1611" operator="equal">
      <formula>"NINGUNO"</formula>
    </cfRule>
  </conditionalFormatting>
  <conditionalFormatting sqref="Q280">
    <cfRule type="containsBlanks" dxfId="4955" priority="1597">
      <formula>LEN(TRIM(Q280))=0</formula>
    </cfRule>
    <cfRule type="cellIs" dxfId="4954" priority="1602" operator="equal">
      <formula>"REQUERIMIENTOS SUBSANADOS"</formula>
    </cfRule>
    <cfRule type="containsText" dxfId="4953" priority="1603" operator="containsText" text="NO SUBSANABLE">
      <formula>NOT(ISERROR(SEARCH("NO SUBSANABLE",Q280)))</formula>
    </cfRule>
    <cfRule type="containsText" dxfId="4952" priority="1604" operator="containsText" text="PENDIENTES POR SUBSANAR">
      <formula>NOT(ISERROR(SEARCH("PENDIENTES POR SUBSANAR",Q280)))</formula>
    </cfRule>
    <cfRule type="containsText" dxfId="4951" priority="1605" operator="containsText" text="SIN OBSERVACIÓN">
      <formula>NOT(ISERROR(SEARCH("SIN OBSERVACIÓN",Q280)))</formula>
    </cfRule>
  </conditionalFormatting>
  <conditionalFormatting sqref="R280">
    <cfRule type="containsBlanks" dxfId="4950" priority="1596">
      <formula>LEN(TRIM(R280))=0</formula>
    </cfRule>
    <cfRule type="cellIs" dxfId="4949" priority="1598" operator="equal">
      <formula>"NO CUMPLEN CON LO SOLICITADO"</formula>
    </cfRule>
    <cfRule type="cellIs" dxfId="4948" priority="1599" operator="equal">
      <formula>"CUMPLEN CON LO SOLICITADO"</formula>
    </cfRule>
    <cfRule type="cellIs" dxfId="4947" priority="1600" operator="equal">
      <formula>"PENDIENTES"</formula>
    </cfRule>
    <cfRule type="cellIs" dxfId="4946" priority="1601" operator="equal">
      <formula>"NINGUNO"</formula>
    </cfRule>
  </conditionalFormatting>
  <conditionalFormatting sqref="U280:U285">
    <cfRule type="cellIs" dxfId="4945" priority="1594" operator="equal">
      <formula>0</formula>
    </cfRule>
    <cfRule type="cellIs" dxfId="4944" priority="1595" operator="equal">
      <formula>1</formula>
    </cfRule>
  </conditionalFormatting>
  <conditionalFormatting sqref="H258 H261 H264 H267">
    <cfRule type="notContainsBlanks" dxfId="4943" priority="1593">
      <formula>LEN(TRIM(H258))&gt;0</formula>
    </cfRule>
  </conditionalFormatting>
  <conditionalFormatting sqref="I258 I261 I264 I267">
    <cfRule type="notContainsBlanks" dxfId="4942" priority="1592">
      <formula>LEN(TRIM(I258))&gt;0</formula>
    </cfRule>
  </conditionalFormatting>
  <conditionalFormatting sqref="N258">
    <cfRule type="expression" dxfId="4941" priority="1589">
      <formula>N258=" "</formula>
    </cfRule>
    <cfRule type="expression" dxfId="4940" priority="1590">
      <formula>N258="NO PRESENTÓ CERTIFICADO"</formula>
    </cfRule>
    <cfRule type="expression" dxfId="4939" priority="1591">
      <formula>N258="PRESENTÓ CERTIFICADO"</formula>
    </cfRule>
  </conditionalFormatting>
  <conditionalFormatting sqref="O258">
    <cfRule type="cellIs" dxfId="4938" priority="1571" operator="equal">
      <formula>"PENDIENTE POR DESCRIPCIÓN"</formula>
    </cfRule>
    <cfRule type="cellIs" dxfId="4937" priority="1572" operator="equal">
      <formula>"DESCRIPCIÓN INSUFICIENTE"</formula>
    </cfRule>
    <cfRule type="cellIs" dxfId="4936" priority="1573" operator="equal">
      <formula>"NO ESTÁ ACORDE A ITEM 5.2.2 (T.R.)"</formula>
    </cfRule>
    <cfRule type="cellIs" dxfId="4935" priority="1574" operator="equal">
      <formula>"ACORDE A ITEM 5.2.2 (T.R.)"</formula>
    </cfRule>
    <cfRule type="cellIs" dxfId="4934" priority="1581" operator="equal">
      <formula>"PENDIENTE POR DESCRIPCIÓN"</formula>
    </cfRule>
    <cfRule type="cellIs" dxfId="4933" priority="1583" operator="equal">
      <formula>"DESCRIPCIÓN INSUFICIENTE"</formula>
    </cfRule>
    <cfRule type="cellIs" dxfId="4932" priority="1584" operator="equal">
      <formula>"NO ESTÁ ACORDE A ITEM 5.2.1 (T.R.)"</formula>
    </cfRule>
    <cfRule type="cellIs" dxfId="4931" priority="1585" operator="equal">
      <formula>"ACORDE A ITEM 5.2.1 (T.R.)"</formula>
    </cfRule>
  </conditionalFormatting>
  <conditionalFormatting sqref="Q258">
    <cfRule type="containsBlanks" dxfId="4930" priority="1576">
      <formula>LEN(TRIM(Q258))=0</formula>
    </cfRule>
    <cfRule type="cellIs" dxfId="4929" priority="1582" operator="equal">
      <formula>"REQUERIMIENTOS SUBSANADOS"</formula>
    </cfRule>
    <cfRule type="containsText" dxfId="4928" priority="1586" operator="containsText" text="NO SUBSANABLE">
      <formula>NOT(ISERROR(SEARCH("NO SUBSANABLE",Q258)))</formula>
    </cfRule>
    <cfRule type="containsText" dxfId="4927" priority="1587" operator="containsText" text="PENDIENTES POR SUBSANAR">
      <formula>NOT(ISERROR(SEARCH("PENDIENTES POR SUBSANAR",Q258)))</formula>
    </cfRule>
    <cfRule type="containsText" dxfId="4926" priority="1588" operator="containsText" text="SIN OBSERVACIÓN">
      <formula>NOT(ISERROR(SEARCH("SIN OBSERVACIÓN",Q258)))</formula>
    </cfRule>
  </conditionalFormatting>
  <conditionalFormatting sqref="R258">
    <cfRule type="containsBlanks" dxfId="4925" priority="1575">
      <formula>LEN(TRIM(R258))=0</formula>
    </cfRule>
    <cfRule type="cellIs" dxfId="4924" priority="1577" operator="equal">
      <formula>"NO CUMPLEN CON LO SOLICITADO"</formula>
    </cfRule>
    <cfRule type="cellIs" dxfId="4923" priority="1578" operator="equal">
      <formula>"CUMPLEN CON LO SOLICITADO"</formula>
    </cfRule>
    <cfRule type="cellIs" dxfId="4922" priority="1579" operator="equal">
      <formula>"PENDIENTES"</formula>
    </cfRule>
    <cfRule type="cellIs" dxfId="4921" priority="1580" operator="equal">
      <formula>"NINGUNO"</formula>
    </cfRule>
  </conditionalFormatting>
  <conditionalFormatting sqref="P258">
    <cfRule type="expression" dxfId="4920" priority="1566">
      <formula>Q258="NO SUBSANABLE"</formula>
    </cfRule>
    <cfRule type="expression" dxfId="4919" priority="1567">
      <formula>Q258="REQUERIMIENTOS SUBSANADOS"</formula>
    </cfRule>
    <cfRule type="expression" dxfId="4918" priority="1568">
      <formula>Q258="PENDIENTES POR SUBSANAR"</formula>
    </cfRule>
    <cfRule type="expression" dxfId="4917" priority="1569">
      <formula>Q258="SIN OBSERVACIÓN"</formula>
    </cfRule>
    <cfRule type="containsBlanks" dxfId="4916" priority="1570">
      <formula>LEN(TRIM(P258))=0</formula>
    </cfRule>
  </conditionalFormatting>
  <conditionalFormatting sqref="N261">
    <cfRule type="expression" dxfId="4915" priority="1561">
      <formula>N261=" "</formula>
    </cfRule>
    <cfRule type="expression" dxfId="4914" priority="1562">
      <formula>N261="NO PRESENTÓ CERTIFICADO"</formula>
    </cfRule>
    <cfRule type="expression" dxfId="4913" priority="1563">
      <formula>N261="PRESENTÓ CERTIFICADO"</formula>
    </cfRule>
  </conditionalFormatting>
  <conditionalFormatting sqref="O261">
    <cfRule type="cellIs" dxfId="4912" priority="1543" operator="equal">
      <formula>"PENDIENTE POR DESCRIPCIÓN"</formula>
    </cfRule>
    <cfRule type="cellIs" dxfId="4911" priority="1544" operator="equal">
      <formula>"DESCRIPCIÓN INSUFICIENTE"</formula>
    </cfRule>
    <cfRule type="cellIs" dxfId="4910" priority="1545" operator="equal">
      <formula>"NO ESTÁ ACORDE A ITEM 5.2.2 (T.R.)"</formula>
    </cfRule>
    <cfRule type="cellIs" dxfId="4909" priority="1546" operator="equal">
      <formula>"ACORDE A ITEM 5.2.2 (T.R.)"</formula>
    </cfRule>
    <cfRule type="cellIs" dxfId="4908" priority="1553" operator="equal">
      <formula>"PENDIENTE POR DESCRIPCIÓN"</formula>
    </cfRule>
    <cfRule type="cellIs" dxfId="4907" priority="1555" operator="equal">
      <formula>"DESCRIPCIÓN INSUFICIENTE"</formula>
    </cfRule>
    <cfRule type="cellIs" dxfId="4906" priority="1556" operator="equal">
      <formula>"NO ESTÁ ACORDE A ITEM 5.2.1 (T.R.)"</formula>
    </cfRule>
    <cfRule type="cellIs" dxfId="4905" priority="1557" operator="equal">
      <formula>"ACORDE A ITEM 5.2.1 (T.R.)"</formula>
    </cfRule>
  </conditionalFormatting>
  <conditionalFormatting sqref="Q261">
    <cfRule type="containsBlanks" dxfId="4904" priority="1548">
      <formula>LEN(TRIM(Q261))=0</formula>
    </cfRule>
    <cfRule type="cellIs" dxfId="4903" priority="1554" operator="equal">
      <formula>"REQUERIMIENTOS SUBSANADOS"</formula>
    </cfRule>
    <cfRule type="containsText" dxfId="4902" priority="1558" operator="containsText" text="NO SUBSANABLE">
      <formula>NOT(ISERROR(SEARCH("NO SUBSANABLE",Q261)))</formula>
    </cfRule>
    <cfRule type="containsText" dxfId="4901" priority="1559" operator="containsText" text="PENDIENTES POR SUBSANAR">
      <formula>NOT(ISERROR(SEARCH("PENDIENTES POR SUBSANAR",Q261)))</formula>
    </cfRule>
    <cfRule type="containsText" dxfId="4900" priority="1560" operator="containsText" text="SIN OBSERVACIÓN">
      <formula>NOT(ISERROR(SEARCH("SIN OBSERVACIÓN",Q261)))</formula>
    </cfRule>
  </conditionalFormatting>
  <conditionalFormatting sqref="R261">
    <cfRule type="containsBlanks" dxfId="4899" priority="1547">
      <formula>LEN(TRIM(R261))=0</formula>
    </cfRule>
    <cfRule type="cellIs" dxfId="4898" priority="1549" operator="equal">
      <formula>"NO CUMPLEN CON LO SOLICITADO"</formula>
    </cfRule>
    <cfRule type="cellIs" dxfId="4897" priority="1550" operator="equal">
      <formula>"CUMPLEN CON LO SOLICITADO"</formula>
    </cfRule>
    <cfRule type="cellIs" dxfId="4896" priority="1551" operator="equal">
      <formula>"PENDIENTES"</formula>
    </cfRule>
    <cfRule type="cellIs" dxfId="4895" priority="1552" operator="equal">
      <formula>"NINGUNO"</formula>
    </cfRule>
  </conditionalFormatting>
  <conditionalFormatting sqref="P261">
    <cfRule type="expression" dxfId="4894" priority="1538">
      <formula>Q261="NO SUBSANABLE"</formula>
    </cfRule>
    <cfRule type="expression" dxfId="4893" priority="1539">
      <formula>Q261="REQUERIMIENTOS SUBSANADOS"</formula>
    </cfRule>
    <cfRule type="expression" dxfId="4892" priority="1540">
      <formula>Q261="PENDIENTES POR SUBSANAR"</formula>
    </cfRule>
    <cfRule type="expression" dxfId="4891" priority="1541">
      <formula>Q261="SIN OBSERVACIÓN"</formula>
    </cfRule>
    <cfRule type="containsBlanks" dxfId="4890" priority="1542">
      <formula>LEN(TRIM(P261))=0</formula>
    </cfRule>
  </conditionalFormatting>
  <conditionalFormatting sqref="N264">
    <cfRule type="expression" dxfId="4889" priority="1533">
      <formula>N264=" "</formula>
    </cfRule>
    <cfRule type="expression" dxfId="4888" priority="1534">
      <formula>N264="NO PRESENTÓ CERTIFICADO"</formula>
    </cfRule>
    <cfRule type="expression" dxfId="4887" priority="1535">
      <formula>N264="PRESENTÓ CERTIFICADO"</formula>
    </cfRule>
  </conditionalFormatting>
  <conditionalFormatting sqref="O264">
    <cfRule type="cellIs" dxfId="4886" priority="1515" operator="equal">
      <formula>"PENDIENTE POR DESCRIPCIÓN"</formula>
    </cfRule>
    <cfRule type="cellIs" dxfId="4885" priority="1516" operator="equal">
      <formula>"DESCRIPCIÓN INSUFICIENTE"</formula>
    </cfRule>
    <cfRule type="cellIs" dxfId="4884" priority="1517" operator="equal">
      <formula>"NO ESTÁ ACORDE A ITEM 5.2.2 (T.R.)"</formula>
    </cfRule>
    <cfRule type="cellIs" dxfId="4883" priority="1518" operator="equal">
      <formula>"ACORDE A ITEM 5.2.2 (T.R.)"</formula>
    </cfRule>
    <cfRule type="cellIs" dxfId="4882" priority="1525" operator="equal">
      <formula>"PENDIENTE POR DESCRIPCIÓN"</formula>
    </cfRule>
    <cfRule type="cellIs" dxfId="4881" priority="1527" operator="equal">
      <formula>"DESCRIPCIÓN INSUFICIENTE"</formula>
    </cfRule>
    <cfRule type="cellIs" dxfId="4880" priority="1528" operator="equal">
      <formula>"NO ESTÁ ACORDE A ITEM 5.2.1 (T.R.)"</formula>
    </cfRule>
    <cfRule type="cellIs" dxfId="4879" priority="1529" operator="equal">
      <formula>"ACORDE A ITEM 5.2.1 (T.R.)"</formula>
    </cfRule>
  </conditionalFormatting>
  <conditionalFormatting sqref="Q264">
    <cfRule type="containsBlanks" dxfId="4878" priority="1520">
      <formula>LEN(TRIM(Q264))=0</formula>
    </cfRule>
    <cfRule type="cellIs" dxfId="4877" priority="1526" operator="equal">
      <formula>"REQUERIMIENTOS SUBSANADOS"</formula>
    </cfRule>
    <cfRule type="containsText" dxfId="4876" priority="1530" operator="containsText" text="NO SUBSANABLE">
      <formula>NOT(ISERROR(SEARCH("NO SUBSANABLE",Q264)))</formula>
    </cfRule>
    <cfRule type="containsText" dxfId="4875" priority="1531" operator="containsText" text="PENDIENTES POR SUBSANAR">
      <formula>NOT(ISERROR(SEARCH("PENDIENTES POR SUBSANAR",Q264)))</formula>
    </cfRule>
    <cfRule type="containsText" dxfId="4874" priority="1532" operator="containsText" text="SIN OBSERVACIÓN">
      <formula>NOT(ISERROR(SEARCH("SIN OBSERVACIÓN",Q264)))</formula>
    </cfRule>
  </conditionalFormatting>
  <conditionalFormatting sqref="R264">
    <cfRule type="containsBlanks" dxfId="4873" priority="1519">
      <formula>LEN(TRIM(R264))=0</formula>
    </cfRule>
    <cfRule type="cellIs" dxfId="4872" priority="1521" operator="equal">
      <formula>"NO CUMPLEN CON LO SOLICITADO"</formula>
    </cfRule>
    <cfRule type="cellIs" dxfId="4871" priority="1522" operator="equal">
      <formula>"CUMPLEN CON LO SOLICITADO"</formula>
    </cfRule>
    <cfRule type="cellIs" dxfId="4870" priority="1523" operator="equal">
      <formula>"PENDIENTES"</formula>
    </cfRule>
    <cfRule type="cellIs" dxfId="4869" priority="1524" operator="equal">
      <formula>"NINGUNO"</formula>
    </cfRule>
  </conditionalFormatting>
  <conditionalFormatting sqref="P264">
    <cfRule type="expression" dxfId="4868" priority="1510">
      <formula>Q264="NO SUBSANABLE"</formula>
    </cfRule>
    <cfRule type="expression" dxfId="4867" priority="1511">
      <formula>Q264="REQUERIMIENTOS SUBSANADOS"</formula>
    </cfRule>
    <cfRule type="expression" dxfId="4866" priority="1512">
      <formula>Q264="PENDIENTES POR SUBSANAR"</formula>
    </cfRule>
    <cfRule type="expression" dxfId="4865" priority="1513">
      <formula>Q264="SIN OBSERVACIÓN"</formula>
    </cfRule>
    <cfRule type="containsBlanks" dxfId="4864" priority="1514">
      <formula>LEN(TRIM(P264))=0</formula>
    </cfRule>
  </conditionalFormatting>
  <conditionalFormatting sqref="N267">
    <cfRule type="expression" dxfId="4863" priority="1507">
      <formula>N267=" "</formula>
    </cfRule>
    <cfRule type="expression" dxfId="4862" priority="1508">
      <formula>N267="NO PRESENTÓ CERTIFICADO"</formula>
    </cfRule>
    <cfRule type="expression" dxfId="4861" priority="1509">
      <formula>N267="PRESENTÓ CERTIFICADO"</formula>
    </cfRule>
  </conditionalFormatting>
  <conditionalFormatting sqref="O267">
    <cfRule type="cellIs" dxfId="4860" priority="1489" operator="equal">
      <formula>"PENDIENTE POR DESCRIPCIÓN"</formula>
    </cfRule>
    <cfRule type="cellIs" dxfId="4859" priority="1490" operator="equal">
      <formula>"DESCRIPCIÓN INSUFICIENTE"</formula>
    </cfRule>
    <cfRule type="cellIs" dxfId="4858" priority="1491" operator="equal">
      <formula>"NO ESTÁ ACORDE A ITEM 5.2.2 (T.R.)"</formula>
    </cfRule>
    <cfRule type="cellIs" dxfId="4857" priority="1492" operator="equal">
      <formula>"ACORDE A ITEM 5.2.2 (T.R.)"</formula>
    </cfRule>
    <cfRule type="cellIs" dxfId="4856" priority="1499" operator="equal">
      <formula>"PENDIENTE POR DESCRIPCIÓN"</formula>
    </cfRule>
    <cfRule type="cellIs" dxfId="4855" priority="1501" operator="equal">
      <formula>"DESCRIPCIÓN INSUFICIENTE"</formula>
    </cfRule>
    <cfRule type="cellIs" dxfId="4854" priority="1502" operator="equal">
      <formula>"NO ESTÁ ACORDE A ITEM 5.2.1 (T.R.)"</formula>
    </cfRule>
    <cfRule type="cellIs" dxfId="4853" priority="1503" operator="equal">
      <formula>"ACORDE A ITEM 5.2.1 (T.R.)"</formula>
    </cfRule>
  </conditionalFormatting>
  <conditionalFormatting sqref="Q267">
    <cfRule type="containsBlanks" dxfId="4852" priority="1494">
      <formula>LEN(TRIM(Q267))=0</formula>
    </cfRule>
    <cfRule type="cellIs" dxfId="4851" priority="1500" operator="equal">
      <formula>"REQUERIMIENTOS SUBSANADOS"</formula>
    </cfRule>
    <cfRule type="containsText" dxfId="4850" priority="1504" operator="containsText" text="NO SUBSANABLE">
      <formula>NOT(ISERROR(SEARCH("NO SUBSANABLE",Q267)))</formula>
    </cfRule>
    <cfRule type="containsText" dxfId="4849" priority="1505" operator="containsText" text="PENDIENTES POR SUBSANAR">
      <formula>NOT(ISERROR(SEARCH("PENDIENTES POR SUBSANAR",Q267)))</formula>
    </cfRule>
    <cfRule type="containsText" dxfId="4848" priority="1506" operator="containsText" text="SIN OBSERVACIÓN">
      <formula>NOT(ISERROR(SEARCH("SIN OBSERVACIÓN",Q267)))</formula>
    </cfRule>
  </conditionalFormatting>
  <conditionalFormatting sqref="R267">
    <cfRule type="containsBlanks" dxfId="4847" priority="1493">
      <formula>LEN(TRIM(R267))=0</formula>
    </cfRule>
    <cfRule type="cellIs" dxfId="4846" priority="1495" operator="equal">
      <formula>"NO CUMPLEN CON LO SOLICITADO"</formula>
    </cfRule>
    <cfRule type="cellIs" dxfId="4845" priority="1496" operator="equal">
      <formula>"CUMPLEN CON LO SOLICITADO"</formula>
    </cfRule>
    <cfRule type="cellIs" dxfId="4844" priority="1497" operator="equal">
      <formula>"PENDIENTES"</formula>
    </cfRule>
    <cfRule type="cellIs" dxfId="4843" priority="1498" operator="equal">
      <formula>"NINGUNO"</formula>
    </cfRule>
  </conditionalFormatting>
  <conditionalFormatting sqref="P267">
    <cfRule type="expression" dxfId="4842" priority="1484">
      <formula>Q267="NO SUBSANABLE"</formula>
    </cfRule>
    <cfRule type="expression" dxfId="4841" priority="1485">
      <formula>Q267="REQUERIMIENTOS SUBSANADOS"</formula>
    </cfRule>
    <cfRule type="expression" dxfId="4840" priority="1486">
      <formula>Q267="PENDIENTES POR SUBSANAR"</formula>
    </cfRule>
    <cfRule type="expression" dxfId="4839" priority="1487">
      <formula>Q267="SIN OBSERVACIÓN"</formula>
    </cfRule>
    <cfRule type="containsBlanks" dxfId="4838" priority="1488">
      <formula>LEN(TRIM(P267))=0</formula>
    </cfRule>
  </conditionalFormatting>
  <conditionalFormatting sqref="J267">
    <cfRule type="cellIs" dxfId="4837" priority="1482" operator="equal">
      <formula>"NO CUMPLE"</formula>
    </cfRule>
    <cfRule type="cellIs" dxfId="4836" priority="1483" operator="equal">
      <formula>"CUMPLE"</formula>
    </cfRule>
  </conditionalFormatting>
  <conditionalFormatting sqref="J256">
    <cfRule type="cellIs" dxfId="4835" priority="1480" operator="equal">
      <formula>"NO CUMPLE"</formula>
    </cfRule>
    <cfRule type="cellIs" dxfId="4834" priority="1481" operator="equal">
      <formula>"CUMPLE"</formula>
    </cfRule>
  </conditionalFormatting>
  <conditionalFormatting sqref="J255">
    <cfRule type="cellIs" dxfId="4833" priority="1478" operator="equal">
      <formula>"NO CUMPLE"</formula>
    </cfRule>
    <cfRule type="cellIs" dxfId="4832" priority="1479" operator="equal">
      <formula>"CUMPLE"</formula>
    </cfRule>
  </conditionalFormatting>
  <conditionalFormatting sqref="J257">
    <cfRule type="cellIs" dxfId="4831" priority="1476" operator="equal">
      <formula>"NO CUMPLE"</formula>
    </cfRule>
    <cfRule type="cellIs" dxfId="4830" priority="1477" operator="equal">
      <formula>"CUMPLE"</formula>
    </cfRule>
  </conditionalFormatting>
  <conditionalFormatting sqref="U258:U269">
    <cfRule type="cellIs" dxfId="4829" priority="1474" operator="equal">
      <formula>0</formula>
    </cfRule>
    <cfRule type="cellIs" dxfId="4828" priority="1475" operator="equal">
      <formula>1</formula>
    </cfRule>
  </conditionalFormatting>
  <conditionalFormatting sqref="I236">
    <cfRule type="notContainsBlanks" dxfId="4827" priority="1473">
      <formula>LEN(TRIM(I236))&gt;0</formula>
    </cfRule>
  </conditionalFormatting>
  <conditionalFormatting sqref="N233">
    <cfRule type="expression" dxfId="4826" priority="1468">
      <formula>N233=" "</formula>
    </cfRule>
    <cfRule type="expression" dxfId="4825" priority="1469">
      <formula>N233="NO PRESENTÓ CERTIFICADO"</formula>
    </cfRule>
    <cfRule type="expression" dxfId="4824" priority="1470">
      <formula>N233="PRESENTÓ CERTIFICADO"</formula>
    </cfRule>
  </conditionalFormatting>
  <conditionalFormatting sqref="O233">
    <cfRule type="cellIs" dxfId="4823" priority="1450" operator="equal">
      <formula>"PENDIENTE POR DESCRIPCIÓN"</formula>
    </cfRule>
    <cfRule type="cellIs" dxfId="4822" priority="1451" operator="equal">
      <formula>"DESCRIPCIÓN INSUFICIENTE"</formula>
    </cfRule>
    <cfRule type="cellIs" dxfId="4821" priority="1452" operator="equal">
      <formula>"NO ESTÁ ACORDE A ITEM 5.2.2 (T.R.)"</formula>
    </cfRule>
    <cfRule type="cellIs" dxfId="4820" priority="1453" operator="equal">
      <formula>"ACORDE A ITEM 5.2.2 (T.R.)"</formula>
    </cfRule>
    <cfRule type="cellIs" dxfId="4819" priority="1460" operator="equal">
      <formula>"PENDIENTE POR DESCRIPCIÓN"</formula>
    </cfRule>
    <cfRule type="cellIs" dxfId="4818" priority="1462" operator="equal">
      <formula>"DESCRIPCIÓN INSUFICIENTE"</formula>
    </cfRule>
    <cfRule type="cellIs" dxfId="4817" priority="1463" operator="equal">
      <formula>"NO ESTÁ ACORDE A ITEM 5.2.1 (T.R.)"</formula>
    </cfRule>
    <cfRule type="cellIs" dxfId="4816" priority="1464" operator="equal">
      <formula>"ACORDE A ITEM 5.2.1 (T.R.)"</formula>
    </cfRule>
  </conditionalFormatting>
  <conditionalFormatting sqref="Q233">
    <cfRule type="containsBlanks" dxfId="4815" priority="1455">
      <formula>LEN(TRIM(Q233))=0</formula>
    </cfRule>
    <cfRule type="cellIs" dxfId="4814" priority="1461" operator="equal">
      <formula>"REQUERIMIENTOS SUBSANADOS"</formula>
    </cfRule>
    <cfRule type="containsText" dxfId="4813" priority="1465" operator="containsText" text="NO SUBSANABLE">
      <formula>NOT(ISERROR(SEARCH("NO SUBSANABLE",Q233)))</formula>
    </cfRule>
    <cfRule type="containsText" dxfId="4812" priority="1466" operator="containsText" text="PENDIENTES POR SUBSANAR">
      <formula>NOT(ISERROR(SEARCH("PENDIENTES POR SUBSANAR",Q233)))</formula>
    </cfRule>
    <cfRule type="containsText" dxfId="4811" priority="1467" operator="containsText" text="SIN OBSERVACIÓN">
      <formula>NOT(ISERROR(SEARCH("SIN OBSERVACIÓN",Q233)))</formula>
    </cfRule>
  </conditionalFormatting>
  <conditionalFormatting sqref="R233">
    <cfRule type="containsBlanks" dxfId="4810" priority="1454">
      <formula>LEN(TRIM(R233))=0</formula>
    </cfRule>
    <cfRule type="cellIs" dxfId="4809" priority="1456" operator="equal">
      <formula>"NO CUMPLEN CON LO SOLICITADO"</formula>
    </cfRule>
    <cfRule type="cellIs" dxfId="4808" priority="1457" operator="equal">
      <formula>"CUMPLEN CON LO SOLICITADO"</formula>
    </cfRule>
    <cfRule type="cellIs" dxfId="4807" priority="1458" operator="equal">
      <formula>"PENDIENTES"</formula>
    </cfRule>
    <cfRule type="cellIs" dxfId="4806" priority="1459" operator="equal">
      <formula>"NINGUNO"</formula>
    </cfRule>
  </conditionalFormatting>
  <conditionalFormatting sqref="P233">
    <cfRule type="expression" dxfId="4805" priority="1445">
      <formula>Q233="NO SUBSANABLE"</formula>
    </cfRule>
    <cfRule type="expression" dxfId="4804" priority="1446">
      <formula>Q233="REQUERIMIENTOS SUBSANADOS"</formula>
    </cfRule>
    <cfRule type="expression" dxfId="4803" priority="1447">
      <formula>Q233="PENDIENTES POR SUBSANAR"</formula>
    </cfRule>
    <cfRule type="expression" dxfId="4802" priority="1448">
      <formula>Q233="SIN OBSERVACIÓN"</formula>
    </cfRule>
    <cfRule type="containsBlanks" dxfId="4801" priority="1449">
      <formula>LEN(TRIM(P233))=0</formula>
    </cfRule>
  </conditionalFormatting>
  <conditionalFormatting sqref="N236">
    <cfRule type="expression" dxfId="4800" priority="1442">
      <formula>N236=" "</formula>
    </cfRule>
    <cfRule type="expression" dxfId="4799" priority="1443">
      <formula>N236="NO PRESENTÓ CERTIFICADO"</formula>
    </cfRule>
    <cfRule type="expression" dxfId="4798" priority="1444">
      <formula>N236="PRESENTÓ CERTIFICADO"</formula>
    </cfRule>
  </conditionalFormatting>
  <conditionalFormatting sqref="O236">
    <cfRule type="cellIs" dxfId="4797" priority="1424" operator="equal">
      <formula>"PENDIENTE POR DESCRIPCIÓN"</formula>
    </cfRule>
    <cfRule type="cellIs" dxfId="4796" priority="1425" operator="equal">
      <formula>"DESCRIPCIÓN INSUFICIENTE"</formula>
    </cfRule>
    <cfRule type="cellIs" dxfId="4795" priority="1426" operator="equal">
      <formula>"NO ESTÁ ACORDE A ITEM 5.2.2 (T.R.)"</formula>
    </cfRule>
    <cfRule type="cellIs" dxfId="4794" priority="1427" operator="equal">
      <formula>"ACORDE A ITEM 5.2.2 (T.R.)"</formula>
    </cfRule>
    <cfRule type="cellIs" dxfId="4793" priority="1434" operator="equal">
      <formula>"PENDIENTE POR DESCRIPCIÓN"</formula>
    </cfRule>
    <cfRule type="cellIs" dxfId="4792" priority="1436" operator="equal">
      <formula>"DESCRIPCIÓN INSUFICIENTE"</formula>
    </cfRule>
    <cfRule type="cellIs" dxfId="4791" priority="1437" operator="equal">
      <formula>"NO ESTÁ ACORDE A ITEM 5.2.1 (T.R.)"</formula>
    </cfRule>
    <cfRule type="cellIs" dxfId="4790" priority="1438" operator="equal">
      <formula>"ACORDE A ITEM 5.2.1 (T.R.)"</formula>
    </cfRule>
  </conditionalFormatting>
  <conditionalFormatting sqref="Q236">
    <cfRule type="containsBlanks" dxfId="4789" priority="1429">
      <formula>LEN(TRIM(Q236))=0</formula>
    </cfRule>
    <cfRule type="cellIs" dxfId="4788" priority="1435" operator="equal">
      <formula>"REQUERIMIENTOS SUBSANADOS"</formula>
    </cfRule>
    <cfRule type="containsText" dxfId="4787" priority="1439" operator="containsText" text="NO SUBSANABLE">
      <formula>NOT(ISERROR(SEARCH("NO SUBSANABLE",Q236)))</formula>
    </cfRule>
    <cfRule type="containsText" dxfId="4786" priority="1440" operator="containsText" text="PENDIENTES POR SUBSANAR">
      <formula>NOT(ISERROR(SEARCH("PENDIENTES POR SUBSANAR",Q236)))</formula>
    </cfRule>
    <cfRule type="containsText" dxfId="4785" priority="1441" operator="containsText" text="SIN OBSERVACIÓN">
      <formula>NOT(ISERROR(SEARCH("SIN OBSERVACIÓN",Q236)))</formula>
    </cfRule>
  </conditionalFormatting>
  <conditionalFormatting sqref="R236">
    <cfRule type="containsBlanks" dxfId="4784" priority="1428">
      <formula>LEN(TRIM(R236))=0</formula>
    </cfRule>
    <cfRule type="cellIs" dxfId="4783" priority="1430" operator="equal">
      <formula>"NO CUMPLEN CON LO SOLICITADO"</formula>
    </cfRule>
    <cfRule type="cellIs" dxfId="4782" priority="1431" operator="equal">
      <formula>"CUMPLEN CON LO SOLICITADO"</formula>
    </cfRule>
    <cfRule type="cellIs" dxfId="4781" priority="1432" operator="equal">
      <formula>"PENDIENTES"</formula>
    </cfRule>
    <cfRule type="cellIs" dxfId="4780" priority="1433" operator="equal">
      <formula>"NINGUNO"</formula>
    </cfRule>
  </conditionalFormatting>
  <conditionalFormatting sqref="P236">
    <cfRule type="expression" dxfId="4779" priority="1419">
      <formula>Q236="NO SUBSANABLE"</formula>
    </cfRule>
    <cfRule type="expression" dxfId="4778" priority="1420">
      <formula>Q236="REQUERIMIENTOS SUBSANADOS"</formula>
    </cfRule>
    <cfRule type="expression" dxfId="4777" priority="1421">
      <formula>Q236="PENDIENTES POR SUBSANAR"</formula>
    </cfRule>
    <cfRule type="expression" dxfId="4776" priority="1422">
      <formula>Q236="SIN OBSERVACIÓN"</formula>
    </cfRule>
    <cfRule type="containsBlanks" dxfId="4775" priority="1423">
      <formula>LEN(TRIM(P236))=0</formula>
    </cfRule>
  </conditionalFormatting>
  <conditionalFormatting sqref="N239">
    <cfRule type="expression" dxfId="4774" priority="1414">
      <formula>N239=" "</formula>
    </cfRule>
    <cfRule type="expression" dxfId="4773" priority="1415">
      <formula>N239="NO PRESENTÓ CERTIFICADO"</formula>
    </cfRule>
    <cfRule type="expression" dxfId="4772" priority="1416">
      <formula>N239="PRESENTÓ CERTIFICADO"</formula>
    </cfRule>
  </conditionalFormatting>
  <conditionalFormatting sqref="O239">
    <cfRule type="cellIs" dxfId="4771" priority="1396" operator="equal">
      <formula>"PENDIENTE POR DESCRIPCIÓN"</formula>
    </cfRule>
    <cfRule type="cellIs" dxfId="4770" priority="1397" operator="equal">
      <formula>"DESCRIPCIÓN INSUFICIENTE"</formula>
    </cfRule>
    <cfRule type="cellIs" dxfId="4769" priority="1398" operator="equal">
      <formula>"NO ESTÁ ACORDE A ITEM 5.2.2 (T.R.)"</formula>
    </cfRule>
    <cfRule type="cellIs" dxfId="4768" priority="1399" operator="equal">
      <formula>"ACORDE A ITEM 5.2.2 (T.R.)"</formula>
    </cfRule>
    <cfRule type="cellIs" dxfId="4767" priority="1406" operator="equal">
      <formula>"PENDIENTE POR DESCRIPCIÓN"</formula>
    </cfRule>
    <cfRule type="cellIs" dxfId="4766" priority="1408" operator="equal">
      <formula>"DESCRIPCIÓN INSUFICIENTE"</formula>
    </cfRule>
    <cfRule type="cellIs" dxfId="4765" priority="1409" operator="equal">
      <formula>"NO ESTÁ ACORDE A ITEM 5.2.1 (T.R.)"</formula>
    </cfRule>
    <cfRule type="cellIs" dxfId="4764" priority="1410" operator="equal">
      <formula>"ACORDE A ITEM 5.2.1 (T.R.)"</formula>
    </cfRule>
  </conditionalFormatting>
  <conditionalFormatting sqref="Q239">
    <cfRule type="containsBlanks" dxfId="4763" priority="1401">
      <formula>LEN(TRIM(Q239))=0</formula>
    </cfRule>
    <cfRule type="cellIs" dxfId="4762" priority="1407" operator="equal">
      <formula>"REQUERIMIENTOS SUBSANADOS"</formula>
    </cfRule>
    <cfRule type="containsText" dxfId="4761" priority="1411" operator="containsText" text="NO SUBSANABLE">
      <formula>NOT(ISERROR(SEARCH("NO SUBSANABLE",Q239)))</formula>
    </cfRule>
    <cfRule type="containsText" dxfId="4760" priority="1412" operator="containsText" text="PENDIENTES POR SUBSANAR">
      <formula>NOT(ISERROR(SEARCH("PENDIENTES POR SUBSANAR",Q239)))</formula>
    </cfRule>
    <cfRule type="containsText" dxfId="4759" priority="1413" operator="containsText" text="SIN OBSERVACIÓN">
      <formula>NOT(ISERROR(SEARCH("SIN OBSERVACIÓN",Q239)))</formula>
    </cfRule>
  </conditionalFormatting>
  <conditionalFormatting sqref="R239">
    <cfRule type="containsBlanks" dxfId="4758" priority="1400">
      <formula>LEN(TRIM(R239))=0</formula>
    </cfRule>
    <cfRule type="cellIs" dxfId="4757" priority="1402" operator="equal">
      <formula>"NO CUMPLEN CON LO SOLICITADO"</formula>
    </cfRule>
    <cfRule type="cellIs" dxfId="4756" priority="1403" operator="equal">
      <formula>"CUMPLEN CON LO SOLICITADO"</formula>
    </cfRule>
    <cfRule type="cellIs" dxfId="4755" priority="1404" operator="equal">
      <formula>"PENDIENTES"</formula>
    </cfRule>
    <cfRule type="cellIs" dxfId="4754" priority="1405" operator="equal">
      <formula>"NINGUNO"</formula>
    </cfRule>
  </conditionalFormatting>
  <conditionalFormatting sqref="P239">
    <cfRule type="expression" dxfId="4753" priority="1391">
      <formula>Q239="NO SUBSANABLE"</formula>
    </cfRule>
    <cfRule type="expression" dxfId="4752" priority="1392">
      <formula>Q239="REQUERIMIENTOS SUBSANADOS"</formula>
    </cfRule>
    <cfRule type="expression" dxfId="4751" priority="1393">
      <formula>Q239="PENDIENTES POR SUBSANAR"</formula>
    </cfRule>
    <cfRule type="expression" dxfId="4750" priority="1394">
      <formula>Q239="SIN OBSERVACIÓN"</formula>
    </cfRule>
    <cfRule type="containsBlanks" dxfId="4749" priority="1395">
      <formula>LEN(TRIM(P239))=0</formula>
    </cfRule>
  </conditionalFormatting>
  <conditionalFormatting sqref="J236">
    <cfRule type="cellIs" dxfId="4748" priority="1387" operator="equal">
      <formula>"NO CUMPLE"</formula>
    </cfRule>
    <cfRule type="cellIs" dxfId="4747" priority="1388" operator="equal">
      <formula>"CUMPLE"</formula>
    </cfRule>
  </conditionalFormatting>
  <conditionalFormatting sqref="J237">
    <cfRule type="cellIs" dxfId="4746" priority="1385" operator="equal">
      <formula>"NO CUMPLE"</formula>
    </cfRule>
    <cfRule type="cellIs" dxfId="4745" priority="1386" operator="equal">
      <formula>"CUMPLE"</formula>
    </cfRule>
  </conditionalFormatting>
  <conditionalFormatting sqref="J238">
    <cfRule type="cellIs" dxfId="4744" priority="1383" operator="equal">
      <formula>"NO CUMPLE"</formula>
    </cfRule>
    <cfRule type="cellIs" dxfId="4743" priority="1384" operator="equal">
      <formula>"CUMPLE"</formula>
    </cfRule>
  </conditionalFormatting>
  <conditionalFormatting sqref="J239">
    <cfRule type="cellIs" dxfId="4742" priority="1381" operator="equal">
      <formula>"NO CUMPLE"</formula>
    </cfRule>
    <cfRule type="cellIs" dxfId="4741" priority="1382" operator="equal">
      <formula>"CUMPLE"</formula>
    </cfRule>
  </conditionalFormatting>
  <conditionalFormatting sqref="J240">
    <cfRule type="cellIs" dxfId="4740" priority="1379" operator="equal">
      <formula>"NO CUMPLE"</formula>
    </cfRule>
    <cfRule type="cellIs" dxfId="4739" priority="1380" operator="equal">
      <formula>"CUMPLE"</formula>
    </cfRule>
  </conditionalFormatting>
  <conditionalFormatting sqref="J241">
    <cfRule type="cellIs" dxfId="4738" priority="1377" operator="equal">
      <formula>"NO CUMPLE"</formula>
    </cfRule>
    <cfRule type="cellIs" dxfId="4737" priority="1378" operator="equal">
      <formula>"CUMPLE"</formula>
    </cfRule>
  </conditionalFormatting>
  <conditionalFormatting sqref="S233">
    <cfRule type="cellIs" dxfId="4736" priority="1375" operator="greaterThan">
      <formula>0</formula>
    </cfRule>
    <cfRule type="top10" dxfId="4735" priority="1376" rank="10"/>
  </conditionalFormatting>
  <conditionalFormatting sqref="U233:U235">
    <cfRule type="cellIs" dxfId="4734" priority="1373" operator="equal">
      <formula>0</formula>
    </cfRule>
    <cfRule type="cellIs" dxfId="4733" priority="1374" operator="equal">
      <formula>1</formula>
    </cfRule>
  </conditionalFormatting>
  <conditionalFormatting sqref="U236:U238">
    <cfRule type="cellIs" dxfId="4732" priority="1371" operator="equal">
      <formula>0</formula>
    </cfRule>
    <cfRule type="cellIs" dxfId="4731" priority="1372" operator="equal">
      <formula>1</formula>
    </cfRule>
  </conditionalFormatting>
  <conditionalFormatting sqref="U239:U241">
    <cfRule type="cellIs" dxfId="4730" priority="1369" operator="equal">
      <formula>0</formula>
    </cfRule>
    <cfRule type="cellIs" dxfId="4729" priority="1370" operator="equal">
      <formula>1</formula>
    </cfRule>
  </conditionalFormatting>
  <conditionalFormatting sqref="N211">
    <cfRule type="expression" dxfId="4728" priority="1364">
      <formula>N211=" "</formula>
    </cfRule>
    <cfRule type="expression" dxfId="4727" priority="1365">
      <formula>N211="NO PRESENTÓ CERTIFICADO"</formula>
    </cfRule>
    <cfRule type="expression" dxfId="4726" priority="1366">
      <formula>N211="PRESENTÓ CERTIFICADO"</formula>
    </cfRule>
  </conditionalFormatting>
  <conditionalFormatting sqref="O211">
    <cfRule type="cellIs" dxfId="4725" priority="1346" operator="equal">
      <formula>"PENDIENTE POR DESCRIPCIÓN"</formula>
    </cfRule>
    <cfRule type="cellIs" dxfId="4724" priority="1347" operator="equal">
      <formula>"DESCRIPCIÓN INSUFICIENTE"</formula>
    </cfRule>
    <cfRule type="cellIs" dxfId="4723" priority="1348" operator="equal">
      <formula>"NO ESTÁ ACORDE A ITEM 5.2.2 (T.R.)"</formula>
    </cfRule>
    <cfRule type="cellIs" dxfId="4722" priority="1349" operator="equal">
      <formula>"ACORDE A ITEM 5.2.2 (T.R.)"</formula>
    </cfRule>
    <cfRule type="cellIs" dxfId="4721" priority="1356" operator="equal">
      <formula>"PENDIENTE POR DESCRIPCIÓN"</formula>
    </cfRule>
    <cfRule type="cellIs" dxfId="4720" priority="1358" operator="equal">
      <formula>"DESCRIPCIÓN INSUFICIENTE"</formula>
    </cfRule>
    <cfRule type="cellIs" dxfId="4719" priority="1359" operator="equal">
      <formula>"NO ESTÁ ACORDE A ITEM 5.2.1 (T.R.)"</formula>
    </cfRule>
    <cfRule type="cellIs" dxfId="4718" priority="1360" operator="equal">
      <formula>"ACORDE A ITEM 5.2.1 (T.R.)"</formula>
    </cfRule>
  </conditionalFormatting>
  <conditionalFormatting sqref="Q211">
    <cfRule type="containsBlanks" dxfId="4717" priority="1351">
      <formula>LEN(TRIM(Q211))=0</formula>
    </cfRule>
    <cfRule type="cellIs" dxfId="4716" priority="1357" operator="equal">
      <formula>"REQUERIMIENTOS SUBSANADOS"</formula>
    </cfRule>
    <cfRule type="containsText" dxfId="4715" priority="1361" operator="containsText" text="NO SUBSANABLE">
      <formula>NOT(ISERROR(SEARCH("NO SUBSANABLE",Q211)))</formula>
    </cfRule>
    <cfRule type="containsText" dxfId="4714" priority="1362" operator="containsText" text="PENDIENTES POR SUBSANAR">
      <formula>NOT(ISERROR(SEARCH("PENDIENTES POR SUBSANAR",Q211)))</formula>
    </cfRule>
    <cfRule type="containsText" dxfId="4713" priority="1363" operator="containsText" text="SIN OBSERVACIÓN">
      <formula>NOT(ISERROR(SEARCH("SIN OBSERVACIÓN",Q211)))</formula>
    </cfRule>
  </conditionalFormatting>
  <conditionalFormatting sqref="R211">
    <cfRule type="containsBlanks" dxfId="4712" priority="1350">
      <formula>LEN(TRIM(R211))=0</formula>
    </cfRule>
    <cfRule type="cellIs" dxfId="4711" priority="1352" operator="equal">
      <formula>"NO CUMPLEN CON LO SOLICITADO"</formula>
    </cfRule>
    <cfRule type="cellIs" dxfId="4710" priority="1353" operator="equal">
      <formula>"CUMPLEN CON LO SOLICITADO"</formula>
    </cfRule>
    <cfRule type="cellIs" dxfId="4709" priority="1354" operator="equal">
      <formula>"PENDIENTES"</formula>
    </cfRule>
    <cfRule type="cellIs" dxfId="4708" priority="1355" operator="equal">
      <formula>"NINGUNO"</formula>
    </cfRule>
  </conditionalFormatting>
  <conditionalFormatting sqref="P211">
    <cfRule type="expression" dxfId="4707" priority="1341">
      <formula>Q211="NO SUBSANABLE"</formula>
    </cfRule>
    <cfRule type="expression" dxfId="4706" priority="1342">
      <formula>Q211="REQUERIMIENTOS SUBSANADOS"</formula>
    </cfRule>
    <cfRule type="expression" dxfId="4705" priority="1343">
      <formula>Q211="PENDIENTES POR SUBSANAR"</formula>
    </cfRule>
    <cfRule type="expression" dxfId="4704" priority="1344">
      <formula>Q211="SIN OBSERVACIÓN"</formula>
    </cfRule>
    <cfRule type="containsBlanks" dxfId="4703" priority="1345">
      <formula>LEN(TRIM(P211))=0</formula>
    </cfRule>
  </conditionalFormatting>
  <conditionalFormatting sqref="S189">
    <cfRule type="cellIs" dxfId="4702" priority="1337" operator="greaterThan">
      <formula>0</formula>
    </cfRule>
    <cfRule type="top10" dxfId="4701" priority="1338" rank="10"/>
  </conditionalFormatting>
  <conditionalFormatting sqref="N189">
    <cfRule type="expression" dxfId="4700" priority="1334">
      <formula>N189=" "</formula>
    </cfRule>
    <cfRule type="expression" dxfId="4699" priority="1335">
      <formula>N189="NO PRESENTÓ CERTIFICADO"</formula>
    </cfRule>
    <cfRule type="expression" dxfId="4698" priority="1336">
      <formula>N189="PRESENTÓ CERTIFICADO"</formula>
    </cfRule>
  </conditionalFormatting>
  <conditionalFormatting sqref="O189">
    <cfRule type="cellIs" dxfId="4697" priority="1316" operator="equal">
      <formula>"PENDIENTE POR DESCRIPCIÓN"</formula>
    </cfRule>
    <cfRule type="cellIs" dxfId="4696" priority="1317" operator="equal">
      <formula>"DESCRIPCIÓN INSUFICIENTE"</formula>
    </cfRule>
    <cfRule type="cellIs" dxfId="4695" priority="1318" operator="equal">
      <formula>"NO ESTÁ ACORDE A ITEM 5.2.2 (T.R.)"</formula>
    </cfRule>
    <cfRule type="cellIs" dxfId="4694" priority="1319" operator="equal">
      <formula>"ACORDE A ITEM 5.2.2 (T.R.)"</formula>
    </cfRule>
    <cfRule type="cellIs" dxfId="4693" priority="1326" operator="equal">
      <formula>"PENDIENTE POR DESCRIPCIÓN"</formula>
    </cfRule>
    <cfRule type="cellIs" dxfId="4692" priority="1328" operator="equal">
      <formula>"DESCRIPCIÓN INSUFICIENTE"</formula>
    </cfRule>
    <cfRule type="cellIs" dxfId="4691" priority="1329" operator="equal">
      <formula>"NO ESTÁ ACORDE A ITEM 5.2.1 (T.R.)"</formula>
    </cfRule>
    <cfRule type="cellIs" dxfId="4690" priority="1330" operator="equal">
      <formula>"ACORDE A ITEM 5.2.1 (T.R.)"</formula>
    </cfRule>
  </conditionalFormatting>
  <conditionalFormatting sqref="Q189">
    <cfRule type="containsBlanks" dxfId="4689" priority="1321">
      <formula>LEN(TRIM(Q189))=0</formula>
    </cfRule>
    <cfRule type="cellIs" dxfId="4688" priority="1327" operator="equal">
      <formula>"REQUERIMIENTOS SUBSANADOS"</formula>
    </cfRule>
    <cfRule type="containsText" dxfId="4687" priority="1331" operator="containsText" text="NO SUBSANABLE">
      <formula>NOT(ISERROR(SEARCH("NO SUBSANABLE",Q189)))</formula>
    </cfRule>
    <cfRule type="containsText" dxfId="4686" priority="1332" operator="containsText" text="PENDIENTES POR SUBSANAR">
      <formula>NOT(ISERROR(SEARCH("PENDIENTES POR SUBSANAR",Q189)))</formula>
    </cfRule>
    <cfRule type="containsText" dxfId="4685" priority="1333" operator="containsText" text="SIN OBSERVACIÓN">
      <formula>NOT(ISERROR(SEARCH("SIN OBSERVACIÓN",Q189)))</formula>
    </cfRule>
  </conditionalFormatting>
  <conditionalFormatting sqref="R189">
    <cfRule type="containsBlanks" dxfId="4684" priority="1320">
      <formula>LEN(TRIM(R189))=0</formula>
    </cfRule>
    <cfRule type="cellIs" dxfId="4683" priority="1322" operator="equal">
      <formula>"NO CUMPLEN CON LO SOLICITADO"</formula>
    </cfRule>
    <cfRule type="cellIs" dxfId="4682" priority="1323" operator="equal">
      <formula>"CUMPLEN CON LO SOLICITADO"</formula>
    </cfRule>
    <cfRule type="cellIs" dxfId="4681" priority="1324" operator="equal">
      <formula>"PENDIENTES"</formula>
    </cfRule>
    <cfRule type="cellIs" dxfId="4680" priority="1325" operator="equal">
      <formula>"NINGUNO"</formula>
    </cfRule>
  </conditionalFormatting>
  <conditionalFormatting sqref="P189">
    <cfRule type="expression" dxfId="4679" priority="1311">
      <formula>Q189="NO SUBSANABLE"</formula>
    </cfRule>
    <cfRule type="expression" dxfId="4678" priority="1312">
      <formula>Q189="REQUERIMIENTOS SUBSANADOS"</formula>
    </cfRule>
    <cfRule type="expression" dxfId="4677" priority="1313">
      <formula>Q189="PENDIENTES POR SUBSANAR"</formula>
    </cfRule>
    <cfRule type="expression" dxfId="4676" priority="1314">
      <formula>Q189="SIN OBSERVACIÓN"</formula>
    </cfRule>
    <cfRule type="containsBlanks" dxfId="4675" priority="1315">
      <formula>LEN(TRIM(P189))=0</formula>
    </cfRule>
  </conditionalFormatting>
  <conditionalFormatting sqref="U211:U213">
    <cfRule type="cellIs" dxfId="4674" priority="1309" operator="equal">
      <formula>0</formula>
    </cfRule>
    <cfRule type="cellIs" dxfId="4673" priority="1310" operator="equal">
      <formula>1</formula>
    </cfRule>
  </conditionalFormatting>
  <conditionalFormatting sqref="U189:U191">
    <cfRule type="cellIs" dxfId="4672" priority="1307" operator="equal">
      <formula>0</formula>
    </cfRule>
    <cfRule type="cellIs" dxfId="4671" priority="1308" operator="equal">
      <formula>1</formula>
    </cfRule>
  </conditionalFormatting>
  <conditionalFormatting sqref="H170 H173">
    <cfRule type="notContainsBlanks" dxfId="4670" priority="1306">
      <formula>LEN(TRIM(H170))&gt;0</formula>
    </cfRule>
  </conditionalFormatting>
  <conditionalFormatting sqref="N179">
    <cfRule type="expression" dxfId="4669" priority="1301">
      <formula>N179=" "</formula>
    </cfRule>
    <cfRule type="expression" dxfId="4668" priority="1302">
      <formula>N179="NO PRESENTÓ CERTIFICADO"</formula>
    </cfRule>
    <cfRule type="expression" dxfId="4667" priority="1303">
      <formula>N179="PRESENTÓ CERTIFICADO"</formula>
    </cfRule>
  </conditionalFormatting>
  <conditionalFormatting sqref="O179">
    <cfRule type="cellIs" dxfId="4666" priority="1283" operator="equal">
      <formula>"PENDIENTE POR DESCRIPCIÓN"</formula>
    </cfRule>
    <cfRule type="cellIs" dxfId="4665" priority="1284" operator="equal">
      <formula>"DESCRIPCIÓN INSUFICIENTE"</formula>
    </cfRule>
    <cfRule type="cellIs" dxfId="4664" priority="1285" operator="equal">
      <formula>"NO ESTÁ ACORDE A ITEM 5.2.2 (T.R.)"</formula>
    </cfRule>
    <cfRule type="cellIs" dxfId="4663" priority="1286" operator="equal">
      <formula>"ACORDE A ITEM 5.2.2 (T.R.)"</formula>
    </cfRule>
    <cfRule type="cellIs" dxfId="4662" priority="1293" operator="equal">
      <formula>"PENDIENTE POR DESCRIPCIÓN"</formula>
    </cfRule>
    <cfRule type="cellIs" dxfId="4661" priority="1295" operator="equal">
      <formula>"DESCRIPCIÓN INSUFICIENTE"</formula>
    </cfRule>
    <cfRule type="cellIs" dxfId="4660" priority="1296" operator="equal">
      <formula>"NO ESTÁ ACORDE A ITEM 5.2.1 (T.R.)"</formula>
    </cfRule>
    <cfRule type="cellIs" dxfId="4659" priority="1297" operator="equal">
      <formula>"ACORDE A ITEM 5.2.1 (T.R.)"</formula>
    </cfRule>
  </conditionalFormatting>
  <conditionalFormatting sqref="Q179">
    <cfRule type="containsBlanks" dxfId="4658" priority="1288">
      <formula>LEN(TRIM(Q179))=0</formula>
    </cfRule>
    <cfRule type="cellIs" dxfId="4657" priority="1294" operator="equal">
      <formula>"REQUERIMIENTOS SUBSANADOS"</formula>
    </cfRule>
    <cfRule type="containsText" dxfId="4656" priority="1298" operator="containsText" text="NO SUBSANABLE">
      <formula>NOT(ISERROR(SEARCH("NO SUBSANABLE",Q179)))</formula>
    </cfRule>
    <cfRule type="containsText" dxfId="4655" priority="1299" operator="containsText" text="PENDIENTES POR SUBSANAR">
      <formula>NOT(ISERROR(SEARCH("PENDIENTES POR SUBSANAR",Q179)))</formula>
    </cfRule>
    <cfRule type="containsText" dxfId="4654" priority="1300" operator="containsText" text="SIN OBSERVACIÓN">
      <formula>NOT(ISERROR(SEARCH("SIN OBSERVACIÓN",Q179)))</formula>
    </cfRule>
  </conditionalFormatting>
  <conditionalFormatting sqref="R179">
    <cfRule type="containsBlanks" dxfId="4653" priority="1287">
      <formula>LEN(TRIM(R179))=0</formula>
    </cfRule>
    <cfRule type="cellIs" dxfId="4652" priority="1289" operator="equal">
      <formula>"NO CUMPLEN CON LO SOLICITADO"</formula>
    </cfRule>
    <cfRule type="cellIs" dxfId="4651" priority="1290" operator="equal">
      <formula>"CUMPLEN CON LO SOLICITADO"</formula>
    </cfRule>
    <cfRule type="cellIs" dxfId="4650" priority="1291" operator="equal">
      <formula>"PENDIENTES"</formula>
    </cfRule>
    <cfRule type="cellIs" dxfId="4649" priority="1292" operator="equal">
      <formula>"NINGUNO"</formula>
    </cfRule>
  </conditionalFormatting>
  <conditionalFormatting sqref="P179">
    <cfRule type="expression" dxfId="4648" priority="1278">
      <formula>Q179="NO SUBSANABLE"</formula>
    </cfRule>
    <cfRule type="expression" dxfId="4647" priority="1279">
      <formula>Q179="REQUERIMIENTOS SUBSANADOS"</formula>
    </cfRule>
    <cfRule type="expression" dxfId="4646" priority="1280">
      <formula>Q179="PENDIENTES POR SUBSANAR"</formula>
    </cfRule>
    <cfRule type="expression" dxfId="4645" priority="1281">
      <formula>Q179="SIN OBSERVACIÓN"</formula>
    </cfRule>
    <cfRule type="containsBlanks" dxfId="4644" priority="1282">
      <formula>LEN(TRIM(P179))=0</formula>
    </cfRule>
  </conditionalFormatting>
  <conditionalFormatting sqref="N170">
    <cfRule type="expression" dxfId="4643" priority="1275">
      <formula>N170=" "</formula>
    </cfRule>
    <cfRule type="expression" dxfId="4642" priority="1276">
      <formula>N170="NO PRESENTÓ CERTIFICADO"</formula>
    </cfRule>
    <cfRule type="expression" dxfId="4641" priority="1277">
      <formula>N170="PRESENTÓ CERTIFICADO"</formula>
    </cfRule>
  </conditionalFormatting>
  <conditionalFormatting sqref="O170">
    <cfRule type="cellIs" dxfId="4640" priority="1257" operator="equal">
      <formula>"PENDIENTE POR DESCRIPCIÓN"</formula>
    </cfRule>
    <cfRule type="cellIs" dxfId="4639" priority="1258" operator="equal">
      <formula>"DESCRIPCIÓN INSUFICIENTE"</formula>
    </cfRule>
    <cfRule type="cellIs" dxfId="4638" priority="1259" operator="equal">
      <formula>"NO ESTÁ ACORDE A ITEM 5.2.2 (T.R.)"</formula>
    </cfRule>
    <cfRule type="cellIs" dxfId="4637" priority="1260" operator="equal">
      <formula>"ACORDE A ITEM 5.2.2 (T.R.)"</formula>
    </cfRule>
    <cfRule type="cellIs" dxfId="4636" priority="1267" operator="equal">
      <formula>"PENDIENTE POR DESCRIPCIÓN"</formula>
    </cfRule>
    <cfRule type="cellIs" dxfId="4635" priority="1269" operator="equal">
      <formula>"DESCRIPCIÓN INSUFICIENTE"</formula>
    </cfRule>
    <cfRule type="cellIs" dxfId="4634" priority="1270" operator="equal">
      <formula>"NO ESTÁ ACORDE A ITEM 5.2.1 (T.R.)"</formula>
    </cfRule>
    <cfRule type="cellIs" dxfId="4633" priority="1271" operator="equal">
      <formula>"ACORDE A ITEM 5.2.1 (T.R.)"</formula>
    </cfRule>
  </conditionalFormatting>
  <conditionalFormatting sqref="Q170">
    <cfRule type="containsBlanks" dxfId="4632" priority="1262">
      <formula>LEN(TRIM(Q170))=0</formula>
    </cfRule>
    <cfRule type="cellIs" dxfId="4631" priority="1268" operator="equal">
      <formula>"REQUERIMIENTOS SUBSANADOS"</formula>
    </cfRule>
    <cfRule type="containsText" dxfId="4630" priority="1272" operator="containsText" text="NO SUBSANABLE">
      <formula>NOT(ISERROR(SEARCH("NO SUBSANABLE",Q170)))</formula>
    </cfRule>
    <cfRule type="containsText" dxfId="4629" priority="1273" operator="containsText" text="PENDIENTES POR SUBSANAR">
      <formula>NOT(ISERROR(SEARCH("PENDIENTES POR SUBSANAR",Q170)))</formula>
    </cfRule>
    <cfRule type="containsText" dxfId="4628" priority="1274" operator="containsText" text="SIN OBSERVACIÓN">
      <formula>NOT(ISERROR(SEARCH("SIN OBSERVACIÓN",Q170)))</formula>
    </cfRule>
  </conditionalFormatting>
  <conditionalFormatting sqref="R170">
    <cfRule type="containsBlanks" dxfId="4627" priority="1261">
      <formula>LEN(TRIM(R170))=0</formula>
    </cfRule>
    <cfRule type="cellIs" dxfId="4626" priority="1263" operator="equal">
      <formula>"NO CUMPLEN CON LO SOLICITADO"</formula>
    </cfRule>
    <cfRule type="cellIs" dxfId="4625" priority="1264" operator="equal">
      <formula>"CUMPLEN CON LO SOLICITADO"</formula>
    </cfRule>
    <cfRule type="cellIs" dxfId="4624" priority="1265" operator="equal">
      <formula>"PENDIENTES"</formula>
    </cfRule>
    <cfRule type="cellIs" dxfId="4623" priority="1266" operator="equal">
      <formula>"NINGUNO"</formula>
    </cfRule>
  </conditionalFormatting>
  <conditionalFormatting sqref="P170">
    <cfRule type="expression" dxfId="4622" priority="1252">
      <formula>Q170="NO SUBSANABLE"</formula>
    </cfRule>
    <cfRule type="expression" dxfId="4621" priority="1253">
      <formula>Q170="REQUERIMIENTOS SUBSANADOS"</formula>
    </cfRule>
    <cfRule type="expression" dxfId="4620" priority="1254">
      <formula>Q170="PENDIENTES POR SUBSANAR"</formula>
    </cfRule>
    <cfRule type="expression" dxfId="4619" priority="1255">
      <formula>Q170="SIN OBSERVACIÓN"</formula>
    </cfRule>
    <cfRule type="containsBlanks" dxfId="4618" priority="1256">
      <formula>LEN(TRIM(P170))=0</formula>
    </cfRule>
  </conditionalFormatting>
  <conditionalFormatting sqref="N167">
    <cfRule type="expression" dxfId="4617" priority="1249">
      <formula>N167=" "</formula>
    </cfRule>
    <cfRule type="expression" dxfId="4616" priority="1250">
      <formula>N167="NO PRESENTÓ CERTIFICADO"</formula>
    </cfRule>
    <cfRule type="expression" dxfId="4615" priority="1251">
      <formula>N167="PRESENTÓ CERTIFICADO"</formula>
    </cfRule>
  </conditionalFormatting>
  <conditionalFormatting sqref="O167">
    <cfRule type="cellIs" dxfId="4614" priority="1231" operator="equal">
      <formula>"PENDIENTE POR DESCRIPCIÓN"</formula>
    </cfRule>
    <cfRule type="cellIs" dxfId="4613" priority="1232" operator="equal">
      <formula>"DESCRIPCIÓN INSUFICIENTE"</formula>
    </cfRule>
    <cfRule type="cellIs" dxfId="4612" priority="1233" operator="equal">
      <formula>"NO ESTÁ ACORDE A ITEM 5.2.2 (T.R.)"</formula>
    </cfRule>
    <cfRule type="cellIs" dxfId="4611" priority="1234" operator="equal">
      <formula>"ACORDE A ITEM 5.2.2 (T.R.)"</formula>
    </cfRule>
    <cfRule type="cellIs" dxfId="4610" priority="1241" operator="equal">
      <formula>"PENDIENTE POR DESCRIPCIÓN"</formula>
    </cfRule>
    <cfRule type="cellIs" dxfId="4609" priority="1243" operator="equal">
      <formula>"DESCRIPCIÓN INSUFICIENTE"</formula>
    </cfRule>
    <cfRule type="cellIs" dxfId="4608" priority="1244" operator="equal">
      <formula>"NO ESTÁ ACORDE A ITEM 5.2.1 (T.R.)"</formula>
    </cfRule>
    <cfRule type="cellIs" dxfId="4607" priority="1245" operator="equal">
      <formula>"ACORDE A ITEM 5.2.1 (T.R.)"</formula>
    </cfRule>
  </conditionalFormatting>
  <conditionalFormatting sqref="Q167">
    <cfRule type="containsBlanks" dxfId="4606" priority="1236">
      <formula>LEN(TRIM(Q167))=0</formula>
    </cfRule>
    <cfRule type="cellIs" dxfId="4605" priority="1242" operator="equal">
      <formula>"REQUERIMIENTOS SUBSANADOS"</formula>
    </cfRule>
    <cfRule type="containsText" dxfId="4604" priority="1246" operator="containsText" text="NO SUBSANABLE">
      <formula>NOT(ISERROR(SEARCH("NO SUBSANABLE",Q167)))</formula>
    </cfRule>
    <cfRule type="containsText" dxfId="4603" priority="1247" operator="containsText" text="PENDIENTES POR SUBSANAR">
      <formula>NOT(ISERROR(SEARCH("PENDIENTES POR SUBSANAR",Q167)))</formula>
    </cfRule>
    <cfRule type="containsText" dxfId="4602" priority="1248" operator="containsText" text="SIN OBSERVACIÓN">
      <formula>NOT(ISERROR(SEARCH("SIN OBSERVACIÓN",Q167)))</formula>
    </cfRule>
  </conditionalFormatting>
  <conditionalFormatting sqref="R167">
    <cfRule type="containsBlanks" dxfId="4601" priority="1235">
      <formula>LEN(TRIM(R167))=0</formula>
    </cfRule>
    <cfRule type="cellIs" dxfId="4600" priority="1237" operator="equal">
      <formula>"NO CUMPLEN CON LO SOLICITADO"</formula>
    </cfRule>
    <cfRule type="cellIs" dxfId="4599" priority="1238" operator="equal">
      <formula>"CUMPLEN CON LO SOLICITADO"</formula>
    </cfRule>
    <cfRule type="cellIs" dxfId="4598" priority="1239" operator="equal">
      <formula>"PENDIENTES"</formula>
    </cfRule>
    <cfRule type="cellIs" dxfId="4597" priority="1240" operator="equal">
      <formula>"NINGUNO"</formula>
    </cfRule>
  </conditionalFormatting>
  <conditionalFormatting sqref="P167">
    <cfRule type="expression" dxfId="4596" priority="1226">
      <formula>Q167="NO SUBSANABLE"</formula>
    </cfRule>
    <cfRule type="expression" dxfId="4595" priority="1227">
      <formula>Q167="REQUERIMIENTOS SUBSANADOS"</formula>
    </cfRule>
    <cfRule type="expression" dxfId="4594" priority="1228">
      <formula>Q167="PENDIENTES POR SUBSANAR"</formula>
    </cfRule>
    <cfRule type="expression" dxfId="4593" priority="1229">
      <formula>Q167="SIN OBSERVACIÓN"</formula>
    </cfRule>
    <cfRule type="containsBlanks" dxfId="4592" priority="1230">
      <formula>LEN(TRIM(P167))=0</formula>
    </cfRule>
  </conditionalFormatting>
  <conditionalFormatting sqref="N176">
    <cfRule type="expression" dxfId="4591" priority="1221">
      <formula>N176=" "</formula>
    </cfRule>
    <cfRule type="expression" dxfId="4590" priority="1222">
      <formula>N176="NO PRESENTÓ CERTIFICADO"</formula>
    </cfRule>
    <cfRule type="expression" dxfId="4589" priority="1223">
      <formula>N176="PRESENTÓ CERTIFICADO"</formula>
    </cfRule>
  </conditionalFormatting>
  <conditionalFormatting sqref="O176">
    <cfRule type="cellIs" dxfId="4588" priority="1203" operator="equal">
      <formula>"PENDIENTE POR DESCRIPCIÓN"</formula>
    </cfRule>
    <cfRule type="cellIs" dxfId="4587" priority="1204" operator="equal">
      <formula>"DESCRIPCIÓN INSUFICIENTE"</formula>
    </cfRule>
    <cfRule type="cellIs" dxfId="4586" priority="1205" operator="equal">
      <formula>"NO ESTÁ ACORDE A ITEM 5.2.2 (T.R.)"</formula>
    </cfRule>
    <cfRule type="cellIs" dxfId="4585" priority="1206" operator="equal">
      <formula>"ACORDE A ITEM 5.2.2 (T.R.)"</formula>
    </cfRule>
    <cfRule type="cellIs" dxfId="4584" priority="1213" operator="equal">
      <formula>"PENDIENTE POR DESCRIPCIÓN"</formula>
    </cfRule>
    <cfRule type="cellIs" dxfId="4583" priority="1215" operator="equal">
      <formula>"DESCRIPCIÓN INSUFICIENTE"</formula>
    </cfRule>
    <cfRule type="cellIs" dxfId="4582" priority="1216" operator="equal">
      <formula>"NO ESTÁ ACORDE A ITEM 5.2.1 (T.R.)"</formula>
    </cfRule>
    <cfRule type="cellIs" dxfId="4581" priority="1217" operator="equal">
      <formula>"ACORDE A ITEM 5.2.1 (T.R.)"</formula>
    </cfRule>
  </conditionalFormatting>
  <conditionalFormatting sqref="Q176">
    <cfRule type="containsBlanks" dxfId="4580" priority="1208">
      <formula>LEN(TRIM(Q176))=0</formula>
    </cfRule>
    <cfRule type="cellIs" dxfId="4579" priority="1214" operator="equal">
      <formula>"REQUERIMIENTOS SUBSANADOS"</formula>
    </cfRule>
    <cfRule type="containsText" dxfId="4578" priority="1218" operator="containsText" text="NO SUBSANABLE">
      <formula>NOT(ISERROR(SEARCH("NO SUBSANABLE",Q176)))</formula>
    </cfRule>
    <cfRule type="containsText" dxfId="4577" priority="1219" operator="containsText" text="PENDIENTES POR SUBSANAR">
      <formula>NOT(ISERROR(SEARCH("PENDIENTES POR SUBSANAR",Q176)))</formula>
    </cfRule>
    <cfRule type="containsText" dxfId="4576" priority="1220" operator="containsText" text="SIN OBSERVACIÓN">
      <formula>NOT(ISERROR(SEARCH("SIN OBSERVACIÓN",Q176)))</formula>
    </cfRule>
  </conditionalFormatting>
  <conditionalFormatting sqref="R176">
    <cfRule type="containsBlanks" dxfId="4575" priority="1207">
      <formula>LEN(TRIM(R176))=0</formula>
    </cfRule>
    <cfRule type="cellIs" dxfId="4574" priority="1209" operator="equal">
      <formula>"NO CUMPLEN CON LO SOLICITADO"</formula>
    </cfRule>
    <cfRule type="cellIs" dxfId="4573" priority="1210" operator="equal">
      <formula>"CUMPLEN CON LO SOLICITADO"</formula>
    </cfRule>
    <cfRule type="cellIs" dxfId="4572" priority="1211" operator="equal">
      <formula>"PENDIENTES"</formula>
    </cfRule>
    <cfRule type="cellIs" dxfId="4571" priority="1212" operator="equal">
      <formula>"NINGUNO"</formula>
    </cfRule>
  </conditionalFormatting>
  <conditionalFormatting sqref="N173">
    <cfRule type="expression" dxfId="4570" priority="1195">
      <formula>N173=" "</formula>
    </cfRule>
    <cfRule type="expression" dxfId="4569" priority="1196">
      <formula>N173="NO PRESENTÓ CERTIFICADO"</formula>
    </cfRule>
    <cfRule type="expression" dxfId="4568" priority="1197">
      <formula>N173="PRESENTÓ CERTIFICADO"</formula>
    </cfRule>
  </conditionalFormatting>
  <conditionalFormatting sqref="O173">
    <cfRule type="cellIs" dxfId="4567" priority="1177" operator="equal">
      <formula>"PENDIENTE POR DESCRIPCIÓN"</formula>
    </cfRule>
    <cfRule type="cellIs" dxfId="4566" priority="1178" operator="equal">
      <formula>"DESCRIPCIÓN INSUFICIENTE"</formula>
    </cfRule>
    <cfRule type="cellIs" dxfId="4565" priority="1179" operator="equal">
      <formula>"NO ESTÁ ACORDE A ITEM 5.2.2 (T.R.)"</formula>
    </cfRule>
    <cfRule type="cellIs" dxfId="4564" priority="1180" operator="equal">
      <formula>"ACORDE A ITEM 5.2.2 (T.R.)"</formula>
    </cfRule>
    <cfRule type="cellIs" dxfId="4563" priority="1187" operator="equal">
      <formula>"PENDIENTE POR DESCRIPCIÓN"</formula>
    </cfRule>
    <cfRule type="cellIs" dxfId="4562" priority="1189" operator="equal">
      <formula>"DESCRIPCIÓN INSUFICIENTE"</formula>
    </cfRule>
    <cfRule type="cellIs" dxfId="4561" priority="1190" operator="equal">
      <formula>"NO ESTÁ ACORDE A ITEM 5.2.1 (T.R.)"</formula>
    </cfRule>
    <cfRule type="cellIs" dxfId="4560" priority="1191" operator="equal">
      <formula>"ACORDE A ITEM 5.2.1 (T.R.)"</formula>
    </cfRule>
  </conditionalFormatting>
  <conditionalFormatting sqref="Q173">
    <cfRule type="containsBlanks" dxfId="4559" priority="1182">
      <formula>LEN(TRIM(Q173))=0</formula>
    </cfRule>
    <cfRule type="cellIs" dxfId="4558" priority="1188" operator="equal">
      <formula>"REQUERIMIENTOS SUBSANADOS"</formula>
    </cfRule>
    <cfRule type="containsText" dxfId="4557" priority="1192" operator="containsText" text="NO SUBSANABLE">
      <formula>NOT(ISERROR(SEARCH("NO SUBSANABLE",Q173)))</formula>
    </cfRule>
    <cfRule type="containsText" dxfId="4556" priority="1193" operator="containsText" text="PENDIENTES POR SUBSANAR">
      <formula>NOT(ISERROR(SEARCH("PENDIENTES POR SUBSANAR",Q173)))</formula>
    </cfRule>
    <cfRule type="containsText" dxfId="4555" priority="1194" operator="containsText" text="SIN OBSERVACIÓN">
      <formula>NOT(ISERROR(SEARCH("SIN OBSERVACIÓN",Q173)))</formula>
    </cfRule>
  </conditionalFormatting>
  <conditionalFormatting sqref="R173">
    <cfRule type="containsBlanks" dxfId="4554" priority="1181">
      <formula>LEN(TRIM(R173))=0</formula>
    </cfRule>
    <cfRule type="cellIs" dxfId="4553" priority="1183" operator="equal">
      <formula>"NO CUMPLEN CON LO SOLICITADO"</formula>
    </cfRule>
    <cfRule type="cellIs" dxfId="4552" priority="1184" operator="equal">
      <formula>"CUMPLEN CON LO SOLICITADO"</formula>
    </cfRule>
    <cfRule type="cellIs" dxfId="4551" priority="1185" operator="equal">
      <formula>"PENDIENTES"</formula>
    </cfRule>
    <cfRule type="cellIs" dxfId="4550" priority="1186" operator="equal">
      <formula>"NINGUNO"</formula>
    </cfRule>
  </conditionalFormatting>
  <conditionalFormatting sqref="P173">
    <cfRule type="expression" dxfId="4549" priority="1172">
      <formula>Q173="NO SUBSANABLE"</formula>
    </cfRule>
    <cfRule type="expression" dxfId="4548" priority="1173">
      <formula>Q173="REQUERIMIENTOS SUBSANADOS"</formula>
    </cfRule>
    <cfRule type="expression" dxfId="4547" priority="1174">
      <formula>Q173="PENDIENTES POR SUBSANAR"</formula>
    </cfRule>
    <cfRule type="expression" dxfId="4546" priority="1175">
      <formula>Q173="SIN OBSERVACIÓN"</formula>
    </cfRule>
    <cfRule type="containsBlanks" dxfId="4545" priority="1176">
      <formula>LEN(TRIM(P173))=0</formula>
    </cfRule>
  </conditionalFormatting>
  <conditionalFormatting sqref="J168">
    <cfRule type="cellIs" dxfId="4544" priority="1170" operator="equal">
      <formula>"NO CUMPLE"</formula>
    </cfRule>
    <cfRule type="cellIs" dxfId="4543" priority="1171" operator="equal">
      <formula>"CUMPLE"</formula>
    </cfRule>
  </conditionalFormatting>
  <conditionalFormatting sqref="J169">
    <cfRule type="cellIs" dxfId="4542" priority="1168" operator="equal">
      <formula>"NO CUMPLE"</formula>
    </cfRule>
    <cfRule type="cellIs" dxfId="4541" priority="1169" operator="equal">
      <formula>"CUMPLE"</formula>
    </cfRule>
  </conditionalFormatting>
  <conditionalFormatting sqref="J170:J172">
    <cfRule type="cellIs" dxfId="4540" priority="1166" operator="equal">
      <formula>"NO CUMPLE"</formula>
    </cfRule>
    <cfRule type="cellIs" dxfId="4539" priority="1167" operator="equal">
      <formula>"CUMPLE"</formula>
    </cfRule>
  </conditionalFormatting>
  <conditionalFormatting sqref="J173:J175">
    <cfRule type="cellIs" dxfId="4538" priority="1164" operator="equal">
      <formula>"NO CUMPLE"</formula>
    </cfRule>
    <cfRule type="cellIs" dxfId="4537" priority="1165" operator="equal">
      <formula>"CUMPLE"</formula>
    </cfRule>
  </conditionalFormatting>
  <conditionalFormatting sqref="J176:J178">
    <cfRule type="cellIs" dxfId="4536" priority="1162" operator="equal">
      <formula>"NO CUMPLE"</formula>
    </cfRule>
    <cfRule type="cellIs" dxfId="4535" priority="1163" operator="equal">
      <formula>"CUMPLE"</formula>
    </cfRule>
  </conditionalFormatting>
  <conditionalFormatting sqref="P176">
    <cfRule type="expression" dxfId="4534" priority="1157">
      <formula>Q176="NO SUBSANABLE"</formula>
    </cfRule>
    <cfRule type="expression" dxfId="4533" priority="1158">
      <formula>Q176="REQUERIMIENTOS SUBSANADOS"</formula>
    </cfRule>
    <cfRule type="expression" dxfId="4532" priority="1159">
      <formula>Q176="PENDIENTES POR SUBSANAR"</formula>
    </cfRule>
    <cfRule type="expression" dxfId="4531" priority="1160">
      <formula>Q176="SIN OBSERVACIÓN"</formula>
    </cfRule>
    <cfRule type="containsBlanks" dxfId="4530" priority="1161">
      <formula>LEN(TRIM(P176))=0</formula>
    </cfRule>
  </conditionalFormatting>
  <conditionalFormatting sqref="J179">
    <cfRule type="cellIs" dxfId="4529" priority="1155" operator="equal">
      <formula>"NO CUMPLE"</formula>
    </cfRule>
    <cfRule type="cellIs" dxfId="4528" priority="1156" operator="equal">
      <formula>"CUMPLE"</formula>
    </cfRule>
  </conditionalFormatting>
  <conditionalFormatting sqref="J180">
    <cfRule type="cellIs" dxfId="4527" priority="1153" operator="equal">
      <formula>"NO CUMPLE"</formula>
    </cfRule>
    <cfRule type="cellIs" dxfId="4526" priority="1154" operator="equal">
      <formula>"CUMPLE"</formula>
    </cfRule>
  </conditionalFormatting>
  <conditionalFormatting sqref="F148">
    <cfRule type="notContainsBlanks" dxfId="4525" priority="1152">
      <formula>LEN(TRIM(F148))&gt;0</formula>
    </cfRule>
  </conditionalFormatting>
  <conditionalFormatting sqref="N145">
    <cfRule type="expression" dxfId="4524" priority="1143">
      <formula>N145=" "</formula>
    </cfRule>
    <cfRule type="expression" dxfId="4523" priority="1144">
      <formula>N145="NO PRESENTÓ CERTIFICADO"</formula>
    </cfRule>
    <cfRule type="expression" dxfId="4522" priority="1145">
      <formula>N145="PRESENTÓ CERTIFICADO"</formula>
    </cfRule>
  </conditionalFormatting>
  <conditionalFormatting sqref="O145">
    <cfRule type="cellIs" dxfId="4521" priority="1125" operator="equal">
      <formula>"PENDIENTE POR DESCRIPCIÓN"</formula>
    </cfRule>
    <cfRule type="cellIs" dxfId="4520" priority="1126" operator="equal">
      <formula>"DESCRIPCIÓN INSUFICIENTE"</formula>
    </cfRule>
    <cfRule type="cellIs" dxfId="4519" priority="1127" operator="equal">
      <formula>"NO ESTÁ ACORDE A ITEM 5.2.2 (T.R.)"</formula>
    </cfRule>
    <cfRule type="cellIs" dxfId="4518" priority="1128" operator="equal">
      <formula>"ACORDE A ITEM 5.2.2 (T.R.)"</formula>
    </cfRule>
    <cfRule type="cellIs" dxfId="4517" priority="1135" operator="equal">
      <formula>"PENDIENTE POR DESCRIPCIÓN"</formula>
    </cfRule>
    <cfRule type="cellIs" dxfId="4516" priority="1137" operator="equal">
      <formula>"DESCRIPCIÓN INSUFICIENTE"</formula>
    </cfRule>
    <cfRule type="cellIs" dxfId="4515" priority="1138" operator="equal">
      <formula>"NO ESTÁ ACORDE A ITEM 5.2.1 (T.R.)"</formula>
    </cfRule>
    <cfRule type="cellIs" dxfId="4514" priority="1139" operator="equal">
      <formula>"ACORDE A ITEM 5.2.1 (T.R.)"</formula>
    </cfRule>
  </conditionalFormatting>
  <conditionalFormatting sqref="Q145">
    <cfRule type="containsBlanks" dxfId="4513" priority="1130">
      <formula>LEN(TRIM(Q145))=0</formula>
    </cfRule>
    <cfRule type="cellIs" dxfId="4512" priority="1136" operator="equal">
      <formula>"REQUERIMIENTOS SUBSANADOS"</formula>
    </cfRule>
    <cfRule type="containsText" dxfId="4511" priority="1140" operator="containsText" text="NO SUBSANABLE">
      <formula>NOT(ISERROR(SEARCH("NO SUBSANABLE",Q145)))</formula>
    </cfRule>
    <cfRule type="containsText" dxfId="4510" priority="1141" operator="containsText" text="PENDIENTES POR SUBSANAR">
      <formula>NOT(ISERROR(SEARCH("PENDIENTES POR SUBSANAR",Q145)))</formula>
    </cfRule>
    <cfRule type="containsText" dxfId="4509" priority="1142" operator="containsText" text="SIN OBSERVACIÓN">
      <formula>NOT(ISERROR(SEARCH("SIN OBSERVACIÓN",Q145)))</formula>
    </cfRule>
  </conditionalFormatting>
  <conditionalFormatting sqref="R145">
    <cfRule type="containsBlanks" dxfId="4508" priority="1129">
      <formula>LEN(TRIM(R145))=0</formula>
    </cfRule>
    <cfRule type="cellIs" dxfId="4507" priority="1131" operator="equal">
      <formula>"NO CUMPLEN CON LO SOLICITADO"</formula>
    </cfRule>
    <cfRule type="cellIs" dxfId="4506" priority="1132" operator="equal">
      <formula>"CUMPLEN CON LO SOLICITADO"</formula>
    </cfRule>
    <cfRule type="cellIs" dxfId="4505" priority="1133" operator="equal">
      <formula>"PENDIENTES"</formula>
    </cfRule>
    <cfRule type="cellIs" dxfId="4504" priority="1134" operator="equal">
      <formula>"NINGUNO"</formula>
    </cfRule>
  </conditionalFormatting>
  <conditionalFormatting sqref="P145">
    <cfRule type="expression" dxfId="4503" priority="1120">
      <formula>Q145="NO SUBSANABLE"</formula>
    </cfRule>
    <cfRule type="expression" dxfId="4502" priority="1121">
      <formula>Q145="REQUERIMIENTOS SUBSANADOS"</formula>
    </cfRule>
    <cfRule type="expression" dxfId="4501" priority="1122">
      <formula>Q145="PENDIENTES POR SUBSANAR"</formula>
    </cfRule>
    <cfRule type="expression" dxfId="4500" priority="1123">
      <formula>Q145="SIN OBSERVACIÓN"</formula>
    </cfRule>
    <cfRule type="containsBlanks" dxfId="4499" priority="1124">
      <formula>LEN(TRIM(P145))=0</formula>
    </cfRule>
  </conditionalFormatting>
  <conditionalFormatting sqref="N148">
    <cfRule type="expression" dxfId="4498" priority="1117">
      <formula>N148=" "</formula>
    </cfRule>
    <cfRule type="expression" dxfId="4497" priority="1118">
      <formula>N148="NO PRESENTÓ CERTIFICADO"</formula>
    </cfRule>
    <cfRule type="expression" dxfId="4496" priority="1119">
      <formula>N148="PRESENTÓ CERTIFICADO"</formula>
    </cfRule>
  </conditionalFormatting>
  <conditionalFormatting sqref="O148">
    <cfRule type="cellIs" dxfId="4495" priority="1099" operator="equal">
      <formula>"PENDIENTE POR DESCRIPCIÓN"</formula>
    </cfRule>
    <cfRule type="cellIs" dxfId="4494" priority="1100" operator="equal">
      <formula>"DESCRIPCIÓN INSUFICIENTE"</formula>
    </cfRule>
    <cfRule type="cellIs" dxfId="4493" priority="1101" operator="equal">
      <formula>"NO ESTÁ ACORDE A ITEM 5.2.2 (T.R.)"</formula>
    </cfRule>
    <cfRule type="cellIs" dxfId="4492" priority="1102" operator="equal">
      <formula>"ACORDE A ITEM 5.2.2 (T.R.)"</formula>
    </cfRule>
    <cfRule type="cellIs" dxfId="4491" priority="1109" operator="equal">
      <formula>"PENDIENTE POR DESCRIPCIÓN"</formula>
    </cfRule>
    <cfRule type="cellIs" dxfId="4490" priority="1111" operator="equal">
      <formula>"DESCRIPCIÓN INSUFICIENTE"</formula>
    </cfRule>
    <cfRule type="cellIs" dxfId="4489" priority="1112" operator="equal">
      <formula>"NO ESTÁ ACORDE A ITEM 5.2.1 (T.R.)"</formula>
    </cfRule>
    <cfRule type="cellIs" dxfId="4488" priority="1113" operator="equal">
      <formula>"ACORDE A ITEM 5.2.1 (T.R.)"</formula>
    </cfRule>
  </conditionalFormatting>
  <conditionalFormatting sqref="Q148">
    <cfRule type="containsBlanks" dxfId="4487" priority="1104">
      <formula>LEN(TRIM(Q148))=0</formula>
    </cfRule>
    <cfRule type="cellIs" dxfId="4486" priority="1110" operator="equal">
      <formula>"REQUERIMIENTOS SUBSANADOS"</formula>
    </cfRule>
    <cfRule type="containsText" dxfId="4485" priority="1114" operator="containsText" text="NO SUBSANABLE">
      <formula>NOT(ISERROR(SEARCH("NO SUBSANABLE",Q148)))</formula>
    </cfRule>
    <cfRule type="containsText" dxfId="4484" priority="1115" operator="containsText" text="PENDIENTES POR SUBSANAR">
      <formula>NOT(ISERROR(SEARCH("PENDIENTES POR SUBSANAR",Q148)))</formula>
    </cfRule>
    <cfRule type="containsText" dxfId="4483" priority="1116" operator="containsText" text="SIN OBSERVACIÓN">
      <formula>NOT(ISERROR(SEARCH("SIN OBSERVACIÓN",Q148)))</formula>
    </cfRule>
  </conditionalFormatting>
  <conditionalFormatting sqref="R148">
    <cfRule type="containsBlanks" dxfId="4482" priority="1103">
      <formula>LEN(TRIM(R148))=0</formula>
    </cfRule>
    <cfRule type="cellIs" dxfId="4481" priority="1105" operator="equal">
      <formula>"NO CUMPLEN CON LO SOLICITADO"</formula>
    </cfRule>
    <cfRule type="cellIs" dxfId="4480" priority="1106" operator="equal">
      <formula>"CUMPLEN CON LO SOLICITADO"</formula>
    </cfRule>
    <cfRule type="cellIs" dxfId="4479" priority="1107" operator="equal">
      <formula>"PENDIENTES"</formula>
    </cfRule>
    <cfRule type="cellIs" dxfId="4478" priority="1108" operator="equal">
      <formula>"NINGUNO"</formula>
    </cfRule>
  </conditionalFormatting>
  <conditionalFormatting sqref="P148">
    <cfRule type="expression" dxfId="4477" priority="1094">
      <formula>Q148="NO SUBSANABLE"</formula>
    </cfRule>
    <cfRule type="expression" dxfId="4476" priority="1095">
      <formula>Q148="REQUERIMIENTOS SUBSANADOS"</formula>
    </cfRule>
    <cfRule type="expression" dxfId="4475" priority="1096">
      <formula>Q148="PENDIENTES POR SUBSANAR"</formula>
    </cfRule>
    <cfRule type="expression" dxfId="4474" priority="1097">
      <formula>Q148="SIN OBSERVACIÓN"</formula>
    </cfRule>
    <cfRule type="containsBlanks" dxfId="4473" priority="1098">
      <formula>LEN(TRIM(P148))=0</formula>
    </cfRule>
  </conditionalFormatting>
  <conditionalFormatting sqref="H126 H129">
    <cfRule type="notContainsBlanks" dxfId="4472" priority="1093">
      <formula>LEN(TRIM(H126))&gt;0</formula>
    </cfRule>
  </conditionalFormatting>
  <conditionalFormatting sqref="I126 I129">
    <cfRule type="notContainsBlanks" dxfId="4471" priority="1092">
      <formula>LEN(TRIM(I126))&gt;0</formula>
    </cfRule>
  </conditionalFormatting>
  <conditionalFormatting sqref="N123">
    <cfRule type="expression" dxfId="4470" priority="1085">
      <formula>N123=" "</formula>
    </cfRule>
    <cfRule type="expression" dxfId="4469" priority="1086">
      <formula>N123="NO PRESENTÓ CERTIFICADO"</formula>
    </cfRule>
    <cfRule type="expression" dxfId="4468" priority="1087">
      <formula>N123="PRESENTÓ CERTIFICADO"</formula>
    </cfRule>
  </conditionalFormatting>
  <conditionalFormatting sqref="O123">
    <cfRule type="cellIs" dxfId="4467" priority="1077" operator="equal">
      <formula>"PENDIENTE POR DESCRIPCIÓN"</formula>
    </cfRule>
    <cfRule type="cellIs" dxfId="4466" priority="1078" operator="equal">
      <formula>"DESCRIPCIÓN INSUFICIENTE"</formula>
    </cfRule>
    <cfRule type="cellIs" dxfId="4465" priority="1079" operator="equal">
      <formula>"NO ESTÁ ACORDE A ITEM 5.2.2 (T.R.)"</formula>
    </cfRule>
    <cfRule type="cellIs" dxfId="4464" priority="1080" operator="equal">
      <formula>"ACORDE A ITEM 5.2.2 (T.R.)"</formula>
    </cfRule>
    <cfRule type="cellIs" dxfId="4463" priority="1081" operator="equal">
      <formula>"PENDIENTE POR DESCRIPCIÓN"</formula>
    </cfRule>
    <cfRule type="cellIs" dxfId="4462" priority="1082" operator="equal">
      <formula>"DESCRIPCIÓN INSUFICIENTE"</formula>
    </cfRule>
    <cfRule type="cellIs" dxfId="4461" priority="1083" operator="equal">
      <formula>"NO ESTÁ ACORDE A ITEM 5.2.1 (T.R.)"</formula>
    </cfRule>
    <cfRule type="cellIs" dxfId="4460" priority="1084" operator="equal">
      <formula>"ACORDE A ITEM 5.2.1 (T.R.)"</formula>
    </cfRule>
  </conditionalFormatting>
  <conditionalFormatting sqref="N126">
    <cfRule type="expression" dxfId="4459" priority="1064">
      <formula>N126=" "</formula>
    </cfRule>
    <cfRule type="expression" dxfId="4458" priority="1065">
      <formula>N126="NO PRESENTÓ CERTIFICADO"</formula>
    </cfRule>
    <cfRule type="expression" dxfId="4457" priority="1066">
      <formula>N126="PRESENTÓ CERTIFICADO"</formula>
    </cfRule>
  </conditionalFormatting>
  <conditionalFormatting sqref="O126">
    <cfRule type="cellIs" dxfId="4456" priority="1046" operator="equal">
      <formula>"PENDIENTE POR DESCRIPCIÓN"</formula>
    </cfRule>
    <cfRule type="cellIs" dxfId="4455" priority="1047" operator="equal">
      <formula>"DESCRIPCIÓN INSUFICIENTE"</formula>
    </cfRule>
    <cfRule type="cellIs" dxfId="4454" priority="1048" operator="equal">
      <formula>"NO ESTÁ ACORDE A ITEM 5.2.2 (T.R.)"</formula>
    </cfRule>
    <cfRule type="cellIs" dxfId="4453" priority="1049" operator="equal">
      <formula>"ACORDE A ITEM 5.2.2 (T.R.)"</formula>
    </cfRule>
    <cfRule type="cellIs" dxfId="4452" priority="1056" operator="equal">
      <formula>"PENDIENTE POR DESCRIPCIÓN"</formula>
    </cfRule>
    <cfRule type="cellIs" dxfId="4451" priority="1058" operator="equal">
      <formula>"DESCRIPCIÓN INSUFICIENTE"</formula>
    </cfRule>
    <cfRule type="cellIs" dxfId="4450" priority="1059" operator="equal">
      <formula>"NO ESTÁ ACORDE A ITEM 5.2.1 (T.R.)"</formula>
    </cfRule>
    <cfRule type="cellIs" dxfId="4449" priority="1060" operator="equal">
      <formula>"ACORDE A ITEM 5.2.1 (T.R.)"</formula>
    </cfRule>
  </conditionalFormatting>
  <conditionalFormatting sqref="Q126">
    <cfRule type="containsBlanks" dxfId="4448" priority="1051">
      <formula>LEN(TRIM(Q126))=0</formula>
    </cfRule>
    <cfRule type="cellIs" dxfId="4447" priority="1057" operator="equal">
      <formula>"REQUERIMIENTOS SUBSANADOS"</formula>
    </cfRule>
    <cfRule type="containsText" dxfId="4446" priority="1061" operator="containsText" text="NO SUBSANABLE">
      <formula>NOT(ISERROR(SEARCH("NO SUBSANABLE",Q126)))</formula>
    </cfRule>
    <cfRule type="containsText" dxfId="4445" priority="1062" operator="containsText" text="PENDIENTES POR SUBSANAR">
      <formula>NOT(ISERROR(SEARCH("PENDIENTES POR SUBSANAR",Q126)))</formula>
    </cfRule>
    <cfRule type="containsText" dxfId="4444" priority="1063" operator="containsText" text="SIN OBSERVACIÓN">
      <formula>NOT(ISERROR(SEARCH("SIN OBSERVACIÓN",Q126)))</formula>
    </cfRule>
  </conditionalFormatting>
  <conditionalFormatting sqref="R126">
    <cfRule type="containsBlanks" dxfId="4443" priority="1050">
      <formula>LEN(TRIM(R126))=0</formula>
    </cfRule>
    <cfRule type="cellIs" dxfId="4442" priority="1052" operator="equal">
      <formula>"NO CUMPLEN CON LO SOLICITADO"</formula>
    </cfRule>
    <cfRule type="cellIs" dxfId="4441" priority="1053" operator="equal">
      <formula>"CUMPLEN CON LO SOLICITADO"</formula>
    </cfRule>
    <cfRule type="cellIs" dxfId="4440" priority="1054" operator="equal">
      <formula>"PENDIENTES"</formula>
    </cfRule>
    <cfRule type="cellIs" dxfId="4439" priority="1055" operator="equal">
      <formula>"NINGUNO"</formula>
    </cfRule>
  </conditionalFormatting>
  <conditionalFormatting sqref="P126">
    <cfRule type="expression" dxfId="4438" priority="1041">
      <formula>Q126="NO SUBSANABLE"</formula>
    </cfRule>
    <cfRule type="expression" dxfId="4437" priority="1042">
      <formula>Q126="REQUERIMIENTOS SUBSANADOS"</formula>
    </cfRule>
    <cfRule type="expression" dxfId="4436" priority="1043">
      <formula>Q126="PENDIENTES POR SUBSANAR"</formula>
    </cfRule>
    <cfRule type="expression" dxfId="4435" priority="1044">
      <formula>Q126="SIN OBSERVACIÓN"</formula>
    </cfRule>
    <cfRule type="containsBlanks" dxfId="4434" priority="1045">
      <formula>LEN(TRIM(P126))=0</formula>
    </cfRule>
  </conditionalFormatting>
  <conditionalFormatting sqref="N129">
    <cfRule type="expression" dxfId="4433" priority="1038">
      <formula>N129=" "</formula>
    </cfRule>
    <cfRule type="expression" dxfId="4432" priority="1039">
      <formula>N129="NO PRESENTÓ CERTIFICADO"</formula>
    </cfRule>
    <cfRule type="expression" dxfId="4431" priority="1040">
      <formula>N129="PRESENTÓ CERTIFICADO"</formula>
    </cfRule>
  </conditionalFormatting>
  <conditionalFormatting sqref="O129">
    <cfRule type="cellIs" dxfId="4430" priority="1020" operator="equal">
      <formula>"PENDIENTE POR DESCRIPCIÓN"</formula>
    </cfRule>
    <cfRule type="cellIs" dxfId="4429" priority="1021" operator="equal">
      <formula>"DESCRIPCIÓN INSUFICIENTE"</formula>
    </cfRule>
    <cfRule type="cellIs" dxfId="4428" priority="1022" operator="equal">
      <formula>"NO ESTÁ ACORDE A ITEM 5.2.2 (T.R.)"</formula>
    </cfRule>
    <cfRule type="cellIs" dxfId="4427" priority="1023" operator="equal">
      <formula>"ACORDE A ITEM 5.2.2 (T.R.)"</formula>
    </cfRule>
    <cfRule type="cellIs" dxfId="4426" priority="1030" operator="equal">
      <formula>"PENDIENTE POR DESCRIPCIÓN"</formula>
    </cfRule>
    <cfRule type="cellIs" dxfId="4425" priority="1032" operator="equal">
      <formula>"DESCRIPCIÓN INSUFICIENTE"</formula>
    </cfRule>
    <cfRule type="cellIs" dxfId="4424" priority="1033" operator="equal">
      <formula>"NO ESTÁ ACORDE A ITEM 5.2.1 (T.R.)"</formula>
    </cfRule>
    <cfRule type="cellIs" dxfId="4423" priority="1034" operator="equal">
      <formula>"ACORDE A ITEM 5.2.1 (T.R.)"</formula>
    </cfRule>
  </conditionalFormatting>
  <conditionalFormatting sqref="Q129">
    <cfRule type="containsBlanks" dxfId="4422" priority="1025">
      <formula>LEN(TRIM(Q129))=0</formula>
    </cfRule>
    <cfRule type="cellIs" dxfId="4421" priority="1031" operator="equal">
      <formula>"REQUERIMIENTOS SUBSANADOS"</formula>
    </cfRule>
    <cfRule type="containsText" dxfId="4420" priority="1035" operator="containsText" text="NO SUBSANABLE">
      <formula>NOT(ISERROR(SEARCH("NO SUBSANABLE",Q129)))</formula>
    </cfRule>
    <cfRule type="containsText" dxfId="4419" priority="1036" operator="containsText" text="PENDIENTES POR SUBSANAR">
      <formula>NOT(ISERROR(SEARCH("PENDIENTES POR SUBSANAR",Q129)))</formula>
    </cfRule>
    <cfRule type="containsText" dxfId="4418" priority="1037" operator="containsText" text="SIN OBSERVACIÓN">
      <formula>NOT(ISERROR(SEARCH("SIN OBSERVACIÓN",Q129)))</formula>
    </cfRule>
  </conditionalFormatting>
  <conditionalFormatting sqref="R129">
    <cfRule type="containsBlanks" dxfId="4417" priority="1024">
      <formula>LEN(TRIM(R129))=0</formula>
    </cfRule>
    <cfRule type="cellIs" dxfId="4416" priority="1026" operator="equal">
      <formula>"NO CUMPLEN CON LO SOLICITADO"</formula>
    </cfRule>
    <cfRule type="cellIs" dxfId="4415" priority="1027" operator="equal">
      <formula>"CUMPLEN CON LO SOLICITADO"</formula>
    </cfRule>
    <cfRule type="cellIs" dxfId="4414" priority="1028" operator="equal">
      <formula>"PENDIENTES"</formula>
    </cfRule>
    <cfRule type="cellIs" dxfId="4413" priority="1029" operator="equal">
      <formula>"NINGUNO"</formula>
    </cfRule>
  </conditionalFormatting>
  <conditionalFormatting sqref="P129">
    <cfRule type="expression" dxfId="4412" priority="1015">
      <formula>Q129="NO SUBSANABLE"</formula>
    </cfRule>
    <cfRule type="expression" dxfId="4411" priority="1016">
      <formula>Q129="REQUERIMIENTOS SUBSANADOS"</formula>
    </cfRule>
    <cfRule type="expression" dxfId="4410" priority="1017">
      <formula>Q129="PENDIENTES POR SUBSANAR"</formula>
    </cfRule>
    <cfRule type="expression" dxfId="4409" priority="1018">
      <formula>Q129="SIN OBSERVACIÓN"</formula>
    </cfRule>
    <cfRule type="containsBlanks" dxfId="4408" priority="1019">
      <formula>LEN(TRIM(P129))=0</formula>
    </cfRule>
  </conditionalFormatting>
  <conditionalFormatting sqref="N132">
    <cfRule type="expression" dxfId="4407" priority="1012">
      <formula>N132=" "</formula>
    </cfRule>
    <cfRule type="expression" dxfId="4406" priority="1013">
      <formula>N132="NO PRESENTÓ CERTIFICADO"</formula>
    </cfRule>
    <cfRule type="expression" dxfId="4405" priority="1014">
      <formula>N132="PRESENTÓ CERTIFICADO"</formula>
    </cfRule>
  </conditionalFormatting>
  <conditionalFormatting sqref="O132">
    <cfRule type="cellIs" dxfId="4404" priority="994" operator="equal">
      <formula>"PENDIENTE POR DESCRIPCIÓN"</formula>
    </cfRule>
    <cfRule type="cellIs" dxfId="4403" priority="995" operator="equal">
      <formula>"DESCRIPCIÓN INSUFICIENTE"</formula>
    </cfRule>
    <cfRule type="cellIs" dxfId="4402" priority="996" operator="equal">
      <formula>"NO ESTÁ ACORDE A ITEM 5.2.2 (T.R.)"</formula>
    </cfRule>
    <cfRule type="cellIs" dxfId="4401" priority="997" operator="equal">
      <formula>"ACORDE A ITEM 5.2.2 (T.R.)"</formula>
    </cfRule>
    <cfRule type="cellIs" dxfId="4400" priority="1004" operator="equal">
      <formula>"PENDIENTE POR DESCRIPCIÓN"</formula>
    </cfRule>
    <cfRule type="cellIs" dxfId="4399" priority="1006" operator="equal">
      <formula>"DESCRIPCIÓN INSUFICIENTE"</formula>
    </cfRule>
    <cfRule type="cellIs" dxfId="4398" priority="1007" operator="equal">
      <formula>"NO ESTÁ ACORDE A ITEM 5.2.1 (T.R.)"</formula>
    </cfRule>
    <cfRule type="cellIs" dxfId="4397" priority="1008" operator="equal">
      <formula>"ACORDE A ITEM 5.2.1 (T.R.)"</formula>
    </cfRule>
  </conditionalFormatting>
  <conditionalFormatting sqref="Q132">
    <cfRule type="containsBlanks" dxfId="4396" priority="999">
      <formula>LEN(TRIM(Q132))=0</formula>
    </cfRule>
    <cfRule type="cellIs" dxfId="4395" priority="1005" operator="equal">
      <formula>"REQUERIMIENTOS SUBSANADOS"</formula>
    </cfRule>
    <cfRule type="containsText" dxfId="4394" priority="1009" operator="containsText" text="NO SUBSANABLE">
      <formula>NOT(ISERROR(SEARCH("NO SUBSANABLE",Q132)))</formula>
    </cfRule>
    <cfRule type="containsText" dxfId="4393" priority="1010" operator="containsText" text="PENDIENTES POR SUBSANAR">
      <formula>NOT(ISERROR(SEARCH("PENDIENTES POR SUBSANAR",Q132)))</formula>
    </cfRule>
    <cfRule type="containsText" dxfId="4392" priority="1011" operator="containsText" text="SIN OBSERVACIÓN">
      <formula>NOT(ISERROR(SEARCH("SIN OBSERVACIÓN",Q132)))</formula>
    </cfRule>
  </conditionalFormatting>
  <conditionalFormatting sqref="R132">
    <cfRule type="containsBlanks" dxfId="4391" priority="998">
      <formula>LEN(TRIM(R132))=0</formula>
    </cfRule>
    <cfRule type="cellIs" dxfId="4390" priority="1000" operator="equal">
      <formula>"NO CUMPLEN CON LO SOLICITADO"</formula>
    </cfRule>
    <cfRule type="cellIs" dxfId="4389" priority="1001" operator="equal">
      <formula>"CUMPLEN CON LO SOLICITADO"</formula>
    </cfRule>
    <cfRule type="cellIs" dxfId="4388" priority="1002" operator="equal">
      <formula>"PENDIENTES"</formula>
    </cfRule>
    <cfRule type="cellIs" dxfId="4387" priority="1003" operator="equal">
      <formula>"NINGUNO"</formula>
    </cfRule>
  </conditionalFormatting>
  <conditionalFormatting sqref="P132">
    <cfRule type="expression" dxfId="4386" priority="989">
      <formula>Q132="NO SUBSANABLE"</formula>
    </cfRule>
    <cfRule type="expression" dxfId="4385" priority="990">
      <formula>Q132="REQUERIMIENTOS SUBSANADOS"</formula>
    </cfRule>
    <cfRule type="expression" dxfId="4384" priority="991">
      <formula>Q132="PENDIENTES POR SUBSANAR"</formula>
    </cfRule>
    <cfRule type="expression" dxfId="4383" priority="992">
      <formula>Q132="SIN OBSERVACIÓN"</formula>
    </cfRule>
    <cfRule type="containsBlanks" dxfId="4382" priority="993">
      <formula>LEN(TRIM(P132))=0</formula>
    </cfRule>
  </conditionalFormatting>
  <conditionalFormatting sqref="U167:U169">
    <cfRule type="cellIs" dxfId="4381" priority="987" operator="equal">
      <formula>0</formula>
    </cfRule>
    <cfRule type="cellIs" dxfId="4380" priority="988" operator="equal">
      <formula>1</formula>
    </cfRule>
  </conditionalFormatting>
  <conditionalFormatting sqref="U170:U181">
    <cfRule type="cellIs" dxfId="4379" priority="985" operator="equal">
      <formula>0</formula>
    </cfRule>
    <cfRule type="cellIs" dxfId="4378" priority="986" operator="equal">
      <formula>1</formula>
    </cfRule>
  </conditionalFormatting>
  <conditionalFormatting sqref="U145:U147">
    <cfRule type="cellIs" dxfId="4377" priority="983" operator="equal">
      <formula>0</formula>
    </cfRule>
    <cfRule type="cellIs" dxfId="4376" priority="984" operator="equal">
      <formula>1</formula>
    </cfRule>
  </conditionalFormatting>
  <conditionalFormatting sqref="U148:U150">
    <cfRule type="cellIs" dxfId="4375" priority="981" operator="equal">
      <formula>0</formula>
    </cfRule>
    <cfRule type="cellIs" dxfId="4374" priority="982" operator="equal">
      <formula>1</formula>
    </cfRule>
  </conditionalFormatting>
  <conditionalFormatting sqref="U123:U137">
    <cfRule type="cellIs" dxfId="4373" priority="979" operator="equal">
      <formula>0</formula>
    </cfRule>
    <cfRule type="cellIs" dxfId="4372" priority="980" operator="equal">
      <formula>1</formula>
    </cfRule>
  </conditionalFormatting>
  <conditionalFormatting sqref="H104 H107">
    <cfRule type="notContainsBlanks" dxfId="4371" priority="978">
      <formula>LEN(TRIM(H104))&gt;0</formula>
    </cfRule>
  </conditionalFormatting>
  <conditionalFormatting sqref="I104 I107">
    <cfRule type="notContainsBlanks" dxfId="4370" priority="977">
      <formula>LEN(TRIM(I104))&gt;0</formula>
    </cfRule>
  </conditionalFormatting>
  <conditionalFormatting sqref="N101">
    <cfRule type="expression" dxfId="4369" priority="970">
      <formula>N101=" "</formula>
    </cfRule>
    <cfRule type="expression" dxfId="4368" priority="971">
      <formula>N101="NO PRESENTÓ CERTIFICADO"</formula>
    </cfRule>
    <cfRule type="expression" dxfId="4367" priority="972">
      <formula>N101="PRESENTÓ CERTIFICADO"</formula>
    </cfRule>
  </conditionalFormatting>
  <conditionalFormatting sqref="O101">
    <cfRule type="cellIs" dxfId="4366" priority="952" operator="equal">
      <formula>"PENDIENTE POR DESCRIPCIÓN"</formula>
    </cfRule>
    <cfRule type="cellIs" dxfId="4365" priority="953" operator="equal">
      <formula>"DESCRIPCIÓN INSUFICIENTE"</formula>
    </cfRule>
    <cfRule type="cellIs" dxfId="4364" priority="954" operator="equal">
      <formula>"NO ESTÁ ACORDE A ITEM 5.2.2 (T.R.)"</formula>
    </cfRule>
    <cfRule type="cellIs" dxfId="4363" priority="955" operator="equal">
      <formula>"ACORDE A ITEM 5.2.2 (T.R.)"</formula>
    </cfRule>
    <cfRule type="cellIs" dxfId="4362" priority="962" operator="equal">
      <formula>"PENDIENTE POR DESCRIPCIÓN"</formula>
    </cfRule>
    <cfRule type="cellIs" dxfId="4361" priority="964" operator="equal">
      <formula>"DESCRIPCIÓN INSUFICIENTE"</formula>
    </cfRule>
    <cfRule type="cellIs" dxfId="4360" priority="965" operator="equal">
      <formula>"NO ESTÁ ACORDE A ITEM 5.2.1 (T.R.)"</formula>
    </cfRule>
    <cfRule type="cellIs" dxfId="4359" priority="966" operator="equal">
      <formula>"ACORDE A ITEM 5.2.1 (T.R.)"</formula>
    </cfRule>
  </conditionalFormatting>
  <conditionalFormatting sqref="Q101">
    <cfRule type="containsBlanks" dxfId="4358" priority="957">
      <formula>LEN(TRIM(Q101))=0</formula>
    </cfRule>
    <cfRule type="cellIs" dxfId="4357" priority="963" operator="equal">
      <formula>"REQUERIMIENTOS SUBSANADOS"</formula>
    </cfRule>
    <cfRule type="containsText" dxfId="4356" priority="967" operator="containsText" text="NO SUBSANABLE">
      <formula>NOT(ISERROR(SEARCH("NO SUBSANABLE",Q101)))</formula>
    </cfRule>
    <cfRule type="containsText" dxfId="4355" priority="968" operator="containsText" text="PENDIENTES POR SUBSANAR">
      <formula>NOT(ISERROR(SEARCH("PENDIENTES POR SUBSANAR",Q101)))</formula>
    </cfRule>
    <cfRule type="containsText" dxfId="4354" priority="969" operator="containsText" text="SIN OBSERVACIÓN">
      <formula>NOT(ISERROR(SEARCH("SIN OBSERVACIÓN",Q101)))</formula>
    </cfRule>
  </conditionalFormatting>
  <conditionalFormatting sqref="R101">
    <cfRule type="containsBlanks" dxfId="4353" priority="956">
      <formula>LEN(TRIM(R101))=0</formula>
    </cfRule>
    <cfRule type="cellIs" dxfId="4352" priority="958" operator="equal">
      <formula>"NO CUMPLEN CON LO SOLICITADO"</formula>
    </cfRule>
    <cfRule type="cellIs" dxfId="4351" priority="959" operator="equal">
      <formula>"CUMPLEN CON LO SOLICITADO"</formula>
    </cfRule>
    <cfRule type="cellIs" dxfId="4350" priority="960" operator="equal">
      <formula>"PENDIENTES"</formula>
    </cfRule>
    <cfRule type="cellIs" dxfId="4349" priority="961" operator="equal">
      <formula>"NINGUNO"</formula>
    </cfRule>
  </conditionalFormatting>
  <conditionalFormatting sqref="P101">
    <cfRule type="expression" dxfId="4348" priority="947">
      <formula>Q101="NO SUBSANABLE"</formula>
    </cfRule>
    <cfRule type="expression" dxfId="4347" priority="948">
      <formula>Q101="REQUERIMIENTOS SUBSANADOS"</formula>
    </cfRule>
    <cfRule type="expression" dxfId="4346" priority="949">
      <formula>Q101="PENDIENTES POR SUBSANAR"</formula>
    </cfRule>
    <cfRule type="expression" dxfId="4345" priority="950">
      <formula>Q101="SIN OBSERVACIÓN"</formula>
    </cfRule>
    <cfRule type="containsBlanks" dxfId="4344" priority="951">
      <formula>LEN(TRIM(P101))=0</formula>
    </cfRule>
  </conditionalFormatting>
  <conditionalFormatting sqref="N104">
    <cfRule type="expression" dxfId="4343" priority="944">
      <formula>N104=" "</formula>
    </cfRule>
    <cfRule type="expression" dxfId="4342" priority="945">
      <formula>N104="NO PRESENTÓ CERTIFICADO"</formula>
    </cfRule>
    <cfRule type="expression" dxfId="4341" priority="946">
      <formula>N104="PRESENTÓ CERTIFICADO"</formula>
    </cfRule>
  </conditionalFormatting>
  <conditionalFormatting sqref="O104">
    <cfRule type="cellIs" dxfId="4340" priority="926" operator="equal">
      <formula>"PENDIENTE POR DESCRIPCIÓN"</formula>
    </cfRule>
    <cfRule type="cellIs" dxfId="4339" priority="927" operator="equal">
      <formula>"DESCRIPCIÓN INSUFICIENTE"</formula>
    </cfRule>
    <cfRule type="cellIs" dxfId="4338" priority="928" operator="equal">
      <formula>"NO ESTÁ ACORDE A ITEM 5.2.2 (T.R.)"</formula>
    </cfRule>
    <cfRule type="cellIs" dxfId="4337" priority="929" operator="equal">
      <formula>"ACORDE A ITEM 5.2.2 (T.R.)"</formula>
    </cfRule>
    <cfRule type="cellIs" dxfId="4336" priority="936" operator="equal">
      <formula>"PENDIENTE POR DESCRIPCIÓN"</formula>
    </cfRule>
    <cfRule type="cellIs" dxfId="4335" priority="938" operator="equal">
      <formula>"DESCRIPCIÓN INSUFICIENTE"</formula>
    </cfRule>
    <cfRule type="cellIs" dxfId="4334" priority="939" operator="equal">
      <formula>"NO ESTÁ ACORDE A ITEM 5.2.1 (T.R.)"</formula>
    </cfRule>
    <cfRule type="cellIs" dxfId="4333" priority="940" operator="equal">
      <formula>"ACORDE A ITEM 5.2.1 (T.R.)"</formula>
    </cfRule>
  </conditionalFormatting>
  <conditionalFormatting sqref="Q104">
    <cfRule type="containsBlanks" dxfId="4332" priority="931">
      <formula>LEN(TRIM(Q104))=0</formula>
    </cfRule>
    <cfRule type="cellIs" dxfId="4331" priority="937" operator="equal">
      <formula>"REQUERIMIENTOS SUBSANADOS"</formula>
    </cfRule>
    <cfRule type="containsText" dxfId="4330" priority="941" operator="containsText" text="NO SUBSANABLE">
      <formula>NOT(ISERROR(SEARCH("NO SUBSANABLE",Q104)))</formula>
    </cfRule>
    <cfRule type="containsText" dxfId="4329" priority="942" operator="containsText" text="PENDIENTES POR SUBSANAR">
      <formula>NOT(ISERROR(SEARCH("PENDIENTES POR SUBSANAR",Q104)))</formula>
    </cfRule>
    <cfRule type="containsText" dxfId="4328" priority="943" operator="containsText" text="SIN OBSERVACIÓN">
      <formula>NOT(ISERROR(SEARCH("SIN OBSERVACIÓN",Q104)))</formula>
    </cfRule>
  </conditionalFormatting>
  <conditionalFormatting sqref="R104">
    <cfRule type="containsBlanks" dxfId="4327" priority="930">
      <formula>LEN(TRIM(R104))=0</formula>
    </cfRule>
    <cfRule type="cellIs" dxfId="4326" priority="932" operator="equal">
      <formula>"NO CUMPLEN CON LO SOLICITADO"</formula>
    </cfRule>
    <cfRule type="cellIs" dxfId="4325" priority="933" operator="equal">
      <formula>"CUMPLEN CON LO SOLICITADO"</formula>
    </cfRule>
    <cfRule type="cellIs" dxfId="4324" priority="934" operator="equal">
      <formula>"PENDIENTES"</formula>
    </cfRule>
    <cfRule type="cellIs" dxfId="4323" priority="935" operator="equal">
      <formula>"NINGUNO"</formula>
    </cfRule>
  </conditionalFormatting>
  <conditionalFormatting sqref="P104">
    <cfRule type="expression" dxfId="4322" priority="921">
      <formula>Q104="NO SUBSANABLE"</formula>
    </cfRule>
    <cfRule type="expression" dxfId="4321" priority="922">
      <formula>Q104="REQUERIMIENTOS SUBSANADOS"</formula>
    </cfRule>
    <cfRule type="expression" dxfId="4320" priority="923">
      <formula>Q104="PENDIENTES POR SUBSANAR"</formula>
    </cfRule>
    <cfRule type="expression" dxfId="4319" priority="924">
      <formula>Q104="SIN OBSERVACIÓN"</formula>
    </cfRule>
    <cfRule type="containsBlanks" dxfId="4318" priority="925">
      <formula>LEN(TRIM(P104))=0</formula>
    </cfRule>
  </conditionalFormatting>
  <conditionalFormatting sqref="N107">
    <cfRule type="expression" dxfId="4317" priority="918">
      <formula>N107=" "</formula>
    </cfRule>
    <cfRule type="expression" dxfId="4316" priority="919">
      <formula>N107="NO PRESENTÓ CERTIFICADO"</formula>
    </cfRule>
    <cfRule type="expression" dxfId="4315" priority="920">
      <formula>N107="PRESENTÓ CERTIFICADO"</formula>
    </cfRule>
  </conditionalFormatting>
  <conditionalFormatting sqref="O107">
    <cfRule type="cellIs" dxfId="4314" priority="910" operator="equal">
      <formula>"PENDIENTE POR DESCRIPCIÓN"</formula>
    </cfRule>
    <cfRule type="cellIs" dxfId="4313" priority="911" operator="equal">
      <formula>"DESCRIPCIÓN INSUFICIENTE"</formula>
    </cfRule>
    <cfRule type="cellIs" dxfId="4312" priority="912" operator="equal">
      <formula>"NO ESTÁ ACORDE A ITEM 5.2.2 (T.R.)"</formula>
    </cfRule>
    <cfRule type="cellIs" dxfId="4311" priority="913" operator="equal">
      <formula>"ACORDE A ITEM 5.2.2 (T.R.)"</formula>
    </cfRule>
    <cfRule type="cellIs" dxfId="4310" priority="914" operator="equal">
      <formula>"PENDIENTE POR DESCRIPCIÓN"</formula>
    </cfRule>
    <cfRule type="cellIs" dxfId="4309" priority="915" operator="equal">
      <formula>"DESCRIPCIÓN INSUFICIENTE"</formula>
    </cfRule>
    <cfRule type="cellIs" dxfId="4308" priority="916" operator="equal">
      <formula>"NO ESTÁ ACORDE A ITEM 5.2.1 (T.R.)"</formula>
    </cfRule>
    <cfRule type="cellIs" dxfId="4307" priority="917" operator="equal">
      <formula>"ACORDE A ITEM 5.2.1 (T.R.)"</formula>
    </cfRule>
  </conditionalFormatting>
  <conditionalFormatting sqref="Q107">
    <cfRule type="containsBlanks" dxfId="4306" priority="901">
      <formula>LEN(TRIM(Q107))=0</formula>
    </cfRule>
    <cfRule type="cellIs" dxfId="4305" priority="906" operator="equal">
      <formula>"REQUERIMIENTOS SUBSANADOS"</formula>
    </cfRule>
    <cfRule type="containsText" dxfId="4304" priority="907" operator="containsText" text="NO SUBSANABLE">
      <formula>NOT(ISERROR(SEARCH("NO SUBSANABLE",Q107)))</formula>
    </cfRule>
    <cfRule type="containsText" dxfId="4303" priority="908" operator="containsText" text="PENDIENTES POR SUBSANAR">
      <formula>NOT(ISERROR(SEARCH("PENDIENTES POR SUBSANAR",Q107)))</formula>
    </cfRule>
    <cfRule type="containsText" dxfId="4302" priority="909" operator="containsText" text="SIN OBSERVACIÓN">
      <formula>NOT(ISERROR(SEARCH("SIN OBSERVACIÓN",Q107)))</formula>
    </cfRule>
  </conditionalFormatting>
  <conditionalFormatting sqref="R107">
    <cfRule type="containsBlanks" dxfId="4301" priority="900">
      <formula>LEN(TRIM(R107))=0</formula>
    </cfRule>
    <cfRule type="cellIs" dxfId="4300" priority="902" operator="equal">
      <formula>"NO CUMPLEN CON LO SOLICITADO"</formula>
    </cfRule>
    <cfRule type="cellIs" dxfId="4299" priority="903" operator="equal">
      <formula>"CUMPLEN CON LO SOLICITADO"</formula>
    </cfRule>
    <cfRule type="cellIs" dxfId="4298" priority="904" operator="equal">
      <formula>"PENDIENTES"</formula>
    </cfRule>
    <cfRule type="cellIs" dxfId="4297" priority="905" operator="equal">
      <formula>"NINGUNO"</formula>
    </cfRule>
  </conditionalFormatting>
  <conditionalFormatting sqref="N110">
    <cfRule type="expression" dxfId="4296" priority="897">
      <formula>N110=" "</formula>
    </cfRule>
    <cfRule type="expression" dxfId="4295" priority="898">
      <formula>N110="NO PRESENTÓ CERTIFICADO"</formula>
    </cfRule>
    <cfRule type="expression" dxfId="4294" priority="899">
      <formula>N110="PRESENTÓ CERTIFICADO"</formula>
    </cfRule>
  </conditionalFormatting>
  <conditionalFormatting sqref="O110">
    <cfRule type="cellIs" dxfId="4293" priority="879" operator="equal">
      <formula>"PENDIENTE POR DESCRIPCIÓN"</formula>
    </cfRule>
    <cfRule type="cellIs" dxfId="4292" priority="880" operator="equal">
      <formula>"DESCRIPCIÓN INSUFICIENTE"</formula>
    </cfRule>
    <cfRule type="cellIs" dxfId="4291" priority="881" operator="equal">
      <formula>"NO ESTÁ ACORDE A ITEM 5.2.2 (T.R.)"</formula>
    </cfRule>
    <cfRule type="cellIs" dxfId="4290" priority="882" operator="equal">
      <formula>"ACORDE A ITEM 5.2.2 (T.R.)"</formula>
    </cfRule>
    <cfRule type="cellIs" dxfId="4289" priority="889" operator="equal">
      <formula>"PENDIENTE POR DESCRIPCIÓN"</formula>
    </cfRule>
    <cfRule type="cellIs" dxfId="4288" priority="891" operator="equal">
      <formula>"DESCRIPCIÓN INSUFICIENTE"</formula>
    </cfRule>
    <cfRule type="cellIs" dxfId="4287" priority="892" operator="equal">
      <formula>"NO ESTÁ ACORDE A ITEM 5.2.1 (T.R.)"</formula>
    </cfRule>
    <cfRule type="cellIs" dxfId="4286" priority="893" operator="equal">
      <formula>"ACORDE A ITEM 5.2.1 (T.R.)"</formula>
    </cfRule>
  </conditionalFormatting>
  <conditionalFormatting sqref="Q110">
    <cfRule type="containsBlanks" dxfId="4285" priority="884">
      <formula>LEN(TRIM(Q110))=0</formula>
    </cfRule>
    <cfRule type="cellIs" dxfId="4284" priority="890" operator="equal">
      <formula>"REQUERIMIENTOS SUBSANADOS"</formula>
    </cfRule>
    <cfRule type="containsText" dxfId="4283" priority="894" operator="containsText" text="NO SUBSANABLE">
      <formula>NOT(ISERROR(SEARCH("NO SUBSANABLE",Q110)))</formula>
    </cfRule>
    <cfRule type="containsText" dxfId="4282" priority="895" operator="containsText" text="PENDIENTES POR SUBSANAR">
      <formula>NOT(ISERROR(SEARCH("PENDIENTES POR SUBSANAR",Q110)))</formula>
    </cfRule>
    <cfRule type="containsText" dxfId="4281" priority="896" operator="containsText" text="SIN OBSERVACIÓN">
      <formula>NOT(ISERROR(SEARCH("SIN OBSERVACIÓN",Q110)))</formula>
    </cfRule>
  </conditionalFormatting>
  <conditionalFormatting sqref="R110">
    <cfRule type="containsBlanks" dxfId="4280" priority="883">
      <formula>LEN(TRIM(R110))=0</formula>
    </cfRule>
    <cfRule type="cellIs" dxfId="4279" priority="885" operator="equal">
      <formula>"NO CUMPLEN CON LO SOLICITADO"</formula>
    </cfRule>
    <cfRule type="cellIs" dxfId="4278" priority="886" operator="equal">
      <formula>"CUMPLEN CON LO SOLICITADO"</formula>
    </cfRule>
    <cfRule type="cellIs" dxfId="4277" priority="887" operator="equal">
      <formula>"PENDIENTES"</formula>
    </cfRule>
    <cfRule type="cellIs" dxfId="4276" priority="888" operator="equal">
      <formula>"NINGUNO"</formula>
    </cfRule>
  </conditionalFormatting>
  <conditionalFormatting sqref="P110">
    <cfRule type="expression" dxfId="4275" priority="874">
      <formula>Q110="NO SUBSANABLE"</formula>
    </cfRule>
    <cfRule type="expression" dxfId="4274" priority="875">
      <formula>Q110="REQUERIMIENTOS SUBSANADOS"</formula>
    </cfRule>
    <cfRule type="expression" dxfId="4273" priority="876">
      <formula>Q110="PENDIENTES POR SUBSANAR"</formula>
    </cfRule>
    <cfRule type="expression" dxfId="4272" priority="877">
      <formula>Q110="SIN OBSERVACIÓN"</formula>
    </cfRule>
    <cfRule type="containsBlanks" dxfId="4271" priority="878">
      <formula>LEN(TRIM(P110))=0</formula>
    </cfRule>
  </conditionalFormatting>
  <conditionalFormatting sqref="N113">
    <cfRule type="expression" dxfId="4270" priority="871">
      <formula>N113=" "</formula>
    </cfRule>
    <cfRule type="expression" dxfId="4269" priority="872">
      <formula>N113="NO PRESENTÓ CERTIFICADO"</formula>
    </cfRule>
    <cfRule type="expression" dxfId="4268" priority="873">
      <formula>N113="PRESENTÓ CERTIFICADO"</formula>
    </cfRule>
  </conditionalFormatting>
  <conditionalFormatting sqref="O113">
    <cfRule type="cellIs" dxfId="4267" priority="853" operator="equal">
      <formula>"PENDIENTE POR DESCRIPCIÓN"</formula>
    </cfRule>
    <cfRule type="cellIs" dxfId="4266" priority="854" operator="equal">
      <formula>"DESCRIPCIÓN INSUFICIENTE"</formula>
    </cfRule>
    <cfRule type="cellIs" dxfId="4265" priority="855" operator="equal">
      <formula>"NO ESTÁ ACORDE A ITEM 5.2.2 (T.R.)"</formula>
    </cfRule>
    <cfRule type="cellIs" dxfId="4264" priority="856" operator="equal">
      <formula>"ACORDE A ITEM 5.2.2 (T.R.)"</formula>
    </cfRule>
    <cfRule type="cellIs" dxfId="4263" priority="863" operator="equal">
      <formula>"PENDIENTE POR DESCRIPCIÓN"</formula>
    </cfRule>
    <cfRule type="cellIs" dxfId="4262" priority="865" operator="equal">
      <formula>"DESCRIPCIÓN INSUFICIENTE"</formula>
    </cfRule>
    <cfRule type="cellIs" dxfId="4261" priority="866" operator="equal">
      <formula>"NO ESTÁ ACORDE A ITEM 5.2.1 (T.R.)"</formula>
    </cfRule>
    <cfRule type="cellIs" dxfId="4260" priority="867" operator="equal">
      <formula>"ACORDE A ITEM 5.2.1 (T.R.)"</formula>
    </cfRule>
  </conditionalFormatting>
  <conditionalFormatting sqref="Q113">
    <cfRule type="containsBlanks" dxfId="4259" priority="858">
      <formula>LEN(TRIM(Q113))=0</formula>
    </cfRule>
    <cfRule type="cellIs" dxfId="4258" priority="864" operator="equal">
      <formula>"REQUERIMIENTOS SUBSANADOS"</formula>
    </cfRule>
    <cfRule type="containsText" dxfId="4257" priority="868" operator="containsText" text="NO SUBSANABLE">
      <formula>NOT(ISERROR(SEARCH("NO SUBSANABLE",Q113)))</formula>
    </cfRule>
    <cfRule type="containsText" dxfId="4256" priority="869" operator="containsText" text="PENDIENTES POR SUBSANAR">
      <formula>NOT(ISERROR(SEARCH("PENDIENTES POR SUBSANAR",Q113)))</formula>
    </cfRule>
    <cfRule type="containsText" dxfId="4255" priority="870" operator="containsText" text="SIN OBSERVACIÓN">
      <formula>NOT(ISERROR(SEARCH("SIN OBSERVACIÓN",Q113)))</formula>
    </cfRule>
  </conditionalFormatting>
  <conditionalFormatting sqref="R113">
    <cfRule type="containsBlanks" dxfId="4254" priority="857">
      <formula>LEN(TRIM(R113))=0</formula>
    </cfRule>
    <cfRule type="cellIs" dxfId="4253" priority="859" operator="equal">
      <formula>"NO CUMPLEN CON LO SOLICITADO"</formula>
    </cfRule>
    <cfRule type="cellIs" dxfId="4252" priority="860" operator="equal">
      <formula>"CUMPLEN CON LO SOLICITADO"</formula>
    </cfRule>
    <cfRule type="cellIs" dxfId="4251" priority="861" operator="equal">
      <formula>"PENDIENTES"</formula>
    </cfRule>
    <cfRule type="cellIs" dxfId="4250" priority="862" operator="equal">
      <formula>"NINGUNO"</formula>
    </cfRule>
  </conditionalFormatting>
  <conditionalFormatting sqref="P113">
    <cfRule type="expression" dxfId="4249" priority="848">
      <formula>Q113="NO SUBSANABLE"</formula>
    </cfRule>
    <cfRule type="expression" dxfId="4248" priority="849">
      <formula>Q113="REQUERIMIENTOS SUBSANADOS"</formula>
    </cfRule>
    <cfRule type="expression" dxfId="4247" priority="850">
      <formula>Q113="PENDIENTES POR SUBSANAR"</formula>
    </cfRule>
    <cfRule type="expression" dxfId="4246" priority="851">
      <formula>Q113="SIN OBSERVACIÓN"</formula>
    </cfRule>
    <cfRule type="containsBlanks" dxfId="4245" priority="852">
      <formula>LEN(TRIM(P113))=0</formula>
    </cfRule>
  </conditionalFormatting>
  <conditionalFormatting sqref="J113">
    <cfRule type="cellIs" dxfId="4244" priority="846" operator="equal">
      <formula>"NO CUMPLE"</formula>
    </cfRule>
    <cfRule type="cellIs" dxfId="4243" priority="847" operator="equal">
      <formula>"CUMPLE"</formula>
    </cfRule>
  </conditionalFormatting>
  <conditionalFormatting sqref="J114">
    <cfRule type="cellIs" dxfId="4242" priority="844" operator="equal">
      <formula>"NO CUMPLE"</formula>
    </cfRule>
    <cfRule type="cellIs" dxfId="4241" priority="845" operator="equal">
      <formula>"CUMPLE"</formula>
    </cfRule>
  </conditionalFormatting>
  <conditionalFormatting sqref="J115">
    <cfRule type="cellIs" dxfId="4240" priority="842" operator="equal">
      <formula>"NO CUMPLE"</formula>
    </cfRule>
    <cfRule type="cellIs" dxfId="4239" priority="843" operator="equal">
      <formula>"CUMPLE"</formula>
    </cfRule>
  </conditionalFormatting>
  <conditionalFormatting sqref="H13">
    <cfRule type="notContainsBlanks" dxfId="4238" priority="841">
      <formula>LEN(TRIM(H13))&gt;0</formula>
    </cfRule>
  </conditionalFormatting>
  <conditionalFormatting sqref="G13">
    <cfRule type="notContainsBlanks" dxfId="4237" priority="840">
      <formula>LEN(TRIM(G13))&gt;0</formula>
    </cfRule>
  </conditionalFormatting>
  <conditionalFormatting sqref="F13">
    <cfRule type="notContainsBlanks" dxfId="4236" priority="839">
      <formula>LEN(TRIM(F13))&gt;0</formula>
    </cfRule>
  </conditionalFormatting>
  <conditionalFormatting sqref="E13">
    <cfRule type="notContainsBlanks" dxfId="4235" priority="838">
      <formula>LEN(TRIM(E13))&gt;0</formula>
    </cfRule>
  </conditionalFormatting>
  <conditionalFormatting sqref="D13">
    <cfRule type="notContainsBlanks" dxfId="4234" priority="837">
      <formula>LEN(TRIM(D13))&gt;0</formula>
    </cfRule>
  </conditionalFormatting>
  <conditionalFormatting sqref="C13">
    <cfRule type="notContainsBlanks" dxfId="4233" priority="836">
      <formula>LEN(TRIM(C13))&gt;0</formula>
    </cfRule>
  </conditionalFormatting>
  <conditionalFormatting sqref="I13">
    <cfRule type="notContainsBlanks" dxfId="4232" priority="835">
      <formula>LEN(TRIM(I13))&gt;0</formula>
    </cfRule>
  </conditionalFormatting>
  <conditionalFormatting sqref="J13:J15">
    <cfRule type="cellIs" dxfId="4231" priority="833" operator="equal">
      <formula>"NO CUMPLE"</formula>
    </cfRule>
    <cfRule type="cellIs" dxfId="4230" priority="834" operator="equal">
      <formula>"CUMPLE"</formula>
    </cfRule>
  </conditionalFormatting>
  <conditionalFormatting sqref="U101:U115">
    <cfRule type="cellIs" dxfId="4229" priority="803" operator="equal">
      <formula>0</formula>
    </cfRule>
    <cfRule type="cellIs" dxfId="4228" priority="804" operator="equal">
      <formula>1</formula>
    </cfRule>
  </conditionalFormatting>
  <conditionalFormatting sqref="U79:U93">
    <cfRule type="cellIs" dxfId="4227" priority="801" operator="equal">
      <formula>0</formula>
    </cfRule>
    <cfRule type="cellIs" dxfId="4226" priority="802" operator="equal">
      <formula>1</formula>
    </cfRule>
  </conditionalFormatting>
  <conditionalFormatting sqref="U57:U71">
    <cfRule type="cellIs" dxfId="4225" priority="799" operator="equal">
      <formula>0</formula>
    </cfRule>
    <cfRule type="cellIs" dxfId="4224" priority="800" operator="equal">
      <formula>1</formula>
    </cfRule>
  </conditionalFormatting>
  <conditionalFormatting sqref="U35:U49">
    <cfRule type="cellIs" dxfId="4223" priority="797" operator="equal">
      <formula>0</formula>
    </cfRule>
    <cfRule type="cellIs" dxfId="4222" priority="798" operator="equal">
      <formula>1</formula>
    </cfRule>
  </conditionalFormatting>
  <conditionalFormatting sqref="U13:U15">
    <cfRule type="cellIs" dxfId="4221" priority="795" operator="equal">
      <formula>0</formula>
    </cfRule>
    <cfRule type="cellIs" dxfId="4220" priority="796" operator="equal">
      <formula>1</formula>
    </cfRule>
  </conditionalFormatting>
  <conditionalFormatting sqref="H35">
    <cfRule type="notContainsBlanks" dxfId="4219" priority="794">
      <formula>LEN(TRIM(H35))&gt;0</formula>
    </cfRule>
  </conditionalFormatting>
  <conditionalFormatting sqref="G35">
    <cfRule type="notContainsBlanks" dxfId="4218" priority="793">
      <formula>LEN(TRIM(G35))&gt;0</formula>
    </cfRule>
  </conditionalFormatting>
  <conditionalFormatting sqref="F35">
    <cfRule type="notContainsBlanks" dxfId="4217" priority="792">
      <formula>LEN(TRIM(F35))&gt;0</formula>
    </cfRule>
  </conditionalFormatting>
  <conditionalFormatting sqref="E35">
    <cfRule type="notContainsBlanks" dxfId="4216" priority="791">
      <formula>LEN(TRIM(E35))&gt;0</formula>
    </cfRule>
  </conditionalFormatting>
  <conditionalFormatting sqref="D35">
    <cfRule type="notContainsBlanks" dxfId="4215" priority="790">
      <formula>LEN(TRIM(D35))&gt;0</formula>
    </cfRule>
  </conditionalFormatting>
  <conditionalFormatting sqref="C35">
    <cfRule type="notContainsBlanks" dxfId="4214" priority="789">
      <formula>LEN(TRIM(C35))&gt;0</formula>
    </cfRule>
  </conditionalFormatting>
  <conditionalFormatting sqref="I35">
    <cfRule type="notContainsBlanks" dxfId="4213" priority="788">
      <formula>LEN(TRIM(I35))&gt;0</formula>
    </cfRule>
  </conditionalFormatting>
  <conditionalFormatting sqref="G38">
    <cfRule type="notContainsBlanks" dxfId="4212" priority="787">
      <formula>LEN(TRIM(G38))&gt;0</formula>
    </cfRule>
  </conditionalFormatting>
  <conditionalFormatting sqref="F38">
    <cfRule type="notContainsBlanks" dxfId="4211" priority="786">
      <formula>LEN(TRIM(F38))&gt;0</formula>
    </cfRule>
  </conditionalFormatting>
  <conditionalFormatting sqref="E38">
    <cfRule type="notContainsBlanks" dxfId="4210" priority="785">
      <formula>LEN(TRIM(E38))&gt;0</formula>
    </cfRule>
  </conditionalFormatting>
  <conditionalFormatting sqref="D38">
    <cfRule type="notContainsBlanks" dxfId="4209" priority="784">
      <formula>LEN(TRIM(D38))&gt;0</formula>
    </cfRule>
  </conditionalFormatting>
  <conditionalFormatting sqref="C38">
    <cfRule type="notContainsBlanks" dxfId="4208" priority="783">
      <formula>LEN(TRIM(C38))&gt;0</formula>
    </cfRule>
  </conditionalFormatting>
  <conditionalFormatting sqref="J35:J40">
    <cfRule type="cellIs" dxfId="4207" priority="780" operator="equal">
      <formula>"NO CUMPLE"</formula>
    </cfRule>
    <cfRule type="cellIs" dxfId="4206" priority="781" operator="equal">
      <formula>"CUMPLE"</formula>
    </cfRule>
  </conditionalFormatting>
  <conditionalFormatting sqref="H57">
    <cfRule type="notContainsBlanks" dxfId="4205" priority="725">
      <formula>LEN(TRIM(H57))&gt;0</formula>
    </cfRule>
  </conditionalFormatting>
  <conditionalFormatting sqref="G57">
    <cfRule type="notContainsBlanks" dxfId="4204" priority="724">
      <formula>LEN(TRIM(G57))&gt;0</formula>
    </cfRule>
  </conditionalFormatting>
  <conditionalFormatting sqref="F57">
    <cfRule type="notContainsBlanks" dxfId="4203" priority="723">
      <formula>LEN(TRIM(F57))&gt;0</formula>
    </cfRule>
  </conditionalFormatting>
  <conditionalFormatting sqref="E57">
    <cfRule type="notContainsBlanks" dxfId="4202" priority="722">
      <formula>LEN(TRIM(E57))&gt;0</formula>
    </cfRule>
  </conditionalFormatting>
  <conditionalFormatting sqref="D57">
    <cfRule type="notContainsBlanks" dxfId="4201" priority="721">
      <formula>LEN(TRIM(D57))&gt;0</formula>
    </cfRule>
  </conditionalFormatting>
  <conditionalFormatting sqref="C57">
    <cfRule type="notContainsBlanks" dxfId="4200" priority="720">
      <formula>LEN(TRIM(C57))&gt;0</formula>
    </cfRule>
  </conditionalFormatting>
  <conditionalFormatting sqref="G69">
    <cfRule type="notContainsBlanks" dxfId="4199" priority="713">
      <formula>LEN(TRIM(G69))&gt;0</formula>
    </cfRule>
  </conditionalFormatting>
  <conditionalFormatting sqref="F69">
    <cfRule type="notContainsBlanks" dxfId="4198" priority="712">
      <formula>LEN(TRIM(F69))&gt;0</formula>
    </cfRule>
  </conditionalFormatting>
  <conditionalFormatting sqref="E69">
    <cfRule type="notContainsBlanks" dxfId="4197" priority="711">
      <formula>LEN(TRIM(E69))&gt;0</formula>
    </cfRule>
  </conditionalFormatting>
  <conditionalFormatting sqref="D69">
    <cfRule type="notContainsBlanks" dxfId="4196" priority="710">
      <formula>LEN(TRIM(D69))&gt;0</formula>
    </cfRule>
  </conditionalFormatting>
  <conditionalFormatting sqref="C69">
    <cfRule type="notContainsBlanks" dxfId="4195" priority="709">
      <formula>LEN(TRIM(C69))&gt;0</formula>
    </cfRule>
  </conditionalFormatting>
  <conditionalFormatting sqref="I57">
    <cfRule type="notContainsBlanks" dxfId="4194" priority="695">
      <formula>LEN(TRIM(I57))&gt;0</formula>
    </cfRule>
  </conditionalFormatting>
  <conditionalFormatting sqref="J57:J68">
    <cfRule type="cellIs" dxfId="4193" priority="693" operator="equal">
      <formula>"NO CUMPLE"</formula>
    </cfRule>
    <cfRule type="cellIs" dxfId="4192" priority="694" operator="equal">
      <formula>"CUMPLE"</formula>
    </cfRule>
  </conditionalFormatting>
  <conditionalFormatting sqref="J69">
    <cfRule type="cellIs" dxfId="4191" priority="691" operator="equal">
      <formula>"NO CUMPLE"</formula>
    </cfRule>
    <cfRule type="cellIs" dxfId="4190" priority="692" operator="equal">
      <formula>"CUMPLE"</formula>
    </cfRule>
  </conditionalFormatting>
  <conditionalFormatting sqref="J70:J71">
    <cfRule type="cellIs" dxfId="4189" priority="689" operator="equal">
      <formula>"NO CUMPLE"</formula>
    </cfRule>
    <cfRule type="cellIs" dxfId="4188" priority="690" operator="equal">
      <formula>"CUMPLE"</formula>
    </cfRule>
  </conditionalFormatting>
  <conditionalFormatting sqref="Q66">
    <cfRule type="containsBlanks" dxfId="4187" priority="673">
      <formula>LEN(TRIM(Q66))=0</formula>
    </cfRule>
    <cfRule type="cellIs" dxfId="4186" priority="679" operator="equal">
      <formula>"REQUERIMIENTOS SUBSANADOS"</formula>
    </cfRule>
    <cfRule type="containsText" dxfId="4185" priority="683" operator="containsText" text="NO SUBSANABLE">
      <formula>NOT(ISERROR(SEARCH("NO SUBSANABLE",Q66)))</formula>
    </cfRule>
    <cfRule type="containsText" dxfId="4184" priority="684" operator="containsText" text="PENDIENTES POR SUBSANAR">
      <formula>NOT(ISERROR(SEARCH("PENDIENTES POR SUBSANAR",Q66)))</formula>
    </cfRule>
    <cfRule type="containsText" dxfId="4183" priority="685" operator="containsText" text="SIN OBSERVACIÓN">
      <formula>NOT(ISERROR(SEARCH("SIN OBSERVACIÓN",Q66)))</formula>
    </cfRule>
  </conditionalFormatting>
  <conditionalFormatting sqref="R66">
    <cfRule type="containsBlanks" dxfId="4182" priority="672">
      <formula>LEN(TRIM(R66))=0</formula>
    </cfRule>
    <cfRule type="cellIs" dxfId="4181" priority="674" operator="equal">
      <formula>"NO CUMPLEN CON LO SOLICITADO"</formula>
    </cfRule>
    <cfRule type="cellIs" dxfId="4180" priority="675" operator="equal">
      <formula>"CUMPLEN CON LO SOLICITADO"</formula>
    </cfRule>
    <cfRule type="cellIs" dxfId="4179" priority="676" operator="equal">
      <formula>"PENDIENTES"</formula>
    </cfRule>
    <cfRule type="cellIs" dxfId="4178" priority="677" operator="equal">
      <formula>"NINGUNO"</formula>
    </cfRule>
  </conditionalFormatting>
  <conditionalFormatting sqref="N57">
    <cfRule type="expression" dxfId="4177" priority="660">
      <formula>N57=" "</formula>
    </cfRule>
    <cfRule type="expression" dxfId="4176" priority="661">
      <formula>N57="NO PRESENTÓ CERTIFICADO"</formula>
    </cfRule>
    <cfRule type="expression" dxfId="4175" priority="662">
      <formula>N57="PRESENTÓ CERTIFICADO"</formula>
    </cfRule>
  </conditionalFormatting>
  <conditionalFormatting sqref="Q69">
    <cfRule type="containsBlanks" dxfId="4174" priority="554">
      <formula>LEN(TRIM(Q69))=0</formula>
    </cfRule>
    <cfRule type="cellIs" dxfId="4173" priority="560" operator="equal">
      <formula>"REQUERIMIENTOS SUBSANADOS"</formula>
    </cfRule>
    <cfRule type="containsText" dxfId="4172" priority="564" operator="containsText" text="NO SUBSANABLE">
      <formula>NOT(ISERROR(SEARCH("NO SUBSANABLE",Q69)))</formula>
    </cfRule>
    <cfRule type="containsText" dxfId="4171" priority="565" operator="containsText" text="PENDIENTES POR SUBSANAR">
      <formula>NOT(ISERROR(SEARCH("PENDIENTES POR SUBSANAR",Q69)))</formula>
    </cfRule>
    <cfRule type="containsText" dxfId="4170" priority="566" operator="containsText" text="SIN OBSERVACIÓN">
      <formula>NOT(ISERROR(SEARCH("SIN OBSERVACIÓN",Q69)))</formula>
    </cfRule>
  </conditionalFormatting>
  <conditionalFormatting sqref="R69">
    <cfRule type="containsBlanks" dxfId="4169" priority="553">
      <formula>LEN(TRIM(R69))=0</formula>
    </cfRule>
    <cfRule type="cellIs" dxfId="4168" priority="555" operator="equal">
      <formula>"NO CUMPLEN CON LO SOLICITADO"</formula>
    </cfRule>
    <cfRule type="cellIs" dxfId="4167" priority="556" operator="equal">
      <formula>"CUMPLEN CON LO SOLICITADO"</formula>
    </cfRule>
    <cfRule type="cellIs" dxfId="4166" priority="557" operator="equal">
      <formula>"PENDIENTES"</formula>
    </cfRule>
    <cfRule type="cellIs" dxfId="4165" priority="558" operator="equal">
      <formula>"NINGUNO"</formula>
    </cfRule>
  </conditionalFormatting>
  <conditionalFormatting sqref="J79:J87">
    <cfRule type="cellIs" dxfId="4164" priority="542" operator="equal">
      <formula>"NO CUMPLE"</formula>
    </cfRule>
    <cfRule type="cellIs" dxfId="4163" priority="543" operator="equal">
      <formula>"CUMPLE"</formula>
    </cfRule>
  </conditionalFormatting>
  <conditionalFormatting sqref="N79">
    <cfRule type="expression" dxfId="4162" priority="539">
      <formula>N79=" "</formula>
    </cfRule>
    <cfRule type="expression" dxfId="4161" priority="540">
      <formula>N79="NO PRESENTÓ CERTIFICADO"</formula>
    </cfRule>
    <cfRule type="expression" dxfId="4160" priority="541">
      <formula>N79="PRESENTÓ CERTIFICADO"</formula>
    </cfRule>
  </conditionalFormatting>
  <conditionalFormatting sqref="Q79">
    <cfRule type="containsBlanks" dxfId="4159" priority="526">
      <formula>LEN(TRIM(Q79))=0</formula>
    </cfRule>
    <cfRule type="cellIs" dxfId="4158" priority="532" operator="equal">
      <formula>"REQUERIMIENTOS SUBSANADOS"</formula>
    </cfRule>
    <cfRule type="containsText" dxfId="4157" priority="536" operator="containsText" text="NO SUBSANABLE">
      <formula>NOT(ISERROR(SEARCH("NO SUBSANABLE",Q79)))</formula>
    </cfRule>
    <cfRule type="containsText" dxfId="4156" priority="537" operator="containsText" text="PENDIENTES POR SUBSANAR">
      <formula>NOT(ISERROR(SEARCH("PENDIENTES POR SUBSANAR",Q79)))</formula>
    </cfRule>
    <cfRule type="containsText" dxfId="4155" priority="538" operator="containsText" text="SIN OBSERVACIÓN">
      <formula>NOT(ISERROR(SEARCH("SIN OBSERVACIÓN",Q79)))</formula>
    </cfRule>
  </conditionalFormatting>
  <conditionalFormatting sqref="R79">
    <cfRule type="containsBlanks" dxfId="4154" priority="525">
      <formula>LEN(TRIM(R79))=0</formula>
    </cfRule>
    <cfRule type="cellIs" dxfId="4153" priority="527" operator="equal">
      <formula>"NO CUMPLEN CON LO SOLICITADO"</formula>
    </cfRule>
    <cfRule type="cellIs" dxfId="4152" priority="528" operator="equal">
      <formula>"CUMPLEN CON LO SOLICITADO"</formula>
    </cfRule>
    <cfRule type="cellIs" dxfId="4151" priority="529" operator="equal">
      <formula>"PENDIENTES"</formula>
    </cfRule>
    <cfRule type="cellIs" dxfId="4150" priority="530" operator="equal">
      <formula>"NINGUNO"</formula>
    </cfRule>
  </conditionalFormatting>
  <conditionalFormatting sqref="P79">
    <cfRule type="expression" dxfId="4149" priority="516">
      <formula>Q79="NO SUBSANABLE"</formula>
    </cfRule>
    <cfRule type="expression" dxfId="4148" priority="517">
      <formula>Q79="REQUERIMIENTOS SUBSANADOS"</formula>
    </cfRule>
    <cfRule type="expression" dxfId="4147" priority="518">
      <formula>Q79="PENDIENTES POR SUBSANAR"</formula>
    </cfRule>
    <cfRule type="expression" dxfId="4146" priority="519">
      <formula>Q79="SIN OBSERVACIÓN"</formula>
    </cfRule>
    <cfRule type="containsBlanks" dxfId="4145" priority="520">
      <formula>LEN(TRIM(P79))=0</formula>
    </cfRule>
  </conditionalFormatting>
  <conditionalFormatting sqref="Q123">
    <cfRule type="containsBlanks" dxfId="4144" priority="476">
      <formula>LEN(TRIM(Q123))=0</formula>
    </cfRule>
    <cfRule type="cellIs" dxfId="4143" priority="481" operator="equal">
      <formula>"REQUERIMIENTOS SUBSANADOS"</formula>
    </cfRule>
    <cfRule type="containsText" dxfId="4142" priority="482" operator="containsText" text="NO SUBSANABLE">
      <formula>NOT(ISERROR(SEARCH("NO SUBSANABLE",Q123)))</formula>
    </cfRule>
    <cfRule type="containsText" dxfId="4141" priority="483" operator="containsText" text="PENDIENTES POR SUBSANAR">
      <formula>NOT(ISERROR(SEARCH("PENDIENTES POR SUBSANAR",Q123)))</formula>
    </cfRule>
    <cfRule type="containsText" dxfId="4140" priority="484" operator="containsText" text="SIN OBSERVACIÓN">
      <formula>NOT(ISERROR(SEARCH("SIN OBSERVACIÓN",Q123)))</formula>
    </cfRule>
  </conditionalFormatting>
  <conditionalFormatting sqref="R123">
    <cfRule type="containsBlanks" dxfId="4139" priority="475">
      <formula>LEN(TRIM(R123))=0</formula>
    </cfRule>
    <cfRule type="cellIs" dxfId="4138" priority="477" operator="equal">
      <formula>"NO CUMPLEN CON LO SOLICITADO"</formula>
    </cfRule>
    <cfRule type="cellIs" dxfId="4137" priority="478" operator="equal">
      <formula>"CUMPLEN CON LO SOLICITADO"</formula>
    </cfRule>
    <cfRule type="cellIs" dxfId="4136" priority="479" operator="equal">
      <formula>"PENDIENTES"</formula>
    </cfRule>
    <cfRule type="cellIs" dxfId="4135" priority="480" operator="equal">
      <formula>"NINGUNO"</formula>
    </cfRule>
  </conditionalFormatting>
  <conditionalFormatting sqref="P123">
    <cfRule type="expression" dxfId="4134" priority="470">
      <formula>Q123="NO SUBSANABLE"</formula>
    </cfRule>
    <cfRule type="expression" dxfId="4133" priority="471">
      <formula>Q123="REQUERIMIENTOS SUBSANADOS"</formula>
    </cfRule>
    <cfRule type="expression" dxfId="4132" priority="472">
      <formula>Q123="PENDIENTES POR SUBSANAR"</formula>
    </cfRule>
    <cfRule type="expression" dxfId="4131" priority="473">
      <formula>Q123="SIN OBSERVACIÓN"</formula>
    </cfRule>
    <cfRule type="containsBlanks" dxfId="4130" priority="474">
      <formula>LEN(TRIM(P123))=0</formula>
    </cfRule>
  </conditionalFormatting>
  <conditionalFormatting sqref="O25">
    <cfRule type="cellIs" dxfId="4129" priority="462" operator="equal">
      <formula>"PENDIENTE POR DESCRIPCIÓN"</formula>
    </cfRule>
    <cfRule type="cellIs" dxfId="4128" priority="463" operator="equal">
      <formula>"DESCRIPCIÓN INSUFICIENTE"</formula>
    </cfRule>
    <cfRule type="cellIs" dxfId="4127" priority="464" operator="equal">
      <formula>"NO ESTÁ ACORDE A ITEM 5.2.2 (T.R.)"</formula>
    </cfRule>
    <cfRule type="cellIs" dxfId="4126" priority="465" operator="equal">
      <formula>"ACORDE A ITEM 5.2.2 (T.R.)"</formula>
    </cfRule>
    <cfRule type="cellIs" dxfId="4125" priority="466" operator="equal">
      <formula>"PENDIENTE POR DESCRIPCIÓN"</formula>
    </cfRule>
    <cfRule type="cellIs" dxfId="4124" priority="467" operator="equal">
      <formula>"DESCRIPCIÓN INSUFICIENTE"</formula>
    </cfRule>
    <cfRule type="cellIs" dxfId="4123" priority="468" operator="equal">
      <formula>"NO ESTÁ ACORDE A ITEM 5.2.1 (T.R.)"</formula>
    </cfRule>
    <cfRule type="cellIs" dxfId="4122" priority="469" operator="equal">
      <formula>"ACORDE A ITEM 5.2.1 (T.R.)"</formula>
    </cfRule>
  </conditionalFormatting>
  <conditionalFormatting sqref="O41 O44 O47">
    <cfRule type="cellIs" dxfId="4121" priority="454" operator="equal">
      <formula>"PENDIENTE POR DESCRIPCIÓN"</formula>
    </cfRule>
    <cfRule type="cellIs" dxfId="4120" priority="455" operator="equal">
      <formula>"DESCRIPCIÓN INSUFICIENTE"</formula>
    </cfRule>
    <cfRule type="cellIs" dxfId="4119" priority="456" operator="equal">
      <formula>"NO ESTÁ ACORDE A ITEM 5.2.2 (T.R.)"</formula>
    </cfRule>
    <cfRule type="cellIs" dxfId="4118" priority="457" operator="equal">
      <formula>"ACORDE A ITEM 5.2.2 (T.R.)"</formula>
    </cfRule>
    <cfRule type="cellIs" dxfId="4117" priority="458" operator="equal">
      <formula>"PENDIENTE POR DESCRIPCIÓN"</formula>
    </cfRule>
    <cfRule type="cellIs" dxfId="4116" priority="459" operator="equal">
      <formula>"DESCRIPCIÓN INSUFICIENTE"</formula>
    </cfRule>
    <cfRule type="cellIs" dxfId="4115" priority="460" operator="equal">
      <formula>"NO ESTÁ ACORDE A ITEM 5.2.1 (T.R.)"</formula>
    </cfRule>
    <cfRule type="cellIs" dxfId="4114" priority="461" operator="equal">
      <formula>"ACORDE A ITEM 5.2.1 (T.R.)"</formula>
    </cfRule>
  </conditionalFormatting>
  <conditionalFormatting sqref="O57">
    <cfRule type="cellIs" dxfId="4113" priority="446" operator="equal">
      <formula>"PENDIENTE POR DESCRIPCIÓN"</formula>
    </cfRule>
    <cfRule type="cellIs" dxfId="4112" priority="447" operator="equal">
      <formula>"DESCRIPCIÓN INSUFICIENTE"</formula>
    </cfRule>
    <cfRule type="cellIs" dxfId="4111" priority="448" operator="equal">
      <formula>"NO ESTÁ ACORDE A ITEM 5.2.2 (T.R.)"</formula>
    </cfRule>
    <cfRule type="cellIs" dxfId="4110" priority="449" operator="equal">
      <formula>"ACORDE A ITEM 5.2.2 (T.R.)"</formula>
    </cfRule>
    <cfRule type="cellIs" dxfId="4109" priority="450" operator="equal">
      <formula>"PENDIENTE POR DESCRIPCIÓN"</formula>
    </cfRule>
    <cfRule type="cellIs" dxfId="4108" priority="451" operator="equal">
      <formula>"DESCRIPCIÓN INSUFICIENTE"</formula>
    </cfRule>
    <cfRule type="cellIs" dxfId="4107" priority="452" operator="equal">
      <formula>"NO ESTÁ ACORDE A ITEM 5.2.1 (T.R.)"</formula>
    </cfRule>
    <cfRule type="cellIs" dxfId="4106" priority="453" operator="equal">
      <formula>"ACORDE A ITEM 5.2.1 (T.R.)"</formula>
    </cfRule>
  </conditionalFormatting>
  <conditionalFormatting sqref="O79">
    <cfRule type="cellIs" dxfId="4105" priority="430" operator="equal">
      <formula>"PENDIENTE POR DESCRIPCIÓN"</formula>
    </cfRule>
    <cfRule type="cellIs" dxfId="4104" priority="431" operator="equal">
      <formula>"DESCRIPCIÓN INSUFICIENTE"</formula>
    </cfRule>
    <cfRule type="cellIs" dxfId="4103" priority="432" operator="equal">
      <formula>"NO ESTÁ ACORDE A ITEM 5.2.2 (T.R.)"</formula>
    </cfRule>
    <cfRule type="cellIs" dxfId="4102" priority="433" operator="equal">
      <formula>"ACORDE A ITEM 5.2.2 (T.R.)"</formula>
    </cfRule>
    <cfRule type="cellIs" dxfId="4101" priority="434" operator="equal">
      <formula>"PENDIENTE POR DESCRIPCIÓN"</formula>
    </cfRule>
    <cfRule type="cellIs" dxfId="4100" priority="435" operator="equal">
      <formula>"DESCRIPCIÓN INSUFICIENTE"</formula>
    </cfRule>
    <cfRule type="cellIs" dxfId="4099" priority="436" operator="equal">
      <formula>"NO ESTÁ ACORDE A ITEM 5.2.1 (T.R.)"</formula>
    </cfRule>
    <cfRule type="cellIs" dxfId="4098" priority="437" operator="equal">
      <formula>"ACORDE A ITEM 5.2.1 (T.R.)"</formula>
    </cfRule>
  </conditionalFormatting>
  <conditionalFormatting sqref="S16 S19 S22 S25">
    <cfRule type="cellIs" dxfId="4097" priority="428" operator="greaterThan">
      <formula>0</formula>
    </cfRule>
    <cfRule type="top10" dxfId="4096" priority="429" rank="10"/>
  </conditionalFormatting>
  <conditionalFormatting sqref="S35">
    <cfRule type="cellIs" dxfId="4095" priority="426" operator="greaterThan">
      <formula>0</formula>
    </cfRule>
    <cfRule type="top10" dxfId="4094" priority="427" rank="10"/>
  </conditionalFormatting>
  <conditionalFormatting sqref="S38 S41 S44 S47">
    <cfRule type="cellIs" dxfId="4093" priority="424" operator="greaterThan">
      <formula>0</formula>
    </cfRule>
    <cfRule type="top10" dxfId="4092" priority="425" rank="10"/>
  </conditionalFormatting>
  <conditionalFormatting sqref="S57 S60 S63 S66 S69">
    <cfRule type="cellIs" dxfId="4091" priority="422" operator="greaterThan">
      <formula>0</formula>
    </cfRule>
    <cfRule type="top10" dxfId="4090" priority="423" rank="10"/>
  </conditionalFormatting>
  <conditionalFormatting sqref="S79 S82 S85 S88">
    <cfRule type="cellIs" dxfId="4089" priority="420" operator="greaterThan">
      <formula>0</formula>
    </cfRule>
    <cfRule type="top10" dxfId="4088" priority="421" rank="10"/>
  </conditionalFormatting>
  <conditionalFormatting sqref="H16 H19 H22 H25">
    <cfRule type="notContainsBlanks" dxfId="4087" priority="419">
      <formula>LEN(TRIM(H16))&gt;0</formula>
    </cfRule>
  </conditionalFormatting>
  <conditionalFormatting sqref="N13">
    <cfRule type="expression" dxfId="4086" priority="416">
      <formula>N13=" "</formula>
    </cfRule>
    <cfRule type="expression" dxfId="4085" priority="417">
      <formula>N13="NO PRESENTÓ CERTIFICADO"</formula>
    </cfRule>
    <cfRule type="expression" dxfId="4084" priority="418">
      <formula>N13="PRESENTÓ CERTIFICADO"</formula>
    </cfRule>
  </conditionalFormatting>
  <conditionalFormatting sqref="Q13">
    <cfRule type="containsBlanks" dxfId="4083" priority="407">
      <formula>LEN(TRIM(Q13))=0</formula>
    </cfRule>
    <cfRule type="cellIs" dxfId="4082" priority="412" operator="equal">
      <formula>"REQUERIMIENTOS SUBSANADOS"</formula>
    </cfRule>
    <cfRule type="containsText" dxfId="4081" priority="413" operator="containsText" text="NO SUBSANABLE">
      <formula>NOT(ISERROR(SEARCH("NO SUBSANABLE",Q13)))</formula>
    </cfRule>
    <cfRule type="containsText" dxfId="4080" priority="414" operator="containsText" text="PENDIENTES POR SUBSANAR">
      <formula>NOT(ISERROR(SEARCH("PENDIENTES POR SUBSANAR",Q13)))</formula>
    </cfRule>
    <cfRule type="containsText" dxfId="4079" priority="415" operator="containsText" text="SIN OBSERVACIÓN">
      <formula>NOT(ISERROR(SEARCH("SIN OBSERVACIÓN",Q13)))</formula>
    </cfRule>
  </conditionalFormatting>
  <conditionalFormatting sqref="R13">
    <cfRule type="containsBlanks" dxfId="4078" priority="406">
      <formula>LEN(TRIM(R13))=0</formula>
    </cfRule>
    <cfRule type="cellIs" dxfId="4077" priority="408" operator="equal">
      <formula>"NO CUMPLEN CON LO SOLICITADO"</formula>
    </cfRule>
    <cfRule type="cellIs" dxfId="4076" priority="409" operator="equal">
      <formula>"CUMPLEN CON LO SOLICITADO"</formula>
    </cfRule>
    <cfRule type="cellIs" dxfId="4075" priority="410" operator="equal">
      <formula>"PENDIENTES"</formula>
    </cfRule>
    <cfRule type="cellIs" dxfId="4074" priority="411" operator="equal">
      <formula>"NINGUNO"</formula>
    </cfRule>
  </conditionalFormatting>
  <conditionalFormatting sqref="P13">
    <cfRule type="expression" dxfId="4073" priority="401">
      <formula>Q13="NO SUBSANABLE"</formula>
    </cfRule>
    <cfRule type="expression" dxfId="4072" priority="402">
      <formula>Q13="REQUERIMIENTOS SUBSANADOS"</formula>
    </cfRule>
    <cfRule type="expression" dxfId="4071" priority="403">
      <formula>Q13="PENDIENTES POR SUBSANAR"</formula>
    </cfRule>
    <cfRule type="expression" dxfId="4070" priority="404">
      <formula>Q13="SIN OBSERVACIÓN"</formula>
    </cfRule>
    <cfRule type="containsBlanks" dxfId="4069" priority="405">
      <formula>LEN(TRIM(P13))=0</formula>
    </cfRule>
  </conditionalFormatting>
  <conditionalFormatting sqref="O13">
    <cfRule type="cellIs" dxfId="4068" priority="393" operator="equal">
      <formula>"PENDIENTE POR DESCRIPCIÓN"</formula>
    </cfRule>
    <cfRule type="cellIs" dxfId="4067" priority="394" operator="equal">
      <formula>"DESCRIPCIÓN INSUFICIENTE"</formula>
    </cfRule>
    <cfRule type="cellIs" dxfId="4066" priority="395" operator="equal">
      <formula>"NO ESTÁ ACORDE A ITEM 5.2.2 (T.R.)"</formula>
    </cfRule>
    <cfRule type="cellIs" dxfId="4065" priority="396" operator="equal">
      <formula>"ACORDE A ITEM 5.2.2 (T.R.)"</formula>
    </cfRule>
    <cfRule type="cellIs" dxfId="4064" priority="397" operator="equal">
      <formula>"PENDIENTE POR DESCRIPCIÓN"</formula>
    </cfRule>
    <cfRule type="cellIs" dxfId="4063" priority="398" operator="equal">
      <formula>"DESCRIPCIÓN INSUFICIENTE"</formula>
    </cfRule>
    <cfRule type="cellIs" dxfId="4062" priority="399" operator="equal">
      <formula>"NO ESTÁ ACORDE A ITEM 5.2.1 (T.R.)"</formula>
    </cfRule>
    <cfRule type="cellIs" dxfId="4061" priority="400" operator="equal">
      <formula>"ACORDE A ITEM 5.2.1 (T.R.)"</formula>
    </cfRule>
  </conditionalFormatting>
  <conditionalFormatting sqref="N16">
    <cfRule type="expression" dxfId="4060" priority="390">
      <formula>N16=" "</formula>
    </cfRule>
    <cfRule type="expression" dxfId="4059" priority="391">
      <formula>N16="NO PRESENTÓ CERTIFICADO"</formula>
    </cfRule>
    <cfRule type="expression" dxfId="4058" priority="392">
      <formula>N16="PRESENTÓ CERTIFICADO"</formula>
    </cfRule>
  </conditionalFormatting>
  <conditionalFormatting sqref="Q16">
    <cfRule type="containsBlanks" dxfId="4057" priority="381">
      <formula>LEN(TRIM(Q16))=0</formula>
    </cfRule>
    <cfRule type="cellIs" dxfId="4056" priority="386" operator="equal">
      <formula>"REQUERIMIENTOS SUBSANADOS"</formula>
    </cfRule>
    <cfRule type="containsText" dxfId="4055" priority="387" operator="containsText" text="NO SUBSANABLE">
      <formula>NOT(ISERROR(SEARCH("NO SUBSANABLE",Q16)))</formula>
    </cfRule>
    <cfRule type="containsText" dxfId="4054" priority="388" operator="containsText" text="PENDIENTES POR SUBSANAR">
      <formula>NOT(ISERROR(SEARCH("PENDIENTES POR SUBSANAR",Q16)))</formula>
    </cfRule>
    <cfRule type="containsText" dxfId="4053" priority="389" operator="containsText" text="SIN OBSERVACIÓN">
      <formula>NOT(ISERROR(SEARCH("SIN OBSERVACIÓN",Q16)))</formula>
    </cfRule>
  </conditionalFormatting>
  <conditionalFormatting sqref="R16">
    <cfRule type="containsBlanks" dxfId="4052" priority="380">
      <formula>LEN(TRIM(R16))=0</formula>
    </cfRule>
    <cfRule type="cellIs" dxfId="4051" priority="382" operator="equal">
      <formula>"NO CUMPLEN CON LO SOLICITADO"</formula>
    </cfRule>
    <cfRule type="cellIs" dxfId="4050" priority="383" operator="equal">
      <formula>"CUMPLEN CON LO SOLICITADO"</formula>
    </cfRule>
    <cfRule type="cellIs" dxfId="4049" priority="384" operator="equal">
      <formula>"PENDIENTES"</formula>
    </cfRule>
    <cfRule type="cellIs" dxfId="4048" priority="385" operator="equal">
      <formula>"NINGUNO"</formula>
    </cfRule>
  </conditionalFormatting>
  <conditionalFormatting sqref="P16">
    <cfRule type="expression" dxfId="4047" priority="375">
      <formula>Q16="NO SUBSANABLE"</formula>
    </cfRule>
    <cfRule type="expression" dxfId="4046" priority="376">
      <formula>Q16="REQUERIMIENTOS SUBSANADOS"</formula>
    </cfRule>
    <cfRule type="expression" dxfId="4045" priority="377">
      <formula>Q16="PENDIENTES POR SUBSANAR"</formula>
    </cfRule>
    <cfRule type="expression" dxfId="4044" priority="378">
      <formula>Q16="SIN OBSERVACIÓN"</formula>
    </cfRule>
    <cfRule type="containsBlanks" dxfId="4043" priority="379">
      <formula>LEN(TRIM(P16))=0</formula>
    </cfRule>
  </conditionalFormatting>
  <conditionalFormatting sqref="O16">
    <cfRule type="cellIs" dxfId="4042" priority="367" operator="equal">
      <formula>"PENDIENTE POR DESCRIPCIÓN"</formula>
    </cfRule>
    <cfRule type="cellIs" dxfId="4041" priority="368" operator="equal">
      <formula>"DESCRIPCIÓN INSUFICIENTE"</formula>
    </cfRule>
    <cfRule type="cellIs" dxfId="4040" priority="369" operator="equal">
      <formula>"NO ESTÁ ACORDE A ITEM 5.2.2 (T.R.)"</formula>
    </cfRule>
    <cfRule type="cellIs" dxfId="4039" priority="370" operator="equal">
      <formula>"ACORDE A ITEM 5.2.2 (T.R.)"</formula>
    </cfRule>
    <cfRule type="cellIs" dxfId="4038" priority="371" operator="equal">
      <formula>"PENDIENTE POR DESCRIPCIÓN"</formula>
    </cfRule>
    <cfRule type="cellIs" dxfId="4037" priority="372" operator="equal">
      <formula>"DESCRIPCIÓN INSUFICIENTE"</formula>
    </cfRule>
    <cfRule type="cellIs" dxfId="4036" priority="373" operator="equal">
      <formula>"NO ESTÁ ACORDE A ITEM 5.2.1 (T.R.)"</formula>
    </cfRule>
    <cfRule type="cellIs" dxfId="4035" priority="374" operator="equal">
      <formula>"ACORDE A ITEM 5.2.1 (T.R.)"</formula>
    </cfRule>
  </conditionalFormatting>
  <conditionalFormatting sqref="N19">
    <cfRule type="expression" dxfId="4034" priority="364">
      <formula>N19=" "</formula>
    </cfRule>
    <cfRule type="expression" dxfId="4033" priority="365">
      <formula>N19="NO PRESENTÓ CERTIFICADO"</formula>
    </cfRule>
    <cfRule type="expression" dxfId="4032" priority="366">
      <formula>N19="PRESENTÓ CERTIFICADO"</formula>
    </cfRule>
  </conditionalFormatting>
  <conditionalFormatting sqref="Q19">
    <cfRule type="containsBlanks" dxfId="4031" priority="355">
      <formula>LEN(TRIM(Q19))=0</formula>
    </cfRule>
    <cfRule type="cellIs" dxfId="4030" priority="360" operator="equal">
      <formula>"REQUERIMIENTOS SUBSANADOS"</formula>
    </cfRule>
    <cfRule type="containsText" dxfId="4029" priority="361" operator="containsText" text="NO SUBSANABLE">
      <formula>NOT(ISERROR(SEARCH("NO SUBSANABLE",Q19)))</formula>
    </cfRule>
    <cfRule type="containsText" dxfId="4028" priority="362" operator="containsText" text="PENDIENTES POR SUBSANAR">
      <formula>NOT(ISERROR(SEARCH("PENDIENTES POR SUBSANAR",Q19)))</formula>
    </cfRule>
    <cfRule type="containsText" dxfId="4027" priority="363" operator="containsText" text="SIN OBSERVACIÓN">
      <formula>NOT(ISERROR(SEARCH("SIN OBSERVACIÓN",Q19)))</formula>
    </cfRule>
  </conditionalFormatting>
  <conditionalFormatting sqref="R19">
    <cfRule type="containsBlanks" dxfId="4026" priority="354">
      <formula>LEN(TRIM(R19))=0</formula>
    </cfRule>
    <cfRule type="cellIs" dxfId="4025" priority="356" operator="equal">
      <formula>"NO CUMPLEN CON LO SOLICITADO"</formula>
    </cfRule>
    <cfRule type="cellIs" dxfId="4024" priority="357" operator="equal">
      <formula>"CUMPLEN CON LO SOLICITADO"</formula>
    </cfRule>
    <cfRule type="cellIs" dxfId="4023" priority="358" operator="equal">
      <formula>"PENDIENTES"</formula>
    </cfRule>
    <cfRule type="cellIs" dxfId="4022" priority="359" operator="equal">
      <formula>"NINGUNO"</formula>
    </cfRule>
  </conditionalFormatting>
  <conditionalFormatting sqref="P19">
    <cfRule type="expression" dxfId="4021" priority="349">
      <formula>Q19="NO SUBSANABLE"</formula>
    </cfRule>
    <cfRule type="expression" dxfId="4020" priority="350">
      <formula>Q19="REQUERIMIENTOS SUBSANADOS"</formula>
    </cfRule>
    <cfRule type="expression" dxfId="4019" priority="351">
      <formula>Q19="PENDIENTES POR SUBSANAR"</formula>
    </cfRule>
    <cfRule type="expression" dxfId="4018" priority="352">
      <formula>Q19="SIN OBSERVACIÓN"</formula>
    </cfRule>
    <cfRule type="containsBlanks" dxfId="4017" priority="353">
      <formula>LEN(TRIM(P19))=0</formula>
    </cfRule>
  </conditionalFormatting>
  <conditionalFormatting sqref="O19">
    <cfRule type="cellIs" dxfId="4016" priority="341" operator="equal">
      <formula>"PENDIENTE POR DESCRIPCIÓN"</formula>
    </cfRule>
    <cfRule type="cellIs" dxfId="4015" priority="342" operator="equal">
      <formula>"DESCRIPCIÓN INSUFICIENTE"</formula>
    </cfRule>
    <cfRule type="cellIs" dxfId="4014" priority="343" operator="equal">
      <formula>"NO ESTÁ ACORDE A ITEM 5.2.2 (T.R.)"</formula>
    </cfRule>
    <cfRule type="cellIs" dxfId="4013" priority="344" operator="equal">
      <formula>"ACORDE A ITEM 5.2.2 (T.R.)"</formula>
    </cfRule>
    <cfRule type="cellIs" dxfId="4012" priority="345" operator="equal">
      <formula>"PENDIENTE POR DESCRIPCIÓN"</formula>
    </cfRule>
    <cfRule type="cellIs" dxfId="4011" priority="346" operator="equal">
      <formula>"DESCRIPCIÓN INSUFICIENTE"</formula>
    </cfRule>
    <cfRule type="cellIs" dxfId="4010" priority="347" operator="equal">
      <formula>"NO ESTÁ ACORDE A ITEM 5.2.1 (T.R.)"</formula>
    </cfRule>
    <cfRule type="cellIs" dxfId="4009" priority="348" operator="equal">
      <formula>"ACORDE A ITEM 5.2.1 (T.R.)"</formula>
    </cfRule>
  </conditionalFormatting>
  <conditionalFormatting sqref="N22">
    <cfRule type="expression" dxfId="4008" priority="338">
      <formula>N22=" "</formula>
    </cfRule>
    <cfRule type="expression" dxfId="4007" priority="339">
      <formula>N22="NO PRESENTÓ CERTIFICADO"</formula>
    </cfRule>
    <cfRule type="expression" dxfId="4006" priority="340">
      <formula>N22="PRESENTÓ CERTIFICADO"</formula>
    </cfRule>
  </conditionalFormatting>
  <conditionalFormatting sqref="Q22">
    <cfRule type="containsBlanks" dxfId="4005" priority="329">
      <formula>LEN(TRIM(Q22))=0</formula>
    </cfRule>
    <cfRule type="cellIs" dxfId="4004" priority="334" operator="equal">
      <formula>"REQUERIMIENTOS SUBSANADOS"</formula>
    </cfRule>
    <cfRule type="containsText" dxfId="4003" priority="335" operator="containsText" text="NO SUBSANABLE">
      <formula>NOT(ISERROR(SEARCH("NO SUBSANABLE",Q22)))</formula>
    </cfRule>
    <cfRule type="containsText" dxfId="4002" priority="336" operator="containsText" text="PENDIENTES POR SUBSANAR">
      <formula>NOT(ISERROR(SEARCH("PENDIENTES POR SUBSANAR",Q22)))</formula>
    </cfRule>
    <cfRule type="containsText" dxfId="4001" priority="337" operator="containsText" text="SIN OBSERVACIÓN">
      <formula>NOT(ISERROR(SEARCH("SIN OBSERVACIÓN",Q22)))</formula>
    </cfRule>
  </conditionalFormatting>
  <conditionalFormatting sqref="R22">
    <cfRule type="containsBlanks" dxfId="4000" priority="328">
      <formula>LEN(TRIM(R22))=0</formula>
    </cfRule>
    <cfRule type="cellIs" dxfId="3999" priority="330" operator="equal">
      <formula>"NO CUMPLEN CON LO SOLICITADO"</formula>
    </cfRule>
    <cfRule type="cellIs" dxfId="3998" priority="331" operator="equal">
      <formula>"CUMPLEN CON LO SOLICITADO"</formula>
    </cfRule>
    <cfRule type="cellIs" dxfId="3997" priority="332" operator="equal">
      <formula>"PENDIENTES"</formula>
    </cfRule>
    <cfRule type="cellIs" dxfId="3996" priority="333" operator="equal">
      <formula>"NINGUNO"</formula>
    </cfRule>
  </conditionalFormatting>
  <conditionalFormatting sqref="P22">
    <cfRule type="expression" dxfId="3995" priority="323">
      <formula>Q22="NO SUBSANABLE"</formula>
    </cfRule>
    <cfRule type="expression" dxfId="3994" priority="324">
      <formula>Q22="REQUERIMIENTOS SUBSANADOS"</formula>
    </cfRule>
    <cfRule type="expression" dxfId="3993" priority="325">
      <formula>Q22="PENDIENTES POR SUBSANAR"</formula>
    </cfRule>
    <cfRule type="expression" dxfId="3992" priority="326">
      <formula>Q22="SIN OBSERVACIÓN"</formula>
    </cfRule>
    <cfRule type="containsBlanks" dxfId="3991" priority="327">
      <formula>LEN(TRIM(P22))=0</formula>
    </cfRule>
  </conditionalFormatting>
  <conditionalFormatting sqref="O22">
    <cfRule type="cellIs" dxfId="3990" priority="315" operator="equal">
      <formula>"PENDIENTE POR DESCRIPCIÓN"</formula>
    </cfRule>
    <cfRule type="cellIs" dxfId="3989" priority="316" operator="equal">
      <formula>"DESCRIPCIÓN INSUFICIENTE"</formula>
    </cfRule>
    <cfRule type="cellIs" dxfId="3988" priority="317" operator="equal">
      <formula>"NO ESTÁ ACORDE A ITEM 5.2.2 (T.R.)"</formula>
    </cfRule>
    <cfRule type="cellIs" dxfId="3987" priority="318" operator="equal">
      <formula>"ACORDE A ITEM 5.2.2 (T.R.)"</formula>
    </cfRule>
    <cfRule type="cellIs" dxfId="3986" priority="319" operator="equal">
      <formula>"PENDIENTE POR DESCRIPCIÓN"</formula>
    </cfRule>
    <cfRule type="cellIs" dxfId="3985" priority="320" operator="equal">
      <formula>"DESCRIPCIÓN INSUFICIENTE"</formula>
    </cfRule>
    <cfRule type="cellIs" dxfId="3984" priority="321" operator="equal">
      <formula>"NO ESTÁ ACORDE A ITEM 5.2.1 (T.R.)"</formula>
    </cfRule>
    <cfRule type="cellIs" dxfId="3983" priority="322" operator="equal">
      <formula>"ACORDE A ITEM 5.2.1 (T.R.)"</formula>
    </cfRule>
  </conditionalFormatting>
  <conditionalFormatting sqref="J25">
    <cfRule type="cellIs" dxfId="3982" priority="313" operator="equal">
      <formula>"NO CUMPLE"</formula>
    </cfRule>
    <cfRule type="cellIs" dxfId="3981" priority="314" operator="equal">
      <formula>"CUMPLE"</formula>
    </cfRule>
  </conditionalFormatting>
  <conditionalFormatting sqref="J26">
    <cfRule type="cellIs" dxfId="3980" priority="311" operator="equal">
      <formula>"NO CUMPLE"</formula>
    </cfRule>
    <cfRule type="cellIs" dxfId="3979" priority="312" operator="equal">
      <formula>"CUMPLE"</formula>
    </cfRule>
  </conditionalFormatting>
  <conditionalFormatting sqref="J27">
    <cfRule type="cellIs" dxfId="3978" priority="309" operator="equal">
      <formula>"NO CUMPLE"</formula>
    </cfRule>
    <cfRule type="cellIs" dxfId="3977" priority="310" operator="equal">
      <formula>"CUMPLE"</formula>
    </cfRule>
  </conditionalFormatting>
  <conditionalFormatting sqref="J16:J20">
    <cfRule type="cellIs" dxfId="3976" priority="307" operator="equal">
      <formula>"NO CUMPLE"</formula>
    </cfRule>
    <cfRule type="cellIs" dxfId="3975" priority="308" operator="equal">
      <formula>"CUMPLE"</formula>
    </cfRule>
  </conditionalFormatting>
  <conditionalFormatting sqref="J21">
    <cfRule type="cellIs" dxfId="3974" priority="305" operator="equal">
      <formula>"NO CUMPLE"</formula>
    </cfRule>
    <cfRule type="cellIs" dxfId="3973" priority="306" operator="equal">
      <formula>"CUMPLE"</formula>
    </cfRule>
  </conditionalFormatting>
  <conditionalFormatting sqref="J22">
    <cfRule type="cellIs" dxfId="3972" priority="303" operator="equal">
      <formula>"NO CUMPLE"</formula>
    </cfRule>
    <cfRule type="cellIs" dxfId="3971" priority="304" operator="equal">
      <formula>"CUMPLE"</formula>
    </cfRule>
  </conditionalFormatting>
  <conditionalFormatting sqref="J23">
    <cfRule type="cellIs" dxfId="3970" priority="301" operator="equal">
      <formula>"NO CUMPLE"</formula>
    </cfRule>
    <cfRule type="cellIs" dxfId="3969" priority="302" operator="equal">
      <formula>"CUMPLE"</formula>
    </cfRule>
  </conditionalFormatting>
  <conditionalFormatting sqref="J24">
    <cfRule type="cellIs" dxfId="3968" priority="299" operator="equal">
      <formula>"NO CUMPLE"</formula>
    </cfRule>
    <cfRule type="cellIs" dxfId="3967" priority="300" operator="equal">
      <formula>"CUMPLE"</formula>
    </cfRule>
  </conditionalFormatting>
  <conditionalFormatting sqref="U16:U27">
    <cfRule type="cellIs" dxfId="3966" priority="297" operator="equal">
      <formula>0</formula>
    </cfRule>
    <cfRule type="cellIs" dxfId="3965" priority="298" operator="equal">
      <formula>1</formula>
    </cfRule>
  </conditionalFormatting>
  <conditionalFormatting sqref="H38">
    <cfRule type="notContainsBlanks" dxfId="3964" priority="296">
      <formula>LEN(TRIM(H38))&gt;0</formula>
    </cfRule>
  </conditionalFormatting>
  <conditionalFormatting sqref="I38">
    <cfRule type="notContainsBlanks" dxfId="3963" priority="295">
      <formula>LEN(TRIM(I38))&gt;0</formula>
    </cfRule>
  </conditionalFormatting>
  <conditionalFormatting sqref="N35">
    <cfRule type="expression" dxfId="3962" priority="266">
      <formula>N35=" "</formula>
    </cfRule>
    <cfRule type="expression" dxfId="3961" priority="267">
      <formula>N35="NO PRESENTÓ CERTIFICADO"</formula>
    </cfRule>
    <cfRule type="expression" dxfId="3960" priority="268">
      <formula>N35="PRESENTÓ CERTIFICADO"</formula>
    </cfRule>
  </conditionalFormatting>
  <conditionalFormatting sqref="Q35">
    <cfRule type="containsBlanks" dxfId="3959" priority="257">
      <formula>LEN(TRIM(Q35))=0</formula>
    </cfRule>
    <cfRule type="cellIs" dxfId="3958" priority="262" operator="equal">
      <formula>"REQUERIMIENTOS SUBSANADOS"</formula>
    </cfRule>
    <cfRule type="containsText" dxfId="3957" priority="263" operator="containsText" text="NO SUBSANABLE">
      <formula>NOT(ISERROR(SEARCH("NO SUBSANABLE",Q35)))</formula>
    </cfRule>
    <cfRule type="containsText" dxfId="3956" priority="264" operator="containsText" text="PENDIENTES POR SUBSANAR">
      <formula>NOT(ISERROR(SEARCH("PENDIENTES POR SUBSANAR",Q35)))</formula>
    </cfRule>
    <cfRule type="containsText" dxfId="3955" priority="265" operator="containsText" text="SIN OBSERVACIÓN">
      <formula>NOT(ISERROR(SEARCH("SIN OBSERVACIÓN",Q35)))</formula>
    </cfRule>
  </conditionalFormatting>
  <conditionalFormatting sqref="R35">
    <cfRule type="containsBlanks" dxfId="3954" priority="256">
      <formula>LEN(TRIM(R35))=0</formula>
    </cfRule>
    <cfRule type="cellIs" dxfId="3953" priority="258" operator="equal">
      <formula>"NO CUMPLEN CON LO SOLICITADO"</formula>
    </cfRule>
    <cfRule type="cellIs" dxfId="3952" priority="259" operator="equal">
      <formula>"CUMPLEN CON LO SOLICITADO"</formula>
    </cfRule>
    <cfRule type="cellIs" dxfId="3951" priority="260" operator="equal">
      <formula>"PENDIENTES"</formula>
    </cfRule>
    <cfRule type="cellIs" dxfId="3950" priority="261" operator="equal">
      <formula>"NINGUNO"</formula>
    </cfRule>
  </conditionalFormatting>
  <conditionalFormatting sqref="P35">
    <cfRule type="expression" dxfId="3949" priority="251">
      <formula>Q35="NO SUBSANABLE"</formula>
    </cfRule>
    <cfRule type="expression" dxfId="3948" priority="252">
      <formula>Q35="REQUERIMIENTOS SUBSANADOS"</formula>
    </cfRule>
    <cfRule type="expression" dxfId="3947" priority="253">
      <formula>Q35="PENDIENTES POR SUBSANAR"</formula>
    </cfRule>
    <cfRule type="expression" dxfId="3946" priority="254">
      <formula>Q35="SIN OBSERVACIÓN"</formula>
    </cfRule>
    <cfRule type="containsBlanks" dxfId="3945" priority="255">
      <formula>LEN(TRIM(P35))=0</formula>
    </cfRule>
  </conditionalFormatting>
  <conditionalFormatting sqref="O35">
    <cfRule type="cellIs" dxfId="3944" priority="243" operator="equal">
      <formula>"PENDIENTE POR DESCRIPCIÓN"</formula>
    </cfRule>
    <cfRule type="cellIs" dxfId="3943" priority="244" operator="equal">
      <formula>"DESCRIPCIÓN INSUFICIENTE"</formula>
    </cfRule>
    <cfRule type="cellIs" dxfId="3942" priority="245" operator="equal">
      <formula>"NO ESTÁ ACORDE A ITEM 5.2.2 (T.R.)"</formula>
    </cfRule>
    <cfRule type="cellIs" dxfId="3941" priority="246" operator="equal">
      <formula>"ACORDE A ITEM 5.2.2 (T.R.)"</formula>
    </cfRule>
    <cfRule type="cellIs" dxfId="3940" priority="247" operator="equal">
      <formula>"PENDIENTE POR DESCRIPCIÓN"</formula>
    </cfRule>
    <cfRule type="cellIs" dxfId="3939" priority="248" operator="equal">
      <formula>"DESCRIPCIÓN INSUFICIENTE"</formula>
    </cfRule>
    <cfRule type="cellIs" dxfId="3938" priority="249" operator="equal">
      <formula>"NO ESTÁ ACORDE A ITEM 5.2.1 (T.R.)"</formula>
    </cfRule>
    <cfRule type="cellIs" dxfId="3937" priority="250" operator="equal">
      <formula>"ACORDE A ITEM 5.2.1 (T.R.)"</formula>
    </cfRule>
  </conditionalFormatting>
  <conditionalFormatting sqref="N38">
    <cfRule type="expression" dxfId="3936" priority="240">
      <formula>N38=" "</formula>
    </cfRule>
    <cfRule type="expression" dxfId="3935" priority="241">
      <formula>N38="NO PRESENTÓ CERTIFICADO"</formula>
    </cfRule>
    <cfRule type="expression" dxfId="3934" priority="242">
      <formula>N38="PRESENTÓ CERTIFICADO"</formula>
    </cfRule>
  </conditionalFormatting>
  <conditionalFormatting sqref="Q38">
    <cfRule type="containsBlanks" dxfId="3933" priority="231">
      <formula>LEN(TRIM(Q38))=0</formula>
    </cfRule>
    <cfRule type="cellIs" dxfId="3932" priority="236" operator="equal">
      <formula>"REQUERIMIENTOS SUBSANADOS"</formula>
    </cfRule>
    <cfRule type="containsText" dxfId="3931" priority="237" operator="containsText" text="NO SUBSANABLE">
      <formula>NOT(ISERROR(SEARCH("NO SUBSANABLE",Q38)))</formula>
    </cfRule>
    <cfRule type="containsText" dxfId="3930" priority="238" operator="containsText" text="PENDIENTES POR SUBSANAR">
      <formula>NOT(ISERROR(SEARCH("PENDIENTES POR SUBSANAR",Q38)))</formula>
    </cfRule>
    <cfRule type="containsText" dxfId="3929" priority="239" operator="containsText" text="SIN OBSERVACIÓN">
      <formula>NOT(ISERROR(SEARCH("SIN OBSERVACIÓN",Q38)))</formula>
    </cfRule>
  </conditionalFormatting>
  <conditionalFormatting sqref="R38">
    <cfRule type="containsBlanks" dxfId="3928" priority="230">
      <formula>LEN(TRIM(R38))=0</formula>
    </cfRule>
    <cfRule type="cellIs" dxfId="3927" priority="232" operator="equal">
      <formula>"NO CUMPLEN CON LO SOLICITADO"</formula>
    </cfRule>
    <cfRule type="cellIs" dxfId="3926" priority="233" operator="equal">
      <formula>"CUMPLEN CON LO SOLICITADO"</formula>
    </cfRule>
    <cfRule type="cellIs" dxfId="3925" priority="234" operator="equal">
      <formula>"PENDIENTES"</formula>
    </cfRule>
    <cfRule type="cellIs" dxfId="3924" priority="235" operator="equal">
      <formula>"NINGUNO"</formula>
    </cfRule>
  </conditionalFormatting>
  <conditionalFormatting sqref="P38">
    <cfRule type="expression" dxfId="3923" priority="225">
      <formula>Q38="NO SUBSANABLE"</formula>
    </cfRule>
    <cfRule type="expression" dxfId="3922" priority="226">
      <formula>Q38="REQUERIMIENTOS SUBSANADOS"</formula>
    </cfRule>
    <cfRule type="expression" dxfId="3921" priority="227">
      <formula>Q38="PENDIENTES POR SUBSANAR"</formula>
    </cfRule>
    <cfRule type="expression" dxfId="3920" priority="228">
      <formula>Q38="SIN OBSERVACIÓN"</formula>
    </cfRule>
    <cfRule type="containsBlanks" dxfId="3919" priority="229">
      <formula>LEN(TRIM(P38))=0</formula>
    </cfRule>
  </conditionalFormatting>
  <conditionalFormatting sqref="O38">
    <cfRule type="cellIs" dxfId="3918" priority="217" operator="equal">
      <formula>"PENDIENTE POR DESCRIPCIÓN"</formula>
    </cfRule>
    <cfRule type="cellIs" dxfId="3917" priority="218" operator="equal">
      <formula>"DESCRIPCIÓN INSUFICIENTE"</formula>
    </cfRule>
    <cfRule type="cellIs" dxfId="3916" priority="219" operator="equal">
      <formula>"NO ESTÁ ACORDE A ITEM 5.2.2 (T.R.)"</formula>
    </cfRule>
    <cfRule type="cellIs" dxfId="3915" priority="220" operator="equal">
      <formula>"ACORDE A ITEM 5.2.2 (T.R.)"</formula>
    </cfRule>
    <cfRule type="cellIs" dxfId="3914" priority="221" operator="equal">
      <formula>"PENDIENTE POR DESCRIPCIÓN"</formula>
    </cfRule>
    <cfRule type="cellIs" dxfId="3913" priority="222" operator="equal">
      <formula>"DESCRIPCIÓN INSUFICIENTE"</formula>
    </cfRule>
    <cfRule type="cellIs" dxfId="3912" priority="223" operator="equal">
      <formula>"NO ESTÁ ACORDE A ITEM 5.2.1 (T.R.)"</formula>
    </cfRule>
    <cfRule type="cellIs" dxfId="3911" priority="224" operator="equal">
      <formula>"ACORDE A ITEM 5.2.1 (T.R.)"</formula>
    </cfRule>
  </conditionalFormatting>
  <conditionalFormatting sqref="P66 P69">
    <cfRule type="expression" dxfId="3910" priority="212">
      <formula>Q66="NO SUBSANABLE"</formula>
    </cfRule>
    <cfRule type="expression" dxfId="3909" priority="213">
      <formula>Q66="REQUERIMIENTOS SUBSANADOS"</formula>
    </cfRule>
    <cfRule type="expression" dxfId="3908" priority="214">
      <formula>Q66="PENDIENTES POR SUBSANAR"</formula>
    </cfRule>
    <cfRule type="expression" dxfId="3907" priority="215">
      <formula>Q66="SIN OBSERVACIÓN"</formula>
    </cfRule>
    <cfRule type="containsBlanks" dxfId="3906" priority="216">
      <formula>LEN(TRIM(P66))=0</formula>
    </cfRule>
  </conditionalFormatting>
  <conditionalFormatting sqref="H82 H85 H88 H91">
    <cfRule type="notContainsBlanks" dxfId="3905" priority="209">
      <formula>LEN(TRIM(H82))&gt;0</formula>
    </cfRule>
  </conditionalFormatting>
  <conditionalFormatting sqref="I82 I85 I88 I91">
    <cfRule type="notContainsBlanks" dxfId="3904" priority="208">
      <formula>LEN(TRIM(I82))&gt;0</formula>
    </cfRule>
  </conditionalFormatting>
  <conditionalFormatting sqref="J88:J90">
    <cfRule type="cellIs" dxfId="3903" priority="206" operator="equal">
      <formula>"NO CUMPLE"</formula>
    </cfRule>
    <cfRule type="cellIs" dxfId="3902" priority="207" operator="equal">
      <formula>"CUMPLE"</formula>
    </cfRule>
  </conditionalFormatting>
  <conditionalFormatting sqref="J91:J93">
    <cfRule type="cellIs" dxfId="3901" priority="204" operator="equal">
      <formula>"NO CUMPLE"</formula>
    </cfRule>
    <cfRule type="cellIs" dxfId="3900" priority="205" operator="equal">
      <formula>"CUMPLE"</formula>
    </cfRule>
  </conditionalFormatting>
  <conditionalFormatting sqref="N82">
    <cfRule type="expression" dxfId="3899" priority="201">
      <formula>N82=" "</formula>
    </cfRule>
    <cfRule type="expression" dxfId="3898" priority="202">
      <formula>N82="NO PRESENTÓ CERTIFICADO"</formula>
    </cfRule>
    <cfRule type="expression" dxfId="3897" priority="203">
      <formula>N82="PRESENTÓ CERTIFICADO"</formula>
    </cfRule>
  </conditionalFormatting>
  <conditionalFormatting sqref="Q82">
    <cfRule type="containsBlanks" dxfId="3896" priority="192">
      <formula>LEN(TRIM(Q82))=0</formula>
    </cfRule>
    <cfRule type="cellIs" dxfId="3895" priority="197" operator="equal">
      <formula>"REQUERIMIENTOS SUBSANADOS"</formula>
    </cfRule>
    <cfRule type="containsText" dxfId="3894" priority="198" operator="containsText" text="NO SUBSANABLE">
      <formula>NOT(ISERROR(SEARCH("NO SUBSANABLE",Q82)))</formula>
    </cfRule>
    <cfRule type="containsText" dxfId="3893" priority="199" operator="containsText" text="PENDIENTES POR SUBSANAR">
      <formula>NOT(ISERROR(SEARCH("PENDIENTES POR SUBSANAR",Q82)))</formula>
    </cfRule>
    <cfRule type="containsText" dxfId="3892" priority="200" operator="containsText" text="SIN OBSERVACIÓN">
      <formula>NOT(ISERROR(SEARCH("SIN OBSERVACIÓN",Q82)))</formula>
    </cfRule>
  </conditionalFormatting>
  <conditionalFormatting sqref="R82">
    <cfRule type="containsBlanks" dxfId="3891" priority="191">
      <formula>LEN(TRIM(R82))=0</formula>
    </cfRule>
    <cfRule type="cellIs" dxfId="3890" priority="193" operator="equal">
      <formula>"NO CUMPLEN CON LO SOLICITADO"</formula>
    </cfRule>
    <cfRule type="cellIs" dxfId="3889" priority="194" operator="equal">
      <formula>"CUMPLEN CON LO SOLICITADO"</formula>
    </cfRule>
    <cfRule type="cellIs" dxfId="3888" priority="195" operator="equal">
      <formula>"PENDIENTES"</formula>
    </cfRule>
    <cfRule type="cellIs" dxfId="3887" priority="196" operator="equal">
      <formula>"NINGUNO"</formula>
    </cfRule>
  </conditionalFormatting>
  <conditionalFormatting sqref="P82">
    <cfRule type="expression" dxfId="3886" priority="186">
      <formula>Q82="NO SUBSANABLE"</formula>
    </cfRule>
    <cfRule type="expression" dxfId="3885" priority="187">
      <formula>Q82="REQUERIMIENTOS SUBSANADOS"</formula>
    </cfRule>
    <cfRule type="expression" dxfId="3884" priority="188">
      <formula>Q82="PENDIENTES POR SUBSANAR"</formula>
    </cfRule>
    <cfRule type="expression" dxfId="3883" priority="189">
      <formula>Q82="SIN OBSERVACIÓN"</formula>
    </cfRule>
    <cfRule type="containsBlanks" dxfId="3882" priority="190">
      <formula>LEN(TRIM(P82))=0</formula>
    </cfRule>
  </conditionalFormatting>
  <conditionalFormatting sqref="O82">
    <cfRule type="cellIs" dxfId="3881" priority="178" operator="equal">
      <formula>"PENDIENTE POR DESCRIPCIÓN"</formula>
    </cfRule>
    <cfRule type="cellIs" dxfId="3880" priority="179" operator="equal">
      <formula>"DESCRIPCIÓN INSUFICIENTE"</formula>
    </cfRule>
    <cfRule type="cellIs" dxfId="3879" priority="180" operator="equal">
      <formula>"NO ESTÁ ACORDE A ITEM 5.2.2 (T.R.)"</formula>
    </cfRule>
    <cfRule type="cellIs" dxfId="3878" priority="181" operator="equal">
      <formula>"ACORDE A ITEM 5.2.2 (T.R.)"</formula>
    </cfRule>
    <cfRule type="cellIs" dxfId="3877" priority="182" operator="equal">
      <formula>"PENDIENTE POR DESCRIPCIÓN"</formula>
    </cfRule>
    <cfRule type="cellIs" dxfId="3876" priority="183" operator="equal">
      <formula>"DESCRIPCIÓN INSUFICIENTE"</formula>
    </cfRule>
    <cfRule type="cellIs" dxfId="3875" priority="184" operator="equal">
      <formula>"NO ESTÁ ACORDE A ITEM 5.2.1 (T.R.)"</formula>
    </cfRule>
    <cfRule type="cellIs" dxfId="3874" priority="185" operator="equal">
      <formula>"ACORDE A ITEM 5.2.1 (T.R.)"</formula>
    </cfRule>
  </conditionalFormatting>
  <conditionalFormatting sqref="N91">
    <cfRule type="expression" dxfId="3873" priority="175">
      <formula>N91=" "</formula>
    </cfRule>
    <cfRule type="expression" dxfId="3872" priority="176">
      <formula>N91="NO PRESENTÓ CERTIFICADO"</formula>
    </cfRule>
    <cfRule type="expression" dxfId="3871" priority="177">
      <formula>N91="PRESENTÓ CERTIFICADO"</formula>
    </cfRule>
  </conditionalFormatting>
  <conditionalFormatting sqref="O91">
    <cfRule type="cellIs" dxfId="3870" priority="167" operator="equal">
      <formula>"PENDIENTE POR DESCRIPCIÓN"</formula>
    </cfRule>
    <cfRule type="cellIs" dxfId="3869" priority="168" operator="equal">
      <formula>"DESCRIPCIÓN INSUFICIENTE"</formula>
    </cfRule>
    <cfRule type="cellIs" dxfId="3868" priority="169" operator="equal">
      <formula>"NO ESTÁ ACORDE A ITEM 5.2.2 (T.R.)"</formula>
    </cfRule>
    <cfRule type="cellIs" dxfId="3867" priority="170" operator="equal">
      <formula>"ACORDE A ITEM 5.2.2 (T.R.)"</formula>
    </cfRule>
    <cfRule type="cellIs" dxfId="3866" priority="171" operator="equal">
      <formula>"PENDIENTE POR DESCRIPCIÓN"</formula>
    </cfRule>
    <cfRule type="cellIs" dxfId="3865" priority="172" operator="equal">
      <formula>"DESCRIPCIÓN INSUFICIENTE"</formula>
    </cfRule>
    <cfRule type="cellIs" dxfId="3864" priority="173" operator="equal">
      <formula>"NO ESTÁ ACORDE A ITEM 5.2.1 (T.R.)"</formula>
    </cfRule>
    <cfRule type="cellIs" dxfId="3863" priority="174" operator="equal">
      <formula>"ACORDE A ITEM 5.2.1 (T.R.)"</formula>
    </cfRule>
  </conditionalFormatting>
  <conditionalFormatting sqref="N85">
    <cfRule type="expression" dxfId="3852" priority="154">
      <formula>N85=" "</formula>
    </cfRule>
    <cfRule type="expression" dxfId="3851" priority="155">
      <formula>N85="NO PRESENTÓ CERTIFICADO"</formula>
    </cfRule>
    <cfRule type="expression" dxfId="3850" priority="156">
      <formula>N85="PRESENTÓ CERTIFICADO"</formula>
    </cfRule>
  </conditionalFormatting>
  <conditionalFormatting sqref="Q85">
    <cfRule type="containsBlanks" dxfId="3849" priority="145">
      <formula>LEN(TRIM(Q85))=0</formula>
    </cfRule>
    <cfRule type="cellIs" dxfId="3848" priority="150" operator="equal">
      <formula>"REQUERIMIENTOS SUBSANADOS"</formula>
    </cfRule>
    <cfRule type="containsText" dxfId="3847" priority="151" operator="containsText" text="NO SUBSANABLE">
      <formula>NOT(ISERROR(SEARCH("NO SUBSANABLE",Q85)))</formula>
    </cfRule>
    <cfRule type="containsText" dxfId="3846" priority="152" operator="containsText" text="PENDIENTES POR SUBSANAR">
      <formula>NOT(ISERROR(SEARCH("PENDIENTES POR SUBSANAR",Q85)))</formula>
    </cfRule>
    <cfRule type="containsText" dxfId="3845" priority="153" operator="containsText" text="SIN OBSERVACIÓN">
      <formula>NOT(ISERROR(SEARCH("SIN OBSERVACIÓN",Q85)))</formula>
    </cfRule>
  </conditionalFormatting>
  <conditionalFormatting sqref="R85">
    <cfRule type="containsBlanks" dxfId="3844" priority="144">
      <formula>LEN(TRIM(R85))=0</formula>
    </cfRule>
    <cfRule type="cellIs" dxfId="3843" priority="146" operator="equal">
      <formula>"NO CUMPLEN CON LO SOLICITADO"</formula>
    </cfRule>
    <cfRule type="cellIs" dxfId="3842" priority="147" operator="equal">
      <formula>"CUMPLEN CON LO SOLICITADO"</formula>
    </cfRule>
    <cfRule type="cellIs" dxfId="3841" priority="148" operator="equal">
      <formula>"PENDIENTES"</formula>
    </cfRule>
    <cfRule type="cellIs" dxfId="3840" priority="149" operator="equal">
      <formula>"NINGUNO"</formula>
    </cfRule>
  </conditionalFormatting>
  <conditionalFormatting sqref="P85">
    <cfRule type="expression" dxfId="3839" priority="139">
      <formula>Q85="NO SUBSANABLE"</formula>
    </cfRule>
    <cfRule type="expression" dxfId="3838" priority="140">
      <formula>Q85="REQUERIMIENTOS SUBSANADOS"</formula>
    </cfRule>
    <cfRule type="expression" dxfId="3837" priority="141">
      <formula>Q85="PENDIENTES POR SUBSANAR"</formula>
    </cfRule>
    <cfRule type="expression" dxfId="3836" priority="142">
      <formula>Q85="SIN OBSERVACIÓN"</formula>
    </cfRule>
    <cfRule type="containsBlanks" dxfId="3835" priority="143">
      <formula>LEN(TRIM(P85))=0</formula>
    </cfRule>
  </conditionalFormatting>
  <conditionalFormatting sqref="O85">
    <cfRule type="cellIs" dxfId="3834" priority="131" operator="equal">
      <formula>"PENDIENTE POR DESCRIPCIÓN"</formula>
    </cfRule>
    <cfRule type="cellIs" dxfId="3833" priority="132" operator="equal">
      <formula>"DESCRIPCIÓN INSUFICIENTE"</formula>
    </cfRule>
    <cfRule type="cellIs" dxfId="3832" priority="133" operator="equal">
      <formula>"NO ESTÁ ACORDE A ITEM 5.2.2 (T.R.)"</formula>
    </cfRule>
    <cfRule type="cellIs" dxfId="3831" priority="134" operator="equal">
      <formula>"ACORDE A ITEM 5.2.2 (T.R.)"</formula>
    </cfRule>
    <cfRule type="cellIs" dxfId="3830" priority="135" operator="equal">
      <formula>"PENDIENTE POR DESCRIPCIÓN"</formula>
    </cfRule>
    <cfRule type="cellIs" dxfId="3829" priority="136" operator="equal">
      <formula>"DESCRIPCIÓN INSUFICIENTE"</formula>
    </cfRule>
    <cfRule type="cellIs" dxfId="3828" priority="137" operator="equal">
      <formula>"NO ESTÁ ACORDE A ITEM 5.2.1 (T.R.)"</formula>
    </cfRule>
    <cfRule type="cellIs" dxfId="3827" priority="138" operator="equal">
      <formula>"ACORDE A ITEM 5.2.1 (T.R.)"</formula>
    </cfRule>
  </conditionalFormatting>
  <conditionalFormatting sqref="N88">
    <cfRule type="expression" dxfId="3826" priority="128">
      <formula>N88=" "</formula>
    </cfRule>
    <cfRule type="expression" dxfId="3825" priority="129">
      <formula>N88="NO PRESENTÓ CERTIFICADO"</formula>
    </cfRule>
    <cfRule type="expression" dxfId="3824" priority="130">
      <formula>N88="PRESENTÓ CERTIFICADO"</formula>
    </cfRule>
  </conditionalFormatting>
  <conditionalFormatting sqref="Q88">
    <cfRule type="containsBlanks" dxfId="3823" priority="119">
      <formula>LEN(TRIM(Q88))=0</formula>
    </cfRule>
    <cfRule type="cellIs" dxfId="3822" priority="124" operator="equal">
      <formula>"REQUERIMIENTOS SUBSANADOS"</formula>
    </cfRule>
    <cfRule type="containsText" dxfId="3821" priority="125" operator="containsText" text="NO SUBSANABLE">
      <formula>NOT(ISERROR(SEARCH("NO SUBSANABLE",Q88)))</formula>
    </cfRule>
    <cfRule type="containsText" dxfId="3820" priority="126" operator="containsText" text="PENDIENTES POR SUBSANAR">
      <formula>NOT(ISERROR(SEARCH("PENDIENTES POR SUBSANAR",Q88)))</formula>
    </cfRule>
    <cfRule type="containsText" dxfId="3819" priority="127" operator="containsText" text="SIN OBSERVACIÓN">
      <formula>NOT(ISERROR(SEARCH("SIN OBSERVACIÓN",Q88)))</formula>
    </cfRule>
  </conditionalFormatting>
  <conditionalFormatting sqref="R88">
    <cfRule type="containsBlanks" dxfId="3818" priority="118">
      <formula>LEN(TRIM(R88))=0</formula>
    </cfRule>
    <cfRule type="cellIs" dxfId="3817" priority="120" operator="equal">
      <formula>"NO CUMPLEN CON LO SOLICITADO"</formula>
    </cfRule>
    <cfRule type="cellIs" dxfId="3816" priority="121" operator="equal">
      <formula>"CUMPLEN CON LO SOLICITADO"</formula>
    </cfRule>
    <cfRule type="cellIs" dxfId="3815" priority="122" operator="equal">
      <formula>"PENDIENTES"</formula>
    </cfRule>
    <cfRule type="cellIs" dxfId="3814" priority="123" operator="equal">
      <formula>"NINGUNO"</formula>
    </cfRule>
  </conditionalFormatting>
  <conditionalFormatting sqref="P88">
    <cfRule type="expression" dxfId="3813" priority="113">
      <formula>Q88="NO SUBSANABLE"</formula>
    </cfRule>
    <cfRule type="expression" dxfId="3812" priority="114">
      <formula>Q88="REQUERIMIENTOS SUBSANADOS"</formula>
    </cfRule>
    <cfRule type="expression" dxfId="3811" priority="115">
      <formula>Q88="PENDIENTES POR SUBSANAR"</formula>
    </cfRule>
    <cfRule type="expression" dxfId="3810" priority="116">
      <formula>Q88="SIN OBSERVACIÓN"</formula>
    </cfRule>
    <cfRule type="containsBlanks" dxfId="3809" priority="117">
      <formula>LEN(TRIM(P88))=0</formula>
    </cfRule>
  </conditionalFormatting>
  <conditionalFormatting sqref="O88">
    <cfRule type="cellIs" dxfId="3808" priority="105" operator="equal">
      <formula>"PENDIENTE POR DESCRIPCIÓN"</formula>
    </cfRule>
    <cfRule type="cellIs" dxfId="3807" priority="106" operator="equal">
      <formula>"DESCRIPCIÓN INSUFICIENTE"</formula>
    </cfRule>
    <cfRule type="cellIs" dxfId="3806" priority="107" operator="equal">
      <formula>"NO ESTÁ ACORDE A ITEM 5.2.2 (T.R.)"</formula>
    </cfRule>
    <cfRule type="cellIs" dxfId="3805" priority="108" operator="equal">
      <formula>"ACORDE A ITEM 5.2.2 (T.R.)"</formula>
    </cfRule>
    <cfRule type="cellIs" dxfId="3804" priority="109" operator="equal">
      <formula>"PENDIENTE POR DESCRIPCIÓN"</formula>
    </cfRule>
    <cfRule type="cellIs" dxfId="3803" priority="110" operator="equal">
      <formula>"DESCRIPCIÓN INSUFICIENTE"</formula>
    </cfRule>
    <cfRule type="cellIs" dxfId="3802" priority="111" operator="equal">
      <formula>"NO ESTÁ ACORDE A ITEM 5.2.1 (T.R.)"</formula>
    </cfRule>
    <cfRule type="cellIs" dxfId="3801" priority="112" operator="equal">
      <formula>"ACORDE A ITEM 5.2.1 (T.R.)"</formula>
    </cfRule>
  </conditionalFormatting>
  <conditionalFormatting sqref="Q25">
    <cfRule type="containsBlanks" dxfId="3800" priority="96">
      <formula>LEN(TRIM(Q25))=0</formula>
    </cfRule>
    <cfRule type="cellIs" dxfId="3799" priority="101" operator="equal">
      <formula>"REQUERIMIENTOS SUBSANADOS"</formula>
    </cfRule>
    <cfRule type="containsText" dxfId="3798" priority="102" operator="containsText" text="NO SUBSANABLE">
      <formula>NOT(ISERROR(SEARCH("NO SUBSANABLE",Q25)))</formula>
    </cfRule>
    <cfRule type="containsText" dxfId="3797" priority="103" operator="containsText" text="PENDIENTES POR SUBSANAR">
      <formula>NOT(ISERROR(SEARCH("PENDIENTES POR SUBSANAR",Q25)))</formula>
    </cfRule>
    <cfRule type="containsText" dxfId="3796" priority="104" operator="containsText" text="SIN OBSERVACIÓN">
      <formula>NOT(ISERROR(SEARCH("SIN OBSERVACIÓN",Q25)))</formula>
    </cfRule>
  </conditionalFormatting>
  <conditionalFormatting sqref="R25">
    <cfRule type="containsBlanks" dxfId="3795" priority="95">
      <formula>LEN(TRIM(R25))=0</formula>
    </cfRule>
    <cfRule type="cellIs" dxfId="3794" priority="97" operator="equal">
      <formula>"NO CUMPLEN CON LO SOLICITADO"</formula>
    </cfRule>
    <cfRule type="cellIs" dxfId="3793" priority="98" operator="equal">
      <formula>"CUMPLEN CON LO SOLICITADO"</formula>
    </cfRule>
    <cfRule type="cellIs" dxfId="3792" priority="99" operator="equal">
      <formula>"PENDIENTES"</formula>
    </cfRule>
    <cfRule type="cellIs" dxfId="3791" priority="100" operator="equal">
      <formula>"NINGUNO"</formula>
    </cfRule>
  </conditionalFormatting>
  <conditionalFormatting sqref="H69">
    <cfRule type="notContainsBlanks" dxfId="3790" priority="94">
      <formula>LEN(TRIM(H69))&gt;0</formula>
    </cfRule>
  </conditionalFormatting>
  <conditionalFormatting sqref="I69">
    <cfRule type="notContainsBlanks" dxfId="3789" priority="93">
      <formula>LEN(TRIM(I69))&gt;0</formula>
    </cfRule>
  </conditionalFormatting>
  <conditionalFormatting sqref="N69">
    <cfRule type="expression" dxfId="3788" priority="79">
      <formula>N69=" "</formula>
    </cfRule>
    <cfRule type="expression" dxfId="3787" priority="80">
      <formula>N69="NO PRESENTÓ CERTIFICADO"</formula>
    </cfRule>
    <cfRule type="expression" dxfId="3786" priority="81">
      <formula>N69="PRESENTÓ CERTIFICADO"</formula>
    </cfRule>
  </conditionalFormatting>
  <conditionalFormatting sqref="O69">
    <cfRule type="cellIs" dxfId="3785" priority="71" operator="equal">
      <formula>"PENDIENTE POR DESCRIPCIÓN"</formula>
    </cfRule>
    <cfRule type="cellIs" dxfId="3784" priority="72" operator="equal">
      <formula>"DESCRIPCIÓN INSUFICIENTE"</formula>
    </cfRule>
    <cfRule type="cellIs" dxfId="3783" priority="73" operator="equal">
      <formula>"NO ESTÁ ACORDE A ITEM 5.2.2 (T.R.)"</formula>
    </cfRule>
    <cfRule type="cellIs" dxfId="3782" priority="74" operator="equal">
      <formula>"ACORDE A ITEM 5.2.2 (T.R.)"</formula>
    </cfRule>
    <cfRule type="cellIs" dxfId="3781" priority="75" operator="equal">
      <formula>"PENDIENTE POR DESCRIPCIÓN"</formula>
    </cfRule>
    <cfRule type="cellIs" dxfId="3780" priority="76" operator="equal">
      <formula>"DESCRIPCIÓN INSUFICIENTE"</formula>
    </cfRule>
    <cfRule type="cellIs" dxfId="3779" priority="77" operator="equal">
      <formula>"NO ESTÁ ACORDE A ITEM 5.2.1 (T.R.)"</formula>
    </cfRule>
    <cfRule type="cellIs" dxfId="3778" priority="78" operator="equal">
      <formula>"ACORDE A ITEM 5.2.1 (T.R.)"</formula>
    </cfRule>
  </conditionalFormatting>
  <conditionalFormatting sqref="G60">
    <cfRule type="notContainsBlanks" dxfId="3777" priority="59">
      <formula>LEN(TRIM(G60))&gt;0</formula>
    </cfRule>
  </conditionalFormatting>
  <conditionalFormatting sqref="F60">
    <cfRule type="notContainsBlanks" dxfId="3776" priority="58">
      <formula>LEN(TRIM(F60))&gt;0</formula>
    </cfRule>
  </conditionalFormatting>
  <conditionalFormatting sqref="E60">
    <cfRule type="notContainsBlanks" dxfId="3775" priority="57">
      <formula>LEN(TRIM(E60))&gt;0</formula>
    </cfRule>
  </conditionalFormatting>
  <conditionalFormatting sqref="D60">
    <cfRule type="notContainsBlanks" dxfId="3774" priority="56">
      <formula>LEN(TRIM(D60))&gt;0</formula>
    </cfRule>
  </conditionalFormatting>
  <conditionalFormatting sqref="C60">
    <cfRule type="notContainsBlanks" dxfId="3773" priority="55">
      <formula>LEN(TRIM(C60))&gt;0</formula>
    </cfRule>
  </conditionalFormatting>
  <conditionalFormatting sqref="H60">
    <cfRule type="notContainsBlanks" dxfId="3772" priority="54">
      <formula>LEN(TRIM(H60))&gt;0</formula>
    </cfRule>
  </conditionalFormatting>
  <conditionalFormatting sqref="I60">
    <cfRule type="notContainsBlanks" dxfId="3771" priority="53">
      <formula>LEN(TRIM(I60))&gt;0</formula>
    </cfRule>
  </conditionalFormatting>
  <conditionalFormatting sqref="F63">
    <cfRule type="notContainsBlanks" dxfId="3770" priority="51">
      <formula>LEN(TRIM(F63))&gt;0</formula>
    </cfRule>
  </conditionalFormatting>
  <conditionalFormatting sqref="G63">
    <cfRule type="notContainsBlanks" dxfId="3769" priority="52">
      <formula>LEN(TRIM(G63))&gt;0</formula>
    </cfRule>
  </conditionalFormatting>
  <conditionalFormatting sqref="E63">
    <cfRule type="notContainsBlanks" dxfId="3768" priority="50">
      <formula>LEN(TRIM(E63))&gt;0</formula>
    </cfRule>
  </conditionalFormatting>
  <conditionalFormatting sqref="D63">
    <cfRule type="notContainsBlanks" dxfId="3767" priority="49">
      <formula>LEN(TRIM(D63))&gt;0</formula>
    </cfRule>
  </conditionalFormatting>
  <conditionalFormatting sqref="C63">
    <cfRule type="notContainsBlanks" dxfId="3766" priority="48">
      <formula>LEN(TRIM(C63))&gt;0</formula>
    </cfRule>
  </conditionalFormatting>
  <conditionalFormatting sqref="H63">
    <cfRule type="notContainsBlanks" dxfId="3765" priority="47">
      <formula>LEN(TRIM(H63))&gt;0</formula>
    </cfRule>
  </conditionalFormatting>
  <conditionalFormatting sqref="I63">
    <cfRule type="notContainsBlanks" dxfId="3764" priority="46">
      <formula>LEN(TRIM(I63))&gt;0</formula>
    </cfRule>
  </conditionalFormatting>
  <conditionalFormatting sqref="G66">
    <cfRule type="notContainsBlanks" dxfId="3763" priority="45">
      <formula>LEN(TRIM(G66))&gt;0</formula>
    </cfRule>
  </conditionalFormatting>
  <conditionalFormatting sqref="F66">
    <cfRule type="notContainsBlanks" dxfId="3762" priority="44">
      <formula>LEN(TRIM(F66))&gt;0</formula>
    </cfRule>
  </conditionalFormatting>
  <conditionalFormatting sqref="E66">
    <cfRule type="notContainsBlanks" dxfId="3761" priority="43">
      <formula>LEN(TRIM(E66))&gt;0</formula>
    </cfRule>
  </conditionalFormatting>
  <conditionalFormatting sqref="D66">
    <cfRule type="notContainsBlanks" dxfId="3760" priority="42">
      <formula>LEN(TRIM(D66))&gt;0</formula>
    </cfRule>
  </conditionalFormatting>
  <conditionalFormatting sqref="C66">
    <cfRule type="notContainsBlanks" dxfId="3759" priority="41">
      <formula>LEN(TRIM(C66))&gt;0</formula>
    </cfRule>
  </conditionalFormatting>
  <conditionalFormatting sqref="H66">
    <cfRule type="notContainsBlanks" dxfId="3758" priority="40">
      <formula>LEN(TRIM(H66))&gt;0</formula>
    </cfRule>
  </conditionalFormatting>
  <conditionalFormatting sqref="I66">
    <cfRule type="notContainsBlanks" dxfId="3757" priority="39">
      <formula>LEN(TRIM(I66))&gt;0</formula>
    </cfRule>
  </conditionalFormatting>
  <conditionalFormatting sqref="N60 N63 N66">
    <cfRule type="expression" dxfId="3756" priority="36">
      <formula>N60=" "</formula>
    </cfRule>
    <cfRule type="expression" dxfId="3755" priority="37">
      <formula>N60="NO PRESENTÓ CERTIFICADO"</formula>
    </cfRule>
    <cfRule type="expression" dxfId="3754" priority="38">
      <formula>N60="PRESENTÓ CERTIFICADO"</formula>
    </cfRule>
  </conditionalFormatting>
  <conditionalFormatting sqref="O60 O63 O66">
    <cfRule type="cellIs" dxfId="3753" priority="28" operator="equal">
      <formula>"PENDIENTE POR DESCRIPCIÓN"</formula>
    </cfRule>
    <cfRule type="cellIs" dxfId="3752" priority="29" operator="equal">
      <formula>"DESCRIPCIÓN INSUFICIENTE"</formula>
    </cfRule>
    <cfRule type="cellIs" dxfId="3751" priority="30" operator="equal">
      <formula>"NO ESTÁ ACORDE A ITEM 5.2.2 (T.R.)"</formula>
    </cfRule>
    <cfRule type="cellIs" dxfId="3750" priority="31" operator="equal">
      <formula>"ACORDE A ITEM 5.2.2 (T.R.)"</formula>
    </cfRule>
    <cfRule type="cellIs" dxfId="3749" priority="32" operator="equal">
      <formula>"PENDIENTE POR DESCRIPCIÓN"</formula>
    </cfRule>
    <cfRule type="cellIs" dxfId="3748" priority="33" operator="equal">
      <formula>"DESCRIPCIÓN INSUFICIENTE"</formula>
    </cfRule>
    <cfRule type="cellIs" dxfId="3747" priority="34" operator="equal">
      <formula>"NO ESTÁ ACORDE A ITEM 5.2.1 (T.R.)"</formula>
    </cfRule>
    <cfRule type="cellIs" dxfId="3746" priority="35" operator="equal">
      <formula>"ACORDE A ITEM 5.2.1 (T.R.)"</formula>
    </cfRule>
  </conditionalFormatting>
  <conditionalFormatting sqref="Q57 Q60 Q63">
    <cfRule type="containsBlanks" dxfId="3745" priority="19">
      <formula>LEN(TRIM(Q57))=0</formula>
    </cfRule>
    <cfRule type="cellIs" dxfId="3744" priority="24" operator="equal">
      <formula>"REQUERIMIENTOS SUBSANADOS"</formula>
    </cfRule>
    <cfRule type="containsText" dxfId="3743" priority="25" operator="containsText" text="NO SUBSANABLE">
      <formula>NOT(ISERROR(SEARCH("NO SUBSANABLE",Q57)))</formula>
    </cfRule>
    <cfRule type="containsText" dxfId="3742" priority="26" operator="containsText" text="PENDIENTES POR SUBSANAR">
      <formula>NOT(ISERROR(SEARCH("PENDIENTES POR SUBSANAR",Q57)))</formula>
    </cfRule>
    <cfRule type="containsText" dxfId="3741" priority="27" operator="containsText" text="SIN OBSERVACIÓN">
      <formula>NOT(ISERROR(SEARCH("SIN OBSERVACIÓN",Q57)))</formula>
    </cfRule>
  </conditionalFormatting>
  <conditionalFormatting sqref="R57 R60 R63">
    <cfRule type="containsBlanks" dxfId="3740" priority="18">
      <formula>LEN(TRIM(R57))=0</formula>
    </cfRule>
    <cfRule type="cellIs" dxfId="3739" priority="20" operator="equal">
      <formula>"NO CUMPLEN CON LO SOLICITADO"</formula>
    </cfRule>
    <cfRule type="cellIs" dxfId="3738" priority="21" operator="equal">
      <formula>"CUMPLEN CON LO SOLICITADO"</formula>
    </cfRule>
    <cfRule type="cellIs" dxfId="3737" priority="22" operator="equal">
      <formula>"PENDIENTES"</formula>
    </cfRule>
    <cfRule type="cellIs" dxfId="3736" priority="23" operator="equal">
      <formula>"NINGUNO"</formula>
    </cfRule>
  </conditionalFormatting>
  <conditionalFormatting sqref="P57 P60 P63">
    <cfRule type="expression" dxfId="3735" priority="13">
      <formula>Q57="NO SUBSANABLE"</formula>
    </cfRule>
    <cfRule type="expression" dxfId="3734" priority="14">
      <formula>Q57="REQUERIMIENTOS SUBSANADOS"</formula>
    </cfRule>
    <cfRule type="expression" dxfId="3733" priority="15">
      <formula>Q57="PENDIENTES POR SUBSANAR"</formula>
    </cfRule>
    <cfRule type="expression" dxfId="3732" priority="16">
      <formula>Q57="SIN OBSERVACIÓN"</formula>
    </cfRule>
    <cfRule type="containsBlanks" dxfId="3731" priority="17">
      <formula>LEN(TRIM(P57))=0</formula>
    </cfRule>
  </conditionalFormatting>
  <conditionalFormatting sqref="Q91">
    <cfRule type="containsBlanks" dxfId="11" priority="4">
      <formula>LEN(TRIM(Q91))=0</formula>
    </cfRule>
    <cfRule type="cellIs" dxfId="10" priority="9" operator="equal">
      <formula>"REQUERIMIENTOS SUBSANADOS"</formula>
    </cfRule>
    <cfRule type="containsText" dxfId="9" priority="10" operator="containsText" text="NO SUBSANABLE">
      <formula>NOT(ISERROR(SEARCH("NO SUBSANABLE",Q91)))</formula>
    </cfRule>
    <cfRule type="containsText" dxfId="8" priority="11" operator="containsText" text="PENDIENTES POR SUBSANAR">
      <formula>NOT(ISERROR(SEARCH("PENDIENTES POR SUBSANAR",Q91)))</formula>
    </cfRule>
    <cfRule type="containsText" dxfId="7" priority="12" operator="containsText" text="SIN OBSERVACIÓN">
      <formula>NOT(ISERROR(SEARCH("SIN OBSERVACIÓN",Q91)))</formula>
    </cfRule>
  </conditionalFormatting>
  <conditionalFormatting sqref="R91">
    <cfRule type="containsBlanks" dxfId="6" priority="3">
      <formula>LEN(TRIM(R91))=0</formula>
    </cfRule>
    <cfRule type="cellIs" dxfId="5" priority="5" operator="equal">
      <formula>"NO CUMPLEN CON LO SOLICITADO"</formula>
    </cfRule>
    <cfRule type="cellIs" dxfId="4" priority="6" operator="equal">
      <formula>"CUMPLEN CON LO SOLICITADO"</formula>
    </cfRule>
    <cfRule type="cellIs" dxfId="3" priority="7" operator="equal">
      <formula>"PENDIENTES"</formula>
    </cfRule>
    <cfRule type="cellIs" dxfId="2" priority="8" operator="equal">
      <formula>"NINGUNO"</formula>
    </cfRule>
  </conditionalFormatting>
  <conditionalFormatting sqref="S91">
    <cfRule type="cellIs" dxfId="1" priority="1" operator="greaterThan">
      <formula>0</formula>
    </cfRule>
    <cfRule type="top10" dxfId="0" priority="2" rank="10"/>
  </conditionalFormatting>
  <dataValidations count="8">
    <dataValidation type="list" allowBlank="1" showInputMessage="1" showErrorMessage="1" sqref="B10 B32 B54 B76 B98 B120 B142 B164 B186 B208 B230 B252 B274 B296" xr:uid="{00000000-0002-0000-0300-000000000000}">
      <formula1>"1,2,3,4,5,6,7,8,9,10,11,12,13,14,15,16,17"</formula1>
    </dataValidation>
    <dataValidation type="list" allowBlank="1" showInputMessage="1" showErrorMessage="1" sqref="O113 O264 O261 O245 O236 O302 O201 O242 O289 O286 O277 O311 O308 O299 O305 O198 O280 O255 O283 O267 O233 O132 O101 O104 O107 O211 O192 O195 O258 O110 O135 O173 O145 O151 O157 O170 O179 O176 O167 O189 O148 O123 O126 O129 O154 O223 O220 O239 O214 O217" xr:uid="{00000000-0002-0000-0300-000001000000}">
      <formula1>"ACORDE A ITEM 5.2.2 (T.R.),NO ESTÁ ACORDE A ITEM 5.2.2 (T.R.),DESCRIPCIÓN INSUFICIENTE,PENDIENTE POR DESCRIPCIÓN"</formula1>
    </dataValidation>
    <dataValidation type="list" allowBlank="1" showInputMessage="1" showErrorMessage="1" sqref="L22:L23 L60:L61 J167:J181 L63:L64 L47:L48 L189:L190 L151:L152 L113:L114 J13:J27 L38:L39 L85:L86 L66:L67 L123:L124 L170:L171 L25:L26 L104:L105 L88:L89 L154:L155 L13:L14 L16:L17 L19:L20 L41:L42 L44:L45 L35:L36 J101:J115 J123:J137 L57:L58 L179:L180 J233:J247 L69:L70 L79:L80 J35:J49 L82:L83 L107:L108 L110:L111 L91:L92 L101:L102 J79:J93 L126:L127 L129:L130 L132:L133 L135:L136 L145:L146 J145:J159 L148:L149 L173:L174 L176:L177 L157:L158 L167:L168 L192:L193 L201:L202 L195:L196 L198:L199 J189:J203 L211:L212 L214:L215 L223:L224 L217:L218 L220:L221 J211:J225 L233:L234 L236:L237 L245:L246 L239:L240 L242:L243 J255:J269 L255:L256 L258:L259 L267:L268 L261:L262 L264:L265 J277:J291 L277:L278 L280:L281 L289:L290 L283:L284 L286:L287 J299:J313 L299:L300 L302:L303 L311:L312 L305:L306 L308:L309 J57:J71" xr:uid="{00000000-0002-0000-0300-000002000000}">
      <formula1>",CUMPLE,NO CUMPLE"</formula1>
    </dataValidation>
    <dataValidation type="list" allowBlank="1" showInputMessage="1" showErrorMessage="1" sqref="H107 H82 H85 H88 H91 H104 H13 H41 H44 H47 H299 H258 H261 H35 H25 H79 H22 H38 H16 H19 H101 H126 H129 H110 H113 H123 H170 H173 H132 H135 H145 H148 H151 H154 H157 H167 H264 H267 H176 H179 H189 H192 H195 H198 H201 H211 H214 H217 H220 H223 H233 H236 H239 H242 H245 H255 H302 H305 H308 H311 H277 H280 H283 H286 H289 H57 H69 H60 H63 H66" xr:uid="{00000000-0002-0000-0300-000003000000}">
      <formula1>"I,C,UT"</formula1>
    </dataValidation>
    <dataValidation type="list" allowBlank="1" showInputMessage="1" showErrorMessage="1" sqref="N113 N16 N19 N13 N305 N25 N79 N41 N44 N47 N311 N299 N302 N35 N201 N22 N69 N38 N85 N82 N132 N101 N104 N107 N148 N123 N110 N126 N129 N135 N173 N145 N151 N157 N170 N179 N176 N167 N189 N211 N192 N195 N198 N88 N154 N223 N239 N214 N217 N220 N245 N267 N233 N236 N242 N264 N255 N283 N258 N261 N289 N277 N308 N280 N286 N57 N91 N60 N63 N66" xr:uid="{00000000-0002-0000-0300-000004000000}">
      <formula1>"PRESENTÓ CERTIFICADO,NO PRESENTÓ CERTIFICADO"</formula1>
    </dataValidation>
    <dataValidation type="list" allowBlank="1" showInputMessage="1" showErrorMessage="1" sqref="Q113 Q16 Q19 Q88 Q311 Q13 Q123 Q41 Q44 Q299 Q305 Q308 Q35 Q47 Q211 Q66 Q38 Q85 Q22 Q132 Q101 Q104 Q107 Q82 Q195 Q198 Q201 Q69 Q110 Q173 Q145 Q151 Q157 Q135 Q179 Q176 Q167 Q189 Q170 Q192 Q148 Q63 Q126 Q129 Q154 Q239 Q217 Q220 Q223 Q214 Q267 Q236 Q242 Q245 Q233 Q255 Q258 Q261 Q264 Q280 Q277 Q283 Q286 Q289 Q302 Q79 Q25 Q57 Q60 Q91" xr:uid="{00000000-0002-0000-0300-000005000000}">
      <formula1>"SIN OBSERVACIÓN, PENDIENTES POR SUBSANAR, REQUERIMIENTOS SUBSANADOS, NO SUBSANABLE"</formula1>
    </dataValidation>
    <dataValidation type="list" allowBlank="1" showInputMessage="1" showErrorMessage="1" sqref="R113 R16 R19 R88 R308 R13 R123 R41 R44 R47 R311 R302 R305 R35 R201 R22 R66 R38 R85 R82 R132 R101 R104 R107 R192 R195 R198 R69 R110 R135 R173 R145 R151 R157 R170 R179 R176 R167 R189 R211 R148 R63 R126 R129 R154 R223 R214 R217 R220 R239 R245 R233 R236 R242 R267 R264 R280 R258 R261 R255 R289 R277 R283 R286 R299 R79 R25 R57 R60 R91" xr:uid="{00000000-0002-0000-0300-000006000000}">
      <formula1>"NINGUNO, PENDIENTES, CUMPLEN CON LO SOLICITADO, NO CUMPLEN CON LO SOLICITADO"</formula1>
    </dataValidation>
    <dataValidation type="list" allowBlank="1" showInputMessage="1" showErrorMessage="1" sqref="O35:O49 O13:O27 O79:O93 O57:O71" xr:uid="{00000000-0002-0000-0300-000007000000}">
      <formula1>"ACORDE A ITEM 6.2.2.1 (T.R.),NO ESTÁ ACORDE A ITEM 6.2.2.1 (T.R.),DESCRIPCIÓN INSUFICIENTE,PENDIENTE POR DESCRIPCIÓN"</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325"/>
  <sheetViews>
    <sheetView topLeftCell="A52" zoomScale="70" zoomScaleNormal="70" workbookViewId="0">
      <selection activeCell="O77" sqref="O77:O78"/>
    </sheetView>
  </sheetViews>
  <sheetFormatPr baseColWidth="10" defaultColWidth="11.42578125" defaultRowHeight="15"/>
  <cols>
    <col min="1" max="1" width="6" style="12" customWidth="1"/>
    <col min="2" max="2" width="6.85546875" style="12" bestFit="1" customWidth="1"/>
    <col min="3" max="3" width="27.85546875" style="13" customWidth="1"/>
    <col min="4" max="4" width="17" style="13" customWidth="1"/>
    <col min="5" max="5" width="23.140625" style="24" customWidth="1"/>
    <col min="6" max="6" width="29.42578125" style="25" customWidth="1"/>
    <col min="7" max="7" width="17.42578125" style="25" customWidth="1"/>
    <col min="8" max="9" width="16.7109375" style="13" customWidth="1"/>
    <col min="10" max="10" width="18.42578125" style="13" hidden="1" customWidth="1"/>
    <col min="11" max="11" width="11.28515625" style="13" hidden="1" customWidth="1"/>
    <col min="12" max="12" width="18.42578125" style="13" hidden="1" customWidth="1"/>
    <col min="13" max="13" width="12" style="13" hidden="1" customWidth="1"/>
    <col min="14" max="14" width="24.7109375" style="13" customWidth="1"/>
    <col min="15" max="15" width="25.42578125" style="13" customWidth="1"/>
    <col min="16" max="16" width="47.7109375" style="13" customWidth="1"/>
    <col min="17" max="17" width="32.28515625" style="13" customWidth="1"/>
    <col min="18" max="18" width="24.42578125" style="13" customWidth="1"/>
    <col min="19" max="19" width="22.140625" style="13" hidden="1" customWidth="1"/>
    <col min="20" max="20" width="65.140625" style="13" customWidth="1"/>
    <col min="21" max="21" width="19" style="13" hidden="1" customWidth="1"/>
    <col min="22" max="22" width="11.42578125" style="13"/>
    <col min="23" max="23" width="11.42578125" style="29" hidden="1" customWidth="1"/>
    <col min="24" max="24" width="39.42578125" style="29" hidden="1" customWidth="1"/>
    <col min="25" max="25" width="22.85546875" style="29" hidden="1" customWidth="1"/>
    <col min="26" max="26" width="32.42578125" style="29" hidden="1" customWidth="1"/>
    <col min="27" max="29" width="11.42578125" style="13" hidden="1" customWidth="1"/>
    <col min="30" max="30" width="35.140625" style="13" hidden="1" customWidth="1"/>
    <col min="31" max="31" width="23.42578125" style="13" hidden="1" customWidth="1"/>
    <col min="32" max="35" width="11.42578125" style="13" hidden="1" customWidth="1"/>
    <col min="36" max="36" width="11.42578125" style="13" customWidth="1"/>
    <col min="37" max="16384" width="11.42578125" style="13"/>
  </cols>
  <sheetData>
    <row r="1" spans="1:35" ht="39.950000000000003" customHeight="1">
      <c r="B1" s="929" t="s">
        <v>164</v>
      </c>
      <c r="C1" s="930"/>
      <c r="D1" s="930"/>
      <c r="E1" s="930"/>
      <c r="F1" s="930"/>
      <c r="G1" s="930"/>
      <c r="H1" s="930"/>
      <c r="I1" s="930"/>
      <c r="J1" s="930"/>
      <c r="K1" s="930"/>
      <c r="L1" s="930"/>
      <c r="M1" s="930"/>
      <c r="N1" s="930"/>
      <c r="O1" s="930"/>
      <c r="P1" s="930"/>
      <c r="Q1" s="930"/>
      <c r="R1" s="930"/>
      <c r="S1" s="931"/>
      <c r="W1" s="13"/>
      <c r="X1" s="13"/>
      <c r="Y1" s="13"/>
      <c r="Z1" s="13"/>
    </row>
    <row r="2" spans="1:35" s="16" customFormat="1" ht="12.75" customHeight="1">
      <c r="A2" s="14"/>
      <c r="B2" s="14"/>
      <c r="C2" s="15"/>
      <c r="D2" s="15"/>
      <c r="E2" s="15"/>
      <c r="F2" s="15"/>
      <c r="G2" s="15"/>
      <c r="H2" s="15"/>
      <c r="I2" s="13"/>
      <c r="J2" s="13"/>
      <c r="K2" s="13"/>
      <c r="L2" s="13"/>
      <c r="M2" s="13"/>
    </row>
    <row r="3" spans="1:35" s="16" customFormat="1" ht="279" customHeight="1">
      <c r="B3" s="932" t="s">
        <v>287</v>
      </c>
      <c r="C3" s="933"/>
      <c r="D3" s="933"/>
      <c r="E3" s="933"/>
      <c r="F3" s="933"/>
      <c r="G3" s="933"/>
      <c r="H3" s="933"/>
      <c r="I3" s="933"/>
      <c r="J3" s="933"/>
      <c r="K3" s="933"/>
      <c r="L3" s="933"/>
      <c r="M3" s="933"/>
      <c r="N3" s="933"/>
      <c r="O3" s="933"/>
      <c r="P3" s="933"/>
      <c r="Q3" s="933"/>
      <c r="R3" s="933"/>
      <c r="S3" s="934"/>
    </row>
    <row r="4" spans="1:35" s="16" customFormat="1" ht="12.75" customHeight="1">
      <c r="F4" s="841"/>
      <c r="G4" s="841"/>
      <c r="H4" s="841"/>
      <c r="I4" s="841"/>
      <c r="J4" s="841"/>
      <c r="K4" s="841"/>
      <c r="L4" s="841"/>
      <c r="M4" s="841"/>
      <c r="N4" s="841"/>
      <c r="O4" s="13"/>
      <c r="P4" s="13"/>
    </row>
    <row r="5" spans="1:35" s="16" customFormat="1" ht="30.75" hidden="1" customHeight="1">
      <c r="F5" s="842" t="s">
        <v>128</v>
      </c>
      <c r="G5" s="843"/>
      <c r="H5" s="17" t="s">
        <v>20</v>
      </c>
      <c r="L5" s="935" t="s">
        <v>21</v>
      </c>
      <c r="M5" s="935"/>
      <c r="N5" s="936" t="s">
        <v>22</v>
      </c>
      <c r="O5" s="936"/>
      <c r="P5" s="265" t="s">
        <v>23</v>
      </c>
    </row>
    <row r="6" spans="1:35" s="16" customFormat="1" ht="18" hidden="1">
      <c r="F6" s="937">
        <v>908526</v>
      </c>
      <c r="G6" s="938"/>
      <c r="H6" s="171">
        <v>1.5</v>
      </c>
      <c r="L6" s="935"/>
      <c r="M6" s="935"/>
      <c r="N6" s="939"/>
      <c r="O6" s="939"/>
      <c r="P6" s="18">
        <f>+ROUND(N6/$F$6,0)</f>
        <v>0</v>
      </c>
    </row>
    <row r="7" spans="1:35" s="16" customFormat="1" ht="12.75" customHeight="1">
      <c r="A7" s="19"/>
      <c r="B7" s="19"/>
      <c r="C7" s="20"/>
      <c r="D7" s="21"/>
      <c r="E7" s="22"/>
      <c r="F7" s="259"/>
      <c r="G7" s="13"/>
      <c r="H7" s="13"/>
      <c r="I7" s="23"/>
      <c r="J7" s="13"/>
      <c r="K7" s="13"/>
      <c r="L7" s="13"/>
      <c r="M7" s="13"/>
    </row>
    <row r="8" spans="1:35">
      <c r="W8" s="13"/>
      <c r="X8" s="13"/>
      <c r="Y8" s="13"/>
      <c r="Z8" s="13"/>
    </row>
    <row r="9" spans="1:35">
      <c r="W9" s="13"/>
      <c r="X9" s="13"/>
      <c r="Y9" s="13"/>
      <c r="Z9" s="13"/>
    </row>
    <row r="10" spans="1:35" ht="74.25" customHeight="1">
      <c r="B10" s="26">
        <v>1</v>
      </c>
      <c r="C10" s="916" t="s">
        <v>166</v>
      </c>
      <c r="D10" s="917"/>
      <c r="E10" s="918"/>
      <c r="F10" s="919" t="str">
        <f>IFERROR(VLOOKUP(B10,LISTA_OFERENTES,2,FALSE)," ")</f>
        <v>INTERVE S.A.S.</v>
      </c>
      <c r="G10" s="920"/>
      <c r="H10" s="920"/>
      <c r="I10" s="920"/>
      <c r="J10" s="920"/>
      <c r="K10" s="920"/>
      <c r="L10" s="920"/>
      <c r="M10" s="920"/>
      <c r="N10" s="920"/>
      <c r="O10" s="921"/>
      <c r="P10" s="922" t="s">
        <v>25</v>
      </c>
      <c r="Q10" s="923"/>
      <c r="R10" s="924"/>
      <c r="S10" s="27">
        <f>5-(INT(COUNTBLANK(C13:C27))-10)</f>
        <v>3</v>
      </c>
      <c r="T10" s="28"/>
    </row>
    <row r="11" spans="1:35" s="30" customFormat="1" ht="33.75" customHeight="1">
      <c r="B11" s="914" t="s">
        <v>26</v>
      </c>
      <c r="C11" s="906" t="s">
        <v>27</v>
      </c>
      <c r="D11" s="906" t="s">
        <v>28</v>
      </c>
      <c r="E11" s="906" t="s">
        <v>29</v>
      </c>
      <c r="F11" s="906" t="s">
        <v>30</v>
      </c>
      <c r="G11" s="906" t="s">
        <v>31</v>
      </c>
      <c r="H11" s="906" t="s">
        <v>32</v>
      </c>
      <c r="I11" s="906" t="s">
        <v>33</v>
      </c>
      <c r="J11" s="911" t="s">
        <v>34</v>
      </c>
      <c r="K11" s="912"/>
      <c r="L11" s="912"/>
      <c r="M11" s="913"/>
      <c r="N11" s="906" t="s">
        <v>35</v>
      </c>
      <c r="O11" s="906" t="s">
        <v>36</v>
      </c>
      <c r="P11" s="911" t="s">
        <v>37</v>
      </c>
      <c r="Q11" s="913"/>
      <c r="R11" s="906" t="s">
        <v>38</v>
      </c>
      <c r="S11" s="906" t="s">
        <v>39</v>
      </c>
      <c r="T11" s="906" t="s">
        <v>167</v>
      </c>
      <c r="U11" s="906" t="s">
        <v>129</v>
      </c>
      <c r="V11" s="31"/>
      <c r="W11" s="940" t="s">
        <v>40</v>
      </c>
      <c r="X11" s="941"/>
      <c r="Y11" s="942"/>
      <c r="Z11" s="32" t="s">
        <v>41</v>
      </c>
    </row>
    <row r="12" spans="1:35" s="30" customFormat="1" ht="63" customHeight="1">
      <c r="B12" s="915"/>
      <c r="C12" s="907"/>
      <c r="D12" s="907"/>
      <c r="E12" s="907"/>
      <c r="F12" s="907"/>
      <c r="G12" s="907"/>
      <c r="H12" s="907"/>
      <c r="I12" s="907"/>
      <c r="J12" s="908" t="s">
        <v>42</v>
      </c>
      <c r="K12" s="909"/>
      <c r="L12" s="909"/>
      <c r="M12" s="910"/>
      <c r="N12" s="907"/>
      <c r="O12" s="907"/>
      <c r="P12" s="33" t="s">
        <v>10</v>
      </c>
      <c r="Q12" s="33" t="s">
        <v>43</v>
      </c>
      <c r="R12" s="907"/>
      <c r="S12" s="907"/>
      <c r="T12" s="907"/>
      <c r="U12" s="907"/>
      <c r="V12" s="31"/>
      <c r="W12" s="34">
        <v>1</v>
      </c>
      <c r="X12" s="35" t="str">
        <f>IFERROR(VLOOKUP(W12,LISTA_OFERENTES,2,FALSE)," ")</f>
        <v>INTERVE S.A.S.</v>
      </c>
      <c r="Y12" s="35" t="str">
        <f ca="1">VLOOKUP(X12,BANDERA,2,FALSE)</f>
        <v xml:space="preserve"> </v>
      </c>
      <c r="Z12" s="36" t="str">
        <f ca="1">IF(Y12="CUMPLE","H","NH")</f>
        <v>NH</v>
      </c>
      <c r="AD12" s="35" t="str">
        <f>X12</f>
        <v>INTERVE S.A.S.</v>
      </c>
      <c r="AE12" s="37" t="str">
        <f ca="1">INDIRECT("T"&amp;AH12)</f>
        <v xml:space="preserve"> </v>
      </c>
      <c r="AG12" s="36" t="s">
        <v>44</v>
      </c>
      <c r="AH12" s="38">
        <v>28</v>
      </c>
      <c r="AI12" s="39"/>
    </row>
    <row r="13" spans="1:35" s="41" customFormat="1" ht="24.95" customHeight="1">
      <c r="A13" s="40"/>
      <c r="B13" s="877">
        <v>1</v>
      </c>
      <c r="C13" s="880">
        <v>64</v>
      </c>
      <c r="D13" s="880">
        <v>77</v>
      </c>
      <c r="E13" s="880" t="s">
        <v>290</v>
      </c>
      <c r="F13" s="880" t="s">
        <v>293</v>
      </c>
      <c r="G13" s="883">
        <v>561.46</v>
      </c>
      <c r="H13" s="865" t="s">
        <v>221</v>
      </c>
      <c r="I13" s="868">
        <v>1</v>
      </c>
      <c r="J13" s="172"/>
      <c r="K13" s="38"/>
      <c r="L13" s="172"/>
      <c r="M13" s="38"/>
      <c r="N13" s="871" t="s">
        <v>295</v>
      </c>
      <c r="O13" s="871" t="s">
        <v>230</v>
      </c>
      <c r="P13" s="874" t="s">
        <v>296</v>
      </c>
      <c r="Q13" s="795" t="s">
        <v>285</v>
      </c>
      <c r="R13" s="795" t="s">
        <v>297</v>
      </c>
      <c r="S13" s="886">
        <f>IF(COUNTIF(J13:K15,"CUMPLE")&gt;=1,(G13*I13),0)* (IF(N13="PRESENTÓ CERTIFICADO",1,0))* (IF(O13="ACORDE A ITEM 6.2.2.1 (T.R.)",1,0) )* ( IF(OR(Q13="SIN OBSERVACIÓN", Q13="REQUERIMIENTOS SUBSANADOS"),1,0)) *(IF(OR(R13="NINGUNO", R13="CUMPLEN CON LO SOLICITADO"),1,0))</f>
        <v>0</v>
      </c>
      <c r="T13" s="903" t="s">
        <v>231</v>
      </c>
      <c r="U13" s="892">
        <f t="shared" ref="U13" si="0">IF(COUNTIF(J13:K15,"CUMPLE")&gt;=1,1,0)</f>
        <v>0</v>
      </c>
      <c r="W13" s="34">
        <v>2</v>
      </c>
      <c r="X13" s="35" t="str">
        <f t="shared" ref="X13:X28" si="1">IFERROR(VLOOKUP(W13,LISTA_OFERENTES,2,FALSE)," ")</f>
        <v>CONSORCIO VALCO - ACI</v>
      </c>
      <c r="Y13" s="35" t="str">
        <f t="shared" ref="Y13:Y27" ca="1" si="2">VLOOKUP(X13,BANDERA,2,FALSE)</f>
        <v xml:space="preserve"> </v>
      </c>
      <c r="Z13" s="36" t="str">
        <f t="shared" ref="Z13:Z25" ca="1" si="3">IF(Y13="CUMPLE","H","NH")</f>
        <v>NH</v>
      </c>
      <c r="AD13" s="35" t="str">
        <f t="shared" ref="AD13:AD28" si="4">X13</f>
        <v>CONSORCIO VALCO - ACI</v>
      </c>
      <c r="AE13" s="37" t="str">
        <f ca="1">INDIRECT("T"&amp;AH13)</f>
        <v xml:space="preserve"> </v>
      </c>
      <c r="AF13" s="42"/>
      <c r="AG13" s="36" t="s">
        <v>44</v>
      </c>
      <c r="AH13" s="38">
        <f>AH12+AI$13</f>
        <v>50</v>
      </c>
      <c r="AI13" s="895">
        <v>22</v>
      </c>
    </row>
    <row r="14" spans="1:35" s="41" customFormat="1" ht="24.95" customHeight="1">
      <c r="A14" s="40"/>
      <c r="B14" s="878"/>
      <c r="C14" s="881"/>
      <c r="D14" s="881"/>
      <c r="E14" s="881"/>
      <c r="F14" s="881"/>
      <c r="G14" s="884"/>
      <c r="H14" s="866"/>
      <c r="I14" s="869"/>
      <c r="J14" s="172"/>
      <c r="K14" s="38"/>
      <c r="L14" s="893"/>
      <c r="M14" s="895"/>
      <c r="N14" s="872"/>
      <c r="O14" s="872"/>
      <c r="P14" s="875"/>
      <c r="Q14" s="796"/>
      <c r="R14" s="796"/>
      <c r="S14" s="887"/>
      <c r="T14" s="904"/>
      <c r="U14" s="892"/>
      <c r="W14" s="34">
        <v>3</v>
      </c>
      <c r="X14" s="35" t="str">
        <f t="shared" si="1"/>
        <v>ARQ S.A.S.</v>
      </c>
      <c r="Y14" s="35" t="str">
        <f t="shared" ca="1" si="2"/>
        <v xml:space="preserve">CUMPLE </v>
      </c>
      <c r="Z14" s="36" t="str">
        <f t="shared" ca="1" si="3"/>
        <v>NH</v>
      </c>
      <c r="AD14" s="35" t="str">
        <f t="shared" si="4"/>
        <v>ARQ S.A.S.</v>
      </c>
      <c r="AE14" s="37" t="str">
        <f t="shared" ref="AE14:AE28" ca="1" si="5">INDIRECT("T"&amp;AH14)</f>
        <v xml:space="preserve">CUMPLE </v>
      </c>
      <c r="AF14" s="42"/>
      <c r="AG14" s="36" t="s">
        <v>44</v>
      </c>
      <c r="AH14" s="38">
        <f>AH13+AI$13</f>
        <v>72</v>
      </c>
      <c r="AI14" s="928"/>
    </row>
    <row r="15" spans="1:35" s="41" customFormat="1" ht="24.95" customHeight="1">
      <c r="A15" s="40"/>
      <c r="B15" s="879"/>
      <c r="C15" s="882"/>
      <c r="D15" s="882"/>
      <c r="E15" s="882"/>
      <c r="F15" s="882"/>
      <c r="G15" s="885"/>
      <c r="H15" s="867"/>
      <c r="I15" s="870"/>
      <c r="J15" s="172"/>
      <c r="K15" s="38"/>
      <c r="L15" s="894"/>
      <c r="M15" s="896"/>
      <c r="N15" s="873"/>
      <c r="O15" s="873"/>
      <c r="P15" s="876"/>
      <c r="Q15" s="797"/>
      <c r="R15" s="797"/>
      <c r="S15" s="888"/>
      <c r="T15" s="904"/>
      <c r="U15" s="892"/>
      <c r="W15" s="34">
        <v>4</v>
      </c>
      <c r="X15" s="35" t="str">
        <f t="shared" si="1"/>
        <v>PREVEO S.A.S.</v>
      </c>
      <c r="Y15" s="35" t="str">
        <f t="shared" ca="1" si="2"/>
        <v xml:space="preserve">CUMPLE </v>
      </c>
      <c r="Z15" s="36" t="str">
        <f t="shared" ca="1" si="3"/>
        <v>NH</v>
      </c>
      <c r="AD15" s="35" t="str">
        <f t="shared" si="4"/>
        <v>PREVEO S.A.S.</v>
      </c>
      <c r="AE15" s="37" t="str">
        <f t="shared" ca="1" si="5"/>
        <v xml:space="preserve">CUMPLE </v>
      </c>
      <c r="AF15" s="42"/>
      <c r="AG15" s="36" t="s">
        <v>44</v>
      </c>
      <c r="AH15" s="38">
        <f>AH14+AI$13</f>
        <v>94</v>
      </c>
      <c r="AI15" s="928"/>
    </row>
    <row r="16" spans="1:35" s="41" customFormat="1" ht="24.95" customHeight="1">
      <c r="A16" s="40"/>
      <c r="B16" s="877">
        <v>2</v>
      </c>
      <c r="C16" s="889">
        <v>65</v>
      </c>
      <c r="D16" s="889">
        <v>78</v>
      </c>
      <c r="E16" s="889" t="s">
        <v>291</v>
      </c>
      <c r="F16" s="880" t="s">
        <v>293</v>
      </c>
      <c r="G16" s="897">
        <v>168.56</v>
      </c>
      <c r="H16" s="865" t="s">
        <v>221</v>
      </c>
      <c r="I16" s="900">
        <v>1</v>
      </c>
      <c r="J16" s="172"/>
      <c r="K16" s="38"/>
      <c r="L16" s="172"/>
      <c r="M16" s="38"/>
      <c r="N16" s="871" t="s">
        <v>295</v>
      </c>
      <c r="O16" s="871" t="s">
        <v>230</v>
      </c>
      <c r="P16" s="874" t="s">
        <v>296</v>
      </c>
      <c r="Q16" s="795" t="s">
        <v>285</v>
      </c>
      <c r="R16" s="795" t="s">
        <v>297</v>
      </c>
      <c r="S16" s="886">
        <f t="shared" ref="S16" si="6">IF(COUNTIF(J16:K18,"CUMPLE")&gt;=1,(G16*I16),0)* (IF(N16="PRESENTÓ CERTIFICADO",1,0))* (IF(O16="ACORDE A ITEM 6.2.2.1 (T.R.)",1,0) )* ( IF(OR(Q16="SIN OBSERVACIÓN", Q16="REQUERIMIENTOS SUBSANADOS"),1,0)) *(IF(OR(R16="NINGUNO", R16="CUMPLEN CON LO SOLICITADO"),1,0))</f>
        <v>0</v>
      </c>
      <c r="T16" s="904"/>
      <c r="U16" s="892">
        <f>IF(COUNTIF(L16:M18,"CUMPLE")&gt;=1,1,0)</f>
        <v>0</v>
      </c>
      <c r="W16" s="34">
        <v>5</v>
      </c>
      <c r="X16" s="35">
        <f t="shared" si="1"/>
        <v>0</v>
      </c>
      <c r="Y16" s="35" t="str">
        <f t="shared" ca="1" si="2"/>
        <v xml:space="preserve"> </v>
      </c>
      <c r="Z16" s="36" t="str">
        <f t="shared" ca="1" si="3"/>
        <v>NH</v>
      </c>
      <c r="AD16" s="35">
        <f t="shared" si="4"/>
        <v>0</v>
      </c>
      <c r="AE16" s="37" t="str">
        <f t="shared" ca="1" si="5"/>
        <v xml:space="preserve"> </v>
      </c>
      <c r="AF16" s="42"/>
      <c r="AG16" s="36" t="s">
        <v>44</v>
      </c>
      <c r="AH16" s="38">
        <f>AH15+AI$13</f>
        <v>116</v>
      </c>
      <c r="AI16" s="928"/>
    </row>
    <row r="17" spans="1:35" s="41" customFormat="1" ht="24.95" customHeight="1">
      <c r="A17" s="40"/>
      <c r="B17" s="878"/>
      <c r="C17" s="890"/>
      <c r="D17" s="890"/>
      <c r="E17" s="890"/>
      <c r="F17" s="881"/>
      <c r="G17" s="898"/>
      <c r="H17" s="866"/>
      <c r="I17" s="901"/>
      <c r="J17" s="172"/>
      <c r="K17" s="38"/>
      <c r="L17" s="893"/>
      <c r="M17" s="895"/>
      <c r="N17" s="872"/>
      <c r="O17" s="872"/>
      <c r="P17" s="875"/>
      <c r="Q17" s="796"/>
      <c r="R17" s="796"/>
      <c r="S17" s="887"/>
      <c r="T17" s="904"/>
      <c r="U17" s="892"/>
      <c r="W17" s="34">
        <v>6</v>
      </c>
      <c r="X17" s="35">
        <f t="shared" si="1"/>
        <v>0</v>
      </c>
      <c r="Y17" s="35" t="str">
        <f t="shared" ca="1" si="2"/>
        <v xml:space="preserve"> </v>
      </c>
      <c r="Z17" s="36" t="str">
        <f t="shared" ca="1" si="3"/>
        <v>NH</v>
      </c>
      <c r="AD17" s="35">
        <f t="shared" si="4"/>
        <v>0</v>
      </c>
      <c r="AE17" s="37" t="str">
        <f t="shared" ca="1" si="5"/>
        <v xml:space="preserve"> </v>
      </c>
      <c r="AF17" s="42"/>
      <c r="AG17" s="36" t="s">
        <v>44</v>
      </c>
      <c r="AH17" s="38">
        <f>AH16+AI$13</f>
        <v>138</v>
      </c>
      <c r="AI17" s="928"/>
    </row>
    <row r="18" spans="1:35" s="41" customFormat="1" ht="24.95" customHeight="1">
      <c r="A18" s="40"/>
      <c r="B18" s="879"/>
      <c r="C18" s="891"/>
      <c r="D18" s="891"/>
      <c r="E18" s="891"/>
      <c r="F18" s="882"/>
      <c r="G18" s="899"/>
      <c r="H18" s="867"/>
      <c r="I18" s="902"/>
      <c r="J18" s="172"/>
      <c r="K18" s="38"/>
      <c r="L18" s="894"/>
      <c r="M18" s="896"/>
      <c r="N18" s="873"/>
      <c r="O18" s="873"/>
      <c r="P18" s="876"/>
      <c r="Q18" s="797"/>
      <c r="R18" s="797"/>
      <c r="S18" s="888"/>
      <c r="T18" s="904"/>
      <c r="U18" s="892"/>
      <c r="W18" s="34">
        <v>7</v>
      </c>
      <c r="X18" s="35">
        <f t="shared" si="1"/>
        <v>0</v>
      </c>
      <c r="Y18" s="35" t="str">
        <f t="shared" ca="1" si="2"/>
        <v xml:space="preserve"> </v>
      </c>
      <c r="Z18" s="36" t="str">
        <f t="shared" ca="1" si="3"/>
        <v>NH</v>
      </c>
      <c r="AD18" s="35">
        <f t="shared" si="4"/>
        <v>0</v>
      </c>
      <c r="AE18" s="37" t="str">
        <f t="shared" ca="1" si="5"/>
        <v xml:space="preserve"> </v>
      </c>
      <c r="AF18" s="43"/>
      <c r="AG18" s="36" t="s">
        <v>44</v>
      </c>
      <c r="AH18" s="38">
        <f t="shared" ref="AH18:AH28" si="7">AH17+AI$13</f>
        <v>160</v>
      </c>
      <c r="AI18" s="928"/>
    </row>
    <row r="19" spans="1:35" s="41" customFormat="1" ht="24.95" customHeight="1">
      <c r="A19" s="40"/>
      <c r="B19" s="877">
        <v>3</v>
      </c>
      <c r="C19" s="880">
        <v>66</v>
      </c>
      <c r="D19" s="880">
        <v>79</v>
      </c>
      <c r="E19" s="880" t="s">
        <v>292</v>
      </c>
      <c r="F19" s="880" t="s">
        <v>294</v>
      </c>
      <c r="G19" s="883">
        <v>803.76</v>
      </c>
      <c r="H19" s="865" t="s">
        <v>221</v>
      </c>
      <c r="I19" s="900">
        <v>1</v>
      </c>
      <c r="J19" s="172"/>
      <c r="K19" s="38"/>
      <c r="L19" s="172"/>
      <c r="M19" s="38"/>
      <c r="N19" s="871" t="s">
        <v>295</v>
      </c>
      <c r="O19" s="871" t="s">
        <v>230</v>
      </c>
      <c r="P19" s="874" t="s">
        <v>296</v>
      </c>
      <c r="Q19" s="795" t="s">
        <v>285</v>
      </c>
      <c r="R19" s="795" t="s">
        <v>297</v>
      </c>
      <c r="S19" s="886">
        <f t="shared" ref="S19" si="8">IF(COUNTIF(J19:K21,"CUMPLE")&gt;=1,(G19*I19),0)* (IF(N19="PRESENTÓ CERTIFICADO",1,0))* (IF(O19="ACORDE A ITEM 6.2.2.1 (T.R.)",1,0) )* ( IF(OR(Q19="SIN OBSERVACIÓN", Q19="REQUERIMIENTOS SUBSANADOS"),1,0)) *(IF(OR(R19="NINGUNO", R19="CUMPLEN CON LO SOLICITADO"),1,0))</f>
        <v>0</v>
      </c>
      <c r="T19" s="904"/>
      <c r="U19" s="892">
        <f>IF(COUNTIF(L19:M21,"CUMPLE")&gt;=1,1,0)</f>
        <v>0</v>
      </c>
      <c r="W19" s="34">
        <v>8</v>
      </c>
      <c r="X19" s="35">
        <f t="shared" si="1"/>
        <v>0</v>
      </c>
      <c r="Y19" s="35" t="str">
        <f t="shared" ca="1" si="2"/>
        <v xml:space="preserve"> </v>
      </c>
      <c r="Z19" s="36" t="str">
        <f t="shared" ca="1" si="3"/>
        <v>NH</v>
      </c>
      <c r="AD19" s="35">
        <f t="shared" si="4"/>
        <v>0</v>
      </c>
      <c r="AE19" s="37" t="str">
        <f t="shared" ca="1" si="5"/>
        <v xml:space="preserve"> </v>
      </c>
      <c r="AF19" s="43"/>
      <c r="AG19" s="36" t="s">
        <v>44</v>
      </c>
      <c r="AH19" s="38">
        <f t="shared" si="7"/>
        <v>182</v>
      </c>
      <c r="AI19" s="928"/>
    </row>
    <row r="20" spans="1:35" s="41" customFormat="1" ht="24.95" customHeight="1">
      <c r="A20" s="40"/>
      <c r="B20" s="878"/>
      <c r="C20" s="881"/>
      <c r="D20" s="881"/>
      <c r="E20" s="881"/>
      <c r="F20" s="881"/>
      <c r="G20" s="884"/>
      <c r="H20" s="866"/>
      <c r="I20" s="901"/>
      <c r="J20" s="172"/>
      <c r="K20" s="38"/>
      <c r="L20" s="893"/>
      <c r="M20" s="895"/>
      <c r="N20" s="872"/>
      <c r="O20" s="872"/>
      <c r="P20" s="875"/>
      <c r="Q20" s="796"/>
      <c r="R20" s="796"/>
      <c r="S20" s="887"/>
      <c r="T20" s="904"/>
      <c r="U20" s="892"/>
      <c r="W20" s="34">
        <v>9</v>
      </c>
      <c r="X20" s="35">
        <f t="shared" si="1"/>
        <v>0</v>
      </c>
      <c r="Y20" s="35" t="str">
        <f t="shared" ca="1" si="2"/>
        <v xml:space="preserve"> </v>
      </c>
      <c r="Z20" s="36" t="str">
        <f t="shared" ca="1" si="3"/>
        <v>NH</v>
      </c>
      <c r="AD20" s="35">
        <f t="shared" si="4"/>
        <v>0</v>
      </c>
      <c r="AE20" s="37" t="str">
        <f t="shared" ca="1" si="5"/>
        <v xml:space="preserve"> </v>
      </c>
      <c r="AF20" s="43"/>
      <c r="AG20" s="36" t="s">
        <v>44</v>
      </c>
      <c r="AH20" s="38">
        <f t="shared" si="7"/>
        <v>204</v>
      </c>
      <c r="AI20" s="928"/>
    </row>
    <row r="21" spans="1:35" s="41" customFormat="1" ht="24.95" customHeight="1">
      <c r="A21" s="40"/>
      <c r="B21" s="879"/>
      <c r="C21" s="882"/>
      <c r="D21" s="882"/>
      <c r="E21" s="882"/>
      <c r="F21" s="882"/>
      <c r="G21" s="885"/>
      <c r="H21" s="867"/>
      <c r="I21" s="902"/>
      <c r="J21" s="172"/>
      <c r="K21" s="38"/>
      <c r="L21" s="894"/>
      <c r="M21" s="896"/>
      <c r="N21" s="873"/>
      <c r="O21" s="873"/>
      <c r="P21" s="876"/>
      <c r="Q21" s="797"/>
      <c r="R21" s="797"/>
      <c r="S21" s="888"/>
      <c r="T21" s="904"/>
      <c r="U21" s="892"/>
      <c r="W21" s="34">
        <v>10</v>
      </c>
      <c r="X21" s="35">
        <f t="shared" si="1"/>
        <v>0</v>
      </c>
      <c r="Y21" s="35" t="str">
        <f t="shared" ca="1" si="2"/>
        <v xml:space="preserve"> </v>
      </c>
      <c r="Z21" s="36" t="str">
        <f t="shared" ca="1" si="3"/>
        <v>NH</v>
      </c>
      <c r="AD21" s="35">
        <f t="shared" si="4"/>
        <v>0</v>
      </c>
      <c r="AE21" s="37" t="str">
        <f t="shared" ca="1" si="5"/>
        <v xml:space="preserve"> </v>
      </c>
      <c r="AF21" s="43"/>
      <c r="AG21" s="36" t="s">
        <v>44</v>
      </c>
      <c r="AH21" s="38">
        <f t="shared" si="7"/>
        <v>226</v>
      </c>
      <c r="AI21" s="928"/>
    </row>
    <row r="22" spans="1:35" s="41" customFormat="1" ht="24.95" hidden="1" customHeight="1">
      <c r="A22" s="40"/>
      <c r="B22" s="877">
        <v>4</v>
      </c>
      <c r="C22" s="889"/>
      <c r="D22" s="889"/>
      <c r="E22" s="889"/>
      <c r="F22" s="889"/>
      <c r="G22" s="897"/>
      <c r="H22" s="865"/>
      <c r="I22" s="900"/>
      <c r="J22" s="172"/>
      <c r="K22" s="38">
        <f>+$K$13</f>
        <v>0</v>
      </c>
      <c r="L22" s="172"/>
      <c r="M22" s="38"/>
      <c r="N22" s="871"/>
      <c r="O22" s="871"/>
      <c r="P22" s="874"/>
      <c r="Q22" s="795"/>
      <c r="R22" s="795"/>
      <c r="S22" s="886">
        <f t="shared" ref="S22" si="9">IF(COUNTIF(J22:K24,"CUMPLE")&gt;=1,(G22*I22),0)* (IF(N22="PRESENTÓ CERTIFICADO",1,0))* (IF(O22="ACORDE A ITEM 6.2.2.1 (T.R.)",1,0) )* ( IF(OR(Q22="SIN OBSERVACIÓN", Q22="REQUERIMIENTOS SUBSANADOS"),1,0)) *(IF(OR(R22="NINGUNO", R22="CUMPLEN CON LO SOLICITADO"),1,0))</f>
        <v>0</v>
      </c>
      <c r="T22" s="904"/>
      <c r="U22" s="892">
        <f>IF(COUNTIF(L22:M24,"CUMPLE")&gt;=1,1,0)</f>
        <v>0</v>
      </c>
      <c r="W22" s="34">
        <v>11</v>
      </c>
      <c r="X22" s="35">
        <f t="shared" si="1"/>
        <v>0</v>
      </c>
      <c r="Y22" s="35" t="str">
        <f t="shared" ca="1" si="2"/>
        <v xml:space="preserve"> </v>
      </c>
      <c r="Z22" s="36" t="str">
        <f t="shared" ca="1" si="3"/>
        <v>NH</v>
      </c>
      <c r="AD22" s="35">
        <f t="shared" si="4"/>
        <v>0</v>
      </c>
      <c r="AE22" s="37" t="str">
        <f t="shared" ca="1" si="5"/>
        <v xml:space="preserve"> </v>
      </c>
      <c r="AF22" s="43"/>
      <c r="AG22" s="36" t="s">
        <v>44</v>
      </c>
      <c r="AH22" s="38">
        <f t="shared" si="7"/>
        <v>248</v>
      </c>
      <c r="AI22" s="928"/>
    </row>
    <row r="23" spans="1:35" s="41" customFormat="1" ht="24.95" hidden="1" customHeight="1">
      <c r="A23" s="40"/>
      <c r="B23" s="878"/>
      <c r="C23" s="890"/>
      <c r="D23" s="890"/>
      <c r="E23" s="890"/>
      <c r="F23" s="890"/>
      <c r="G23" s="898"/>
      <c r="H23" s="866"/>
      <c r="I23" s="901"/>
      <c r="J23" s="172"/>
      <c r="K23" s="38">
        <f>+$K$14</f>
        <v>0</v>
      </c>
      <c r="L23" s="893"/>
      <c r="M23" s="895"/>
      <c r="N23" s="872"/>
      <c r="O23" s="872"/>
      <c r="P23" s="875"/>
      <c r="Q23" s="796"/>
      <c r="R23" s="796"/>
      <c r="S23" s="887"/>
      <c r="T23" s="904"/>
      <c r="U23" s="892"/>
      <c r="W23" s="34">
        <v>12</v>
      </c>
      <c r="X23" s="35">
        <f t="shared" si="1"/>
        <v>0</v>
      </c>
      <c r="Y23" s="35" t="str">
        <f t="shared" ca="1" si="2"/>
        <v xml:space="preserve"> </v>
      </c>
      <c r="Z23" s="36" t="str">
        <f t="shared" ca="1" si="3"/>
        <v>NH</v>
      </c>
      <c r="AD23" s="35">
        <f t="shared" si="4"/>
        <v>0</v>
      </c>
      <c r="AE23" s="37" t="str">
        <f t="shared" ca="1" si="5"/>
        <v xml:space="preserve"> </v>
      </c>
      <c r="AF23" s="43"/>
      <c r="AG23" s="36" t="s">
        <v>44</v>
      </c>
      <c r="AH23" s="38">
        <f t="shared" si="7"/>
        <v>270</v>
      </c>
      <c r="AI23" s="928"/>
    </row>
    <row r="24" spans="1:35" s="41" customFormat="1" ht="24.95" hidden="1" customHeight="1">
      <c r="A24" s="40"/>
      <c r="B24" s="879"/>
      <c r="C24" s="891"/>
      <c r="D24" s="891"/>
      <c r="E24" s="891"/>
      <c r="F24" s="891"/>
      <c r="G24" s="899"/>
      <c r="H24" s="867"/>
      <c r="I24" s="902"/>
      <c r="J24" s="172"/>
      <c r="K24" s="38">
        <f>+$K$15</f>
        <v>0</v>
      </c>
      <c r="L24" s="894"/>
      <c r="M24" s="896"/>
      <c r="N24" s="873"/>
      <c r="O24" s="873"/>
      <c r="P24" s="876"/>
      <c r="Q24" s="797"/>
      <c r="R24" s="797"/>
      <c r="S24" s="888"/>
      <c r="T24" s="904"/>
      <c r="U24" s="892"/>
      <c r="W24" s="34">
        <v>13</v>
      </c>
      <c r="X24" s="35">
        <f t="shared" si="1"/>
        <v>0</v>
      </c>
      <c r="Y24" s="35" t="str">
        <f t="shared" ca="1" si="2"/>
        <v xml:space="preserve"> </v>
      </c>
      <c r="Z24" s="36" t="str">
        <f t="shared" ca="1" si="3"/>
        <v>NH</v>
      </c>
      <c r="AD24" s="35">
        <f t="shared" si="4"/>
        <v>0</v>
      </c>
      <c r="AE24" s="37" t="str">
        <f t="shared" ca="1" si="5"/>
        <v xml:space="preserve"> </v>
      </c>
      <c r="AF24" s="43"/>
      <c r="AG24" s="36" t="s">
        <v>44</v>
      </c>
      <c r="AH24" s="38">
        <f t="shared" si="7"/>
        <v>292</v>
      </c>
      <c r="AI24" s="928"/>
    </row>
    <row r="25" spans="1:35" s="41" customFormat="1" ht="24.95" hidden="1" customHeight="1">
      <c r="A25" s="40"/>
      <c r="B25" s="877">
        <v>5</v>
      </c>
      <c r="C25" s="880"/>
      <c r="D25" s="880"/>
      <c r="E25" s="880"/>
      <c r="F25" s="880"/>
      <c r="G25" s="883"/>
      <c r="H25" s="865"/>
      <c r="I25" s="868"/>
      <c r="J25" s="172"/>
      <c r="K25" s="38">
        <f>+$K$13</f>
        <v>0</v>
      </c>
      <c r="L25" s="172"/>
      <c r="M25" s="38"/>
      <c r="N25" s="871"/>
      <c r="O25" s="871"/>
      <c r="P25" s="874"/>
      <c r="Q25" s="795"/>
      <c r="R25" s="795"/>
      <c r="S25" s="886">
        <f t="shared" ref="S25" si="10">IF(COUNTIF(J25:K27,"CUMPLE")&gt;=1,(G25*I25),0)* (IF(N25="PRESENTÓ CERTIFICADO",1,0))* (IF(O25="ACORDE A ITEM 6.2.2.1 (T.R.)",1,0) )* ( IF(OR(Q25="SIN OBSERVACIÓN", Q25="REQUERIMIENTOS SUBSANADOS"),1,0)) *(IF(OR(R25="NINGUNO", R25="CUMPLEN CON LO SOLICITADO"),1,0))</f>
        <v>0</v>
      </c>
      <c r="T25" s="904"/>
      <c r="U25" s="892">
        <f>IF(COUNTIF(L25:M27,"CUMPLE")&gt;=1,1,0)</f>
        <v>0</v>
      </c>
      <c r="W25" s="34">
        <v>14</v>
      </c>
      <c r="X25" s="35">
        <f t="shared" si="1"/>
        <v>0</v>
      </c>
      <c r="Y25" s="35" t="str">
        <f t="shared" ca="1" si="2"/>
        <v xml:space="preserve"> </v>
      </c>
      <c r="Z25" s="36" t="str">
        <f t="shared" ca="1" si="3"/>
        <v>NH</v>
      </c>
      <c r="AD25" s="35">
        <f t="shared" si="4"/>
        <v>0</v>
      </c>
      <c r="AE25" s="37" t="str">
        <f t="shared" ca="1" si="5"/>
        <v xml:space="preserve"> </v>
      </c>
      <c r="AF25" s="43"/>
      <c r="AG25" s="36" t="s">
        <v>44</v>
      </c>
      <c r="AH25" s="38">
        <f t="shared" si="7"/>
        <v>314</v>
      </c>
      <c r="AI25" s="928"/>
    </row>
    <row r="26" spans="1:35" s="41" customFormat="1" ht="24.95" hidden="1" customHeight="1">
      <c r="A26" s="40"/>
      <c r="B26" s="878"/>
      <c r="C26" s="881"/>
      <c r="D26" s="881"/>
      <c r="E26" s="881"/>
      <c r="F26" s="881"/>
      <c r="G26" s="884"/>
      <c r="H26" s="866"/>
      <c r="I26" s="869"/>
      <c r="J26" s="172"/>
      <c r="K26" s="38">
        <f>+$K$14</f>
        <v>0</v>
      </c>
      <c r="L26" s="893"/>
      <c r="M26" s="895"/>
      <c r="N26" s="872"/>
      <c r="O26" s="872"/>
      <c r="P26" s="875"/>
      <c r="Q26" s="796"/>
      <c r="R26" s="796"/>
      <c r="S26" s="887"/>
      <c r="T26" s="904"/>
      <c r="U26" s="892"/>
      <c r="W26" s="34">
        <v>15</v>
      </c>
      <c r="X26" s="35">
        <f t="shared" si="1"/>
        <v>0</v>
      </c>
      <c r="Y26" s="35" t="str">
        <f t="shared" ca="1" si="2"/>
        <v xml:space="preserve"> </v>
      </c>
      <c r="Z26" s="36" t="str">
        <f ca="1">IF(Y26="CUMPLE","H","NH")</f>
        <v>NH</v>
      </c>
      <c r="AD26" s="35">
        <f t="shared" si="4"/>
        <v>0</v>
      </c>
      <c r="AE26" s="37">
        <f t="shared" ca="1" si="5"/>
        <v>0</v>
      </c>
      <c r="AF26" s="43"/>
      <c r="AG26" s="36" t="s">
        <v>44</v>
      </c>
      <c r="AH26" s="38">
        <f t="shared" si="7"/>
        <v>336</v>
      </c>
      <c r="AI26" s="928"/>
    </row>
    <row r="27" spans="1:35" s="41" customFormat="1" ht="24.95" hidden="1" customHeight="1">
      <c r="A27" s="40"/>
      <c r="B27" s="879"/>
      <c r="C27" s="882"/>
      <c r="D27" s="882"/>
      <c r="E27" s="882"/>
      <c r="F27" s="882"/>
      <c r="G27" s="885"/>
      <c r="H27" s="867"/>
      <c r="I27" s="870"/>
      <c r="J27" s="172"/>
      <c r="K27" s="38">
        <f>+$K$15</f>
        <v>0</v>
      </c>
      <c r="L27" s="894"/>
      <c r="M27" s="896"/>
      <c r="N27" s="873"/>
      <c r="O27" s="873"/>
      <c r="P27" s="876"/>
      <c r="Q27" s="797"/>
      <c r="R27" s="797"/>
      <c r="S27" s="888"/>
      <c r="T27" s="905"/>
      <c r="U27" s="892"/>
      <c r="W27" s="34">
        <v>16</v>
      </c>
      <c r="X27" s="35">
        <f t="shared" si="1"/>
        <v>0</v>
      </c>
      <c r="Y27" s="35" t="str">
        <f t="shared" ca="1" si="2"/>
        <v xml:space="preserve"> </v>
      </c>
      <c r="Z27" s="36" t="str">
        <f ca="1">IF(Y27="CUMPLE","H","NH")</f>
        <v>NH</v>
      </c>
      <c r="AD27" s="35">
        <f t="shared" si="4"/>
        <v>0</v>
      </c>
      <c r="AE27" s="37">
        <f t="shared" ca="1" si="5"/>
        <v>0</v>
      </c>
      <c r="AG27" s="36" t="s">
        <v>44</v>
      </c>
      <c r="AH27" s="38">
        <f t="shared" si="7"/>
        <v>358</v>
      </c>
      <c r="AI27" s="928"/>
    </row>
    <row r="28" spans="1:35" s="28" customFormat="1" ht="24.95" hidden="1" customHeight="1">
      <c r="B28" s="854" t="str">
        <f>IF(S29=" "," ",IF(S29&gt;=$H$6,"CUMPLE CON LA EXPERIENCIA REQUERIDA","NO CUMPLE CON LA EXPERIENCIA REQUERIDA"))</f>
        <v xml:space="preserve"> </v>
      </c>
      <c r="C28" s="855"/>
      <c r="D28" s="855"/>
      <c r="E28" s="855"/>
      <c r="F28" s="855"/>
      <c r="G28" s="855"/>
      <c r="H28" s="855"/>
      <c r="I28" s="855"/>
      <c r="J28" s="855"/>
      <c r="K28" s="855"/>
      <c r="L28" s="855"/>
      <c r="M28" s="855"/>
      <c r="N28" s="855"/>
      <c r="O28" s="856"/>
      <c r="P28" s="860" t="s">
        <v>45</v>
      </c>
      <c r="Q28" s="861"/>
      <c r="R28" s="862"/>
      <c r="S28" s="44">
        <f>IF(T13="SI",SUM(S13:S27),0)</f>
        <v>0</v>
      </c>
      <c r="T28" s="863" t="str">
        <f>IF(S29=" "," ",IF(S29&gt;=$H$6,"CUMPLE","NO CUMPLE"))</f>
        <v xml:space="preserve"> </v>
      </c>
      <c r="W28" s="34">
        <v>17</v>
      </c>
      <c r="X28" s="35">
        <f t="shared" si="1"/>
        <v>0</v>
      </c>
      <c r="Y28" s="35" t="str">
        <f t="shared" ref="Y28" ca="1" si="11">VLOOKUP(X28,BANDERA,2,FALSE)</f>
        <v xml:space="preserve"> </v>
      </c>
      <c r="Z28" s="36" t="str">
        <f t="shared" ref="Z28" ca="1" si="12">IF(Y28="CUMPLE","H","NH")</f>
        <v>NH</v>
      </c>
      <c r="AA28" s="41"/>
      <c r="AB28" s="41"/>
      <c r="AC28" s="41"/>
      <c r="AD28" s="35">
        <f t="shared" si="4"/>
        <v>0</v>
      </c>
      <c r="AE28" s="37">
        <f t="shared" ca="1" si="5"/>
        <v>0</v>
      </c>
      <c r="AF28" s="41"/>
      <c r="AG28" s="36" t="s">
        <v>44</v>
      </c>
      <c r="AH28" s="38">
        <f t="shared" si="7"/>
        <v>380</v>
      </c>
      <c r="AI28" s="896"/>
    </row>
    <row r="29" spans="1:35" s="41" customFormat="1" ht="24.95" hidden="1" customHeight="1">
      <c r="B29" s="857"/>
      <c r="C29" s="858"/>
      <c r="D29" s="858"/>
      <c r="E29" s="858"/>
      <c r="F29" s="858"/>
      <c r="G29" s="858"/>
      <c r="H29" s="858"/>
      <c r="I29" s="858"/>
      <c r="J29" s="858"/>
      <c r="K29" s="858"/>
      <c r="L29" s="858"/>
      <c r="M29" s="858"/>
      <c r="N29" s="858"/>
      <c r="O29" s="859"/>
      <c r="P29" s="860" t="s">
        <v>46</v>
      </c>
      <c r="Q29" s="861"/>
      <c r="R29" s="862"/>
      <c r="S29" s="44" t="str">
        <f>IFERROR((S28/$P$6)," ")</f>
        <v xml:space="preserve"> </v>
      </c>
      <c r="T29" s="864"/>
      <c r="W29" s="29"/>
      <c r="X29" s="29"/>
      <c r="Y29" s="29"/>
      <c r="Z29" s="29"/>
      <c r="AD29" s="13"/>
      <c r="AE29" s="13"/>
      <c r="AF29" s="13"/>
      <c r="AG29" s="13"/>
      <c r="AH29" s="13"/>
      <c r="AI29" s="13"/>
    </row>
    <row r="30" spans="1:35" s="41" customFormat="1" ht="30" customHeight="1">
      <c r="W30" s="29"/>
      <c r="X30" s="29"/>
      <c r="Y30" s="29"/>
      <c r="Z30" s="29"/>
      <c r="AD30" s="13"/>
      <c r="AE30" s="13"/>
      <c r="AF30" s="13"/>
      <c r="AG30" s="13"/>
      <c r="AH30" s="13"/>
      <c r="AI30" s="13"/>
    </row>
    <row r="31" spans="1:35" ht="30" customHeight="1">
      <c r="AA31" s="41"/>
      <c r="AB31" s="41"/>
      <c r="AC31" s="41"/>
    </row>
    <row r="32" spans="1:35" ht="56.25" customHeight="1">
      <c r="B32" s="26">
        <v>2</v>
      </c>
      <c r="C32" s="916" t="str">
        <f>+C10</f>
        <v>EXPERIENCIA ESPECÍFICA</v>
      </c>
      <c r="D32" s="917"/>
      <c r="E32" s="918"/>
      <c r="F32" s="919" t="str">
        <f>IFERROR(VLOOKUP(B32,LISTA_OFERENTES,2,FALSE)," ")</f>
        <v>CONSORCIO VALCO - ACI</v>
      </c>
      <c r="G32" s="920"/>
      <c r="H32" s="920"/>
      <c r="I32" s="920"/>
      <c r="J32" s="920"/>
      <c r="K32" s="920"/>
      <c r="L32" s="920"/>
      <c r="M32" s="920"/>
      <c r="N32" s="920"/>
      <c r="O32" s="921"/>
      <c r="P32" s="922" t="s">
        <v>25</v>
      </c>
      <c r="Q32" s="923"/>
      <c r="R32" s="924"/>
      <c r="S32" s="27">
        <f>5-(INT(COUNTBLANK(C35:C49))-10)</f>
        <v>3</v>
      </c>
      <c r="T32" s="28"/>
      <c r="AA32" s="41"/>
      <c r="AB32" s="41"/>
      <c r="AC32" s="41"/>
    </row>
    <row r="33" spans="1:35" s="42" customFormat="1" ht="38.25" customHeight="1">
      <c r="B33" s="914" t="s">
        <v>26</v>
      </c>
      <c r="C33" s="906" t="s">
        <v>27</v>
      </c>
      <c r="D33" s="906" t="s">
        <v>28</v>
      </c>
      <c r="E33" s="906" t="s">
        <v>29</v>
      </c>
      <c r="F33" s="906" t="s">
        <v>30</v>
      </c>
      <c r="G33" s="906" t="s">
        <v>31</v>
      </c>
      <c r="H33" s="906" t="s">
        <v>32</v>
      </c>
      <c r="I33" s="906" t="s">
        <v>33</v>
      </c>
      <c r="J33" s="911" t="s">
        <v>34</v>
      </c>
      <c r="K33" s="912"/>
      <c r="L33" s="912"/>
      <c r="M33" s="913"/>
      <c r="N33" s="906" t="s">
        <v>35</v>
      </c>
      <c r="O33" s="906" t="s">
        <v>36</v>
      </c>
      <c r="P33" s="911" t="s">
        <v>37</v>
      </c>
      <c r="Q33" s="913"/>
      <c r="R33" s="906" t="s">
        <v>38</v>
      </c>
      <c r="S33" s="906" t="s">
        <v>39</v>
      </c>
      <c r="T33" s="906" t="str">
        <f>+$T$11</f>
        <v>Cumple con el requerimiento del numeral 6.2.2.2.1</v>
      </c>
      <c r="U33" s="906" t="str">
        <f>+$U$11</f>
        <v xml:space="preserve">VERIFICACIÓN CONDICIÓN DE EXPERIENCIA  </v>
      </c>
      <c r="V33" s="45"/>
      <c r="W33" s="29"/>
      <c r="X33" s="29"/>
      <c r="Y33" s="29"/>
      <c r="Z33" s="29"/>
      <c r="AA33" s="41"/>
      <c r="AB33" s="41"/>
      <c r="AC33" s="41"/>
      <c r="AD33" s="13"/>
      <c r="AE33" s="13"/>
      <c r="AF33" s="13"/>
      <c r="AG33" s="13"/>
      <c r="AH33" s="13"/>
      <c r="AI33" s="13"/>
    </row>
    <row r="34" spans="1:35" s="42" customFormat="1" ht="59.25" customHeight="1">
      <c r="B34" s="915"/>
      <c r="C34" s="907"/>
      <c r="D34" s="907"/>
      <c r="E34" s="907"/>
      <c r="F34" s="907"/>
      <c r="G34" s="907"/>
      <c r="H34" s="907"/>
      <c r="I34" s="907"/>
      <c r="J34" s="908" t="s">
        <v>42</v>
      </c>
      <c r="K34" s="909"/>
      <c r="L34" s="909"/>
      <c r="M34" s="910"/>
      <c r="N34" s="907"/>
      <c r="O34" s="907"/>
      <c r="P34" s="33" t="s">
        <v>10</v>
      </c>
      <c r="Q34" s="33" t="s">
        <v>43</v>
      </c>
      <c r="R34" s="907"/>
      <c r="S34" s="907"/>
      <c r="T34" s="907"/>
      <c r="U34" s="907"/>
      <c r="V34" s="45"/>
      <c r="W34" s="29"/>
      <c r="X34" s="29"/>
      <c r="Y34" s="29"/>
      <c r="Z34" s="29"/>
      <c r="AA34" s="41"/>
      <c r="AB34" s="41"/>
      <c r="AC34" s="41"/>
      <c r="AD34" s="13"/>
      <c r="AE34" s="13"/>
      <c r="AF34" s="13"/>
      <c r="AG34" s="13"/>
      <c r="AH34" s="13"/>
      <c r="AI34" s="13"/>
    </row>
    <row r="35" spans="1:35" s="41" customFormat="1" ht="30.75" customHeight="1">
      <c r="A35" s="40"/>
      <c r="B35" s="877">
        <v>1</v>
      </c>
      <c r="C35" s="880">
        <v>2</v>
      </c>
      <c r="D35" s="880">
        <v>6</v>
      </c>
      <c r="E35" s="880">
        <v>760088</v>
      </c>
      <c r="F35" s="880" t="s">
        <v>298</v>
      </c>
      <c r="G35" s="883">
        <v>110.79</v>
      </c>
      <c r="H35" s="865" t="s">
        <v>221</v>
      </c>
      <c r="I35" s="868">
        <v>1</v>
      </c>
      <c r="J35" s="172"/>
      <c r="K35" s="38">
        <f>+$K$13</f>
        <v>0</v>
      </c>
      <c r="L35" s="172"/>
      <c r="M35" s="38">
        <f t="shared" ref="M35" si="13">+$M$13</f>
        <v>0</v>
      </c>
      <c r="N35" s="871" t="s">
        <v>143</v>
      </c>
      <c r="O35" s="871" t="s">
        <v>230</v>
      </c>
      <c r="P35" s="874" t="s">
        <v>301</v>
      </c>
      <c r="Q35" s="795" t="s">
        <v>145</v>
      </c>
      <c r="R35" s="795" t="s">
        <v>300</v>
      </c>
      <c r="S35" s="886">
        <f>IF(COUNTIF(J35:K37,"CUMPLE")&gt;=1,(G35*I35),0)* (IF(N35="PRESENTÓ CERTIFICADO",1,0))* (IF(O35="ACORDE A ITEM 6.2.2.1 (T.R.)",1,0) )* ( IF(OR(Q35="SIN OBSERVACIÓN", Q35="REQUERIMIENTOS SUBSANADOS"),1,0)) *(IF(OR(R35="NINGUNO", R35="CUMPLEN CON LO SOLICITADO"),1,0))</f>
        <v>0</v>
      </c>
      <c r="T35" s="903" t="s">
        <v>147</v>
      </c>
      <c r="U35" s="892">
        <f t="shared" ref="U35:U47" si="14">IF(COUNTIF(J35:K37,"CUMPLE")&gt;=1,1,0)</f>
        <v>0</v>
      </c>
      <c r="W35" s="29"/>
      <c r="X35" s="29"/>
      <c r="Y35" s="29"/>
      <c r="Z35" s="29"/>
      <c r="AD35" s="13"/>
      <c r="AE35" s="13"/>
      <c r="AF35" s="13"/>
      <c r="AG35" s="13"/>
      <c r="AH35" s="13"/>
      <c r="AI35" s="13"/>
    </row>
    <row r="36" spans="1:35" s="41" customFormat="1" ht="30.75" customHeight="1">
      <c r="A36" s="40"/>
      <c r="B36" s="878"/>
      <c r="C36" s="881"/>
      <c r="D36" s="881"/>
      <c r="E36" s="881"/>
      <c r="F36" s="881"/>
      <c r="G36" s="884"/>
      <c r="H36" s="866"/>
      <c r="I36" s="869"/>
      <c r="J36" s="172"/>
      <c r="K36" s="38">
        <f>+$K$14</f>
        <v>0</v>
      </c>
      <c r="L36" s="893"/>
      <c r="M36" s="895">
        <f t="shared" ref="M36" si="15">+$M$14</f>
        <v>0</v>
      </c>
      <c r="N36" s="872"/>
      <c r="O36" s="872"/>
      <c r="P36" s="875"/>
      <c r="Q36" s="796"/>
      <c r="R36" s="796"/>
      <c r="S36" s="887"/>
      <c r="T36" s="904"/>
      <c r="U36" s="892"/>
      <c r="W36" s="29"/>
      <c r="X36" s="29"/>
      <c r="Y36" s="29"/>
      <c r="Z36" s="29"/>
      <c r="AD36" s="13"/>
      <c r="AE36" s="13"/>
      <c r="AF36" s="13"/>
      <c r="AG36" s="13"/>
      <c r="AH36" s="13"/>
      <c r="AI36" s="13"/>
    </row>
    <row r="37" spans="1:35" s="41" customFormat="1" ht="30.75" customHeight="1">
      <c r="A37" s="40"/>
      <c r="B37" s="879"/>
      <c r="C37" s="882"/>
      <c r="D37" s="882"/>
      <c r="E37" s="882"/>
      <c r="F37" s="882"/>
      <c r="G37" s="885"/>
      <c r="H37" s="867"/>
      <c r="I37" s="870"/>
      <c r="J37" s="172"/>
      <c r="K37" s="38">
        <f>+$K$15</f>
        <v>0</v>
      </c>
      <c r="L37" s="894"/>
      <c r="M37" s="896"/>
      <c r="N37" s="873"/>
      <c r="O37" s="873"/>
      <c r="P37" s="876"/>
      <c r="Q37" s="797"/>
      <c r="R37" s="797"/>
      <c r="S37" s="888"/>
      <c r="T37" s="904"/>
      <c r="U37" s="892"/>
      <c r="W37" s="29"/>
      <c r="X37" s="29"/>
      <c r="Y37" s="29"/>
      <c r="Z37" s="29"/>
      <c r="AD37" s="13"/>
      <c r="AE37" s="13"/>
      <c r="AF37" s="13"/>
      <c r="AG37" s="13"/>
      <c r="AH37" s="13"/>
      <c r="AI37" s="13"/>
    </row>
    <row r="38" spans="1:35" s="41" customFormat="1" ht="25.5" customHeight="1">
      <c r="A38" s="40"/>
      <c r="B38" s="877">
        <v>2</v>
      </c>
      <c r="C38" s="889">
        <v>3</v>
      </c>
      <c r="D38" s="889">
        <v>7</v>
      </c>
      <c r="E38" s="925">
        <v>10544</v>
      </c>
      <c r="F38" s="889" t="s">
        <v>299</v>
      </c>
      <c r="G38" s="897">
        <v>227.97</v>
      </c>
      <c r="H38" s="865" t="s">
        <v>221</v>
      </c>
      <c r="I38" s="868">
        <v>1</v>
      </c>
      <c r="J38" s="172"/>
      <c r="K38" s="38">
        <f>+$K$13</f>
        <v>0</v>
      </c>
      <c r="L38" s="172"/>
      <c r="M38" s="38">
        <f t="shared" ref="M38" si="16">+$M$13</f>
        <v>0</v>
      </c>
      <c r="N38" s="871" t="s">
        <v>143</v>
      </c>
      <c r="O38" s="871" t="s">
        <v>230</v>
      </c>
      <c r="P38" s="874" t="s">
        <v>301</v>
      </c>
      <c r="Q38" s="795" t="s">
        <v>145</v>
      </c>
      <c r="R38" s="795" t="s">
        <v>300</v>
      </c>
      <c r="S38" s="886">
        <f t="shared" ref="S38" si="17">IF(COUNTIF(J38:K40,"CUMPLE")&gt;=1,(G38*I38),0)* (IF(N38="PRESENTÓ CERTIFICADO",1,0))* (IF(O38="ACORDE A ITEM 6.2.2.1 (T.R.)",1,0) )* ( IF(OR(Q38="SIN OBSERVACIÓN", Q38="REQUERIMIENTOS SUBSANADOS"),1,0)) *(IF(OR(R38="NINGUNO", R38="CUMPLEN CON LO SOLICITADO"),1,0))</f>
        <v>0</v>
      </c>
      <c r="T38" s="904"/>
      <c r="U38" s="892">
        <f t="shared" si="14"/>
        <v>0</v>
      </c>
      <c r="W38" s="29"/>
      <c r="X38" s="29"/>
      <c r="Y38" s="29"/>
      <c r="Z38" s="29"/>
      <c r="AD38" s="13"/>
      <c r="AE38" s="13"/>
      <c r="AF38" s="13"/>
      <c r="AG38" s="13"/>
      <c r="AH38" s="13"/>
      <c r="AI38" s="13"/>
    </row>
    <row r="39" spans="1:35" s="41" customFormat="1" ht="25.5" customHeight="1">
      <c r="A39" s="40"/>
      <c r="B39" s="878"/>
      <c r="C39" s="890"/>
      <c r="D39" s="890"/>
      <c r="E39" s="926"/>
      <c r="F39" s="890"/>
      <c r="G39" s="898"/>
      <c r="H39" s="866"/>
      <c r="I39" s="869"/>
      <c r="J39" s="172"/>
      <c r="K39" s="38">
        <f>+$K$14</f>
        <v>0</v>
      </c>
      <c r="L39" s="893"/>
      <c r="M39" s="895">
        <f t="shared" ref="M39" si="18">+$M$14</f>
        <v>0</v>
      </c>
      <c r="N39" s="872"/>
      <c r="O39" s="872"/>
      <c r="P39" s="875"/>
      <c r="Q39" s="796"/>
      <c r="R39" s="796"/>
      <c r="S39" s="887"/>
      <c r="T39" s="904"/>
      <c r="U39" s="892"/>
      <c r="W39" s="29"/>
      <c r="X39" s="29"/>
      <c r="Y39" s="29"/>
      <c r="Z39" s="29"/>
      <c r="AD39" s="13"/>
      <c r="AE39" s="13"/>
      <c r="AF39" s="13"/>
      <c r="AG39" s="13"/>
      <c r="AH39" s="13"/>
      <c r="AI39" s="13"/>
    </row>
    <row r="40" spans="1:35" s="41" customFormat="1" ht="25.5" customHeight="1">
      <c r="A40" s="40"/>
      <c r="B40" s="879"/>
      <c r="C40" s="891"/>
      <c r="D40" s="891"/>
      <c r="E40" s="927"/>
      <c r="F40" s="891"/>
      <c r="G40" s="899"/>
      <c r="H40" s="867"/>
      <c r="I40" s="870"/>
      <c r="J40" s="172"/>
      <c r="K40" s="38">
        <f>+$K$15</f>
        <v>0</v>
      </c>
      <c r="L40" s="894"/>
      <c r="M40" s="896"/>
      <c r="N40" s="873"/>
      <c r="O40" s="873"/>
      <c r="P40" s="876"/>
      <c r="Q40" s="797"/>
      <c r="R40" s="797"/>
      <c r="S40" s="888"/>
      <c r="T40" s="904"/>
      <c r="U40" s="892"/>
      <c r="W40" s="29"/>
      <c r="X40" s="29"/>
      <c r="Y40" s="29"/>
      <c r="Z40" s="29"/>
      <c r="AD40" s="13"/>
      <c r="AE40" s="13"/>
      <c r="AF40" s="13"/>
      <c r="AG40" s="13"/>
      <c r="AH40" s="13"/>
      <c r="AI40" s="13"/>
    </row>
    <row r="41" spans="1:35" s="41" customFormat="1" ht="24.95" customHeight="1">
      <c r="A41" s="40"/>
      <c r="B41" s="877">
        <v>3</v>
      </c>
      <c r="C41" s="880">
        <v>4</v>
      </c>
      <c r="D41" s="880">
        <v>7</v>
      </c>
      <c r="E41" s="880">
        <v>680037</v>
      </c>
      <c r="F41" s="880" t="s">
        <v>298</v>
      </c>
      <c r="G41" s="883">
        <v>365.72</v>
      </c>
      <c r="H41" s="865" t="s">
        <v>221</v>
      </c>
      <c r="I41" s="868">
        <v>1</v>
      </c>
      <c r="J41" s="172"/>
      <c r="K41" s="38">
        <f>+$K$13</f>
        <v>0</v>
      </c>
      <c r="L41" s="172"/>
      <c r="M41" s="38">
        <f t="shared" ref="M41" si="19">+$M$13</f>
        <v>0</v>
      </c>
      <c r="N41" s="871" t="s">
        <v>143</v>
      </c>
      <c r="O41" s="871" t="s">
        <v>230</v>
      </c>
      <c r="P41" s="874" t="s">
        <v>301</v>
      </c>
      <c r="Q41" s="795" t="s">
        <v>145</v>
      </c>
      <c r="R41" s="795" t="s">
        <v>300</v>
      </c>
      <c r="S41" s="886">
        <f t="shared" ref="S41" si="20">IF(COUNTIF(J41:K43,"CUMPLE")&gt;=1,(G41*I41),0)* (IF(N41="PRESENTÓ CERTIFICADO",1,0))* (IF(O41="ACORDE A ITEM 6.2.2.1 (T.R.)",1,0) )* ( IF(OR(Q41="SIN OBSERVACIÓN", Q41="REQUERIMIENTOS SUBSANADOS"),1,0)) *(IF(OR(R41="NINGUNO", R41="CUMPLEN CON LO SOLICITADO"),1,0))</f>
        <v>0</v>
      </c>
      <c r="T41" s="904"/>
      <c r="U41" s="892">
        <f t="shared" si="14"/>
        <v>0</v>
      </c>
      <c r="W41" s="29"/>
      <c r="X41" s="29"/>
      <c r="Y41" s="29"/>
      <c r="Z41" s="29"/>
      <c r="AA41" s="28"/>
      <c r="AB41" s="28"/>
      <c r="AC41" s="28"/>
      <c r="AD41" s="13"/>
      <c r="AE41" s="13"/>
      <c r="AF41" s="13"/>
      <c r="AG41" s="13"/>
      <c r="AH41" s="13"/>
      <c r="AI41" s="13"/>
    </row>
    <row r="42" spans="1:35" s="41" customFormat="1" ht="24.95" customHeight="1">
      <c r="A42" s="40"/>
      <c r="B42" s="878"/>
      <c r="C42" s="881"/>
      <c r="D42" s="881"/>
      <c r="E42" s="881"/>
      <c r="F42" s="881"/>
      <c r="G42" s="884"/>
      <c r="H42" s="866"/>
      <c r="I42" s="869"/>
      <c r="J42" s="172"/>
      <c r="K42" s="38">
        <f>+$K$14</f>
        <v>0</v>
      </c>
      <c r="L42" s="893"/>
      <c r="M42" s="895">
        <f t="shared" ref="M42" si="21">+$M$14</f>
        <v>0</v>
      </c>
      <c r="N42" s="872"/>
      <c r="O42" s="872"/>
      <c r="P42" s="875"/>
      <c r="Q42" s="796"/>
      <c r="R42" s="796"/>
      <c r="S42" s="887"/>
      <c r="T42" s="904"/>
      <c r="U42" s="892"/>
      <c r="W42" s="29"/>
      <c r="X42" s="29"/>
      <c r="Y42" s="29"/>
      <c r="Z42" s="29"/>
      <c r="AH42" s="13"/>
      <c r="AI42" s="13"/>
    </row>
    <row r="43" spans="1:35" s="41" customFormat="1" ht="24.95" customHeight="1">
      <c r="A43" s="40"/>
      <c r="B43" s="879"/>
      <c r="C43" s="882"/>
      <c r="D43" s="882"/>
      <c r="E43" s="882"/>
      <c r="F43" s="882"/>
      <c r="G43" s="885"/>
      <c r="H43" s="867"/>
      <c r="I43" s="870"/>
      <c r="J43" s="172"/>
      <c r="K43" s="38">
        <f>+$K$15</f>
        <v>0</v>
      </c>
      <c r="L43" s="894"/>
      <c r="M43" s="896"/>
      <c r="N43" s="873"/>
      <c r="O43" s="873"/>
      <c r="P43" s="876"/>
      <c r="Q43" s="797"/>
      <c r="R43" s="797"/>
      <c r="S43" s="888"/>
      <c r="T43" s="904"/>
      <c r="U43" s="892"/>
      <c r="W43" s="29"/>
      <c r="X43" s="29"/>
      <c r="Y43" s="29"/>
      <c r="Z43" s="29"/>
    </row>
    <row r="44" spans="1:35" s="41" customFormat="1" ht="24.95" hidden="1" customHeight="1">
      <c r="A44" s="40"/>
      <c r="B44" s="877">
        <v>4</v>
      </c>
      <c r="C44" s="889"/>
      <c r="D44" s="889"/>
      <c r="E44" s="889"/>
      <c r="F44" s="889"/>
      <c r="G44" s="897"/>
      <c r="H44" s="865"/>
      <c r="I44" s="900"/>
      <c r="J44" s="172"/>
      <c r="K44" s="38">
        <f>+$K$13</f>
        <v>0</v>
      </c>
      <c r="L44" s="172"/>
      <c r="M44" s="38">
        <f t="shared" ref="M44" si="22">+$M$13</f>
        <v>0</v>
      </c>
      <c r="N44" s="871"/>
      <c r="O44" s="871"/>
      <c r="P44" s="874"/>
      <c r="Q44" s="795"/>
      <c r="R44" s="795"/>
      <c r="S44" s="886">
        <f t="shared" ref="S44" si="23">IF(COUNTIF(J44:K46,"CUMPLE")&gt;=1,(G44*I44),0)* (IF(N44="PRESENTÓ CERTIFICADO",1,0))* (IF(O44="ACORDE A ITEM 6.2.2.1 (T.R.)",1,0) )* ( IF(OR(Q44="SIN OBSERVACIÓN", Q44="REQUERIMIENTOS SUBSANADOS"),1,0)) *(IF(OR(R44="NINGUNO", R44="CUMPLEN CON LO SOLICITADO"),1,0))</f>
        <v>0</v>
      </c>
      <c r="T44" s="904"/>
      <c r="U44" s="892">
        <f t="shared" si="14"/>
        <v>0</v>
      </c>
      <c r="W44" s="29"/>
      <c r="X44" s="29"/>
      <c r="Y44" s="29"/>
      <c r="Z44" s="29"/>
      <c r="AA44" s="13"/>
      <c r="AB44" s="13"/>
      <c r="AC44" s="13"/>
      <c r="AD44" s="13"/>
      <c r="AE44" s="13"/>
      <c r="AF44" s="13"/>
      <c r="AG44" s="13"/>
    </row>
    <row r="45" spans="1:35" s="41" customFormat="1" ht="24.95" hidden="1" customHeight="1">
      <c r="A45" s="40"/>
      <c r="B45" s="878"/>
      <c r="C45" s="890"/>
      <c r="D45" s="890"/>
      <c r="E45" s="890"/>
      <c r="F45" s="890"/>
      <c r="G45" s="898"/>
      <c r="H45" s="866"/>
      <c r="I45" s="901"/>
      <c r="J45" s="172"/>
      <c r="K45" s="38">
        <f>+$K$14</f>
        <v>0</v>
      </c>
      <c r="L45" s="893"/>
      <c r="M45" s="895">
        <f t="shared" ref="M45" si="24">+$M$14</f>
        <v>0</v>
      </c>
      <c r="N45" s="872"/>
      <c r="O45" s="872"/>
      <c r="P45" s="875"/>
      <c r="Q45" s="796"/>
      <c r="R45" s="796"/>
      <c r="S45" s="887"/>
      <c r="T45" s="904"/>
      <c r="U45" s="892"/>
      <c r="W45" s="29"/>
      <c r="X45" s="29"/>
      <c r="Y45" s="29"/>
      <c r="Z45" s="29"/>
      <c r="AA45" s="13"/>
      <c r="AB45" s="13"/>
      <c r="AC45" s="13"/>
      <c r="AD45" s="13"/>
      <c r="AE45" s="13"/>
      <c r="AF45" s="13"/>
      <c r="AG45" s="13"/>
    </row>
    <row r="46" spans="1:35" s="41" customFormat="1" ht="24.95" hidden="1" customHeight="1">
      <c r="A46" s="40"/>
      <c r="B46" s="879"/>
      <c r="C46" s="891"/>
      <c r="D46" s="891"/>
      <c r="E46" s="891"/>
      <c r="F46" s="891"/>
      <c r="G46" s="899"/>
      <c r="H46" s="867"/>
      <c r="I46" s="902"/>
      <c r="J46" s="172"/>
      <c r="K46" s="38">
        <f>+$K$15</f>
        <v>0</v>
      </c>
      <c r="L46" s="894"/>
      <c r="M46" s="896"/>
      <c r="N46" s="873"/>
      <c r="O46" s="873"/>
      <c r="P46" s="876"/>
      <c r="Q46" s="797"/>
      <c r="R46" s="797"/>
      <c r="S46" s="888"/>
      <c r="T46" s="904"/>
      <c r="U46" s="892"/>
      <c r="W46" s="29"/>
      <c r="X46" s="29"/>
      <c r="Y46" s="29"/>
      <c r="Z46" s="29"/>
      <c r="AA46" s="29"/>
      <c r="AB46" s="29"/>
      <c r="AC46" s="29"/>
      <c r="AD46" s="42"/>
      <c r="AE46" s="42"/>
      <c r="AF46" s="42"/>
      <c r="AG46" s="42"/>
    </row>
    <row r="47" spans="1:35" s="41" customFormat="1" ht="24.95" hidden="1" customHeight="1">
      <c r="A47" s="40"/>
      <c r="B47" s="877">
        <v>5</v>
      </c>
      <c r="C47" s="880"/>
      <c r="D47" s="880"/>
      <c r="E47" s="880"/>
      <c r="F47" s="880"/>
      <c r="G47" s="883"/>
      <c r="H47" s="865"/>
      <c r="I47" s="868"/>
      <c r="J47" s="172"/>
      <c r="K47" s="38">
        <f>+$K$13</f>
        <v>0</v>
      </c>
      <c r="L47" s="172"/>
      <c r="M47" s="38">
        <f t="shared" ref="M47" si="25">+$M$13</f>
        <v>0</v>
      </c>
      <c r="N47" s="871"/>
      <c r="O47" s="871"/>
      <c r="P47" s="874"/>
      <c r="Q47" s="795"/>
      <c r="R47" s="795"/>
      <c r="S47" s="886">
        <f t="shared" ref="S47" si="26">IF(COUNTIF(J47:K49,"CUMPLE")&gt;=1,(G47*I47),0)* (IF(N47="PRESENTÓ CERTIFICADO",1,0))* (IF(O47="ACORDE A ITEM 6.2.2.1 (T.R.)",1,0) )* ( IF(OR(Q47="SIN OBSERVACIÓN", Q47="REQUERIMIENTOS SUBSANADOS"),1,0)) *(IF(OR(R47="NINGUNO", R47="CUMPLEN CON LO SOLICITADO"),1,0))</f>
        <v>0</v>
      </c>
      <c r="T47" s="904"/>
      <c r="U47" s="892">
        <f t="shared" si="14"/>
        <v>0</v>
      </c>
      <c r="W47" s="29"/>
      <c r="X47" s="29"/>
      <c r="Y47" s="29"/>
      <c r="Z47" s="29"/>
      <c r="AA47" s="29"/>
      <c r="AB47" s="29"/>
      <c r="AC47" s="29"/>
      <c r="AD47" s="42"/>
      <c r="AE47" s="42"/>
      <c r="AF47" s="42"/>
      <c r="AG47" s="42"/>
    </row>
    <row r="48" spans="1:35" s="41" customFormat="1" ht="24.95" hidden="1" customHeight="1">
      <c r="A48" s="40"/>
      <c r="B48" s="878"/>
      <c r="C48" s="881"/>
      <c r="D48" s="881"/>
      <c r="E48" s="881"/>
      <c r="F48" s="881"/>
      <c r="G48" s="884"/>
      <c r="H48" s="866"/>
      <c r="I48" s="869"/>
      <c r="J48" s="172"/>
      <c r="K48" s="38">
        <f>+$K$14</f>
        <v>0</v>
      </c>
      <c r="L48" s="893"/>
      <c r="M48" s="895">
        <f t="shared" ref="M48" si="27">+$M$14</f>
        <v>0</v>
      </c>
      <c r="N48" s="872"/>
      <c r="O48" s="872"/>
      <c r="P48" s="875"/>
      <c r="Q48" s="796"/>
      <c r="R48" s="796"/>
      <c r="S48" s="887"/>
      <c r="T48" s="904"/>
      <c r="U48" s="892"/>
      <c r="W48" s="29"/>
      <c r="X48" s="29"/>
      <c r="Y48" s="29"/>
      <c r="Z48" s="29"/>
      <c r="AA48" s="29"/>
      <c r="AB48" s="29"/>
      <c r="AC48" s="29"/>
    </row>
    <row r="49" spans="1:35" s="41" customFormat="1" ht="24.95" hidden="1" customHeight="1">
      <c r="A49" s="40"/>
      <c r="B49" s="879"/>
      <c r="C49" s="882"/>
      <c r="D49" s="882"/>
      <c r="E49" s="882"/>
      <c r="F49" s="882"/>
      <c r="G49" s="885"/>
      <c r="H49" s="867"/>
      <c r="I49" s="870"/>
      <c r="J49" s="172"/>
      <c r="K49" s="38">
        <f>+$K$15</f>
        <v>0</v>
      </c>
      <c r="L49" s="894"/>
      <c r="M49" s="896"/>
      <c r="N49" s="873"/>
      <c r="O49" s="873"/>
      <c r="P49" s="876"/>
      <c r="Q49" s="797"/>
      <c r="R49" s="797"/>
      <c r="S49" s="888"/>
      <c r="T49" s="905"/>
      <c r="U49" s="892"/>
      <c r="W49" s="29"/>
      <c r="X49" s="29"/>
      <c r="Y49" s="29"/>
      <c r="Z49" s="29"/>
      <c r="AA49" s="29"/>
      <c r="AB49" s="29"/>
      <c r="AC49" s="29"/>
    </row>
    <row r="50" spans="1:35" s="28" customFormat="1" ht="24.95" hidden="1" customHeight="1">
      <c r="B50" s="854" t="str">
        <f>IF(S51=" "," ",IF(S51&gt;=$H$6,"CUMPLE CON LA EXPERIENCIA REQUERIDA","NO CUMPLE CON LA EXPERIENCIA REQUERIDA"))</f>
        <v xml:space="preserve"> </v>
      </c>
      <c r="C50" s="855"/>
      <c r="D50" s="855"/>
      <c r="E50" s="855"/>
      <c r="F50" s="855"/>
      <c r="G50" s="855"/>
      <c r="H50" s="855"/>
      <c r="I50" s="855"/>
      <c r="J50" s="855"/>
      <c r="K50" s="855"/>
      <c r="L50" s="855"/>
      <c r="M50" s="855"/>
      <c r="N50" s="855"/>
      <c r="O50" s="856"/>
      <c r="P50" s="860" t="s">
        <v>45</v>
      </c>
      <c r="Q50" s="861"/>
      <c r="R50" s="862"/>
      <c r="S50" s="44">
        <f>IF(T35="SI",SUM(S35:S49),0)</f>
        <v>0</v>
      </c>
      <c r="T50" s="863" t="str">
        <f>IF(S51=" "," ",IF(S51&gt;=$H$6,"CUMPLE","NO CUMPLE"))</f>
        <v xml:space="preserve"> </v>
      </c>
      <c r="W50" s="29"/>
      <c r="X50" s="29"/>
      <c r="Y50" s="29"/>
      <c r="Z50" s="29"/>
      <c r="AA50" s="29"/>
      <c r="AB50" s="29"/>
      <c r="AC50" s="29"/>
      <c r="AD50" s="41"/>
      <c r="AE50" s="41"/>
      <c r="AF50" s="41"/>
      <c r="AG50" s="41"/>
      <c r="AH50" s="41"/>
    </row>
    <row r="51" spans="1:35" s="41" customFormat="1" ht="24.95" hidden="1" customHeight="1">
      <c r="B51" s="857"/>
      <c r="C51" s="858"/>
      <c r="D51" s="858"/>
      <c r="E51" s="858"/>
      <c r="F51" s="858"/>
      <c r="G51" s="858"/>
      <c r="H51" s="858"/>
      <c r="I51" s="858"/>
      <c r="J51" s="858"/>
      <c r="K51" s="858"/>
      <c r="L51" s="858"/>
      <c r="M51" s="858"/>
      <c r="N51" s="858"/>
      <c r="O51" s="859"/>
      <c r="P51" s="860" t="s">
        <v>46</v>
      </c>
      <c r="Q51" s="861"/>
      <c r="R51" s="862"/>
      <c r="S51" s="44" t="str">
        <f>IFERROR((S50/$P$6)," ")</f>
        <v xml:space="preserve"> </v>
      </c>
      <c r="T51" s="864"/>
      <c r="W51" s="29"/>
      <c r="X51" s="29"/>
      <c r="Y51" s="29"/>
      <c r="Z51" s="29"/>
      <c r="AA51" s="29"/>
      <c r="AB51" s="29"/>
      <c r="AC51" s="29"/>
    </row>
    <row r="52" spans="1:35" ht="30" customHeight="1">
      <c r="AA52" s="29"/>
      <c r="AB52" s="29"/>
      <c r="AC52" s="29"/>
      <c r="AD52" s="41"/>
      <c r="AE52" s="41"/>
      <c r="AF52" s="41"/>
      <c r="AG52" s="41"/>
      <c r="AH52" s="28"/>
    </row>
    <row r="53" spans="1:35" ht="30" customHeight="1">
      <c r="AA53" s="29"/>
      <c r="AB53" s="29"/>
      <c r="AC53" s="29"/>
      <c r="AD53" s="41"/>
      <c r="AE53" s="41"/>
      <c r="AF53" s="41"/>
      <c r="AG53" s="41"/>
      <c r="AH53" s="41"/>
    </row>
    <row r="54" spans="1:35" ht="61.5" customHeight="1">
      <c r="B54" s="26">
        <v>3</v>
      </c>
      <c r="C54" s="916" t="str">
        <f>+C32</f>
        <v>EXPERIENCIA ESPECÍFICA</v>
      </c>
      <c r="D54" s="917"/>
      <c r="E54" s="918"/>
      <c r="F54" s="919" t="str">
        <f>IFERROR(VLOOKUP(B54,LISTA_OFERENTES,2,FALSE)," ")</f>
        <v>ARQ S.A.S.</v>
      </c>
      <c r="G54" s="920"/>
      <c r="H54" s="920"/>
      <c r="I54" s="920"/>
      <c r="J54" s="920"/>
      <c r="K54" s="920"/>
      <c r="L54" s="920"/>
      <c r="M54" s="920"/>
      <c r="N54" s="920"/>
      <c r="O54" s="921"/>
      <c r="P54" s="922" t="s">
        <v>25</v>
      </c>
      <c r="Q54" s="923"/>
      <c r="R54" s="924"/>
      <c r="S54" s="27">
        <f>5-(INT(COUNTBLANK(C57:C71))-10)</f>
        <v>3</v>
      </c>
      <c r="T54" s="28"/>
      <c r="AA54" s="29"/>
      <c r="AB54" s="29"/>
      <c r="AC54" s="29"/>
      <c r="AD54" s="41"/>
      <c r="AE54" s="41"/>
      <c r="AF54" s="41"/>
      <c r="AG54" s="41"/>
    </row>
    <row r="55" spans="1:35" s="42" customFormat="1" ht="30" customHeight="1">
      <c r="B55" s="914" t="s">
        <v>26</v>
      </c>
      <c r="C55" s="906" t="s">
        <v>27</v>
      </c>
      <c r="D55" s="906" t="s">
        <v>28</v>
      </c>
      <c r="E55" s="906" t="s">
        <v>29</v>
      </c>
      <c r="F55" s="906" t="s">
        <v>30</v>
      </c>
      <c r="G55" s="906" t="s">
        <v>31</v>
      </c>
      <c r="H55" s="906" t="s">
        <v>32</v>
      </c>
      <c r="I55" s="906" t="s">
        <v>33</v>
      </c>
      <c r="J55" s="911" t="s">
        <v>34</v>
      </c>
      <c r="K55" s="912"/>
      <c r="L55" s="912"/>
      <c r="M55" s="913"/>
      <c r="N55" s="906" t="s">
        <v>35</v>
      </c>
      <c r="O55" s="906" t="s">
        <v>36</v>
      </c>
      <c r="P55" s="911" t="s">
        <v>37</v>
      </c>
      <c r="Q55" s="913"/>
      <c r="R55" s="906" t="s">
        <v>38</v>
      </c>
      <c r="S55" s="906" t="s">
        <v>39</v>
      </c>
      <c r="T55" s="906" t="str">
        <f>+$T$11</f>
        <v>Cumple con el requerimiento del numeral 6.2.2.2.1</v>
      </c>
      <c r="U55" s="906" t="str">
        <f>+$U$11</f>
        <v xml:space="preserve">VERIFICACIÓN CONDICIÓN DE EXPERIENCIA  </v>
      </c>
      <c r="V55" s="45"/>
      <c r="W55" s="29"/>
      <c r="X55" s="29"/>
      <c r="Y55" s="29"/>
      <c r="Z55" s="29"/>
      <c r="AA55" s="29"/>
      <c r="AB55" s="29"/>
      <c r="AC55" s="29"/>
      <c r="AD55" s="41"/>
      <c r="AE55" s="41"/>
      <c r="AF55" s="41"/>
      <c r="AG55" s="41"/>
      <c r="AH55" s="13"/>
    </row>
    <row r="56" spans="1:35" s="42" customFormat="1" ht="59.25" customHeight="1">
      <c r="B56" s="915"/>
      <c r="C56" s="907"/>
      <c r="D56" s="907"/>
      <c r="E56" s="907"/>
      <c r="F56" s="907"/>
      <c r="G56" s="907"/>
      <c r="H56" s="907"/>
      <c r="I56" s="907"/>
      <c r="J56" s="908" t="s">
        <v>42</v>
      </c>
      <c r="K56" s="909"/>
      <c r="L56" s="909"/>
      <c r="M56" s="910"/>
      <c r="N56" s="907"/>
      <c r="O56" s="907"/>
      <c r="P56" s="33" t="s">
        <v>10</v>
      </c>
      <c r="Q56" s="33" t="s">
        <v>43</v>
      </c>
      <c r="R56" s="907"/>
      <c r="S56" s="907"/>
      <c r="T56" s="907"/>
      <c r="U56" s="907"/>
      <c r="V56" s="45"/>
      <c r="W56" s="29"/>
      <c r="X56" s="29"/>
      <c r="Y56" s="29"/>
      <c r="Z56" s="29"/>
      <c r="AA56" s="29"/>
      <c r="AB56" s="29"/>
      <c r="AC56" s="29"/>
      <c r="AD56" s="41"/>
      <c r="AE56" s="41"/>
      <c r="AF56" s="41"/>
      <c r="AG56" s="41"/>
      <c r="AH56" s="13"/>
    </row>
    <row r="57" spans="1:35" s="41" customFormat="1" ht="24.95" customHeight="1">
      <c r="A57" s="40"/>
      <c r="B57" s="877">
        <v>1</v>
      </c>
      <c r="C57" s="777">
        <v>99</v>
      </c>
      <c r="D57" s="777">
        <v>44</v>
      </c>
      <c r="E57" s="777" t="s">
        <v>372</v>
      </c>
      <c r="F57" s="777" t="s">
        <v>377</v>
      </c>
      <c r="G57" s="780">
        <v>2630.91</v>
      </c>
      <c r="H57" s="783" t="s">
        <v>221</v>
      </c>
      <c r="I57" s="786">
        <v>1</v>
      </c>
      <c r="J57" s="172"/>
      <c r="K57" s="38"/>
      <c r="L57" s="172"/>
      <c r="M57" s="38"/>
      <c r="N57" s="871" t="s">
        <v>143</v>
      </c>
      <c r="O57" s="871" t="s">
        <v>230</v>
      </c>
      <c r="P57" s="874"/>
      <c r="Q57" s="795" t="s">
        <v>145</v>
      </c>
      <c r="R57" s="795" t="s">
        <v>300</v>
      </c>
      <c r="S57" s="886">
        <f t="shared" ref="S57" si="28">IF(COUNTIF(J57:K59,"CUMPLE")&gt;=1,(G57*I57),0)* (IF(N57="PRESENTÓ CERTIFICADO",1,0))* (IF(O57="ACORDE A ITEM 6.2.2.1 (T.R.)",1,0) )* ( IF(OR(Q57="SIN OBSERVACIÓN", Q57="REQUERIMIENTOS SUBSANADOS"),1,0)) *(IF(OR(R57="NINGUNO", R57="CUMPLEN CON LO SOLICITADO"),1,0))</f>
        <v>0</v>
      </c>
      <c r="T57" s="903" t="s">
        <v>147</v>
      </c>
      <c r="U57" s="892">
        <f>IF(COUNTIF(J57:K59,"CUMPLE")&gt;=1,1,0)</f>
        <v>0</v>
      </c>
      <c r="W57" s="29"/>
      <c r="X57" s="29"/>
      <c r="Y57" s="29"/>
      <c r="Z57" s="29"/>
      <c r="AD57" s="13"/>
      <c r="AE57" s="13"/>
      <c r="AF57" s="13"/>
      <c r="AG57" s="13"/>
      <c r="AH57" s="13"/>
      <c r="AI57" s="13"/>
    </row>
    <row r="58" spans="1:35" s="41" customFormat="1" ht="24.95" customHeight="1">
      <c r="A58" s="40"/>
      <c r="B58" s="878"/>
      <c r="C58" s="778"/>
      <c r="D58" s="778"/>
      <c r="E58" s="778"/>
      <c r="F58" s="778"/>
      <c r="G58" s="781"/>
      <c r="H58" s="784"/>
      <c r="I58" s="787"/>
      <c r="J58" s="172"/>
      <c r="K58" s="38"/>
      <c r="L58" s="893"/>
      <c r="M58" s="895"/>
      <c r="N58" s="872"/>
      <c r="O58" s="872"/>
      <c r="P58" s="875"/>
      <c r="Q58" s="796"/>
      <c r="R58" s="796"/>
      <c r="S58" s="887"/>
      <c r="T58" s="904"/>
      <c r="U58" s="892"/>
      <c r="W58" s="29"/>
      <c r="X58" s="29"/>
      <c r="Y58" s="29"/>
      <c r="Z58" s="29"/>
      <c r="AD58" s="13"/>
      <c r="AE58" s="13"/>
      <c r="AF58" s="13"/>
      <c r="AG58" s="13"/>
      <c r="AH58" s="13"/>
      <c r="AI58" s="13"/>
    </row>
    <row r="59" spans="1:35" s="41" customFormat="1" ht="24.95" customHeight="1">
      <c r="A59" s="40"/>
      <c r="B59" s="879"/>
      <c r="C59" s="779"/>
      <c r="D59" s="779"/>
      <c r="E59" s="779"/>
      <c r="F59" s="779"/>
      <c r="G59" s="782"/>
      <c r="H59" s="785"/>
      <c r="I59" s="788"/>
      <c r="J59" s="172"/>
      <c r="K59" s="38"/>
      <c r="L59" s="894"/>
      <c r="M59" s="896"/>
      <c r="N59" s="873"/>
      <c r="O59" s="873"/>
      <c r="P59" s="876"/>
      <c r="Q59" s="797"/>
      <c r="R59" s="797"/>
      <c r="S59" s="888"/>
      <c r="T59" s="904"/>
      <c r="U59" s="892"/>
      <c r="W59" s="29"/>
      <c r="X59" s="29"/>
      <c r="Y59" s="29"/>
      <c r="Z59" s="29"/>
      <c r="AD59" s="13"/>
      <c r="AE59" s="13"/>
      <c r="AF59" s="13"/>
      <c r="AG59" s="13"/>
      <c r="AH59" s="13"/>
      <c r="AI59" s="13"/>
    </row>
    <row r="60" spans="1:35" s="41" customFormat="1" ht="24.95" customHeight="1">
      <c r="A60" s="40"/>
      <c r="B60" s="877">
        <v>2</v>
      </c>
      <c r="C60" s="804">
        <v>97</v>
      </c>
      <c r="D60" s="804">
        <v>43</v>
      </c>
      <c r="E60" s="804" t="s">
        <v>373</v>
      </c>
      <c r="F60" s="804" t="s">
        <v>378</v>
      </c>
      <c r="G60" s="807" t="s">
        <v>381</v>
      </c>
      <c r="H60" s="783" t="s">
        <v>221</v>
      </c>
      <c r="I60" s="786">
        <v>1</v>
      </c>
      <c r="J60" s="172"/>
      <c r="K60" s="38"/>
      <c r="L60" s="172"/>
      <c r="M60" s="38"/>
      <c r="N60" s="871" t="s">
        <v>143</v>
      </c>
      <c r="O60" s="871" t="s">
        <v>230</v>
      </c>
      <c r="P60" s="874"/>
      <c r="Q60" s="795" t="s">
        <v>145</v>
      </c>
      <c r="R60" s="795" t="s">
        <v>300</v>
      </c>
      <c r="S60" s="886">
        <f t="shared" ref="S60" si="29">IF(COUNTIF(J60:K62,"CUMPLE")&gt;=1,(G60*I60),0)* (IF(N60="PRESENTÓ CERTIFICADO",1,0))* (IF(O60="ACORDE A ITEM 6.2.2.1 (T.R.)",1,0) )* ( IF(OR(Q60="SIN OBSERVACIÓN", Q60="REQUERIMIENTOS SUBSANADOS"),1,0)) *(IF(OR(R60="NINGUNO", R60="CUMPLEN CON LO SOLICITADO"),1,0))</f>
        <v>0</v>
      </c>
      <c r="T60" s="904"/>
      <c r="U60" s="892">
        <f t="shared" ref="U60:U69" si="30">IF(COUNTIF(J60:K62,"CUMPLE")&gt;=1,1,0)</f>
        <v>0</v>
      </c>
      <c r="W60" s="29"/>
      <c r="X60" s="29"/>
      <c r="Y60" s="29"/>
      <c r="Z60" s="29"/>
      <c r="AD60" s="13"/>
      <c r="AE60" s="13"/>
      <c r="AF60" s="13"/>
      <c r="AG60" s="13"/>
      <c r="AH60" s="13"/>
      <c r="AI60" s="13"/>
    </row>
    <row r="61" spans="1:35" s="41" customFormat="1" ht="24.95" customHeight="1">
      <c r="A61" s="40"/>
      <c r="B61" s="878"/>
      <c r="C61" s="805"/>
      <c r="D61" s="805"/>
      <c r="E61" s="805"/>
      <c r="F61" s="805"/>
      <c r="G61" s="808"/>
      <c r="H61" s="784"/>
      <c r="I61" s="787"/>
      <c r="J61" s="172"/>
      <c r="K61" s="38"/>
      <c r="L61" s="893"/>
      <c r="M61" s="895"/>
      <c r="N61" s="872"/>
      <c r="O61" s="872"/>
      <c r="P61" s="875"/>
      <c r="Q61" s="796"/>
      <c r="R61" s="796"/>
      <c r="S61" s="887"/>
      <c r="T61" s="904"/>
      <c r="U61" s="892"/>
      <c r="W61" s="29"/>
      <c r="X61" s="29"/>
      <c r="Y61" s="29"/>
      <c r="Z61" s="29"/>
      <c r="AD61" s="13"/>
      <c r="AE61" s="13"/>
      <c r="AF61" s="13"/>
      <c r="AG61" s="13"/>
      <c r="AH61" s="13"/>
      <c r="AI61" s="13"/>
    </row>
    <row r="62" spans="1:35" s="41" customFormat="1" ht="24.95" customHeight="1">
      <c r="A62" s="40"/>
      <c r="B62" s="879"/>
      <c r="C62" s="806"/>
      <c r="D62" s="806"/>
      <c r="E62" s="806"/>
      <c r="F62" s="806"/>
      <c r="G62" s="809"/>
      <c r="H62" s="785"/>
      <c r="I62" s="788"/>
      <c r="J62" s="172"/>
      <c r="K62" s="38"/>
      <c r="L62" s="894"/>
      <c r="M62" s="896"/>
      <c r="N62" s="873"/>
      <c r="O62" s="873"/>
      <c r="P62" s="876"/>
      <c r="Q62" s="797"/>
      <c r="R62" s="797"/>
      <c r="S62" s="888"/>
      <c r="T62" s="904"/>
      <c r="U62" s="892"/>
      <c r="W62" s="29"/>
      <c r="X62" s="29"/>
      <c r="Y62" s="29"/>
      <c r="Z62" s="29"/>
      <c r="AD62" s="13"/>
      <c r="AE62" s="13"/>
      <c r="AF62" s="13"/>
      <c r="AG62" s="13"/>
      <c r="AH62" s="13"/>
      <c r="AI62" s="13"/>
    </row>
    <row r="63" spans="1:35" s="41" customFormat="1" ht="24.95" customHeight="1">
      <c r="A63" s="40"/>
      <c r="B63" s="877">
        <v>3</v>
      </c>
      <c r="C63" s="804">
        <v>98</v>
      </c>
      <c r="D63" s="804">
        <v>43</v>
      </c>
      <c r="E63" s="804" t="s">
        <v>375</v>
      </c>
      <c r="F63" s="804" t="s">
        <v>379</v>
      </c>
      <c r="G63" s="807">
        <v>329</v>
      </c>
      <c r="H63" s="865"/>
      <c r="I63" s="786">
        <v>1</v>
      </c>
      <c r="J63" s="172"/>
      <c r="K63" s="38"/>
      <c r="L63" s="172"/>
      <c r="M63" s="38"/>
      <c r="N63" s="871" t="s">
        <v>143</v>
      </c>
      <c r="O63" s="871" t="s">
        <v>230</v>
      </c>
      <c r="P63" s="874" t="s">
        <v>428</v>
      </c>
      <c r="Q63" s="795" t="s">
        <v>392</v>
      </c>
      <c r="R63" s="795" t="s">
        <v>300</v>
      </c>
      <c r="S63" s="886">
        <f t="shared" ref="S63" si="31">IF(COUNTIF(J63:K65,"CUMPLE")&gt;=1,(G63*I63),0)* (IF(N63="PRESENTÓ CERTIFICADO",1,0))* (IF(O63="ACORDE A ITEM 6.2.2.1 (T.R.)",1,0) )* ( IF(OR(Q63="SIN OBSERVACIÓN", Q63="REQUERIMIENTOS SUBSANADOS"),1,0)) *(IF(OR(R63="NINGUNO", R63="CUMPLEN CON LO SOLICITADO"),1,0))</f>
        <v>0</v>
      </c>
      <c r="T63" s="904"/>
      <c r="U63" s="892">
        <f t="shared" si="30"/>
        <v>0</v>
      </c>
      <c r="W63" s="29"/>
      <c r="X63" s="29"/>
      <c r="Y63" s="29"/>
      <c r="Z63" s="29"/>
      <c r="AA63" s="28"/>
      <c r="AB63" s="28"/>
      <c r="AC63" s="28"/>
      <c r="AD63" s="13"/>
      <c r="AE63" s="13"/>
      <c r="AF63" s="13"/>
      <c r="AG63" s="13"/>
      <c r="AH63" s="13"/>
      <c r="AI63" s="13"/>
    </row>
    <row r="64" spans="1:35" s="41" customFormat="1" ht="24.95" customHeight="1">
      <c r="A64" s="40"/>
      <c r="B64" s="878"/>
      <c r="C64" s="805"/>
      <c r="D64" s="805"/>
      <c r="E64" s="805"/>
      <c r="F64" s="805"/>
      <c r="G64" s="808"/>
      <c r="H64" s="866"/>
      <c r="I64" s="787"/>
      <c r="J64" s="172"/>
      <c r="K64" s="38"/>
      <c r="L64" s="893"/>
      <c r="M64" s="895"/>
      <c r="N64" s="872"/>
      <c r="O64" s="872"/>
      <c r="P64" s="875"/>
      <c r="Q64" s="796"/>
      <c r="R64" s="796"/>
      <c r="S64" s="887"/>
      <c r="T64" s="904"/>
      <c r="U64" s="892"/>
      <c r="W64" s="29"/>
      <c r="X64" s="29"/>
      <c r="Y64" s="29"/>
      <c r="Z64" s="29"/>
      <c r="AH64" s="13"/>
      <c r="AI64" s="13"/>
    </row>
    <row r="65" spans="1:35" s="41" customFormat="1" ht="30" customHeight="1">
      <c r="A65" s="40"/>
      <c r="B65" s="879"/>
      <c r="C65" s="806"/>
      <c r="D65" s="806"/>
      <c r="E65" s="806"/>
      <c r="F65" s="806"/>
      <c r="G65" s="809"/>
      <c r="H65" s="867"/>
      <c r="I65" s="788"/>
      <c r="J65" s="172"/>
      <c r="K65" s="38"/>
      <c r="L65" s="894"/>
      <c r="M65" s="896"/>
      <c r="N65" s="873"/>
      <c r="O65" s="873"/>
      <c r="P65" s="876"/>
      <c r="Q65" s="797"/>
      <c r="R65" s="797"/>
      <c r="S65" s="888"/>
      <c r="T65" s="904"/>
      <c r="U65" s="892"/>
      <c r="W65" s="29"/>
      <c r="X65" s="29"/>
      <c r="Y65" s="29"/>
      <c r="Z65" s="29"/>
    </row>
    <row r="66" spans="1:35" s="41" customFormat="1" ht="24.95" hidden="1" customHeight="1">
      <c r="A66" s="40"/>
      <c r="B66" s="877">
        <v>4</v>
      </c>
      <c r="C66" s="889"/>
      <c r="D66" s="889"/>
      <c r="E66" s="889"/>
      <c r="F66" s="889"/>
      <c r="G66" s="897"/>
      <c r="H66" s="865"/>
      <c r="I66" s="900"/>
      <c r="J66" s="172"/>
      <c r="K66" s="38">
        <f>+$K$13</f>
        <v>0</v>
      </c>
      <c r="L66" s="172"/>
      <c r="M66" s="38">
        <f>+$M$13</f>
        <v>0</v>
      </c>
      <c r="N66" s="871"/>
      <c r="O66" s="871"/>
      <c r="P66" s="874"/>
      <c r="Q66" s="795"/>
      <c r="R66" s="795"/>
      <c r="S66" s="886">
        <f t="shared" ref="S66" si="32">IF(COUNTIF(J66:K68,"CUMPLE")&gt;=1,(G66*I66),0)* (IF(N66="PRESENTÓ CERTIFICADO",1,0))* (IF(O66="ACORDE A ITEM 6.2.2.1 (T.R.)",1,0) )* ( IF(OR(Q66="SIN OBSERVACIÓN", Q66="REQUERIMIENTOS SUBSANADOS"),1,0)) *(IF(OR(R66="NINGUNO", R66="CUMPLEN CON LO SOLICITADO"),1,0))</f>
        <v>0</v>
      </c>
      <c r="T66" s="904"/>
      <c r="U66" s="892">
        <f t="shared" si="30"/>
        <v>0</v>
      </c>
      <c r="W66" s="29"/>
      <c r="X66" s="29"/>
      <c r="Y66" s="29"/>
      <c r="Z66" s="29"/>
      <c r="AA66" s="13"/>
      <c r="AB66" s="13"/>
      <c r="AC66" s="13"/>
      <c r="AD66" s="13"/>
      <c r="AE66" s="13"/>
      <c r="AF66" s="13"/>
      <c r="AG66" s="13"/>
    </row>
    <row r="67" spans="1:35" s="41" customFormat="1" ht="24.95" hidden="1" customHeight="1">
      <c r="A67" s="40"/>
      <c r="B67" s="878"/>
      <c r="C67" s="890"/>
      <c r="D67" s="890"/>
      <c r="E67" s="890"/>
      <c r="F67" s="890"/>
      <c r="G67" s="898"/>
      <c r="H67" s="866"/>
      <c r="I67" s="901"/>
      <c r="J67" s="172"/>
      <c r="K67" s="38">
        <f>+$K$14</f>
        <v>0</v>
      </c>
      <c r="L67" s="893"/>
      <c r="M67" s="895">
        <f>+$M$14</f>
        <v>0</v>
      </c>
      <c r="N67" s="872"/>
      <c r="O67" s="872"/>
      <c r="P67" s="875"/>
      <c r="Q67" s="796"/>
      <c r="R67" s="796"/>
      <c r="S67" s="887"/>
      <c r="T67" s="904"/>
      <c r="U67" s="892"/>
      <c r="W67" s="29"/>
      <c r="X67" s="29"/>
      <c r="Y67" s="29"/>
      <c r="Z67" s="29"/>
      <c r="AA67" s="13"/>
      <c r="AB67" s="13"/>
      <c r="AC67" s="13"/>
      <c r="AD67" s="13"/>
      <c r="AE67" s="13"/>
      <c r="AF67" s="13"/>
      <c r="AG67" s="13"/>
    </row>
    <row r="68" spans="1:35" s="41" customFormat="1" ht="24.95" hidden="1" customHeight="1">
      <c r="A68" s="40"/>
      <c r="B68" s="879"/>
      <c r="C68" s="891"/>
      <c r="D68" s="891"/>
      <c r="E68" s="891"/>
      <c r="F68" s="891"/>
      <c r="G68" s="899"/>
      <c r="H68" s="867"/>
      <c r="I68" s="902"/>
      <c r="J68" s="172"/>
      <c r="K68" s="38">
        <f>+$K$15</f>
        <v>0</v>
      </c>
      <c r="L68" s="894"/>
      <c r="M68" s="896"/>
      <c r="N68" s="873"/>
      <c r="O68" s="873"/>
      <c r="P68" s="876"/>
      <c r="Q68" s="797"/>
      <c r="R68" s="797"/>
      <c r="S68" s="888"/>
      <c r="T68" s="904"/>
      <c r="U68" s="892"/>
      <c r="W68" s="29"/>
      <c r="X68" s="29"/>
      <c r="Y68" s="29"/>
      <c r="Z68" s="29"/>
      <c r="AA68" s="29"/>
      <c r="AB68" s="29"/>
      <c r="AC68" s="29"/>
      <c r="AD68" s="42"/>
      <c r="AE68" s="42"/>
      <c r="AF68" s="42"/>
      <c r="AG68" s="42"/>
    </row>
    <row r="69" spans="1:35" s="41" customFormat="1" ht="24.95" hidden="1" customHeight="1">
      <c r="A69" s="40"/>
      <c r="B69" s="877">
        <v>5</v>
      </c>
      <c r="C69" s="880"/>
      <c r="D69" s="880"/>
      <c r="E69" s="880"/>
      <c r="F69" s="880"/>
      <c r="G69" s="883"/>
      <c r="H69" s="865"/>
      <c r="I69" s="868"/>
      <c r="J69" s="172"/>
      <c r="K69" s="38">
        <f>+$K$13</f>
        <v>0</v>
      </c>
      <c r="L69" s="172"/>
      <c r="M69" s="38">
        <f>+$M$13</f>
        <v>0</v>
      </c>
      <c r="N69" s="871"/>
      <c r="O69" s="871"/>
      <c r="P69" s="874"/>
      <c r="Q69" s="795"/>
      <c r="R69" s="795"/>
      <c r="S69" s="886">
        <f t="shared" ref="S69" si="33">IF(COUNTIF(J69:K71,"CUMPLE")&gt;=1,(G69*I69),0)* (IF(N69="PRESENTÓ CERTIFICADO",1,0))* (IF(O69="ACORDE A ITEM 6.2.2.1 (T.R.)",1,0) )* ( IF(OR(Q69="SIN OBSERVACIÓN", Q69="REQUERIMIENTOS SUBSANADOS"),1,0)) *(IF(OR(R69="NINGUNO", R69="CUMPLEN CON LO SOLICITADO"),1,0))</f>
        <v>0</v>
      </c>
      <c r="T69" s="904"/>
      <c r="U69" s="892">
        <f t="shared" si="30"/>
        <v>0</v>
      </c>
      <c r="W69" s="29"/>
      <c r="X69" s="29"/>
      <c r="Y69" s="29"/>
      <c r="Z69" s="29"/>
      <c r="AA69" s="29"/>
      <c r="AB69" s="29"/>
      <c r="AC69" s="29"/>
      <c r="AD69" s="42"/>
      <c r="AE69" s="42"/>
      <c r="AF69" s="42"/>
      <c r="AG69" s="42"/>
    </row>
    <row r="70" spans="1:35" s="41" customFormat="1" ht="24.95" hidden="1" customHeight="1">
      <c r="A70" s="40"/>
      <c r="B70" s="878"/>
      <c r="C70" s="881"/>
      <c r="D70" s="881"/>
      <c r="E70" s="881"/>
      <c r="F70" s="881"/>
      <c r="G70" s="884"/>
      <c r="H70" s="866"/>
      <c r="I70" s="869"/>
      <c r="J70" s="172"/>
      <c r="K70" s="38">
        <f>+$K$14</f>
        <v>0</v>
      </c>
      <c r="L70" s="893"/>
      <c r="M70" s="895">
        <f>+$M$14</f>
        <v>0</v>
      </c>
      <c r="N70" s="872"/>
      <c r="O70" s="872"/>
      <c r="P70" s="875"/>
      <c r="Q70" s="796"/>
      <c r="R70" s="796"/>
      <c r="S70" s="887"/>
      <c r="T70" s="904"/>
      <c r="U70" s="892"/>
      <c r="W70" s="29"/>
      <c r="X70" s="29"/>
      <c r="Y70" s="29"/>
      <c r="Z70" s="29"/>
      <c r="AA70" s="29"/>
      <c r="AB70" s="29"/>
      <c r="AC70" s="29"/>
    </row>
    <row r="71" spans="1:35" s="41" customFormat="1" ht="24.95" hidden="1" customHeight="1">
      <c r="A71" s="40"/>
      <c r="B71" s="879"/>
      <c r="C71" s="882"/>
      <c r="D71" s="882"/>
      <c r="E71" s="882"/>
      <c r="F71" s="882"/>
      <c r="G71" s="885"/>
      <c r="H71" s="867"/>
      <c r="I71" s="870"/>
      <c r="J71" s="172"/>
      <c r="K71" s="38">
        <f>+$K$15</f>
        <v>0</v>
      </c>
      <c r="L71" s="894"/>
      <c r="M71" s="896"/>
      <c r="N71" s="873"/>
      <c r="O71" s="873"/>
      <c r="P71" s="876"/>
      <c r="Q71" s="797"/>
      <c r="R71" s="797"/>
      <c r="S71" s="888"/>
      <c r="T71" s="905"/>
      <c r="U71" s="892"/>
      <c r="W71" s="29"/>
      <c r="X71" s="29"/>
      <c r="Y71" s="29"/>
      <c r="Z71" s="29"/>
      <c r="AA71" s="29"/>
      <c r="AB71" s="29"/>
      <c r="AC71" s="29"/>
    </row>
    <row r="72" spans="1:35" s="28" customFormat="1" ht="24.95" customHeight="1">
      <c r="B72" s="854" t="str">
        <f>IF(S73=" "," ",IF(S73&gt;=$H$6,"CUMPLE CON LA EXPERIENCIA REQUERIDA","NO CUMPLE CON LA EXPERIENCIA REQUERIDA"))</f>
        <v xml:space="preserve"> </v>
      </c>
      <c r="C72" s="855"/>
      <c r="D72" s="855"/>
      <c r="E72" s="855"/>
      <c r="F72" s="855"/>
      <c r="G72" s="855"/>
      <c r="H72" s="855"/>
      <c r="I72" s="855"/>
      <c r="J72" s="855"/>
      <c r="K72" s="855"/>
      <c r="L72" s="855"/>
      <c r="M72" s="855"/>
      <c r="N72" s="855"/>
      <c r="O72" s="856"/>
      <c r="P72" s="860" t="s">
        <v>45</v>
      </c>
      <c r="Q72" s="861"/>
      <c r="R72" s="862"/>
      <c r="S72" s="44">
        <f>IF(T57="SI",SUM(S57:S71),0)</f>
        <v>0</v>
      </c>
      <c r="T72" s="863" t="s">
        <v>234</v>
      </c>
      <c r="W72" s="29"/>
      <c r="X72" s="29"/>
      <c r="Y72" s="29"/>
      <c r="Z72" s="29"/>
      <c r="AA72" s="29"/>
      <c r="AB72" s="29"/>
      <c r="AC72" s="29"/>
      <c r="AD72" s="41"/>
      <c r="AE72" s="41"/>
      <c r="AF72" s="41"/>
      <c r="AG72" s="41"/>
      <c r="AH72" s="41"/>
    </row>
    <row r="73" spans="1:35" s="41" customFormat="1" ht="24.95" customHeight="1">
      <c r="B73" s="857"/>
      <c r="C73" s="858"/>
      <c r="D73" s="858"/>
      <c r="E73" s="858"/>
      <c r="F73" s="858"/>
      <c r="G73" s="858"/>
      <c r="H73" s="858"/>
      <c r="I73" s="858"/>
      <c r="J73" s="858"/>
      <c r="K73" s="858"/>
      <c r="L73" s="858"/>
      <c r="M73" s="858"/>
      <c r="N73" s="858"/>
      <c r="O73" s="859"/>
      <c r="P73" s="860" t="s">
        <v>46</v>
      </c>
      <c r="Q73" s="861"/>
      <c r="R73" s="862"/>
      <c r="S73" s="44" t="str">
        <f>IFERROR((S72/$P$6)," ")</f>
        <v xml:space="preserve"> </v>
      </c>
      <c r="T73" s="864"/>
      <c r="W73" s="29"/>
      <c r="X73" s="29"/>
      <c r="Y73" s="29"/>
      <c r="Z73" s="29"/>
      <c r="AA73" s="29"/>
      <c r="AB73" s="29"/>
      <c r="AC73" s="29"/>
    </row>
    <row r="74" spans="1:35" ht="30" customHeight="1">
      <c r="AA74" s="29"/>
      <c r="AB74" s="29"/>
      <c r="AC74" s="29"/>
      <c r="AD74" s="41"/>
      <c r="AE74" s="41"/>
      <c r="AF74" s="41"/>
      <c r="AG74" s="41"/>
      <c r="AH74" s="28"/>
    </row>
    <row r="75" spans="1:35" ht="30" customHeight="1">
      <c r="AA75" s="29"/>
      <c r="AB75" s="29"/>
      <c r="AC75" s="29"/>
      <c r="AD75" s="41"/>
      <c r="AE75" s="41"/>
      <c r="AF75" s="41"/>
      <c r="AG75" s="41"/>
      <c r="AH75" s="41"/>
    </row>
    <row r="76" spans="1:35" ht="62.25" customHeight="1">
      <c r="B76" s="26">
        <v>4</v>
      </c>
      <c r="C76" s="916" t="str">
        <f>+C54</f>
        <v>EXPERIENCIA ESPECÍFICA</v>
      </c>
      <c r="D76" s="917"/>
      <c r="E76" s="918"/>
      <c r="F76" s="919" t="str">
        <f>IFERROR(VLOOKUP(B76,LISTA_OFERENTES,2,FALSE)," ")</f>
        <v>PREVEO S.A.S.</v>
      </c>
      <c r="G76" s="920"/>
      <c r="H76" s="920"/>
      <c r="I76" s="920"/>
      <c r="J76" s="920"/>
      <c r="K76" s="920"/>
      <c r="L76" s="920"/>
      <c r="M76" s="920"/>
      <c r="N76" s="920"/>
      <c r="O76" s="921"/>
      <c r="P76" s="922" t="s">
        <v>25</v>
      </c>
      <c r="Q76" s="923"/>
      <c r="R76" s="924"/>
      <c r="S76" s="27">
        <f>5-(INT(COUNTBLANK(C79:C93))-10)</f>
        <v>3</v>
      </c>
      <c r="T76" s="28"/>
      <c r="AA76" s="29"/>
      <c r="AB76" s="29"/>
      <c r="AC76" s="29"/>
      <c r="AD76" s="41"/>
      <c r="AE76" s="41"/>
      <c r="AF76" s="41"/>
      <c r="AG76" s="41"/>
    </row>
    <row r="77" spans="1:35" s="42" customFormat="1" ht="30" customHeight="1">
      <c r="B77" s="914" t="s">
        <v>26</v>
      </c>
      <c r="C77" s="906" t="s">
        <v>27</v>
      </c>
      <c r="D77" s="906" t="s">
        <v>28</v>
      </c>
      <c r="E77" s="906" t="s">
        <v>29</v>
      </c>
      <c r="F77" s="906" t="s">
        <v>30</v>
      </c>
      <c r="G77" s="906" t="s">
        <v>31</v>
      </c>
      <c r="H77" s="906" t="s">
        <v>32</v>
      </c>
      <c r="I77" s="906" t="s">
        <v>33</v>
      </c>
      <c r="J77" s="911" t="s">
        <v>34</v>
      </c>
      <c r="K77" s="912"/>
      <c r="L77" s="912"/>
      <c r="M77" s="913"/>
      <c r="N77" s="906" t="s">
        <v>35</v>
      </c>
      <c r="O77" s="906" t="s">
        <v>36</v>
      </c>
      <c r="P77" s="911" t="s">
        <v>37</v>
      </c>
      <c r="Q77" s="913"/>
      <c r="R77" s="906" t="s">
        <v>38</v>
      </c>
      <c r="S77" s="906" t="s">
        <v>39</v>
      </c>
      <c r="T77" s="906" t="str">
        <f>+$T$11</f>
        <v>Cumple con el requerimiento del numeral 6.2.2.2.1</v>
      </c>
      <c r="U77" s="906" t="str">
        <f>+$U$11</f>
        <v xml:space="preserve">VERIFICACIÓN CONDICIÓN DE EXPERIENCIA  </v>
      </c>
      <c r="V77" s="45"/>
      <c r="W77" s="29"/>
      <c r="X77" s="29"/>
      <c r="Y77" s="29"/>
      <c r="Z77" s="29"/>
      <c r="AA77" s="29"/>
      <c r="AB77" s="29"/>
      <c r="AC77" s="29"/>
      <c r="AD77" s="41"/>
      <c r="AE77" s="41"/>
      <c r="AF77" s="41"/>
      <c r="AG77" s="41"/>
      <c r="AH77" s="13"/>
    </row>
    <row r="78" spans="1:35" s="42" customFormat="1" ht="105.75" customHeight="1">
      <c r="B78" s="915"/>
      <c r="C78" s="907"/>
      <c r="D78" s="907"/>
      <c r="E78" s="907"/>
      <c r="F78" s="907"/>
      <c r="G78" s="907"/>
      <c r="H78" s="907"/>
      <c r="I78" s="907"/>
      <c r="J78" s="908" t="s">
        <v>42</v>
      </c>
      <c r="K78" s="909"/>
      <c r="L78" s="909"/>
      <c r="M78" s="910"/>
      <c r="N78" s="907"/>
      <c r="O78" s="907"/>
      <c r="P78" s="33" t="s">
        <v>10</v>
      </c>
      <c r="Q78" s="33" t="s">
        <v>43</v>
      </c>
      <c r="R78" s="907"/>
      <c r="S78" s="907"/>
      <c r="T78" s="907"/>
      <c r="U78" s="907"/>
      <c r="V78" s="45"/>
      <c r="W78" s="29"/>
      <c r="X78" s="29"/>
      <c r="Y78" s="29"/>
      <c r="Z78" s="29"/>
      <c r="AA78" s="29"/>
      <c r="AB78" s="29"/>
      <c r="AC78" s="29"/>
      <c r="AD78" s="41"/>
      <c r="AE78" s="41"/>
      <c r="AF78" s="41"/>
      <c r="AG78" s="41"/>
      <c r="AH78" s="13"/>
    </row>
    <row r="79" spans="1:35" s="41" customFormat="1" ht="24.95" customHeight="1">
      <c r="A79" s="40"/>
      <c r="B79" s="877">
        <v>1</v>
      </c>
      <c r="C79" s="777">
        <v>42</v>
      </c>
      <c r="D79" s="777">
        <v>22</v>
      </c>
      <c r="E79" s="852"/>
      <c r="F79" s="777" t="s">
        <v>224</v>
      </c>
      <c r="G79" s="780">
        <v>92.51</v>
      </c>
      <c r="H79" s="783" t="s">
        <v>221</v>
      </c>
      <c r="I79" s="786">
        <v>1</v>
      </c>
      <c r="J79" s="172"/>
      <c r="K79" s="38"/>
      <c r="L79" s="172"/>
      <c r="M79" s="38"/>
      <c r="N79" s="871" t="s">
        <v>143</v>
      </c>
      <c r="O79" s="871" t="s">
        <v>302</v>
      </c>
      <c r="P79" s="874" t="s">
        <v>391</v>
      </c>
      <c r="Q79" s="795" t="s">
        <v>392</v>
      </c>
      <c r="R79" s="795" t="s">
        <v>300</v>
      </c>
      <c r="S79" s="886">
        <f t="shared" ref="S79" si="34">IF(COUNTIF(J79:K81,"CUMPLE")&gt;=1,(G79*I79),0)* (IF(N79="PRESENTÓ CERTIFICADO",1,0))* (IF(O79="ACORDE A ITEM 6.2.2.1 (T.R.)",1,0) )* ( IF(OR(Q79="SIN OBSERVACIÓN", Q79="REQUERIMIENTOS SUBSANADOS"),1,0)) *(IF(OR(R79="NINGUNO", R79="CUMPLEN CON LO SOLICITADO"),1,0))</f>
        <v>0</v>
      </c>
      <c r="T79" s="903" t="s">
        <v>147</v>
      </c>
      <c r="U79" s="892">
        <f t="shared" ref="U79:U91" si="35">IF(COUNTIF(J79:K81,"CUMPLE")&gt;=1,1,0)</f>
        <v>0</v>
      </c>
      <c r="W79" s="29"/>
      <c r="X79" s="29"/>
      <c r="Y79" s="29"/>
      <c r="Z79" s="29"/>
      <c r="AD79" s="13"/>
      <c r="AE79" s="13"/>
      <c r="AF79" s="13"/>
      <c r="AG79" s="13"/>
      <c r="AH79" s="13"/>
      <c r="AI79" s="13"/>
    </row>
    <row r="80" spans="1:35" s="41" customFormat="1" ht="24.95" customHeight="1">
      <c r="A80" s="40"/>
      <c r="B80" s="878"/>
      <c r="C80" s="778"/>
      <c r="D80" s="778"/>
      <c r="E80" s="778"/>
      <c r="F80" s="778"/>
      <c r="G80" s="781"/>
      <c r="H80" s="784"/>
      <c r="I80" s="787"/>
      <c r="J80" s="172"/>
      <c r="K80" s="38"/>
      <c r="L80" s="893"/>
      <c r="M80" s="895"/>
      <c r="N80" s="872"/>
      <c r="O80" s="872"/>
      <c r="P80" s="875"/>
      <c r="Q80" s="796"/>
      <c r="R80" s="796"/>
      <c r="S80" s="887"/>
      <c r="T80" s="904"/>
      <c r="U80" s="892"/>
      <c r="W80" s="29"/>
      <c r="X80" s="29"/>
      <c r="Y80" s="29"/>
      <c r="Z80" s="29"/>
      <c r="AD80" s="13"/>
      <c r="AE80" s="13"/>
      <c r="AF80" s="13"/>
      <c r="AG80" s="13"/>
      <c r="AH80" s="13"/>
      <c r="AI80" s="13"/>
    </row>
    <row r="81" spans="1:35" s="41" customFormat="1" ht="24.95" customHeight="1">
      <c r="A81" s="40"/>
      <c r="B81" s="879"/>
      <c r="C81" s="779"/>
      <c r="D81" s="779"/>
      <c r="E81" s="779"/>
      <c r="F81" s="779"/>
      <c r="G81" s="782"/>
      <c r="H81" s="785"/>
      <c r="I81" s="788"/>
      <c r="J81" s="172"/>
      <c r="K81" s="38"/>
      <c r="L81" s="894"/>
      <c r="M81" s="896"/>
      <c r="N81" s="873"/>
      <c r="O81" s="873"/>
      <c r="P81" s="876"/>
      <c r="Q81" s="797"/>
      <c r="R81" s="797"/>
      <c r="S81" s="888"/>
      <c r="T81" s="904"/>
      <c r="U81" s="892"/>
      <c r="W81" s="29"/>
      <c r="X81" s="29"/>
      <c r="Y81" s="29"/>
      <c r="Z81" s="29"/>
      <c r="AD81" s="13"/>
      <c r="AE81" s="13"/>
      <c r="AF81" s="13"/>
      <c r="AG81" s="13"/>
      <c r="AH81" s="13"/>
      <c r="AI81" s="13"/>
    </row>
    <row r="82" spans="1:35" s="41" customFormat="1" ht="24.95" customHeight="1">
      <c r="A82" s="40"/>
      <c r="B82" s="877">
        <v>2</v>
      </c>
      <c r="C82" s="804">
        <v>57</v>
      </c>
      <c r="D82" s="804">
        <v>23</v>
      </c>
      <c r="E82" s="804" t="s">
        <v>222</v>
      </c>
      <c r="F82" s="804" t="s">
        <v>225</v>
      </c>
      <c r="G82" s="807">
        <v>791.89</v>
      </c>
      <c r="H82" s="783" t="s">
        <v>221</v>
      </c>
      <c r="I82" s="786">
        <v>1</v>
      </c>
      <c r="J82" s="172"/>
      <c r="K82" s="38"/>
      <c r="L82" s="172"/>
      <c r="M82" s="38"/>
      <c r="N82" s="871" t="s">
        <v>143</v>
      </c>
      <c r="O82" s="871" t="s">
        <v>230</v>
      </c>
      <c r="P82" s="874"/>
      <c r="Q82" s="795" t="s">
        <v>145</v>
      </c>
      <c r="R82" s="795" t="s">
        <v>146</v>
      </c>
      <c r="S82" s="886">
        <f t="shared" ref="S82" si="36">IF(COUNTIF(J82:K84,"CUMPLE")&gt;=1,(G82*I82),0)* (IF(N82="PRESENTÓ CERTIFICADO",1,0))* (IF(O82="ACORDE A ITEM 6.2.2.1 (T.R.)",1,0) )* ( IF(OR(Q82="SIN OBSERVACIÓN", Q82="REQUERIMIENTOS SUBSANADOS"),1,0)) *(IF(OR(R82="NINGUNO", R82="CUMPLEN CON LO SOLICITADO"),1,0))</f>
        <v>0</v>
      </c>
      <c r="T82" s="904"/>
      <c r="U82" s="892">
        <f t="shared" si="35"/>
        <v>0</v>
      </c>
      <c r="W82" s="29"/>
      <c r="X82" s="29"/>
      <c r="Y82" s="29"/>
      <c r="Z82" s="29"/>
      <c r="AD82" s="13"/>
      <c r="AE82" s="13"/>
      <c r="AF82" s="13"/>
      <c r="AG82" s="13"/>
      <c r="AH82" s="13"/>
      <c r="AI82" s="13"/>
    </row>
    <row r="83" spans="1:35" s="41" customFormat="1" ht="24.95" customHeight="1">
      <c r="A83" s="40"/>
      <c r="B83" s="878"/>
      <c r="C83" s="805"/>
      <c r="D83" s="805"/>
      <c r="E83" s="805"/>
      <c r="F83" s="805"/>
      <c r="G83" s="808"/>
      <c r="H83" s="784"/>
      <c r="I83" s="787"/>
      <c r="J83" s="172"/>
      <c r="K83" s="38"/>
      <c r="L83" s="893"/>
      <c r="M83" s="895"/>
      <c r="N83" s="872"/>
      <c r="O83" s="872"/>
      <c r="P83" s="875"/>
      <c r="Q83" s="796"/>
      <c r="R83" s="796"/>
      <c r="S83" s="887"/>
      <c r="T83" s="904"/>
      <c r="U83" s="892"/>
      <c r="W83" s="29"/>
      <c r="X83" s="29"/>
      <c r="Y83" s="29"/>
      <c r="Z83" s="29"/>
      <c r="AD83" s="13"/>
      <c r="AE83" s="13"/>
      <c r="AF83" s="13"/>
      <c r="AG83" s="13"/>
      <c r="AH83" s="13"/>
      <c r="AI83" s="13"/>
    </row>
    <row r="84" spans="1:35" s="41" customFormat="1" ht="24.95" customHeight="1">
      <c r="A84" s="40"/>
      <c r="B84" s="879"/>
      <c r="C84" s="806"/>
      <c r="D84" s="806"/>
      <c r="E84" s="806"/>
      <c r="F84" s="806"/>
      <c r="G84" s="809"/>
      <c r="H84" s="785"/>
      <c r="I84" s="788"/>
      <c r="J84" s="172"/>
      <c r="K84" s="38"/>
      <c r="L84" s="894"/>
      <c r="M84" s="896"/>
      <c r="N84" s="873"/>
      <c r="O84" s="873"/>
      <c r="P84" s="876"/>
      <c r="Q84" s="797"/>
      <c r="R84" s="797"/>
      <c r="S84" s="888"/>
      <c r="T84" s="904"/>
      <c r="U84" s="892"/>
      <c r="W84" s="29"/>
      <c r="X84" s="29"/>
      <c r="Y84" s="29"/>
      <c r="Z84" s="29"/>
      <c r="AD84" s="13"/>
      <c r="AE84" s="13"/>
      <c r="AF84" s="13"/>
      <c r="AG84" s="13"/>
      <c r="AH84" s="13"/>
      <c r="AI84" s="13"/>
    </row>
    <row r="85" spans="1:35" s="41" customFormat="1" ht="24.95" customHeight="1">
      <c r="A85" s="40"/>
      <c r="B85" s="877">
        <v>3</v>
      </c>
      <c r="C85" s="777">
        <v>67</v>
      </c>
      <c r="D85" s="777">
        <v>24</v>
      </c>
      <c r="E85" s="852" t="s">
        <v>223</v>
      </c>
      <c r="F85" s="777" t="s">
        <v>226</v>
      </c>
      <c r="G85" s="780">
        <v>89.99</v>
      </c>
      <c r="H85" s="783" t="s">
        <v>221</v>
      </c>
      <c r="I85" s="786">
        <v>1</v>
      </c>
      <c r="J85" s="172"/>
      <c r="K85" s="38"/>
      <c r="L85" s="172"/>
      <c r="M85" s="38"/>
      <c r="N85" s="871" t="s">
        <v>143</v>
      </c>
      <c r="O85" s="871" t="s">
        <v>230</v>
      </c>
      <c r="P85" s="874"/>
      <c r="Q85" s="795" t="s">
        <v>145</v>
      </c>
      <c r="R85" s="795" t="s">
        <v>146</v>
      </c>
      <c r="S85" s="886">
        <f t="shared" ref="S85" si="37">IF(COUNTIF(J85:K87,"CUMPLE")&gt;=1,(G85*I85),0)* (IF(N85="PRESENTÓ CERTIFICADO",1,0))* (IF(O85="ACORDE A ITEM 6.2.2.1 (T.R.)",1,0) )* ( IF(OR(Q85="SIN OBSERVACIÓN", Q85="REQUERIMIENTOS SUBSANADOS"),1,0)) *(IF(OR(R85="NINGUNO", R85="CUMPLEN CON LO SOLICITADO"),1,0))</f>
        <v>0</v>
      </c>
      <c r="T85" s="904"/>
      <c r="U85" s="892">
        <f t="shared" si="35"/>
        <v>0</v>
      </c>
      <c r="W85" s="29"/>
      <c r="X85" s="29"/>
      <c r="Y85" s="29"/>
      <c r="Z85" s="29"/>
      <c r="AA85" s="28"/>
      <c r="AB85" s="28"/>
      <c r="AC85" s="28"/>
      <c r="AD85" s="13"/>
      <c r="AE85" s="13"/>
      <c r="AF85" s="13"/>
      <c r="AG85" s="13"/>
      <c r="AH85" s="13"/>
      <c r="AI85" s="13"/>
    </row>
    <row r="86" spans="1:35" s="41" customFormat="1" ht="24.95" customHeight="1">
      <c r="A86" s="40"/>
      <c r="B86" s="878"/>
      <c r="C86" s="778"/>
      <c r="D86" s="778"/>
      <c r="E86" s="778"/>
      <c r="F86" s="778"/>
      <c r="G86" s="781"/>
      <c r="H86" s="784"/>
      <c r="I86" s="787"/>
      <c r="J86" s="172"/>
      <c r="K86" s="38"/>
      <c r="L86" s="893"/>
      <c r="M86" s="895"/>
      <c r="N86" s="872"/>
      <c r="O86" s="872"/>
      <c r="P86" s="875"/>
      <c r="Q86" s="796"/>
      <c r="R86" s="796"/>
      <c r="S86" s="887"/>
      <c r="T86" s="904"/>
      <c r="U86" s="892"/>
      <c r="W86" s="29"/>
      <c r="X86" s="29"/>
      <c r="Y86" s="29"/>
      <c r="Z86" s="29"/>
      <c r="AH86" s="13"/>
      <c r="AI86" s="13"/>
    </row>
    <row r="87" spans="1:35" s="41" customFormat="1" ht="24.95" customHeight="1">
      <c r="A87" s="40"/>
      <c r="B87" s="879"/>
      <c r="C87" s="779"/>
      <c r="D87" s="779"/>
      <c r="E87" s="779"/>
      <c r="F87" s="779"/>
      <c r="G87" s="782"/>
      <c r="H87" s="785"/>
      <c r="I87" s="788"/>
      <c r="J87" s="172"/>
      <c r="K87" s="38"/>
      <c r="L87" s="894"/>
      <c r="M87" s="896"/>
      <c r="N87" s="873"/>
      <c r="O87" s="873"/>
      <c r="P87" s="876"/>
      <c r="Q87" s="797"/>
      <c r="R87" s="797"/>
      <c r="S87" s="888"/>
      <c r="T87" s="904"/>
      <c r="U87" s="892"/>
      <c r="W87" s="29"/>
      <c r="X87" s="29"/>
      <c r="Y87" s="29"/>
      <c r="Z87" s="29"/>
    </row>
    <row r="88" spans="1:35" s="41" customFormat="1" ht="24.95" hidden="1" customHeight="1">
      <c r="A88" s="40"/>
      <c r="B88" s="877">
        <v>4</v>
      </c>
      <c r="C88" s="889"/>
      <c r="D88" s="889"/>
      <c r="E88" s="889"/>
      <c r="F88" s="889"/>
      <c r="G88" s="897"/>
      <c r="H88" s="865"/>
      <c r="I88" s="900"/>
      <c r="J88" s="172"/>
      <c r="K88" s="38">
        <f>+$K$13</f>
        <v>0</v>
      </c>
      <c r="L88" s="172"/>
      <c r="M88" s="38">
        <f>+$M$13</f>
        <v>0</v>
      </c>
      <c r="N88" s="871"/>
      <c r="O88" s="871"/>
      <c r="P88" s="874"/>
      <c r="Q88" s="795"/>
      <c r="R88" s="795"/>
      <c r="S88" s="886">
        <f t="shared" ref="S88" si="38">IF(COUNTIF(J88:K90,"CUMPLE")&gt;=1,(G88*I88),0)* (IF(N88="PRESENTÓ CERTIFICADO",1,0))* (IF(O88="ACORDE A ITEM 6.2.2.1 (T.R.)",1,0) )* ( IF(OR(Q88="SIN OBSERVACIÓN", Q88="REQUERIMIENTOS SUBSANADOS"),1,0)) *(IF(OR(R88="NINGUNO", R88="CUMPLEN CON LO SOLICITADO"),1,0))</f>
        <v>0</v>
      </c>
      <c r="T88" s="904"/>
      <c r="U88" s="892">
        <f t="shared" si="35"/>
        <v>0</v>
      </c>
      <c r="W88" s="29"/>
      <c r="X88" s="29"/>
      <c r="Y88" s="29"/>
      <c r="Z88" s="29"/>
      <c r="AA88" s="13"/>
      <c r="AB88" s="13"/>
      <c r="AC88" s="13"/>
      <c r="AD88" s="13"/>
      <c r="AE88" s="13"/>
      <c r="AF88" s="13"/>
      <c r="AG88" s="13"/>
    </row>
    <row r="89" spans="1:35" s="41" customFormat="1" ht="24.95" hidden="1" customHeight="1">
      <c r="A89" s="40"/>
      <c r="B89" s="878"/>
      <c r="C89" s="890"/>
      <c r="D89" s="890"/>
      <c r="E89" s="890"/>
      <c r="F89" s="890"/>
      <c r="G89" s="898"/>
      <c r="H89" s="866"/>
      <c r="I89" s="901"/>
      <c r="J89" s="172"/>
      <c r="K89" s="38">
        <f>+$K$14</f>
        <v>0</v>
      </c>
      <c r="L89" s="893"/>
      <c r="M89" s="895">
        <f>+$M$14</f>
        <v>0</v>
      </c>
      <c r="N89" s="872"/>
      <c r="O89" s="872"/>
      <c r="P89" s="875"/>
      <c r="Q89" s="796"/>
      <c r="R89" s="796"/>
      <c r="S89" s="887"/>
      <c r="T89" s="904"/>
      <c r="U89" s="892"/>
      <c r="W89" s="29"/>
      <c r="X89" s="29"/>
      <c r="Y89" s="29"/>
      <c r="Z89" s="29"/>
      <c r="AA89" s="13"/>
      <c r="AB89" s="13"/>
      <c r="AC89" s="13"/>
      <c r="AD89" s="13"/>
      <c r="AE89" s="13"/>
      <c r="AF89" s="13"/>
      <c r="AG89" s="13"/>
    </row>
    <row r="90" spans="1:35" s="41" customFormat="1" ht="24.95" hidden="1" customHeight="1">
      <c r="A90" s="40"/>
      <c r="B90" s="879"/>
      <c r="C90" s="891"/>
      <c r="D90" s="891"/>
      <c r="E90" s="891"/>
      <c r="F90" s="891"/>
      <c r="G90" s="899"/>
      <c r="H90" s="867"/>
      <c r="I90" s="902"/>
      <c r="J90" s="172"/>
      <c r="K90" s="38">
        <f>+$K$15</f>
        <v>0</v>
      </c>
      <c r="L90" s="894"/>
      <c r="M90" s="896"/>
      <c r="N90" s="873"/>
      <c r="O90" s="873"/>
      <c r="P90" s="876"/>
      <c r="Q90" s="797"/>
      <c r="R90" s="797"/>
      <c r="S90" s="888"/>
      <c r="T90" s="904"/>
      <c r="U90" s="892"/>
      <c r="W90" s="29"/>
      <c r="X90" s="29"/>
      <c r="Y90" s="29"/>
      <c r="Z90" s="29"/>
      <c r="AA90" s="29"/>
      <c r="AB90" s="29"/>
      <c r="AC90" s="29"/>
      <c r="AD90" s="42"/>
      <c r="AE90" s="42"/>
      <c r="AF90" s="42"/>
      <c r="AG90" s="42"/>
    </row>
    <row r="91" spans="1:35" s="41" customFormat="1" ht="24.95" hidden="1" customHeight="1">
      <c r="A91" s="40"/>
      <c r="B91" s="877">
        <v>5</v>
      </c>
      <c r="C91" s="880"/>
      <c r="D91" s="880"/>
      <c r="E91" s="880"/>
      <c r="F91" s="880"/>
      <c r="G91" s="883"/>
      <c r="H91" s="865"/>
      <c r="I91" s="868"/>
      <c r="J91" s="172"/>
      <c r="K91" s="38">
        <f>+$K$13</f>
        <v>0</v>
      </c>
      <c r="L91" s="172"/>
      <c r="M91" s="38">
        <f>+$M$13</f>
        <v>0</v>
      </c>
      <c r="N91" s="871"/>
      <c r="O91" s="871"/>
      <c r="P91" s="874"/>
      <c r="Q91" s="795"/>
      <c r="R91" s="795"/>
      <c r="S91" s="886">
        <f t="shared" ref="S91" si="39">IF(COUNTIF(J91:K93,"CUMPLE")&gt;=1,(G91*I91),0)* (IF(N91="PRESENTÓ CERTIFICADO",1,0))* (IF(O91="ACORDE A ITEM 6.2.2.1 (T.R.)",1,0) )* ( IF(OR(Q91="SIN OBSERVACIÓN", Q91="REQUERIMIENTOS SUBSANADOS"),1,0)) *(IF(OR(R91="NINGUNO", R91="CUMPLEN CON LO SOLICITADO"),1,0))</f>
        <v>0</v>
      </c>
      <c r="T91" s="904"/>
      <c r="U91" s="892">
        <f t="shared" si="35"/>
        <v>0</v>
      </c>
      <c r="W91" s="29"/>
      <c r="X91" s="29"/>
      <c r="Y91" s="29"/>
      <c r="Z91" s="29"/>
      <c r="AA91" s="29"/>
      <c r="AB91" s="29"/>
      <c r="AC91" s="29"/>
      <c r="AD91" s="42"/>
      <c r="AE91" s="42"/>
      <c r="AF91" s="42"/>
      <c r="AG91" s="42"/>
    </row>
    <row r="92" spans="1:35" s="41" customFormat="1" ht="24.95" hidden="1" customHeight="1">
      <c r="A92" s="40"/>
      <c r="B92" s="878"/>
      <c r="C92" s="881"/>
      <c r="D92" s="881"/>
      <c r="E92" s="881"/>
      <c r="F92" s="881"/>
      <c r="G92" s="884"/>
      <c r="H92" s="866"/>
      <c r="I92" s="869"/>
      <c r="J92" s="172"/>
      <c r="K92" s="38">
        <f>+$K$14</f>
        <v>0</v>
      </c>
      <c r="L92" s="893"/>
      <c r="M92" s="895">
        <f>+$M$14</f>
        <v>0</v>
      </c>
      <c r="N92" s="872"/>
      <c r="O92" s="872"/>
      <c r="P92" s="875"/>
      <c r="Q92" s="796"/>
      <c r="R92" s="796"/>
      <c r="S92" s="887"/>
      <c r="T92" s="904"/>
      <c r="U92" s="892"/>
      <c r="W92" s="29"/>
      <c r="X92" s="29"/>
      <c r="Y92" s="29"/>
      <c r="Z92" s="29"/>
      <c r="AA92" s="29"/>
      <c r="AB92" s="29"/>
      <c r="AC92" s="29"/>
    </row>
    <row r="93" spans="1:35" s="41" customFormat="1" ht="24.95" hidden="1" customHeight="1">
      <c r="A93" s="40"/>
      <c r="B93" s="879"/>
      <c r="C93" s="882"/>
      <c r="D93" s="882"/>
      <c r="E93" s="882"/>
      <c r="F93" s="882"/>
      <c r="G93" s="885"/>
      <c r="H93" s="867"/>
      <c r="I93" s="870"/>
      <c r="J93" s="172"/>
      <c r="K93" s="38">
        <f>+$K$15</f>
        <v>0</v>
      </c>
      <c r="L93" s="894"/>
      <c r="M93" s="896"/>
      <c r="N93" s="873"/>
      <c r="O93" s="873"/>
      <c r="P93" s="876"/>
      <c r="Q93" s="797"/>
      <c r="R93" s="797"/>
      <c r="S93" s="888"/>
      <c r="T93" s="905"/>
      <c r="U93" s="892"/>
      <c r="W93" s="29"/>
      <c r="X93" s="29"/>
      <c r="Y93" s="29"/>
      <c r="Z93" s="29"/>
      <c r="AA93" s="29"/>
      <c r="AB93" s="29"/>
      <c r="AC93" s="29"/>
    </row>
    <row r="94" spans="1:35" s="28" customFormat="1" ht="24.95" customHeight="1">
      <c r="B94" s="854" t="str">
        <f>IF(S95=" "," ",IF(S95&gt;=$H$6,"CUMPLE CON LA EXPERIENCIA REQUERIDA","NO CUMPLE CON LA EXPERIENCIA REQUERIDA"))</f>
        <v xml:space="preserve"> </v>
      </c>
      <c r="C94" s="855"/>
      <c r="D94" s="855"/>
      <c r="E94" s="855"/>
      <c r="F94" s="855"/>
      <c r="G94" s="855"/>
      <c r="H94" s="855"/>
      <c r="I94" s="855"/>
      <c r="J94" s="855"/>
      <c r="K94" s="855"/>
      <c r="L94" s="855"/>
      <c r="M94" s="855"/>
      <c r="N94" s="855"/>
      <c r="O94" s="856"/>
      <c r="P94" s="860" t="s">
        <v>45</v>
      </c>
      <c r="Q94" s="861"/>
      <c r="R94" s="862"/>
      <c r="S94" s="44">
        <f>IF(T79="SI",SUM(S79:S93),0)</f>
        <v>0</v>
      </c>
      <c r="T94" s="863" t="s">
        <v>234</v>
      </c>
      <c r="W94" s="29"/>
      <c r="X94" s="29"/>
      <c r="Y94" s="29"/>
      <c r="Z94" s="29"/>
      <c r="AA94" s="29"/>
      <c r="AB94" s="29"/>
      <c r="AC94" s="29"/>
      <c r="AD94" s="41"/>
      <c r="AE94" s="41"/>
      <c r="AF94" s="41"/>
      <c r="AG94" s="41"/>
      <c r="AH94" s="41"/>
    </row>
    <row r="95" spans="1:35" s="41" customFormat="1" ht="24.95" customHeight="1">
      <c r="B95" s="857"/>
      <c r="C95" s="858"/>
      <c r="D95" s="858"/>
      <c r="E95" s="858"/>
      <c r="F95" s="858"/>
      <c r="G95" s="858"/>
      <c r="H95" s="858"/>
      <c r="I95" s="858"/>
      <c r="J95" s="858"/>
      <c r="K95" s="858"/>
      <c r="L95" s="858"/>
      <c r="M95" s="858"/>
      <c r="N95" s="858"/>
      <c r="O95" s="859"/>
      <c r="P95" s="860" t="s">
        <v>46</v>
      </c>
      <c r="Q95" s="861"/>
      <c r="R95" s="862"/>
      <c r="S95" s="44" t="str">
        <f>IFERROR((S94/$P$6)," ")</f>
        <v xml:space="preserve"> </v>
      </c>
      <c r="T95" s="864"/>
      <c r="W95" s="29"/>
      <c r="X95" s="29"/>
      <c r="Y95" s="29"/>
      <c r="Z95" s="29"/>
      <c r="AA95" s="29"/>
      <c r="AB95" s="29"/>
      <c r="AC95" s="29"/>
    </row>
    <row r="96" spans="1:35" ht="30" customHeight="1">
      <c r="AA96" s="29"/>
      <c r="AB96" s="29"/>
      <c r="AC96" s="29"/>
      <c r="AD96" s="41"/>
      <c r="AE96" s="41"/>
      <c r="AF96" s="41"/>
      <c r="AG96" s="41"/>
      <c r="AH96" s="28"/>
    </row>
    <row r="97" spans="1:35" ht="30" customHeight="1">
      <c r="AA97" s="29"/>
      <c r="AB97" s="29"/>
      <c r="AC97" s="29"/>
      <c r="AD97" s="41"/>
      <c r="AE97" s="41"/>
      <c r="AF97" s="41"/>
      <c r="AG97" s="41"/>
      <c r="AH97" s="41"/>
    </row>
    <row r="98" spans="1:35" ht="63.75" hidden="1" customHeight="1">
      <c r="B98" s="26">
        <v>5</v>
      </c>
      <c r="C98" s="916" t="s">
        <v>24</v>
      </c>
      <c r="D98" s="917"/>
      <c r="E98" s="918"/>
      <c r="F98" s="919">
        <f>IFERROR(VLOOKUP(B98,LISTA_OFERENTES,2,FALSE)," ")</f>
        <v>0</v>
      </c>
      <c r="G98" s="920"/>
      <c r="H98" s="920"/>
      <c r="I98" s="920"/>
      <c r="J98" s="920"/>
      <c r="K98" s="920"/>
      <c r="L98" s="920"/>
      <c r="M98" s="920"/>
      <c r="N98" s="920"/>
      <c r="O98" s="921"/>
      <c r="P98" s="922" t="s">
        <v>25</v>
      </c>
      <c r="Q98" s="923"/>
      <c r="R98" s="924"/>
      <c r="S98" s="27">
        <f>5-(INT(COUNTBLANK(C101:C115))-10)</f>
        <v>0</v>
      </c>
      <c r="T98" s="28"/>
      <c r="AA98" s="29"/>
      <c r="AB98" s="29"/>
      <c r="AC98" s="29"/>
      <c r="AD98" s="41"/>
      <c r="AE98" s="41"/>
      <c r="AF98" s="41"/>
      <c r="AG98" s="41"/>
    </row>
    <row r="99" spans="1:35" s="42" customFormat="1" ht="30" hidden="1" customHeight="1">
      <c r="B99" s="914" t="s">
        <v>26</v>
      </c>
      <c r="C99" s="906" t="s">
        <v>27</v>
      </c>
      <c r="D99" s="906" t="s">
        <v>28</v>
      </c>
      <c r="E99" s="906" t="s">
        <v>29</v>
      </c>
      <c r="F99" s="906" t="s">
        <v>30</v>
      </c>
      <c r="G99" s="906" t="s">
        <v>31</v>
      </c>
      <c r="H99" s="906" t="s">
        <v>32</v>
      </c>
      <c r="I99" s="906" t="s">
        <v>33</v>
      </c>
      <c r="J99" s="911" t="s">
        <v>34</v>
      </c>
      <c r="K99" s="912"/>
      <c r="L99" s="912"/>
      <c r="M99" s="913"/>
      <c r="N99" s="906" t="s">
        <v>35</v>
      </c>
      <c r="O99" s="906" t="s">
        <v>36</v>
      </c>
      <c r="P99" s="911" t="s">
        <v>37</v>
      </c>
      <c r="Q99" s="913"/>
      <c r="R99" s="906" t="s">
        <v>38</v>
      </c>
      <c r="S99" s="906" t="s">
        <v>39</v>
      </c>
      <c r="T99" s="906" t="str">
        <f>+$T$11</f>
        <v>Cumple con el requerimiento del numeral 6.2.2.2.1</v>
      </c>
      <c r="U99" s="906" t="str">
        <f>+$U$11</f>
        <v xml:space="preserve">VERIFICACIÓN CONDICIÓN DE EXPERIENCIA  </v>
      </c>
      <c r="V99" s="45"/>
      <c r="W99" s="29"/>
      <c r="X99" s="29"/>
      <c r="Y99" s="29"/>
      <c r="Z99" s="29"/>
      <c r="AA99" s="29"/>
      <c r="AB99" s="29"/>
      <c r="AC99" s="29"/>
      <c r="AD99" s="41"/>
      <c r="AE99" s="41"/>
      <c r="AF99" s="41"/>
      <c r="AG99" s="41"/>
      <c r="AH99" s="13"/>
    </row>
    <row r="100" spans="1:35" s="42" customFormat="1" ht="90.75" hidden="1" customHeight="1">
      <c r="B100" s="915"/>
      <c r="C100" s="907"/>
      <c r="D100" s="907"/>
      <c r="E100" s="907"/>
      <c r="F100" s="907"/>
      <c r="G100" s="907"/>
      <c r="H100" s="907"/>
      <c r="I100" s="907"/>
      <c r="J100" s="908" t="s">
        <v>42</v>
      </c>
      <c r="K100" s="909"/>
      <c r="L100" s="909"/>
      <c r="M100" s="910"/>
      <c r="N100" s="907"/>
      <c r="O100" s="907"/>
      <c r="P100" s="33" t="s">
        <v>10</v>
      </c>
      <c r="Q100" s="33" t="s">
        <v>43</v>
      </c>
      <c r="R100" s="907"/>
      <c r="S100" s="907"/>
      <c r="T100" s="907"/>
      <c r="U100" s="907"/>
      <c r="V100" s="45"/>
      <c r="W100" s="29"/>
      <c r="X100" s="29"/>
      <c r="Y100" s="29"/>
      <c r="Z100" s="29"/>
      <c r="AA100" s="29"/>
      <c r="AB100" s="29"/>
      <c r="AC100" s="29"/>
      <c r="AD100" s="41"/>
      <c r="AE100" s="41"/>
      <c r="AF100" s="41"/>
      <c r="AG100" s="41"/>
      <c r="AH100" s="13"/>
    </row>
    <row r="101" spans="1:35" s="41" customFormat="1" ht="35.1" hidden="1" customHeight="1">
      <c r="A101" s="40"/>
      <c r="B101" s="877">
        <v>1</v>
      </c>
      <c r="C101" s="880"/>
      <c r="D101" s="880"/>
      <c r="E101" s="880"/>
      <c r="F101" s="880"/>
      <c r="G101" s="883"/>
      <c r="H101" s="865"/>
      <c r="I101" s="868"/>
      <c r="J101" s="172"/>
      <c r="K101" s="38">
        <f>+$K$13</f>
        <v>0</v>
      </c>
      <c r="L101" s="172"/>
      <c r="M101" s="38">
        <f>+$M$13</f>
        <v>0</v>
      </c>
      <c r="N101" s="871"/>
      <c r="O101" s="871"/>
      <c r="P101" s="874"/>
      <c r="Q101" s="795"/>
      <c r="R101" s="795"/>
      <c r="S101" s="886">
        <f>IF(COUNTIF(J101:K103,"CUMPLE")&gt;=1,(G101*I101),0)* (IF(N101="PRESENTÓ CERTIFICADO",1,0))* (IF(O101="ACORDE A ITEM 5.2.2 (T.R.)",1,0) )* ( IF(OR(Q101="SIN OBSERVACIÓN", Q101="REQUERIMIENTOS SUBSANADOS"),1,0)) *(IF(OR(R101="NINGUNO", R101="CUMPLEN CON LO SOLICITADO"),1,0))</f>
        <v>0</v>
      </c>
      <c r="T101" s="903"/>
      <c r="U101" s="892">
        <f t="shared" ref="U101:U113" si="40">IF(COUNTIF(J101:K103,"CUMPLE")&gt;=1,1,0)</f>
        <v>0</v>
      </c>
      <c r="W101" s="29"/>
      <c r="X101" s="29"/>
      <c r="Y101" s="29"/>
      <c r="Z101" s="29"/>
      <c r="AD101" s="13"/>
      <c r="AE101" s="13"/>
      <c r="AF101" s="13"/>
      <c r="AG101" s="13"/>
      <c r="AH101" s="13"/>
      <c r="AI101" s="13"/>
    </row>
    <row r="102" spans="1:35" s="41" customFormat="1" ht="35.1" hidden="1" customHeight="1">
      <c r="A102" s="40"/>
      <c r="B102" s="878"/>
      <c r="C102" s="881"/>
      <c r="D102" s="881"/>
      <c r="E102" s="881"/>
      <c r="F102" s="881"/>
      <c r="G102" s="884"/>
      <c r="H102" s="866"/>
      <c r="I102" s="869"/>
      <c r="J102" s="172"/>
      <c r="K102" s="38">
        <f>+$K$14</f>
        <v>0</v>
      </c>
      <c r="L102" s="893"/>
      <c r="M102" s="895">
        <f>+$M$14</f>
        <v>0</v>
      </c>
      <c r="N102" s="872"/>
      <c r="O102" s="872"/>
      <c r="P102" s="875"/>
      <c r="Q102" s="796"/>
      <c r="R102" s="796"/>
      <c r="S102" s="887"/>
      <c r="T102" s="904"/>
      <c r="U102" s="892"/>
      <c r="W102" s="29"/>
      <c r="X102" s="29"/>
      <c r="Y102" s="29"/>
      <c r="Z102" s="29"/>
      <c r="AD102" s="13"/>
      <c r="AE102" s="13"/>
      <c r="AF102" s="13"/>
      <c r="AG102" s="13"/>
      <c r="AH102" s="13"/>
      <c r="AI102" s="13"/>
    </row>
    <row r="103" spans="1:35" s="41" customFormat="1" ht="35.1" hidden="1" customHeight="1">
      <c r="A103" s="40"/>
      <c r="B103" s="879"/>
      <c r="C103" s="882"/>
      <c r="D103" s="882"/>
      <c r="E103" s="882"/>
      <c r="F103" s="882"/>
      <c r="G103" s="885"/>
      <c r="H103" s="867"/>
      <c r="I103" s="870"/>
      <c r="J103" s="172"/>
      <c r="K103" s="38">
        <f>+$K$15</f>
        <v>0</v>
      </c>
      <c r="L103" s="894"/>
      <c r="M103" s="896"/>
      <c r="N103" s="873"/>
      <c r="O103" s="873"/>
      <c r="P103" s="876"/>
      <c r="Q103" s="797"/>
      <c r="R103" s="797"/>
      <c r="S103" s="888"/>
      <c r="T103" s="904"/>
      <c r="U103" s="892"/>
      <c r="W103" s="29"/>
      <c r="X103" s="29"/>
      <c r="Y103" s="29"/>
      <c r="Z103" s="29"/>
      <c r="AD103" s="13"/>
      <c r="AE103" s="13"/>
      <c r="AF103" s="13"/>
      <c r="AG103" s="13"/>
      <c r="AH103" s="13"/>
      <c r="AI103" s="13"/>
    </row>
    <row r="104" spans="1:35" s="41" customFormat="1" ht="32.25" hidden="1" customHeight="1">
      <c r="A104" s="40"/>
      <c r="B104" s="877">
        <v>2</v>
      </c>
      <c r="C104" s="889"/>
      <c r="D104" s="889"/>
      <c r="E104" s="889"/>
      <c r="F104" s="889"/>
      <c r="G104" s="897"/>
      <c r="H104" s="865"/>
      <c r="I104" s="868"/>
      <c r="J104" s="172"/>
      <c r="K104" s="38">
        <f>+$K$13</f>
        <v>0</v>
      </c>
      <c r="L104" s="172"/>
      <c r="M104" s="38">
        <f>+$M$13</f>
        <v>0</v>
      </c>
      <c r="N104" s="871"/>
      <c r="O104" s="871"/>
      <c r="P104" s="874"/>
      <c r="Q104" s="795"/>
      <c r="R104" s="795"/>
      <c r="S104" s="886">
        <f>IF(COUNTIF(J104:K106,"CUMPLE")&gt;=1,(G104*I104),0)* (IF(N104="PRESENTÓ CERTIFICADO",1,0))* (IF(O104="ACORDE A ITEM 5.2.2 (T.R.)",1,0) )* ( IF(OR(Q104="SIN OBSERVACIÓN", Q104="REQUERIMIENTOS SUBSANADOS"),1,0)) *(IF(OR(R104="NINGUNO", R104="CUMPLEN CON LO SOLICITADO"),1,0))</f>
        <v>0</v>
      </c>
      <c r="T104" s="904"/>
      <c r="U104" s="892">
        <f t="shared" si="40"/>
        <v>0</v>
      </c>
      <c r="W104" s="29"/>
      <c r="X104" s="29"/>
      <c r="Y104" s="29"/>
      <c r="Z104" s="29"/>
      <c r="AD104" s="13"/>
      <c r="AE104" s="13"/>
      <c r="AF104" s="13"/>
      <c r="AG104" s="13"/>
      <c r="AH104" s="13"/>
      <c r="AI104" s="13"/>
    </row>
    <row r="105" spans="1:35" s="41" customFormat="1" ht="30.75" hidden="1" customHeight="1">
      <c r="A105" s="40"/>
      <c r="B105" s="878"/>
      <c r="C105" s="890"/>
      <c r="D105" s="890"/>
      <c r="E105" s="890"/>
      <c r="F105" s="890"/>
      <c r="G105" s="898"/>
      <c r="H105" s="866"/>
      <c r="I105" s="869"/>
      <c r="J105" s="172"/>
      <c r="K105" s="38">
        <f>+$K$14</f>
        <v>0</v>
      </c>
      <c r="L105" s="893"/>
      <c r="M105" s="895">
        <f>+$M$14</f>
        <v>0</v>
      </c>
      <c r="N105" s="872"/>
      <c r="O105" s="872"/>
      <c r="P105" s="875"/>
      <c r="Q105" s="796"/>
      <c r="R105" s="796"/>
      <c r="S105" s="887"/>
      <c r="T105" s="904"/>
      <c r="U105" s="892"/>
      <c r="W105" s="29"/>
      <c r="X105" s="29"/>
      <c r="Y105" s="29"/>
      <c r="Z105" s="29"/>
      <c r="AD105" s="13"/>
      <c r="AE105" s="13"/>
      <c r="AF105" s="13"/>
      <c r="AG105" s="13"/>
      <c r="AH105" s="13"/>
      <c r="AI105" s="13"/>
    </row>
    <row r="106" spans="1:35" s="41" customFormat="1" ht="35.1" hidden="1" customHeight="1">
      <c r="A106" s="40"/>
      <c r="B106" s="879"/>
      <c r="C106" s="891"/>
      <c r="D106" s="891"/>
      <c r="E106" s="891"/>
      <c r="F106" s="891"/>
      <c r="G106" s="899"/>
      <c r="H106" s="867"/>
      <c r="I106" s="870"/>
      <c r="J106" s="172"/>
      <c r="K106" s="38">
        <f>+$K$15</f>
        <v>0</v>
      </c>
      <c r="L106" s="894"/>
      <c r="M106" s="896"/>
      <c r="N106" s="873"/>
      <c r="O106" s="873"/>
      <c r="P106" s="876"/>
      <c r="Q106" s="797"/>
      <c r="R106" s="797"/>
      <c r="S106" s="888"/>
      <c r="T106" s="904"/>
      <c r="U106" s="892"/>
      <c r="W106" s="29"/>
      <c r="X106" s="29"/>
      <c r="Y106" s="29"/>
      <c r="Z106" s="29"/>
      <c r="AD106" s="13"/>
      <c r="AE106" s="13"/>
      <c r="AF106" s="13"/>
      <c r="AG106" s="13"/>
      <c r="AH106" s="13"/>
      <c r="AI106" s="13"/>
    </row>
    <row r="107" spans="1:35" s="41" customFormat="1" ht="24.95" hidden="1" customHeight="1">
      <c r="A107" s="40"/>
      <c r="B107" s="877">
        <v>3</v>
      </c>
      <c r="C107" s="880"/>
      <c r="D107" s="880"/>
      <c r="E107" s="880"/>
      <c r="F107" s="880"/>
      <c r="G107" s="883"/>
      <c r="H107" s="865"/>
      <c r="I107" s="868"/>
      <c r="J107" s="172"/>
      <c r="K107" s="38">
        <f>+$K$13</f>
        <v>0</v>
      </c>
      <c r="L107" s="172"/>
      <c r="M107" s="38">
        <f>+$M$13</f>
        <v>0</v>
      </c>
      <c r="N107" s="871"/>
      <c r="O107" s="871"/>
      <c r="P107" s="874"/>
      <c r="Q107" s="795"/>
      <c r="R107" s="795"/>
      <c r="S107" s="886">
        <f>IF(COUNTIF(J107:K109,"CUMPLE")&gt;=1,(G107*I107),0)* (IF(N107="PRESENTÓ CERTIFICADO",1,0))* (IF(O107="ACORDE A ITEM 5.2.2 (T.R.)",1,0) )* ( IF(OR(Q107="SIN OBSERVACIÓN", Q107="REQUERIMIENTOS SUBSANADOS"),1,0)) *(IF(OR(R107="NINGUNO", R107="CUMPLEN CON LO SOLICITADO"),1,0))</f>
        <v>0</v>
      </c>
      <c r="T107" s="904"/>
      <c r="U107" s="892">
        <f t="shared" si="40"/>
        <v>0</v>
      </c>
      <c r="W107" s="29"/>
      <c r="X107" s="29"/>
      <c r="Y107" s="29"/>
      <c r="Z107" s="29"/>
      <c r="AA107" s="28"/>
      <c r="AB107" s="28"/>
      <c r="AC107" s="28"/>
      <c r="AD107" s="13"/>
      <c r="AE107" s="13"/>
      <c r="AF107" s="13"/>
      <c r="AG107" s="13"/>
      <c r="AH107" s="13"/>
      <c r="AI107" s="13"/>
    </row>
    <row r="108" spans="1:35" s="41" customFormat="1" ht="24.95" hidden="1" customHeight="1">
      <c r="A108" s="40"/>
      <c r="B108" s="878"/>
      <c r="C108" s="881"/>
      <c r="D108" s="881"/>
      <c r="E108" s="881"/>
      <c r="F108" s="881"/>
      <c r="G108" s="884"/>
      <c r="H108" s="866"/>
      <c r="I108" s="869"/>
      <c r="J108" s="172"/>
      <c r="K108" s="38">
        <f>+$K$14</f>
        <v>0</v>
      </c>
      <c r="L108" s="893"/>
      <c r="M108" s="895">
        <f>+$M$14</f>
        <v>0</v>
      </c>
      <c r="N108" s="872"/>
      <c r="O108" s="872"/>
      <c r="P108" s="875"/>
      <c r="Q108" s="796"/>
      <c r="R108" s="796"/>
      <c r="S108" s="887"/>
      <c r="T108" s="904"/>
      <c r="U108" s="892"/>
      <c r="W108" s="29"/>
      <c r="X108" s="29"/>
      <c r="Y108" s="29"/>
      <c r="Z108" s="29"/>
      <c r="AH108" s="13"/>
      <c r="AI108" s="13"/>
    </row>
    <row r="109" spans="1:35" s="41" customFormat="1" ht="24.95" hidden="1" customHeight="1">
      <c r="A109" s="40"/>
      <c r="B109" s="879"/>
      <c r="C109" s="882"/>
      <c r="D109" s="882"/>
      <c r="E109" s="882"/>
      <c r="F109" s="882"/>
      <c r="G109" s="885"/>
      <c r="H109" s="867"/>
      <c r="I109" s="870"/>
      <c r="J109" s="172"/>
      <c r="K109" s="38">
        <f>+$K$15</f>
        <v>0</v>
      </c>
      <c r="L109" s="894"/>
      <c r="M109" s="896"/>
      <c r="N109" s="873"/>
      <c r="O109" s="873"/>
      <c r="P109" s="876"/>
      <c r="Q109" s="797"/>
      <c r="R109" s="797"/>
      <c r="S109" s="888"/>
      <c r="T109" s="904"/>
      <c r="U109" s="892"/>
      <c r="W109" s="29"/>
      <c r="X109" s="29"/>
      <c r="Y109" s="29"/>
      <c r="Z109" s="29"/>
    </row>
    <row r="110" spans="1:35" s="41" customFormat="1" ht="30" hidden="1" customHeight="1">
      <c r="A110" s="40"/>
      <c r="B110" s="877">
        <v>4</v>
      </c>
      <c r="C110" s="889"/>
      <c r="D110" s="889"/>
      <c r="E110" s="889"/>
      <c r="F110" s="889"/>
      <c r="G110" s="897"/>
      <c r="H110" s="865"/>
      <c r="I110" s="900"/>
      <c r="J110" s="172"/>
      <c r="K110" s="38">
        <f>+$K$13</f>
        <v>0</v>
      </c>
      <c r="L110" s="172"/>
      <c r="M110" s="38">
        <f>+$M$13</f>
        <v>0</v>
      </c>
      <c r="N110" s="871"/>
      <c r="O110" s="871"/>
      <c r="P110" s="874"/>
      <c r="Q110" s="795"/>
      <c r="R110" s="795"/>
      <c r="S110" s="886">
        <f>IF(COUNTIF(J110:K112,"CUMPLE")&gt;=1,(G110*I110),0)* (IF(N110="PRESENTÓ CERTIFICADO",1,0))* (IF(O110="ACORDE A ITEM 5.2.2 (T.R.)",1,0) )* ( IF(OR(Q110="SIN OBSERVACIÓN", Q110="REQUERIMIENTOS SUBSANADOS"),1,0)) *(IF(OR(R110="NINGUNO", R110="CUMPLEN CON LO SOLICITADO"),1,0))</f>
        <v>0</v>
      </c>
      <c r="T110" s="904"/>
      <c r="U110" s="892">
        <f t="shared" si="40"/>
        <v>0</v>
      </c>
      <c r="W110" s="29"/>
      <c r="X110" s="29"/>
      <c r="Y110" s="29"/>
      <c r="Z110" s="29"/>
      <c r="AA110" s="13"/>
      <c r="AB110" s="13"/>
      <c r="AC110" s="13"/>
      <c r="AD110" s="13"/>
      <c r="AE110" s="13"/>
      <c r="AF110" s="13"/>
      <c r="AG110" s="13"/>
    </row>
    <row r="111" spans="1:35" s="41" customFormat="1" ht="35.1" hidden="1" customHeight="1">
      <c r="A111" s="40"/>
      <c r="B111" s="878"/>
      <c r="C111" s="890"/>
      <c r="D111" s="890"/>
      <c r="E111" s="890"/>
      <c r="F111" s="890"/>
      <c r="G111" s="898"/>
      <c r="H111" s="866"/>
      <c r="I111" s="901"/>
      <c r="J111" s="172"/>
      <c r="K111" s="38">
        <f>+$K$14</f>
        <v>0</v>
      </c>
      <c r="L111" s="893"/>
      <c r="M111" s="895">
        <f>+$M$14</f>
        <v>0</v>
      </c>
      <c r="N111" s="872"/>
      <c r="O111" s="872"/>
      <c r="P111" s="875"/>
      <c r="Q111" s="796"/>
      <c r="R111" s="796"/>
      <c r="S111" s="887"/>
      <c r="T111" s="904"/>
      <c r="U111" s="892"/>
      <c r="W111" s="29"/>
      <c r="X111" s="29"/>
      <c r="Y111" s="29"/>
      <c r="Z111" s="29"/>
      <c r="AA111" s="13"/>
      <c r="AB111" s="13"/>
      <c r="AC111" s="13"/>
      <c r="AD111" s="13"/>
      <c r="AE111" s="13"/>
      <c r="AF111" s="13"/>
      <c r="AG111" s="13"/>
    </row>
    <row r="112" spans="1:35" s="41" customFormat="1" ht="35.1" hidden="1" customHeight="1">
      <c r="A112" s="40"/>
      <c r="B112" s="879"/>
      <c r="C112" s="891"/>
      <c r="D112" s="891"/>
      <c r="E112" s="891"/>
      <c r="F112" s="891"/>
      <c r="G112" s="899"/>
      <c r="H112" s="867"/>
      <c r="I112" s="902"/>
      <c r="J112" s="172"/>
      <c r="K112" s="38">
        <f>+$K$15</f>
        <v>0</v>
      </c>
      <c r="L112" s="894"/>
      <c r="M112" s="896"/>
      <c r="N112" s="873"/>
      <c r="O112" s="873"/>
      <c r="P112" s="876"/>
      <c r="Q112" s="797"/>
      <c r="R112" s="797"/>
      <c r="S112" s="888"/>
      <c r="T112" s="904"/>
      <c r="U112" s="892"/>
      <c r="W112" s="29"/>
      <c r="X112" s="29"/>
      <c r="Y112" s="29"/>
      <c r="Z112" s="29"/>
      <c r="AA112" s="29"/>
      <c r="AB112" s="29"/>
      <c r="AC112" s="29"/>
      <c r="AD112" s="42"/>
      <c r="AE112" s="42"/>
      <c r="AF112" s="42"/>
      <c r="AG112" s="42"/>
    </row>
    <row r="113" spans="1:35" s="41" customFormat="1" ht="24.95" hidden="1" customHeight="1">
      <c r="A113" s="40"/>
      <c r="B113" s="877">
        <v>5</v>
      </c>
      <c r="C113" s="880"/>
      <c r="D113" s="880"/>
      <c r="E113" s="880"/>
      <c r="F113" s="880"/>
      <c r="G113" s="883"/>
      <c r="H113" s="865"/>
      <c r="I113" s="868"/>
      <c r="J113" s="172"/>
      <c r="K113" s="38">
        <f>+$K$13</f>
        <v>0</v>
      </c>
      <c r="L113" s="172"/>
      <c r="M113" s="38">
        <f>+$M$13</f>
        <v>0</v>
      </c>
      <c r="N113" s="871"/>
      <c r="O113" s="871"/>
      <c r="P113" s="874"/>
      <c r="Q113" s="795"/>
      <c r="R113" s="795"/>
      <c r="S113" s="886">
        <f>IF(COUNTIF(J113:K115,"CUMPLE")&gt;=1,(G113*I113),0)* (IF(N113="PRESENTÓ CERTIFICADO",1,0))* (IF(O113="ACORDE A ITEM 5.2.2 (T.R.)",1,0) )* ( IF(OR(Q113="SIN OBSERVACIÓN", Q113="REQUERIMIENTOS SUBSANADOS"),1,0)) *(IF(OR(R113="NINGUNO", R113="CUMPLEN CON LO SOLICITADO"),1,0))</f>
        <v>0</v>
      </c>
      <c r="T113" s="904"/>
      <c r="U113" s="892">
        <f t="shared" si="40"/>
        <v>0</v>
      </c>
      <c r="W113" s="29"/>
      <c r="X113" s="29"/>
      <c r="Y113" s="29"/>
      <c r="Z113" s="29"/>
      <c r="AA113" s="29"/>
      <c r="AB113" s="29"/>
      <c r="AC113" s="29"/>
      <c r="AD113" s="42"/>
      <c r="AE113" s="42"/>
      <c r="AF113" s="42"/>
      <c r="AG113" s="42"/>
    </row>
    <row r="114" spans="1:35" s="41" customFormat="1" ht="24.95" hidden="1" customHeight="1">
      <c r="A114" s="40"/>
      <c r="B114" s="878"/>
      <c r="C114" s="881"/>
      <c r="D114" s="881"/>
      <c r="E114" s="881"/>
      <c r="F114" s="881"/>
      <c r="G114" s="884"/>
      <c r="H114" s="866"/>
      <c r="I114" s="869"/>
      <c r="J114" s="172"/>
      <c r="K114" s="38">
        <f>+$K$14</f>
        <v>0</v>
      </c>
      <c r="L114" s="893"/>
      <c r="M114" s="895">
        <f>+$M$14</f>
        <v>0</v>
      </c>
      <c r="N114" s="872"/>
      <c r="O114" s="872"/>
      <c r="P114" s="875"/>
      <c r="Q114" s="796"/>
      <c r="R114" s="796"/>
      <c r="S114" s="887"/>
      <c r="T114" s="904"/>
      <c r="U114" s="892"/>
      <c r="W114" s="29"/>
      <c r="X114" s="29"/>
      <c r="Y114" s="29"/>
      <c r="Z114" s="29"/>
      <c r="AA114" s="29"/>
      <c r="AB114" s="29"/>
      <c r="AC114" s="29"/>
    </row>
    <row r="115" spans="1:35" s="41" customFormat="1" ht="24.95" hidden="1" customHeight="1">
      <c r="A115" s="40"/>
      <c r="B115" s="879"/>
      <c r="C115" s="882"/>
      <c r="D115" s="882"/>
      <c r="E115" s="882"/>
      <c r="F115" s="882"/>
      <c r="G115" s="885"/>
      <c r="H115" s="867"/>
      <c r="I115" s="870"/>
      <c r="J115" s="172"/>
      <c r="K115" s="38">
        <f>+$K$15</f>
        <v>0</v>
      </c>
      <c r="L115" s="894"/>
      <c r="M115" s="896"/>
      <c r="N115" s="873"/>
      <c r="O115" s="873"/>
      <c r="P115" s="876"/>
      <c r="Q115" s="797"/>
      <c r="R115" s="797"/>
      <c r="S115" s="888"/>
      <c r="T115" s="905"/>
      <c r="U115" s="892"/>
      <c r="W115" s="29"/>
      <c r="X115" s="29"/>
      <c r="Y115" s="29"/>
      <c r="Z115" s="29"/>
      <c r="AA115" s="29"/>
      <c r="AB115" s="29"/>
      <c r="AC115" s="29"/>
    </row>
    <row r="116" spans="1:35" s="28" customFormat="1" ht="24.95" hidden="1" customHeight="1">
      <c r="B116" s="854" t="str">
        <f>IF(S117=" "," ",IF(S117&gt;=$H$6,"CUMPLE CON LA EXPERIENCIA REQUERIDA","NO CUMPLE CON LA EXPERIENCIA REQUERIDA"))</f>
        <v xml:space="preserve"> </v>
      </c>
      <c r="C116" s="855"/>
      <c r="D116" s="855"/>
      <c r="E116" s="855"/>
      <c r="F116" s="855"/>
      <c r="G116" s="855"/>
      <c r="H116" s="855"/>
      <c r="I116" s="855"/>
      <c r="J116" s="855"/>
      <c r="K116" s="855"/>
      <c r="L116" s="855"/>
      <c r="M116" s="855"/>
      <c r="N116" s="855"/>
      <c r="O116" s="856"/>
      <c r="P116" s="860" t="s">
        <v>45</v>
      </c>
      <c r="Q116" s="861"/>
      <c r="R116" s="862"/>
      <c r="S116" s="44">
        <f>IF(T101="SI",SUM(S101:S115),0)</f>
        <v>0</v>
      </c>
      <c r="T116" s="863" t="str">
        <f>IF(S117=" "," ",IF(S117&gt;=$H$6,"CUMPLE","NO CUMPLE"))</f>
        <v xml:space="preserve"> </v>
      </c>
      <c r="W116" s="29"/>
      <c r="X116" s="29"/>
      <c r="Y116" s="29"/>
      <c r="Z116" s="29"/>
      <c r="AA116" s="29"/>
      <c r="AB116" s="29"/>
      <c r="AC116" s="29"/>
      <c r="AD116" s="41"/>
      <c r="AE116" s="41"/>
      <c r="AF116" s="41"/>
      <c r="AG116" s="41"/>
      <c r="AH116" s="41"/>
    </row>
    <row r="117" spans="1:35" s="41" customFormat="1" ht="24.95" hidden="1" customHeight="1">
      <c r="B117" s="857"/>
      <c r="C117" s="858"/>
      <c r="D117" s="858"/>
      <c r="E117" s="858"/>
      <c r="F117" s="858"/>
      <c r="G117" s="858"/>
      <c r="H117" s="858"/>
      <c r="I117" s="858"/>
      <c r="J117" s="858"/>
      <c r="K117" s="858"/>
      <c r="L117" s="858"/>
      <c r="M117" s="858"/>
      <c r="N117" s="858"/>
      <c r="O117" s="859"/>
      <c r="P117" s="860" t="s">
        <v>46</v>
      </c>
      <c r="Q117" s="861"/>
      <c r="R117" s="862"/>
      <c r="S117" s="44" t="str">
        <f>IFERROR((S116/$P$6)," ")</f>
        <v xml:space="preserve"> </v>
      </c>
      <c r="T117" s="864"/>
      <c r="W117" s="29"/>
      <c r="X117" s="29"/>
      <c r="Y117" s="29"/>
      <c r="Z117" s="29"/>
      <c r="AA117" s="29"/>
      <c r="AB117" s="29"/>
      <c r="AC117" s="29"/>
    </row>
    <row r="118" spans="1:35" ht="30" hidden="1" customHeight="1">
      <c r="AA118" s="29"/>
      <c r="AB118" s="29"/>
      <c r="AC118" s="29"/>
      <c r="AD118" s="41"/>
      <c r="AE118" s="41"/>
      <c r="AF118" s="41"/>
      <c r="AG118" s="41"/>
      <c r="AH118" s="28"/>
    </row>
    <row r="119" spans="1:35" ht="30" hidden="1" customHeight="1">
      <c r="AA119" s="29"/>
      <c r="AB119" s="29"/>
      <c r="AC119" s="29"/>
      <c r="AD119" s="41"/>
      <c r="AE119" s="41"/>
      <c r="AF119" s="41"/>
      <c r="AG119" s="41"/>
      <c r="AH119" s="41"/>
    </row>
    <row r="120" spans="1:35" ht="66" hidden="1" customHeight="1">
      <c r="B120" s="26">
        <v>6</v>
      </c>
      <c r="C120" s="916" t="s">
        <v>24</v>
      </c>
      <c r="D120" s="917"/>
      <c r="E120" s="918"/>
      <c r="F120" s="919">
        <f>IFERROR(VLOOKUP(B120,LISTA_OFERENTES,2,FALSE)," ")</f>
        <v>0</v>
      </c>
      <c r="G120" s="920"/>
      <c r="H120" s="920"/>
      <c r="I120" s="920"/>
      <c r="J120" s="920"/>
      <c r="K120" s="920"/>
      <c r="L120" s="920"/>
      <c r="M120" s="920"/>
      <c r="N120" s="920"/>
      <c r="O120" s="921"/>
      <c r="P120" s="922" t="s">
        <v>25</v>
      </c>
      <c r="Q120" s="923"/>
      <c r="R120" s="924"/>
      <c r="S120" s="27">
        <f>5-(INT(COUNTBLANK(C123:C137))-10)</f>
        <v>0</v>
      </c>
      <c r="T120" s="28"/>
      <c r="AA120" s="29"/>
      <c r="AB120" s="29"/>
      <c r="AC120" s="29"/>
      <c r="AD120" s="41"/>
      <c r="AE120" s="41"/>
      <c r="AF120" s="41"/>
      <c r="AG120" s="41"/>
    </row>
    <row r="121" spans="1:35" s="42" customFormat="1" ht="30" hidden="1" customHeight="1">
      <c r="B121" s="914" t="s">
        <v>26</v>
      </c>
      <c r="C121" s="906" t="s">
        <v>27</v>
      </c>
      <c r="D121" s="906" t="s">
        <v>28</v>
      </c>
      <c r="E121" s="906" t="s">
        <v>29</v>
      </c>
      <c r="F121" s="906" t="s">
        <v>30</v>
      </c>
      <c r="G121" s="906" t="s">
        <v>31</v>
      </c>
      <c r="H121" s="906" t="s">
        <v>32</v>
      </c>
      <c r="I121" s="906" t="s">
        <v>33</v>
      </c>
      <c r="J121" s="911" t="s">
        <v>34</v>
      </c>
      <c r="K121" s="912"/>
      <c r="L121" s="912"/>
      <c r="M121" s="913"/>
      <c r="N121" s="906" t="s">
        <v>35</v>
      </c>
      <c r="O121" s="906" t="s">
        <v>36</v>
      </c>
      <c r="P121" s="911" t="s">
        <v>37</v>
      </c>
      <c r="Q121" s="913"/>
      <c r="R121" s="906" t="s">
        <v>38</v>
      </c>
      <c r="S121" s="906" t="s">
        <v>39</v>
      </c>
      <c r="T121" s="906" t="str">
        <f>+$T$11</f>
        <v>Cumple con el requerimiento del numeral 6.2.2.2.1</v>
      </c>
      <c r="U121" s="906" t="str">
        <f>+$U$11</f>
        <v xml:space="preserve">VERIFICACIÓN CONDICIÓN DE EXPERIENCIA  </v>
      </c>
      <c r="V121" s="45"/>
      <c r="W121" s="29"/>
      <c r="X121" s="29"/>
      <c r="Y121" s="29"/>
      <c r="Z121" s="29"/>
      <c r="AA121" s="29"/>
      <c r="AB121" s="29"/>
      <c r="AC121" s="29"/>
      <c r="AD121" s="41"/>
      <c r="AE121" s="41"/>
      <c r="AF121" s="41"/>
      <c r="AG121" s="41"/>
      <c r="AH121" s="13"/>
    </row>
    <row r="122" spans="1:35" s="42" customFormat="1" ht="106.5" hidden="1" customHeight="1">
      <c r="B122" s="915"/>
      <c r="C122" s="907"/>
      <c r="D122" s="907"/>
      <c r="E122" s="907"/>
      <c r="F122" s="907"/>
      <c r="G122" s="907"/>
      <c r="H122" s="907"/>
      <c r="I122" s="907"/>
      <c r="J122" s="908" t="s">
        <v>42</v>
      </c>
      <c r="K122" s="909"/>
      <c r="L122" s="909"/>
      <c r="M122" s="910"/>
      <c r="N122" s="907"/>
      <c r="O122" s="907"/>
      <c r="P122" s="33" t="s">
        <v>10</v>
      </c>
      <c r="Q122" s="33" t="s">
        <v>43</v>
      </c>
      <c r="R122" s="907"/>
      <c r="S122" s="907"/>
      <c r="T122" s="907"/>
      <c r="U122" s="907"/>
      <c r="V122" s="45"/>
      <c r="W122" s="29"/>
      <c r="X122" s="29"/>
      <c r="Y122" s="29"/>
      <c r="Z122" s="29"/>
      <c r="AA122" s="29"/>
      <c r="AB122" s="29"/>
      <c r="AC122" s="29"/>
      <c r="AD122" s="41"/>
      <c r="AE122" s="41"/>
      <c r="AF122" s="41"/>
      <c r="AG122" s="41"/>
      <c r="AH122" s="13"/>
    </row>
    <row r="123" spans="1:35" s="41" customFormat="1" ht="35.1" hidden="1" customHeight="1">
      <c r="A123" s="40"/>
      <c r="B123" s="877">
        <v>1</v>
      </c>
      <c r="C123" s="880"/>
      <c r="D123" s="880"/>
      <c r="E123" s="880"/>
      <c r="F123" s="880"/>
      <c r="G123" s="883"/>
      <c r="H123" s="865"/>
      <c r="I123" s="868"/>
      <c r="J123" s="172"/>
      <c r="K123" s="38">
        <f>+$K$13</f>
        <v>0</v>
      </c>
      <c r="L123" s="172"/>
      <c r="M123" s="38">
        <f>+$M$13</f>
        <v>0</v>
      </c>
      <c r="N123" s="871"/>
      <c r="O123" s="871"/>
      <c r="P123" s="874"/>
      <c r="Q123" s="795"/>
      <c r="R123" s="795"/>
      <c r="S123" s="886">
        <f>IF(COUNTIF(J123:K125,"CUMPLE")&gt;=1,(G123*I123),0)* (IF(N123="PRESENTÓ CERTIFICADO",1,0))* (IF(O123="ACORDE A ITEM 5.2.2 (T.R.)",1,0) )* ( IF(OR(Q123="SIN OBSERVACIÓN", Q123="REQUERIMIENTOS SUBSANADOS"),1,0)) *(IF(OR(R123="NINGUNO", R123="CUMPLEN CON LO SOLICITADO"),1,0))</f>
        <v>0</v>
      </c>
      <c r="T123" s="903"/>
      <c r="U123" s="892">
        <f t="shared" ref="U123" si="41">IF(COUNTIF(J123:K125,"CUMPLE")&gt;=1,1,0)</f>
        <v>0</v>
      </c>
      <c r="W123" s="29"/>
      <c r="X123" s="29"/>
      <c r="Y123" s="29"/>
      <c r="Z123" s="29"/>
      <c r="AD123" s="13"/>
      <c r="AE123" s="13"/>
      <c r="AF123" s="13"/>
      <c r="AG123" s="13"/>
      <c r="AH123" s="13"/>
      <c r="AI123" s="13"/>
    </row>
    <row r="124" spans="1:35" s="41" customFormat="1" ht="35.1" hidden="1" customHeight="1">
      <c r="A124" s="40"/>
      <c r="B124" s="878"/>
      <c r="C124" s="881"/>
      <c r="D124" s="881"/>
      <c r="E124" s="881"/>
      <c r="F124" s="881"/>
      <c r="G124" s="884"/>
      <c r="H124" s="866"/>
      <c r="I124" s="869"/>
      <c r="J124" s="172"/>
      <c r="K124" s="38">
        <f>+$K$14</f>
        <v>0</v>
      </c>
      <c r="L124" s="893"/>
      <c r="M124" s="895">
        <f>+$M$14</f>
        <v>0</v>
      </c>
      <c r="N124" s="872"/>
      <c r="O124" s="872"/>
      <c r="P124" s="875"/>
      <c r="Q124" s="796"/>
      <c r="R124" s="796"/>
      <c r="S124" s="887"/>
      <c r="T124" s="904"/>
      <c r="U124" s="892"/>
      <c r="W124" s="29"/>
      <c r="X124" s="29"/>
      <c r="Y124" s="29"/>
      <c r="Z124" s="29"/>
      <c r="AD124" s="13"/>
      <c r="AE124" s="13"/>
      <c r="AF124" s="13"/>
      <c r="AG124" s="13"/>
      <c r="AH124" s="13"/>
      <c r="AI124" s="13"/>
    </row>
    <row r="125" spans="1:35" s="41" customFormat="1" ht="35.1" hidden="1" customHeight="1">
      <c r="A125" s="40"/>
      <c r="B125" s="879"/>
      <c r="C125" s="882"/>
      <c r="D125" s="882"/>
      <c r="E125" s="882"/>
      <c r="F125" s="882"/>
      <c r="G125" s="885"/>
      <c r="H125" s="867"/>
      <c r="I125" s="870"/>
      <c r="J125" s="172"/>
      <c r="K125" s="38">
        <f>+$K$15</f>
        <v>0</v>
      </c>
      <c r="L125" s="894"/>
      <c r="M125" s="896"/>
      <c r="N125" s="873"/>
      <c r="O125" s="873"/>
      <c r="P125" s="876"/>
      <c r="Q125" s="797"/>
      <c r="R125" s="797"/>
      <c r="S125" s="888"/>
      <c r="T125" s="904"/>
      <c r="U125" s="892"/>
      <c r="W125" s="29"/>
      <c r="X125" s="29"/>
      <c r="Y125" s="29"/>
      <c r="Z125" s="29"/>
      <c r="AD125" s="13"/>
      <c r="AE125" s="13"/>
      <c r="AF125" s="13"/>
      <c r="AG125" s="13"/>
      <c r="AH125" s="13"/>
      <c r="AI125" s="13"/>
    </row>
    <row r="126" spans="1:35" s="41" customFormat="1" ht="35.1" hidden="1" customHeight="1">
      <c r="A126" s="40"/>
      <c r="B126" s="877">
        <v>2</v>
      </c>
      <c r="C126" s="889"/>
      <c r="D126" s="889"/>
      <c r="E126" s="889"/>
      <c r="F126" s="889"/>
      <c r="G126" s="897"/>
      <c r="H126" s="865"/>
      <c r="I126" s="868"/>
      <c r="J126" s="172"/>
      <c r="K126" s="38">
        <f>+$K$13</f>
        <v>0</v>
      </c>
      <c r="L126" s="172"/>
      <c r="M126" s="38">
        <f>+$M$13</f>
        <v>0</v>
      </c>
      <c r="N126" s="871"/>
      <c r="O126" s="871"/>
      <c r="P126" s="874"/>
      <c r="Q126" s="795"/>
      <c r="R126" s="795"/>
      <c r="S126" s="886">
        <f>IF(COUNTIF(J126:K128,"CUMPLE")&gt;=1,(G126*I126),0)* (IF(N126="PRESENTÓ CERTIFICADO",1,0))* (IF(O126="ACORDE A ITEM 5.2.2 (T.R.)",1,0) )* ( IF(OR(Q126="SIN OBSERVACIÓN", Q126="REQUERIMIENTOS SUBSANADOS"),1,0)) *(IF(OR(R126="NINGUNO", R126="CUMPLEN CON LO SOLICITADO"),1,0))</f>
        <v>0</v>
      </c>
      <c r="T126" s="904"/>
      <c r="U126" s="892">
        <f t="shared" ref="U126" si="42">IF(COUNTIF(J126:K128,"CUMPLE")&gt;=1,1,0)</f>
        <v>0</v>
      </c>
      <c r="W126" s="29"/>
      <c r="X126" s="29"/>
      <c r="Y126" s="29"/>
      <c r="Z126" s="29"/>
      <c r="AD126" s="13"/>
      <c r="AE126" s="13"/>
      <c r="AF126" s="13"/>
      <c r="AG126" s="13"/>
      <c r="AH126" s="13"/>
      <c r="AI126" s="13"/>
    </row>
    <row r="127" spans="1:35" s="41" customFormat="1" ht="35.1" hidden="1" customHeight="1">
      <c r="A127" s="40"/>
      <c r="B127" s="878"/>
      <c r="C127" s="890"/>
      <c r="D127" s="890"/>
      <c r="E127" s="890"/>
      <c r="F127" s="890"/>
      <c r="G127" s="898"/>
      <c r="H127" s="866"/>
      <c r="I127" s="869"/>
      <c r="J127" s="172"/>
      <c r="K127" s="38">
        <f>+$K$14</f>
        <v>0</v>
      </c>
      <c r="L127" s="893"/>
      <c r="M127" s="895">
        <f>+$M$14</f>
        <v>0</v>
      </c>
      <c r="N127" s="872"/>
      <c r="O127" s="872"/>
      <c r="P127" s="875"/>
      <c r="Q127" s="796"/>
      <c r="R127" s="796"/>
      <c r="S127" s="887"/>
      <c r="T127" s="904"/>
      <c r="U127" s="892"/>
      <c r="W127" s="29"/>
      <c r="X127" s="29"/>
      <c r="Y127" s="29"/>
      <c r="Z127" s="29"/>
      <c r="AD127" s="13"/>
      <c r="AE127" s="13"/>
      <c r="AF127" s="13"/>
      <c r="AG127" s="13"/>
      <c r="AH127" s="13"/>
      <c r="AI127" s="13"/>
    </row>
    <row r="128" spans="1:35" s="41" customFormat="1" ht="35.1" hidden="1" customHeight="1">
      <c r="A128" s="40"/>
      <c r="B128" s="879"/>
      <c r="C128" s="891"/>
      <c r="D128" s="891"/>
      <c r="E128" s="891"/>
      <c r="F128" s="891"/>
      <c r="G128" s="899"/>
      <c r="H128" s="867"/>
      <c r="I128" s="870"/>
      <c r="J128" s="172"/>
      <c r="K128" s="38">
        <f>+$K$15</f>
        <v>0</v>
      </c>
      <c r="L128" s="894"/>
      <c r="M128" s="896"/>
      <c r="N128" s="873"/>
      <c r="O128" s="873"/>
      <c r="P128" s="876"/>
      <c r="Q128" s="797"/>
      <c r="R128" s="797"/>
      <c r="S128" s="888"/>
      <c r="T128" s="904"/>
      <c r="U128" s="892"/>
      <c r="W128" s="29"/>
      <c r="X128" s="29"/>
      <c r="Y128" s="29"/>
      <c r="Z128" s="29"/>
      <c r="AD128" s="13"/>
      <c r="AE128" s="13"/>
      <c r="AF128" s="13"/>
      <c r="AG128" s="13"/>
      <c r="AH128" s="13"/>
      <c r="AI128" s="13"/>
    </row>
    <row r="129" spans="1:35" s="41" customFormat="1" ht="35.1" hidden="1" customHeight="1">
      <c r="A129" s="40"/>
      <c r="B129" s="877">
        <v>3</v>
      </c>
      <c r="C129" s="880"/>
      <c r="D129" s="880"/>
      <c r="E129" s="880"/>
      <c r="F129" s="880"/>
      <c r="G129" s="883"/>
      <c r="H129" s="865"/>
      <c r="I129" s="868"/>
      <c r="J129" s="172"/>
      <c r="K129" s="38">
        <f>+$K$13</f>
        <v>0</v>
      </c>
      <c r="L129" s="172"/>
      <c r="M129" s="38">
        <f>+$M$13</f>
        <v>0</v>
      </c>
      <c r="N129" s="871"/>
      <c r="O129" s="871"/>
      <c r="P129" s="874"/>
      <c r="Q129" s="795"/>
      <c r="R129" s="795"/>
      <c r="S129" s="886">
        <f>IF(COUNTIF(J129:K131,"CUMPLE")&gt;=1,(G129*I129),0)* (IF(N129="PRESENTÓ CERTIFICADO",1,0))* (IF(O129="ACORDE A ITEM 5.2.2 (T.R.)",1,0) )* ( IF(OR(Q129="SIN OBSERVACIÓN", Q129="REQUERIMIENTOS SUBSANADOS"),1,0)) *(IF(OR(R129="NINGUNO", R129="CUMPLEN CON LO SOLICITADO"),1,0))</f>
        <v>0</v>
      </c>
      <c r="T129" s="904"/>
      <c r="U129" s="892">
        <f t="shared" ref="U129" si="43">IF(COUNTIF(J129:K131,"CUMPLE")&gt;=1,1,0)</f>
        <v>0</v>
      </c>
      <c r="W129" s="29"/>
      <c r="X129" s="29"/>
      <c r="Y129" s="29"/>
      <c r="Z129" s="29"/>
      <c r="AA129" s="28"/>
      <c r="AB129" s="28"/>
      <c r="AC129" s="28"/>
      <c r="AD129" s="13"/>
      <c r="AE129" s="13"/>
      <c r="AF129" s="13"/>
      <c r="AG129" s="13"/>
      <c r="AH129" s="13"/>
      <c r="AI129" s="13"/>
    </row>
    <row r="130" spans="1:35" s="41" customFormat="1" ht="35.1" hidden="1" customHeight="1">
      <c r="A130" s="40"/>
      <c r="B130" s="878"/>
      <c r="C130" s="881"/>
      <c r="D130" s="881"/>
      <c r="E130" s="881"/>
      <c r="F130" s="881"/>
      <c r="G130" s="884"/>
      <c r="H130" s="866"/>
      <c r="I130" s="869"/>
      <c r="J130" s="172"/>
      <c r="K130" s="38">
        <f>+$K$14</f>
        <v>0</v>
      </c>
      <c r="L130" s="893"/>
      <c r="M130" s="895">
        <f>+$M$14</f>
        <v>0</v>
      </c>
      <c r="N130" s="872"/>
      <c r="O130" s="872"/>
      <c r="P130" s="875"/>
      <c r="Q130" s="796"/>
      <c r="R130" s="796"/>
      <c r="S130" s="887"/>
      <c r="T130" s="904"/>
      <c r="U130" s="892"/>
      <c r="W130" s="29"/>
      <c r="X130" s="29"/>
      <c r="Y130" s="29"/>
      <c r="Z130" s="29"/>
      <c r="AH130" s="13"/>
      <c r="AI130" s="13"/>
    </row>
    <row r="131" spans="1:35" s="41" customFormat="1" ht="35.1" hidden="1" customHeight="1">
      <c r="A131" s="40"/>
      <c r="B131" s="879"/>
      <c r="C131" s="882"/>
      <c r="D131" s="882"/>
      <c r="E131" s="882"/>
      <c r="F131" s="882"/>
      <c r="G131" s="885"/>
      <c r="H131" s="867"/>
      <c r="I131" s="870"/>
      <c r="J131" s="172"/>
      <c r="K131" s="38">
        <f>+$K$15</f>
        <v>0</v>
      </c>
      <c r="L131" s="894"/>
      <c r="M131" s="896"/>
      <c r="N131" s="873"/>
      <c r="O131" s="873"/>
      <c r="P131" s="876"/>
      <c r="Q131" s="797"/>
      <c r="R131" s="797"/>
      <c r="S131" s="888"/>
      <c r="T131" s="904"/>
      <c r="U131" s="892"/>
      <c r="W131" s="29"/>
      <c r="X131" s="29"/>
      <c r="Y131" s="29"/>
      <c r="Z131" s="29"/>
    </row>
    <row r="132" spans="1:35" s="41" customFormat="1" ht="35.1" hidden="1" customHeight="1">
      <c r="A132" s="40"/>
      <c r="B132" s="877">
        <v>4</v>
      </c>
      <c r="C132" s="889"/>
      <c r="D132" s="889"/>
      <c r="E132" s="889"/>
      <c r="F132" s="889"/>
      <c r="G132" s="897"/>
      <c r="H132" s="865"/>
      <c r="I132" s="900"/>
      <c r="J132" s="172"/>
      <c r="K132" s="38">
        <f>+$K$13</f>
        <v>0</v>
      </c>
      <c r="L132" s="172"/>
      <c r="M132" s="38">
        <f>+$M$13</f>
        <v>0</v>
      </c>
      <c r="N132" s="871"/>
      <c r="O132" s="871"/>
      <c r="P132" s="874"/>
      <c r="Q132" s="795"/>
      <c r="R132" s="795"/>
      <c r="S132" s="886">
        <f>IF(COUNTIF(J132:K134,"CUMPLE")&gt;=1,(G132*I132),0)* (IF(N132="PRESENTÓ CERTIFICADO",1,0))* (IF(O132="ACORDE A ITEM 5.2.2 (T.R.)",1,0) )* ( IF(OR(Q132="SIN OBSERVACIÓN", Q132="REQUERIMIENTOS SUBSANADOS"),1,0)) *(IF(OR(R132="NINGUNO", R132="CUMPLEN CON LO SOLICITADO"),1,0))</f>
        <v>0</v>
      </c>
      <c r="T132" s="904"/>
      <c r="U132" s="892">
        <f t="shared" ref="U132" si="44">IF(COUNTIF(J132:K134,"CUMPLE")&gt;=1,1,0)</f>
        <v>0</v>
      </c>
      <c r="W132" s="29"/>
      <c r="X132" s="29"/>
      <c r="Y132" s="29"/>
      <c r="Z132" s="29"/>
      <c r="AA132" s="13"/>
      <c r="AB132" s="13"/>
      <c r="AC132" s="13"/>
      <c r="AD132" s="13"/>
      <c r="AE132" s="13"/>
      <c r="AF132" s="13"/>
      <c r="AG132" s="13"/>
    </row>
    <row r="133" spans="1:35" s="41" customFormat="1" ht="35.1" hidden="1" customHeight="1">
      <c r="A133" s="40"/>
      <c r="B133" s="878"/>
      <c r="C133" s="890"/>
      <c r="D133" s="890"/>
      <c r="E133" s="890"/>
      <c r="F133" s="890"/>
      <c r="G133" s="898"/>
      <c r="H133" s="866"/>
      <c r="I133" s="901"/>
      <c r="J133" s="172"/>
      <c r="K133" s="38">
        <f>+$K$14</f>
        <v>0</v>
      </c>
      <c r="L133" s="893"/>
      <c r="M133" s="895">
        <f>+$M$14</f>
        <v>0</v>
      </c>
      <c r="N133" s="872"/>
      <c r="O133" s="872"/>
      <c r="P133" s="875"/>
      <c r="Q133" s="796"/>
      <c r="R133" s="796"/>
      <c r="S133" s="887"/>
      <c r="T133" s="904"/>
      <c r="U133" s="892"/>
      <c r="W133" s="29"/>
      <c r="X133" s="29"/>
      <c r="Y133" s="29"/>
      <c r="Z133" s="29"/>
      <c r="AA133" s="13"/>
      <c r="AB133" s="13"/>
      <c r="AC133" s="13"/>
      <c r="AD133" s="13"/>
      <c r="AE133" s="13"/>
      <c r="AF133" s="13"/>
      <c r="AG133" s="13"/>
    </row>
    <row r="134" spans="1:35" s="41" customFormat="1" ht="35.1" hidden="1" customHeight="1">
      <c r="A134" s="40"/>
      <c r="B134" s="879"/>
      <c r="C134" s="891"/>
      <c r="D134" s="891"/>
      <c r="E134" s="891"/>
      <c r="F134" s="891"/>
      <c r="G134" s="899"/>
      <c r="H134" s="867"/>
      <c r="I134" s="902"/>
      <c r="J134" s="172"/>
      <c r="K134" s="38">
        <f>+$K$15</f>
        <v>0</v>
      </c>
      <c r="L134" s="894"/>
      <c r="M134" s="896"/>
      <c r="N134" s="873"/>
      <c r="O134" s="873"/>
      <c r="P134" s="876"/>
      <c r="Q134" s="797"/>
      <c r="R134" s="797"/>
      <c r="S134" s="888"/>
      <c r="T134" s="904"/>
      <c r="U134" s="892"/>
      <c r="W134" s="29"/>
      <c r="X134" s="29"/>
      <c r="Y134" s="29"/>
      <c r="Z134" s="29"/>
      <c r="AA134" s="29"/>
      <c r="AB134" s="29"/>
      <c r="AC134" s="29"/>
      <c r="AD134" s="42"/>
      <c r="AE134" s="42"/>
      <c r="AF134" s="42"/>
      <c r="AG134" s="42"/>
    </row>
    <row r="135" spans="1:35" s="41" customFormat="1" ht="24.95" hidden="1" customHeight="1">
      <c r="A135" s="40"/>
      <c r="B135" s="877">
        <v>5</v>
      </c>
      <c r="C135" s="880"/>
      <c r="D135" s="880"/>
      <c r="E135" s="880"/>
      <c r="F135" s="880"/>
      <c r="G135" s="883"/>
      <c r="H135" s="865"/>
      <c r="I135" s="868"/>
      <c r="J135" s="172"/>
      <c r="K135" s="38">
        <f>+$K$13</f>
        <v>0</v>
      </c>
      <c r="L135" s="172"/>
      <c r="M135" s="38">
        <f>+$M$13</f>
        <v>0</v>
      </c>
      <c r="N135" s="871"/>
      <c r="O135" s="871"/>
      <c r="P135" s="874"/>
      <c r="Q135" s="795"/>
      <c r="R135" s="795"/>
      <c r="S135" s="886">
        <f>IF(COUNTIF(J135:K137,"CUMPLE")&gt;=1,(G135*I135),0)* (IF(N135="PRESENTÓ CERTIFICADO",1,0))* (IF(O135="ACORDE A ITEM 5.2.2 (T.R.)",1,0) )* ( IF(OR(Q135="SIN OBSERVACIÓN", Q135="REQUERIMIENTOS SUBSANADOS"),1,0)) *(IF(OR(R135="NINGUNO", R135="CUMPLEN CON LO SOLICITADO"),1,0))</f>
        <v>0</v>
      </c>
      <c r="T135" s="904"/>
      <c r="U135" s="892">
        <f t="shared" ref="U135" si="45">IF(COUNTIF(J135:K137,"CUMPLE")&gt;=1,1,0)</f>
        <v>0</v>
      </c>
      <c r="W135" s="29"/>
      <c r="X135" s="29"/>
      <c r="Y135" s="29"/>
      <c r="Z135" s="29"/>
      <c r="AA135" s="29"/>
      <c r="AB135" s="29"/>
      <c r="AC135" s="29"/>
      <c r="AD135" s="42"/>
      <c r="AE135" s="42"/>
      <c r="AF135" s="42"/>
      <c r="AG135" s="42"/>
    </row>
    <row r="136" spans="1:35" s="41" customFormat="1" ht="24.95" hidden="1" customHeight="1">
      <c r="A136" s="40"/>
      <c r="B136" s="878"/>
      <c r="C136" s="881"/>
      <c r="D136" s="881"/>
      <c r="E136" s="881"/>
      <c r="F136" s="881"/>
      <c r="G136" s="884"/>
      <c r="H136" s="866"/>
      <c r="I136" s="869"/>
      <c r="J136" s="172"/>
      <c r="K136" s="38">
        <f>+$K$14</f>
        <v>0</v>
      </c>
      <c r="L136" s="893"/>
      <c r="M136" s="895">
        <f>+$M$14</f>
        <v>0</v>
      </c>
      <c r="N136" s="872"/>
      <c r="O136" s="872"/>
      <c r="P136" s="875"/>
      <c r="Q136" s="796"/>
      <c r="R136" s="796"/>
      <c r="S136" s="887"/>
      <c r="T136" s="904"/>
      <c r="U136" s="892"/>
      <c r="W136" s="29"/>
      <c r="X136" s="29"/>
      <c r="Y136" s="29"/>
      <c r="Z136" s="29"/>
      <c r="AA136" s="29"/>
      <c r="AB136" s="29"/>
      <c r="AC136" s="29"/>
    </row>
    <row r="137" spans="1:35" s="41" customFormat="1" ht="24.95" hidden="1" customHeight="1">
      <c r="A137" s="40"/>
      <c r="B137" s="879"/>
      <c r="C137" s="882"/>
      <c r="D137" s="882"/>
      <c r="E137" s="882"/>
      <c r="F137" s="882"/>
      <c r="G137" s="885"/>
      <c r="H137" s="867"/>
      <c r="I137" s="870"/>
      <c r="J137" s="172"/>
      <c r="K137" s="38">
        <f>+$K$15</f>
        <v>0</v>
      </c>
      <c r="L137" s="894"/>
      <c r="M137" s="896"/>
      <c r="N137" s="873"/>
      <c r="O137" s="873"/>
      <c r="P137" s="876"/>
      <c r="Q137" s="797"/>
      <c r="R137" s="797"/>
      <c r="S137" s="888"/>
      <c r="T137" s="905"/>
      <c r="U137" s="892"/>
      <c r="W137" s="29"/>
      <c r="X137" s="29"/>
      <c r="Y137" s="29"/>
      <c r="Z137" s="29"/>
      <c r="AA137" s="29"/>
      <c r="AB137" s="29"/>
      <c r="AC137" s="29"/>
    </row>
    <row r="138" spans="1:35" s="28" customFormat="1" ht="24.95" hidden="1" customHeight="1">
      <c r="B138" s="854" t="str">
        <f>IF(S139=" "," ",IF(S139&gt;=$H$6,"CUMPLE CON LA EXPERIENCIA REQUERIDA","NO CUMPLE CON LA EXPERIENCIA REQUERIDA"))</f>
        <v xml:space="preserve"> </v>
      </c>
      <c r="C138" s="855"/>
      <c r="D138" s="855"/>
      <c r="E138" s="855"/>
      <c r="F138" s="855"/>
      <c r="G138" s="855"/>
      <c r="H138" s="855"/>
      <c r="I138" s="855"/>
      <c r="J138" s="855"/>
      <c r="K138" s="855"/>
      <c r="L138" s="855"/>
      <c r="M138" s="855"/>
      <c r="N138" s="855"/>
      <c r="O138" s="856"/>
      <c r="P138" s="860" t="s">
        <v>45</v>
      </c>
      <c r="Q138" s="861"/>
      <c r="R138" s="862"/>
      <c r="S138" s="44">
        <f>IF(T123="SI",SUM(S123:S137),0)</f>
        <v>0</v>
      </c>
      <c r="T138" s="863" t="str">
        <f>IF(S139=" "," ",IF(S139&gt;=$H$6,"CUMPLE","NO CUMPLE"))</f>
        <v xml:space="preserve"> </v>
      </c>
      <c r="W138" s="29"/>
      <c r="X138" s="29"/>
      <c r="Y138" s="29"/>
      <c r="Z138" s="29"/>
      <c r="AA138" s="29"/>
      <c r="AB138" s="29"/>
      <c r="AC138" s="29"/>
      <c r="AD138" s="41"/>
      <c r="AE138" s="41"/>
      <c r="AF138" s="41"/>
      <c r="AG138" s="41"/>
      <c r="AH138" s="41"/>
    </row>
    <row r="139" spans="1:35" s="41" customFormat="1" ht="24.95" hidden="1" customHeight="1">
      <c r="B139" s="857"/>
      <c r="C139" s="858"/>
      <c r="D139" s="858"/>
      <c r="E139" s="858"/>
      <c r="F139" s="858"/>
      <c r="G139" s="858"/>
      <c r="H139" s="858"/>
      <c r="I139" s="858"/>
      <c r="J139" s="858"/>
      <c r="K139" s="858"/>
      <c r="L139" s="858"/>
      <c r="M139" s="858"/>
      <c r="N139" s="858"/>
      <c r="O139" s="859"/>
      <c r="P139" s="860" t="s">
        <v>46</v>
      </c>
      <c r="Q139" s="861"/>
      <c r="R139" s="862"/>
      <c r="S139" s="44" t="str">
        <f>IFERROR((S138/$P$6)," ")</f>
        <v xml:space="preserve"> </v>
      </c>
      <c r="T139" s="864"/>
      <c r="W139" s="29"/>
      <c r="X139" s="29"/>
      <c r="Y139" s="29"/>
      <c r="Z139" s="29"/>
      <c r="AA139" s="29"/>
      <c r="AB139" s="29"/>
      <c r="AC139" s="29"/>
    </row>
    <row r="140" spans="1:35" ht="30" hidden="1" customHeight="1">
      <c r="AA140" s="29"/>
      <c r="AB140" s="29"/>
      <c r="AC140" s="29"/>
      <c r="AD140" s="41"/>
      <c r="AE140" s="41"/>
      <c r="AF140" s="41"/>
      <c r="AG140" s="41"/>
      <c r="AH140" s="28"/>
    </row>
    <row r="141" spans="1:35" ht="30" hidden="1" customHeight="1">
      <c r="AA141" s="29"/>
      <c r="AB141" s="29"/>
      <c r="AC141" s="29"/>
      <c r="AD141" s="41"/>
      <c r="AE141" s="41"/>
      <c r="AF141" s="41"/>
      <c r="AG141" s="41"/>
      <c r="AH141" s="41"/>
    </row>
    <row r="142" spans="1:35" ht="64.5" hidden="1" customHeight="1">
      <c r="B142" s="26">
        <v>7</v>
      </c>
      <c r="C142" s="916" t="s">
        <v>24</v>
      </c>
      <c r="D142" s="917"/>
      <c r="E142" s="918"/>
      <c r="F142" s="919">
        <f>IFERROR(VLOOKUP(B142,LISTA_OFERENTES,2,FALSE)," ")</f>
        <v>0</v>
      </c>
      <c r="G142" s="920"/>
      <c r="H142" s="920"/>
      <c r="I142" s="920"/>
      <c r="J142" s="920"/>
      <c r="K142" s="920"/>
      <c r="L142" s="920"/>
      <c r="M142" s="920"/>
      <c r="N142" s="920"/>
      <c r="O142" s="921"/>
      <c r="P142" s="922" t="s">
        <v>25</v>
      </c>
      <c r="Q142" s="923"/>
      <c r="R142" s="924"/>
      <c r="S142" s="27">
        <f>5-(INT(COUNTBLANK(C145:C159))-10)</f>
        <v>0</v>
      </c>
      <c r="T142" s="28"/>
      <c r="AA142" s="29"/>
      <c r="AB142" s="29"/>
      <c r="AC142" s="29"/>
      <c r="AD142" s="41"/>
      <c r="AE142" s="41"/>
      <c r="AF142" s="41"/>
      <c r="AG142" s="41"/>
    </row>
    <row r="143" spans="1:35" s="42" customFormat="1" ht="30" hidden="1" customHeight="1">
      <c r="B143" s="914" t="s">
        <v>26</v>
      </c>
      <c r="C143" s="906" t="s">
        <v>27</v>
      </c>
      <c r="D143" s="906" t="s">
        <v>28</v>
      </c>
      <c r="E143" s="906" t="s">
        <v>29</v>
      </c>
      <c r="F143" s="906" t="s">
        <v>30</v>
      </c>
      <c r="G143" s="906" t="s">
        <v>31</v>
      </c>
      <c r="H143" s="906" t="s">
        <v>32</v>
      </c>
      <c r="I143" s="906" t="s">
        <v>33</v>
      </c>
      <c r="J143" s="911" t="s">
        <v>34</v>
      </c>
      <c r="K143" s="912"/>
      <c r="L143" s="912"/>
      <c r="M143" s="913"/>
      <c r="N143" s="906" t="s">
        <v>35</v>
      </c>
      <c r="O143" s="906" t="s">
        <v>36</v>
      </c>
      <c r="P143" s="911" t="s">
        <v>37</v>
      </c>
      <c r="Q143" s="913"/>
      <c r="R143" s="906" t="s">
        <v>38</v>
      </c>
      <c r="S143" s="906" t="s">
        <v>39</v>
      </c>
      <c r="T143" s="906" t="str">
        <f>+$T$11</f>
        <v>Cumple con el requerimiento del numeral 6.2.2.2.1</v>
      </c>
      <c r="U143" s="906" t="str">
        <f>+$U$11</f>
        <v xml:space="preserve">VERIFICACIÓN CONDICIÓN DE EXPERIENCIA  </v>
      </c>
      <c r="V143" s="45"/>
      <c r="W143" s="29"/>
      <c r="X143" s="29"/>
      <c r="Y143" s="29"/>
      <c r="Z143" s="29"/>
      <c r="AA143" s="29"/>
      <c r="AB143" s="29"/>
      <c r="AC143" s="29"/>
      <c r="AD143" s="41"/>
      <c r="AE143" s="41"/>
      <c r="AF143" s="41"/>
      <c r="AG143" s="41"/>
      <c r="AH143" s="13"/>
    </row>
    <row r="144" spans="1:35" s="42" customFormat="1" ht="113.25" hidden="1" customHeight="1">
      <c r="B144" s="915"/>
      <c r="C144" s="907"/>
      <c r="D144" s="907"/>
      <c r="E144" s="907"/>
      <c r="F144" s="907"/>
      <c r="G144" s="907"/>
      <c r="H144" s="907"/>
      <c r="I144" s="907"/>
      <c r="J144" s="908" t="s">
        <v>42</v>
      </c>
      <c r="K144" s="909"/>
      <c r="L144" s="909"/>
      <c r="M144" s="910"/>
      <c r="N144" s="907"/>
      <c r="O144" s="907"/>
      <c r="P144" s="33" t="s">
        <v>10</v>
      </c>
      <c r="Q144" s="33" t="s">
        <v>43</v>
      </c>
      <c r="R144" s="907"/>
      <c r="S144" s="907"/>
      <c r="T144" s="907"/>
      <c r="U144" s="907"/>
      <c r="V144" s="45"/>
      <c r="W144" s="29"/>
      <c r="X144" s="29"/>
      <c r="Y144" s="29"/>
      <c r="Z144" s="29"/>
      <c r="AA144" s="29"/>
      <c r="AB144" s="29"/>
      <c r="AC144" s="29"/>
      <c r="AD144" s="41"/>
      <c r="AE144" s="41"/>
      <c r="AF144" s="41"/>
      <c r="AG144" s="41"/>
      <c r="AH144" s="13"/>
    </row>
    <row r="145" spans="1:35" s="41" customFormat="1" ht="24.95" hidden="1" customHeight="1">
      <c r="A145" s="40"/>
      <c r="B145" s="877">
        <v>1</v>
      </c>
      <c r="C145" s="880"/>
      <c r="D145" s="880"/>
      <c r="E145" s="880"/>
      <c r="F145" s="880"/>
      <c r="G145" s="883"/>
      <c r="H145" s="865"/>
      <c r="I145" s="868"/>
      <c r="J145" s="172"/>
      <c r="K145" s="38">
        <f>+$K$13</f>
        <v>0</v>
      </c>
      <c r="L145" s="172"/>
      <c r="M145" s="38">
        <f>+$M$13</f>
        <v>0</v>
      </c>
      <c r="N145" s="871"/>
      <c r="O145" s="871"/>
      <c r="P145" s="874"/>
      <c r="Q145" s="795"/>
      <c r="R145" s="795"/>
      <c r="S145" s="886">
        <f>IF(COUNTIF(J145:K147,"CUMPLE")&gt;=1,(G145*I145),0)* (IF(N145="PRESENTÓ CERTIFICADO",1,0))* (IF(O145="ACORDE A ITEM 5.2.2 (T.R.)",1,0) )* ( IF(OR(Q145="SIN OBSERVACIÓN", Q145="REQUERIMIENTOS SUBSANADOS"),1,0)) *(IF(OR(R145="NINGUNO", R145="CUMPLEN CON LO SOLICITADO"),1,0))</f>
        <v>0</v>
      </c>
      <c r="T145" s="903"/>
      <c r="U145" s="892">
        <f>IF(COUNTIF(J145:K147,"CUMPLE")&gt;=1,1,0)</f>
        <v>0</v>
      </c>
      <c r="W145" s="29"/>
      <c r="X145" s="29"/>
      <c r="Y145" s="29"/>
      <c r="Z145" s="29"/>
      <c r="AD145" s="13"/>
      <c r="AE145" s="13"/>
      <c r="AF145" s="13"/>
      <c r="AG145" s="13"/>
      <c r="AH145" s="13"/>
      <c r="AI145" s="13"/>
    </row>
    <row r="146" spans="1:35" s="41" customFormat="1" ht="24.95" hidden="1" customHeight="1">
      <c r="A146" s="40"/>
      <c r="B146" s="878"/>
      <c r="C146" s="881"/>
      <c r="D146" s="881"/>
      <c r="E146" s="881"/>
      <c r="F146" s="881"/>
      <c r="G146" s="884"/>
      <c r="H146" s="866"/>
      <c r="I146" s="869"/>
      <c r="J146" s="172"/>
      <c r="K146" s="38">
        <f>+$K$14</f>
        <v>0</v>
      </c>
      <c r="L146" s="893"/>
      <c r="M146" s="895">
        <f>+$M$14</f>
        <v>0</v>
      </c>
      <c r="N146" s="872"/>
      <c r="O146" s="872"/>
      <c r="P146" s="875"/>
      <c r="Q146" s="796"/>
      <c r="R146" s="796"/>
      <c r="S146" s="887"/>
      <c r="T146" s="904"/>
      <c r="U146" s="892"/>
      <c r="W146" s="29"/>
      <c r="X146" s="29"/>
      <c r="Y146" s="29"/>
      <c r="Z146" s="29"/>
      <c r="AD146" s="13"/>
      <c r="AE146" s="13"/>
      <c r="AF146" s="13"/>
      <c r="AG146" s="13"/>
      <c r="AH146" s="13"/>
      <c r="AI146" s="13"/>
    </row>
    <row r="147" spans="1:35" s="41" customFormat="1" ht="36" hidden="1" customHeight="1">
      <c r="A147" s="40"/>
      <c r="B147" s="879"/>
      <c r="C147" s="882"/>
      <c r="D147" s="882"/>
      <c r="E147" s="882"/>
      <c r="F147" s="882"/>
      <c r="G147" s="885"/>
      <c r="H147" s="867"/>
      <c r="I147" s="870"/>
      <c r="J147" s="172"/>
      <c r="K147" s="38">
        <f>+$K$15</f>
        <v>0</v>
      </c>
      <c r="L147" s="894"/>
      <c r="M147" s="896"/>
      <c r="N147" s="873"/>
      <c r="O147" s="873"/>
      <c r="P147" s="876"/>
      <c r="Q147" s="797"/>
      <c r="R147" s="797"/>
      <c r="S147" s="888"/>
      <c r="T147" s="904"/>
      <c r="U147" s="892"/>
      <c r="W147" s="29"/>
      <c r="X147" s="29"/>
      <c r="Y147" s="29"/>
      <c r="Z147" s="29"/>
      <c r="AD147" s="13"/>
      <c r="AE147" s="13"/>
      <c r="AF147" s="13"/>
      <c r="AG147" s="13"/>
      <c r="AH147" s="13"/>
      <c r="AI147" s="13"/>
    </row>
    <row r="148" spans="1:35" s="41" customFormat="1" ht="24.95" hidden="1" customHeight="1">
      <c r="A148" s="40"/>
      <c r="B148" s="877">
        <v>2</v>
      </c>
      <c r="C148" s="889"/>
      <c r="D148" s="889"/>
      <c r="E148" s="889"/>
      <c r="F148" s="880"/>
      <c r="G148" s="897"/>
      <c r="H148" s="865"/>
      <c r="I148" s="900"/>
      <c r="J148" s="172"/>
      <c r="K148" s="38">
        <f>+$K$13</f>
        <v>0</v>
      </c>
      <c r="L148" s="172"/>
      <c r="M148" s="38">
        <f>+$M$13</f>
        <v>0</v>
      </c>
      <c r="N148" s="871"/>
      <c r="O148" s="871"/>
      <c r="P148" s="874"/>
      <c r="Q148" s="795"/>
      <c r="R148" s="795"/>
      <c r="S148" s="886">
        <f>IF(COUNTIF(J148:K150,"CUMPLE")&gt;=1,(G148*I148),0)* (IF(N148="PRESENTÓ CERTIFICADO",1,0))* (IF(O148="ACORDE A ITEM 5.2.2 (T.R.)",1,0) )* ( IF(OR(Q148="SIN OBSERVACIÓN", Q148="REQUERIMIENTOS SUBSANADOS"),1,0)) *(IF(OR(R148="NINGUNO", R148="CUMPLEN CON LO SOLICITADO"),1,0))</f>
        <v>0</v>
      </c>
      <c r="T148" s="904"/>
      <c r="U148" s="892">
        <f>IF(COUNTIF(J148:K150,"CUMPLE")&gt;=1,1,0)</f>
        <v>0</v>
      </c>
      <c r="W148" s="29"/>
      <c r="X148" s="29"/>
      <c r="Y148" s="29"/>
      <c r="Z148" s="29"/>
      <c r="AD148" s="13"/>
      <c r="AE148" s="13"/>
      <c r="AF148" s="13"/>
      <c r="AG148" s="13"/>
      <c r="AH148" s="13"/>
      <c r="AI148" s="13"/>
    </row>
    <row r="149" spans="1:35" s="41" customFormat="1" ht="24.95" hidden="1" customHeight="1">
      <c r="A149" s="40"/>
      <c r="B149" s="878"/>
      <c r="C149" s="890"/>
      <c r="D149" s="890"/>
      <c r="E149" s="890"/>
      <c r="F149" s="881"/>
      <c r="G149" s="898"/>
      <c r="H149" s="866"/>
      <c r="I149" s="901"/>
      <c r="J149" s="172"/>
      <c r="K149" s="38">
        <f>+$K$14</f>
        <v>0</v>
      </c>
      <c r="L149" s="893"/>
      <c r="M149" s="895">
        <f>+$M$14</f>
        <v>0</v>
      </c>
      <c r="N149" s="872"/>
      <c r="O149" s="872"/>
      <c r="P149" s="875"/>
      <c r="Q149" s="796"/>
      <c r="R149" s="796"/>
      <c r="S149" s="887"/>
      <c r="T149" s="904"/>
      <c r="U149" s="892"/>
      <c r="W149" s="29"/>
      <c r="X149" s="29"/>
      <c r="Y149" s="29"/>
      <c r="Z149" s="29"/>
      <c r="AD149" s="13"/>
      <c r="AE149" s="13"/>
      <c r="AF149" s="13"/>
      <c r="AG149" s="13"/>
      <c r="AH149" s="13"/>
      <c r="AI149" s="13"/>
    </row>
    <row r="150" spans="1:35" s="41" customFormat="1" ht="40.5" hidden="1" customHeight="1">
      <c r="A150" s="40"/>
      <c r="B150" s="879"/>
      <c r="C150" s="891"/>
      <c r="D150" s="891"/>
      <c r="E150" s="891"/>
      <c r="F150" s="882"/>
      <c r="G150" s="899"/>
      <c r="H150" s="867"/>
      <c r="I150" s="902"/>
      <c r="J150" s="172"/>
      <c r="K150" s="38">
        <f>+$K$15</f>
        <v>0</v>
      </c>
      <c r="L150" s="894"/>
      <c r="M150" s="896"/>
      <c r="N150" s="873"/>
      <c r="O150" s="873"/>
      <c r="P150" s="876"/>
      <c r="Q150" s="797"/>
      <c r="R150" s="797"/>
      <c r="S150" s="888"/>
      <c r="T150" s="904"/>
      <c r="U150" s="892"/>
      <c r="W150" s="29"/>
      <c r="X150" s="29"/>
      <c r="Y150" s="29"/>
      <c r="Z150" s="29"/>
      <c r="AD150" s="13"/>
      <c r="AE150" s="13"/>
      <c r="AF150" s="13"/>
      <c r="AG150" s="13"/>
      <c r="AH150" s="13"/>
      <c r="AI150" s="13"/>
    </row>
    <row r="151" spans="1:35" s="41" customFormat="1" ht="24.95" hidden="1" customHeight="1">
      <c r="A151" s="40"/>
      <c r="B151" s="877">
        <v>3</v>
      </c>
      <c r="C151" s="880"/>
      <c r="D151" s="880"/>
      <c r="E151" s="880"/>
      <c r="F151" s="880"/>
      <c r="G151" s="883"/>
      <c r="H151" s="865"/>
      <c r="I151" s="868"/>
      <c r="J151" s="172"/>
      <c r="K151" s="38">
        <f>+$K$13</f>
        <v>0</v>
      </c>
      <c r="L151" s="172"/>
      <c r="M151" s="38">
        <f>+$M$13</f>
        <v>0</v>
      </c>
      <c r="N151" s="871"/>
      <c r="O151" s="871"/>
      <c r="P151" s="874"/>
      <c r="Q151" s="795"/>
      <c r="R151" s="795"/>
      <c r="S151" s="886">
        <f>IF(COUNTIF(J151:K153,"CUMPLE")&gt;=1,(G151*I151),0)* (IF(N151="PRESENTÓ CERTIFICADO",1,0))* (IF(O151="ACORDE A ITEM 5.2.2 (T.R.)",1,0) )* ( IF(OR(Q151="SIN OBSERVACIÓN", Q151="REQUERIMIENTOS SUBSANADOS"),1,0)) *(IF(OR(R151="NINGUNO", R151="CUMPLEN CON LO SOLICITADO"),1,0))</f>
        <v>0</v>
      </c>
      <c r="T151" s="904"/>
      <c r="U151" s="892">
        <f>IF(COUNTIF(L151:M153,"CUMPLE")&gt;=1,1,0)</f>
        <v>0</v>
      </c>
      <c r="W151" s="29"/>
      <c r="X151" s="29"/>
      <c r="Y151" s="29"/>
      <c r="Z151" s="29"/>
      <c r="AA151" s="28"/>
      <c r="AB151" s="28"/>
      <c r="AC151" s="28"/>
      <c r="AD151" s="13"/>
      <c r="AE151" s="13"/>
      <c r="AF151" s="13"/>
      <c r="AG151" s="13"/>
      <c r="AH151" s="13"/>
      <c r="AI151" s="13"/>
    </row>
    <row r="152" spans="1:35" s="41" customFormat="1" ht="24.95" hidden="1" customHeight="1">
      <c r="A152" s="40"/>
      <c r="B152" s="878"/>
      <c r="C152" s="881"/>
      <c r="D152" s="881"/>
      <c r="E152" s="881"/>
      <c r="F152" s="881"/>
      <c r="G152" s="884"/>
      <c r="H152" s="866"/>
      <c r="I152" s="869"/>
      <c r="J152" s="172"/>
      <c r="K152" s="38">
        <f>+$K$14</f>
        <v>0</v>
      </c>
      <c r="L152" s="893"/>
      <c r="M152" s="895">
        <f>+$M$14</f>
        <v>0</v>
      </c>
      <c r="N152" s="872"/>
      <c r="O152" s="872"/>
      <c r="P152" s="875"/>
      <c r="Q152" s="796"/>
      <c r="R152" s="796"/>
      <c r="S152" s="887"/>
      <c r="T152" s="904"/>
      <c r="U152" s="892"/>
      <c r="W152" s="29"/>
      <c r="X152" s="29"/>
      <c r="Y152" s="29"/>
      <c r="Z152" s="29"/>
      <c r="AH152" s="13"/>
      <c r="AI152" s="13"/>
    </row>
    <row r="153" spans="1:35" s="41" customFormat="1" ht="35.25" hidden="1" customHeight="1">
      <c r="A153" s="40"/>
      <c r="B153" s="879"/>
      <c r="C153" s="882"/>
      <c r="D153" s="882"/>
      <c r="E153" s="882"/>
      <c r="F153" s="882"/>
      <c r="G153" s="885"/>
      <c r="H153" s="867"/>
      <c r="I153" s="870"/>
      <c r="J153" s="172"/>
      <c r="K153" s="38">
        <f>+$K$15</f>
        <v>0</v>
      </c>
      <c r="L153" s="894"/>
      <c r="M153" s="896"/>
      <c r="N153" s="873"/>
      <c r="O153" s="873"/>
      <c r="P153" s="876"/>
      <c r="Q153" s="797"/>
      <c r="R153" s="797"/>
      <c r="S153" s="888"/>
      <c r="T153" s="904"/>
      <c r="U153" s="892"/>
      <c r="W153" s="29"/>
      <c r="X153" s="29"/>
      <c r="Y153" s="29"/>
      <c r="Z153" s="29"/>
    </row>
    <row r="154" spans="1:35" s="41" customFormat="1" ht="24.95" hidden="1" customHeight="1">
      <c r="A154" s="40"/>
      <c r="B154" s="877">
        <v>4</v>
      </c>
      <c r="C154" s="889"/>
      <c r="D154" s="889"/>
      <c r="E154" s="889"/>
      <c r="F154" s="889"/>
      <c r="G154" s="897"/>
      <c r="H154" s="865"/>
      <c r="I154" s="900"/>
      <c r="J154" s="172"/>
      <c r="K154" s="38">
        <f>+$K$13</f>
        <v>0</v>
      </c>
      <c r="L154" s="172"/>
      <c r="M154" s="38">
        <f>+$M$13</f>
        <v>0</v>
      </c>
      <c r="N154" s="871"/>
      <c r="O154" s="871"/>
      <c r="P154" s="874"/>
      <c r="Q154" s="795"/>
      <c r="R154" s="795"/>
      <c r="S154" s="886">
        <f>IF(COUNTIF(J154:K156,"CUMPLE")&gt;=1,(G154*I154),0)* (IF(N154="PRESENTÓ CERTIFICADO",1,0))* (IF(O154="ACORDE A ITEM 5.2.2 (T.R.)",1,0) )* ( IF(OR(Q154="SIN OBSERVACIÓN", Q154="REQUERIMIENTOS SUBSANADOS"),1,0)) *(IF(OR(R154="NINGUNO", R154="CUMPLEN CON LO SOLICITADO"),1,0))</f>
        <v>0</v>
      </c>
      <c r="T154" s="904"/>
      <c r="U154" s="892">
        <f>IF(COUNTIF(L154:M156,"CUMPLE")&gt;=1,1,0)</f>
        <v>0</v>
      </c>
      <c r="W154" s="29"/>
      <c r="X154" s="29"/>
      <c r="Y154" s="29"/>
      <c r="Z154" s="29"/>
      <c r="AA154" s="13"/>
      <c r="AB154" s="13"/>
      <c r="AC154" s="13"/>
      <c r="AD154" s="13"/>
      <c r="AE154" s="13"/>
      <c r="AF154" s="13"/>
      <c r="AG154" s="13"/>
    </row>
    <row r="155" spans="1:35" s="41" customFormat="1" ht="24.95" hidden="1" customHeight="1">
      <c r="A155" s="40"/>
      <c r="B155" s="878"/>
      <c r="C155" s="890"/>
      <c r="D155" s="890"/>
      <c r="E155" s="890"/>
      <c r="F155" s="890"/>
      <c r="G155" s="898"/>
      <c r="H155" s="866"/>
      <c r="I155" s="901"/>
      <c r="J155" s="172"/>
      <c r="K155" s="38">
        <f>+$K$14</f>
        <v>0</v>
      </c>
      <c r="L155" s="893"/>
      <c r="M155" s="895">
        <f>+$M$14</f>
        <v>0</v>
      </c>
      <c r="N155" s="872"/>
      <c r="O155" s="872"/>
      <c r="P155" s="875"/>
      <c r="Q155" s="796"/>
      <c r="R155" s="796"/>
      <c r="S155" s="887"/>
      <c r="T155" s="904"/>
      <c r="U155" s="892"/>
      <c r="W155" s="29"/>
      <c r="X155" s="29"/>
      <c r="Y155" s="29"/>
      <c r="Z155" s="29"/>
      <c r="AA155" s="13"/>
      <c r="AB155" s="13"/>
      <c r="AC155" s="13"/>
      <c r="AD155" s="13"/>
      <c r="AE155" s="13"/>
      <c r="AF155" s="13"/>
      <c r="AG155" s="13"/>
    </row>
    <row r="156" spans="1:35" s="41" customFormat="1" ht="24.95" hidden="1" customHeight="1">
      <c r="A156" s="40"/>
      <c r="B156" s="879"/>
      <c r="C156" s="891"/>
      <c r="D156" s="891"/>
      <c r="E156" s="891"/>
      <c r="F156" s="891"/>
      <c r="G156" s="899"/>
      <c r="H156" s="867"/>
      <c r="I156" s="902"/>
      <c r="J156" s="172"/>
      <c r="K156" s="38">
        <f>+$K$15</f>
        <v>0</v>
      </c>
      <c r="L156" s="894"/>
      <c r="M156" s="896"/>
      <c r="N156" s="873"/>
      <c r="O156" s="873"/>
      <c r="P156" s="876"/>
      <c r="Q156" s="797"/>
      <c r="R156" s="797"/>
      <c r="S156" s="888"/>
      <c r="T156" s="904"/>
      <c r="U156" s="892"/>
      <c r="W156" s="29"/>
      <c r="X156" s="29"/>
      <c r="Y156" s="29"/>
      <c r="Z156" s="29"/>
      <c r="AA156" s="29"/>
      <c r="AB156" s="29"/>
      <c r="AC156" s="29"/>
      <c r="AD156" s="42"/>
      <c r="AE156" s="42"/>
      <c r="AF156" s="42"/>
      <c r="AG156" s="42"/>
    </row>
    <row r="157" spans="1:35" s="41" customFormat="1" ht="24.95" hidden="1" customHeight="1">
      <c r="A157" s="40"/>
      <c r="B157" s="877">
        <v>5</v>
      </c>
      <c r="C157" s="880"/>
      <c r="D157" s="880"/>
      <c r="E157" s="880"/>
      <c r="F157" s="880"/>
      <c r="G157" s="883"/>
      <c r="H157" s="865"/>
      <c r="I157" s="868"/>
      <c r="J157" s="172"/>
      <c r="K157" s="38">
        <f>+$K$13</f>
        <v>0</v>
      </c>
      <c r="L157" s="172"/>
      <c r="M157" s="38">
        <f>+$M$13</f>
        <v>0</v>
      </c>
      <c r="N157" s="871"/>
      <c r="O157" s="871"/>
      <c r="P157" s="874"/>
      <c r="Q157" s="795"/>
      <c r="R157" s="795"/>
      <c r="S157" s="886">
        <f>IF(COUNTIF(J157:K159,"CUMPLE")&gt;=1,(G157*I157),0)* (IF(N157="PRESENTÓ CERTIFICADO",1,0))* (IF(O157="ACORDE A ITEM 5.2.2 (T.R.)",1,0) )* ( IF(OR(Q157="SIN OBSERVACIÓN", Q157="REQUERIMIENTOS SUBSANADOS"),1,0)) *(IF(OR(R157="NINGUNO", R157="CUMPLEN CON LO SOLICITADO"),1,0))</f>
        <v>0</v>
      </c>
      <c r="T157" s="904"/>
      <c r="U157" s="892">
        <f>IF(COUNTIF(L157:M159,"CUMPLE")&gt;=1,1,0)</f>
        <v>0</v>
      </c>
      <c r="W157" s="29"/>
      <c r="X157" s="29"/>
      <c r="Y157" s="29"/>
      <c r="Z157" s="29"/>
      <c r="AA157" s="29"/>
      <c r="AB157" s="29"/>
      <c r="AC157" s="29"/>
      <c r="AD157" s="42"/>
      <c r="AE157" s="42"/>
      <c r="AF157" s="42"/>
      <c r="AG157" s="42"/>
    </row>
    <row r="158" spans="1:35" s="41" customFormat="1" ht="24.95" hidden="1" customHeight="1">
      <c r="A158" s="40"/>
      <c r="B158" s="878"/>
      <c r="C158" s="881"/>
      <c r="D158" s="881"/>
      <c r="E158" s="881"/>
      <c r="F158" s="881"/>
      <c r="G158" s="884"/>
      <c r="H158" s="866"/>
      <c r="I158" s="869"/>
      <c r="J158" s="172"/>
      <c r="K158" s="38">
        <f>+$K$14</f>
        <v>0</v>
      </c>
      <c r="L158" s="893"/>
      <c r="M158" s="895">
        <f>+$M$14</f>
        <v>0</v>
      </c>
      <c r="N158" s="872"/>
      <c r="O158" s="872"/>
      <c r="P158" s="875"/>
      <c r="Q158" s="796"/>
      <c r="R158" s="796"/>
      <c r="S158" s="887"/>
      <c r="T158" s="904"/>
      <c r="U158" s="892"/>
      <c r="W158" s="29"/>
      <c r="X158" s="29"/>
      <c r="Y158" s="29"/>
      <c r="Z158" s="29"/>
      <c r="AA158" s="29"/>
      <c r="AB158" s="29"/>
      <c r="AC158" s="29"/>
    </row>
    <row r="159" spans="1:35" s="41" customFormat="1" ht="24.95" hidden="1" customHeight="1">
      <c r="A159" s="40"/>
      <c r="B159" s="879"/>
      <c r="C159" s="882"/>
      <c r="D159" s="882"/>
      <c r="E159" s="882"/>
      <c r="F159" s="882"/>
      <c r="G159" s="885"/>
      <c r="H159" s="867"/>
      <c r="I159" s="870"/>
      <c r="J159" s="172"/>
      <c r="K159" s="38">
        <f>+$K$15</f>
        <v>0</v>
      </c>
      <c r="L159" s="894"/>
      <c r="M159" s="896"/>
      <c r="N159" s="873"/>
      <c r="O159" s="873"/>
      <c r="P159" s="876"/>
      <c r="Q159" s="797"/>
      <c r="R159" s="797"/>
      <c r="S159" s="888"/>
      <c r="T159" s="905"/>
      <c r="U159" s="892"/>
      <c r="W159" s="29"/>
      <c r="X159" s="29"/>
      <c r="Y159" s="29"/>
      <c r="Z159" s="29"/>
      <c r="AA159" s="29"/>
      <c r="AB159" s="29"/>
      <c r="AC159" s="29"/>
    </row>
    <row r="160" spans="1:35" s="28" customFormat="1" ht="24.95" hidden="1" customHeight="1">
      <c r="B160" s="854" t="str">
        <f>IF(S161=" "," ",IF(S161&gt;=$H$6,"CUMPLE CON LA EXPERIENCIA REQUERIDA","NO CUMPLE CON LA EXPERIENCIA REQUERIDA"))</f>
        <v xml:space="preserve"> </v>
      </c>
      <c r="C160" s="855"/>
      <c r="D160" s="855"/>
      <c r="E160" s="855"/>
      <c r="F160" s="855"/>
      <c r="G160" s="855"/>
      <c r="H160" s="855"/>
      <c r="I160" s="855"/>
      <c r="J160" s="855"/>
      <c r="K160" s="855"/>
      <c r="L160" s="855"/>
      <c r="M160" s="855"/>
      <c r="N160" s="855"/>
      <c r="O160" s="856"/>
      <c r="P160" s="860" t="s">
        <v>45</v>
      </c>
      <c r="Q160" s="861"/>
      <c r="R160" s="862"/>
      <c r="S160" s="44">
        <f>IF(T145="SI",SUM(S145:S159),0)</f>
        <v>0</v>
      </c>
      <c r="T160" s="863" t="str">
        <f>IF(S161=" "," ",IF(S161&gt;=$H$6,"CUMPLE","NO CUMPLE"))</f>
        <v xml:space="preserve"> </v>
      </c>
      <c r="W160" s="29"/>
      <c r="X160" s="29"/>
      <c r="Y160" s="29"/>
      <c r="Z160" s="29"/>
      <c r="AA160" s="29"/>
      <c r="AB160" s="29"/>
      <c r="AC160" s="29"/>
      <c r="AD160" s="41"/>
      <c r="AE160" s="41"/>
      <c r="AF160" s="41"/>
      <c r="AG160" s="41"/>
      <c r="AH160" s="41"/>
    </row>
    <row r="161" spans="1:35" s="41" customFormat="1" ht="24.95" hidden="1" customHeight="1">
      <c r="B161" s="857"/>
      <c r="C161" s="858"/>
      <c r="D161" s="858"/>
      <c r="E161" s="858"/>
      <c r="F161" s="858"/>
      <c r="G161" s="858"/>
      <c r="H161" s="858"/>
      <c r="I161" s="858"/>
      <c r="J161" s="858"/>
      <c r="K161" s="858"/>
      <c r="L161" s="858"/>
      <c r="M161" s="858"/>
      <c r="N161" s="858"/>
      <c r="O161" s="859"/>
      <c r="P161" s="860" t="s">
        <v>46</v>
      </c>
      <c r="Q161" s="861"/>
      <c r="R161" s="862"/>
      <c r="S161" s="44" t="str">
        <f>IFERROR((S160/$P$6)," ")</f>
        <v xml:space="preserve"> </v>
      </c>
      <c r="T161" s="864"/>
      <c r="W161" s="29"/>
      <c r="X161" s="29"/>
      <c r="Y161" s="29"/>
      <c r="Z161" s="29"/>
      <c r="AA161" s="29"/>
      <c r="AB161" s="29"/>
      <c r="AC161" s="29"/>
    </row>
    <row r="162" spans="1:35" ht="30" hidden="1" customHeight="1">
      <c r="AA162" s="29"/>
      <c r="AB162" s="29"/>
      <c r="AC162" s="29"/>
      <c r="AD162" s="41"/>
      <c r="AE162" s="41"/>
      <c r="AF162" s="41"/>
      <c r="AG162" s="41"/>
      <c r="AH162" s="28"/>
    </row>
    <row r="163" spans="1:35" ht="30" hidden="1" customHeight="1">
      <c r="AA163" s="29"/>
      <c r="AB163" s="29"/>
      <c r="AC163" s="29"/>
      <c r="AD163" s="41"/>
      <c r="AE163" s="41"/>
      <c r="AF163" s="41"/>
      <c r="AG163" s="41"/>
      <c r="AH163" s="41"/>
    </row>
    <row r="164" spans="1:35" ht="64.5" hidden="1" customHeight="1">
      <c r="B164" s="26">
        <v>8</v>
      </c>
      <c r="C164" s="916" t="s">
        <v>24</v>
      </c>
      <c r="D164" s="917"/>
      <c r="E164" s="918"/>
      <c r="F164" s="919">
        <f>IFERROR(VLOOKUP(B164,LISTA_OFERENTES,2,FALSE)," ")</f>
        <v>0</v>
      </c>
      <c r="G164" s="920"/>
      <c r="H164" s="920"/>
      <c r="I164" s="920"/>
      <c r="J164" s="920"/>
      <c r="K164" s="920"/>
      <c r="L164" s="920"/>
      <c r="M164" s="920"/>
      <c r="N164" s="920"/>
      <c r="O164" s="921"/>
      <c r="P164" s="922" t="s">
        <v>25</v>
      </c>
      <c r="Q164" s="923"/>
      <c r="R164" s="924"/>
      <c r="S164" s="27">
        <f>5-(INT(COUNTBLANK(C167:C181))-10)</f>
        <v>0</v>
      </c>
      <c r="T164" s="28"/>
      <c r="AA164" s="29"/>
      <c r="AB164" s="29"/>
      <c r="AC164" s="29"/>
      <c r="AD164" s="41"/>
      <c r="AE164" s="41"/>
      <c r="AF164" s="41"/>
      <c r="AG164" s="41"/>
    </row>
    <row r="165" spans="1:35" s="42" customFormat="1" ht="30" hidden="1" customHeight="1">
      <c r="B165" s="914" t="s">
        <v>26</v>
      </c>
      <c r="C165" s="906" t="s">
        <v>27</v>
      </c>
      <c r="D165" s="906" t="s">
        <v>28</v>
      </c>
      <c r="E165" s="906" t="s">
        <v>29</v>
      </c>
      <c r="F165" s="906" t="s">
        <v>30</v>
      </c>
      <c r="G165" s="906" t="s">
        <v>31</v>
      </c>
      <c r="H165" s="906" t="s">
        <v>32</v>
      </c>
      <c r="I165" s="906" t="s">
        <v>33</v>
      </c>
      <c r="J165" s="911" t="s">
        <v>34</v>
      </c>
      <c r="K165" s="912"/>
      <c r="L165" s="912"/>
      <c r="M165" s="913"/>
      <c r="N165" s="906" t="s">
        <v>35</v>
      </c>
      <c r="O165" s="906" t="s">
        <v>36</v>
      </c>
      <c r="P165" s="911" t="s">
        <v>37</v>
      </c>
      <c r="Q165" s="913"/>
      <c r="R165" s="906" t="s">
        <v>38</v>
      </c>
      <c r="S165" s="906" t="s">
        <v>39</v>
      </c>
      <c r="T165" s="906" t="str">
        <f>+$T$11</f>
        <v>Cumple con el requerimiento del numeral 6.2.2.2.1</v>
      </c>
      <c r="U165" s="906" t="str">
        <f>+$U$11</f>
        <v xml:space="preserve">VERIFICACIÓN CONDICIÓN DE EXPERIENCIA  </v>
      </c>
      <c r="V165" s="45"/>
      <c r="W165" s="29"/>
      <c r="X165" s="29"/>
      <c r="Y165" s="29"/>
      <c r="Z165" s="29"/>
      <c r="AA165" s="29"/>
      <c r="AB165" s="29"/>
      <c r="AC165" s="29"/>
      <c r="AD165" s="41"/>
      <c r="AE165" s="41"/>
      <c r="AF165" s="41"/>
      <c r="AG165" s="41"/>
      <c r="AH165" s="13"/>
    </row>
    <row r="166" spans="1:35" s="42" customFormat="1" ht="63" hidden="1" customHeight="1">
      <c r="B166" s="915"/>
      <c r="C166" s="907"/>
      <c r="D166" s="907"/>
      <c r="E166" s="907"/>
      <c r="F166" s="907"/>
      <c r="G166" s="907"/>
      <c r="H166" s="907"/>
      <c r="I166" s="907"/>
      <c r="J166" s="908" t="s">
        <v>42</v>
      </c>
      <c r="K166" s="909"/>
      <c r="L166" s="909"/>
      <c r="M166" s="910"/>
      <c r="N166" s="907"/>
      <c r="O166" s="907"/>
      <c r="P166" s="33" t="s">
        <v>10</v>
      </c>
      <c r="Q166" s="33" t="s">
        <v>43</v>
      </c>
      <c r="R166" s="907"/>
      <c r="S166" s="907"/>
      <c r="T166" s="907"/>
      <c r="U166" s="907"/>
      <c r="V166" s="45"/>
      <c r="W166" s="29"/>
      <c r="X166" s="29"/>
      <c r="Y166" s="29"/>
      <c r="Z166" s="29"/>
      <c r="AA166" s="29"/>
      <c r="AB166" s="29"/>
      <c r="AC166" s="29"/>
      <c r="AD166" s="41"/>
      <c r="AE166" s="41"/>
      <c r="AF166" s="41"/>
      <c r="AG166" s="41"/>
      <c r="AH166" s="13"/>
    </row>
    <row r="167" spans="1:35" s="41" customFormat="1" ht="24.95" hidden="1" customHeight="1">
      <c r="A167" s="40"/>
      <c r="B167" s="877">
        <v>1</v>
      </c>
      <c r="C167" s="880"/>
      <c r="D167" s="880"/>
      <c r="E167" s="880"/>
      <c r="F167" s="880"/>
      <c r="G167" s="883"/>
      <c r="H167" s="865"/>
      <c r="I167" s="868"/>
      <c r="J167" s="172"/>
      <c r="K167" s="38">
        <f>+$K$13</f>
        <v>0</v>
      </c>
      <c r="L167" s="172"/>
      <c r="M167" s="38">
        <f>+$M$13</f>
        <v>0</v>
      </c>
      <c r="N167" s="871"/>
      <c r="O167" s="871"/>
      <c r="P167" s="874"/>
      <c r="Q167" s="795"/>
      <c r="R167" s="795"/>
      <c r="S167" s="886">
        <f>IF(COUNTIF(J167:K169,"CUMPLE")&gt;=1,(G167*I167),0)* (IF(N167="PRESENTÓ CERTIFICADO",1,0))* (IF(O167="ACORDE A ITEM 5.2.2 (T.R.)",1,0) )* ( IF(OR(Q167="SIN OBSERVACIÓN", Q167="REQUERIMIENTOS SUBSANADOS"),1,0)) *(IF(OR(R167="NINGUNO", R167="CUMPLEN CON LO SOLICITADO"),1,0))</f>
        <v>0</v>
      </c>
      <c r="T167" s="903"/>
      <c r="U167" s="892">
        <f>IF(COUNTIF(J167:K169,"CUMPLE")&gt;=1,1,0)</f>
        <v>0</v>
      </c>
      <c r="W167" s="29"/>
      <c r="X167" s="29"/>
      <c r="Y167" s="29"/>
      <c r="Z167" s="29"/>
      <c r="AD167" s="13"/>
      <c r="AE167" s="13"/>
      <c r="AF167" s="13"/>
      <c r="AG167" s="13"/>
      <c r="AH167" s="13"/>
      <c r="AI167" s="13"/>
    </row>
    <row r="168" spans="1:35" s="41" customFormat="1" ht="24.95" hidden="1" customHeight="1">
      <c r="A168" s="40"/>
      <c r="B168" s="878"/>
      <c r="C168" s="881"/>
      <c r="D168" s="881"/>
      <c r="E168" s="881"/>
      <c r="F168" s="881"/>
      <c r="G168" s="884"/>
      <c r="H168" s="866"/>
      <c r="I168" s="869"/>
      <c r="J168" s="172"/>
      <c r="K168" s="38">
        <f>+$K$14</f>
        <v>0</v>
      </c>
      <c r="L168" s="893"/>
      <c r="M168" s="895">
        <f>+$M$14</f>
        <v>0</v>
      </c>
      <c r="N168" s="872"/>
      <c r="O168" s="872"/>
      <c r="P168" s="875"/>
      <c r="Q168" s="796"/>
      <c r="R168" s="796"/>
      <c r="S168" s="887"/>
      <c r="T168" s="904"/>
      <c r="U168" s="892"/>
      <c r="W168" s="29"/>
      <c r="X168" s="29"/>
      <c r="Y168" s="29"/>
      <c r="Z168" s="29"/>
      <c r="AD168" s="13"/>
      <c r="AE168" s="13"/>
      <c r="AF168" s="13"/>
      <c r="AG168" s="13"/>
      <c r="AH168" s="13"/>
      <c r="AI168" s="13"/>
    </row>
    <row r="169" spans="1:35" s="41" customFormat="1" ht="24.95" hidden="1" customHeight="1">
      <c r="A169" s="40"/>
      <c r="B169" s="879"/>
      <c r="C169" s="882"/>
      <c r="D169" s="882"/>
      <c r="E169" s="882"/>
      <c r="F169" s="882"/>
      <c r="G169" s="885"/>
      <c r="H169" s="867"/>
      <c r="I169" s="870"/>
      <c r="J169" s="172"/>
      <c r="K169" s="38">
        <f>+$K$15</f>
        <v>0</v>
      </c>
      <c r="L169" s="894"/>
      <c r="M169" s="896"/>
      <c r="N169" s="873"/>
      <c r="O169" s="873"/>
      <c r="P169" s="876"/>
      <c r="Q169" s="797"/>
      <c r="R169" s="797"/>
      <c r="S169" s="888"/>
      <c r="T169" s="904"/>
      <c r="U169" s="892"/>
      <c r="W169" s="29"/>
      <c r="X169" s="29"/>
      <c r="Y169" s="29"/>
      <c r="Z169" s="29"/>
      <c r="AD169" s="13"/>
      <c r="AE169" s="13"/>
      <c r="AF169" s="13"/>
      <c r="AG169" s="13"/>
      <c r="AH169" s="13"/>
      <c r="AI169" s="13"/>
    </row>
    <row r="170" spans="1:35" s="41" customFormat="1" ht="24.95" hidden="1" customHeight="1">
      <c r="A170" s="40"/>
      <c r="B170" s="877">
        <v>2</v>
      </c>
      <c r="C170" s="889"/>
      <c r="D170" s="889"/>
      <c r="E170" s="889"/>
      <c r="F170" s="889"/>
      <c r="G170" s="897"/>
      <c r="H170" s="865"/>
      <c r="I170" s="900"/>
      <c r="J170" s="172"/>
      <c r="K170" s="38">
        <f>+$K$13</f>
        <v>0</v>
      </c>
      <c r="L170" s="172"/>
      <c r="M170" s="38">
        <f>+$M$13</f>
        <v>0</v>
      </c>
      <c r="N170" s="871"/>
      <c r="O170" s="871"/>
      <c r="P170" s="874"/>
      <c r="Q170" s="795"/>
      <c r="R170" s="795"/>
      <c r="S170" s="886">
        <f>IF(COUNTIF(J170:K172,"CUMPLE")&gt;=1,(G170*I170),0)* (IF(N170="PRESENTÓ CERTIFICADO",1,0))* (IF(O170="ACORDE A ITEM 5.2.2 (T.R.)",1,0) )* ( IF(OR(Q170="SIN OBSERVACIÓN", Q170="REQUERIMIENTOS SUBSANADOS"),1,0)) *(IF(OR(R170="NINGUNO", R170="CUMPLEN CON LO SOLICITADO"),1,0))</f>
        <v>0</v>
      </c>
      <c r="T170" s="904"/>
      <c r="U170" s="892">
        <f t="shared" ref="U170" si="46">IF(COUNTIF(J170:K172,"CUMPLE")&gt;=1,1,0)</f>
        <v>0</v>
      </c>
      <c r="W170" s="29"/>
      <c r="X170" s="29"/>
      <c r="Y170" s="29"/>
      <c r="Z170" s="29"/>
      <c r="AD170" s="13"/>
      <c r="AE170" s="13"/>
      <c r="AF170" s="13"/>
      <c r="AG170" s="13"/>
      <c r="AH170" s="13"/>
      <c r="AI170" s="13"/>
    </row>
    <row r="171" spans="1:35" s="41" customFormat="1" ht="24.95" hidden="1" customHeight="1">
      <c r="A171" s="40"/>
      <c r="B171" s="878"/>
      <c r="C171" s="890"/>
      <c r="D171" s="890"/>
      <c r="E171" s="890"/>
      <c r="F171" s="890"/>
      <c r="G171" s="898"/>
      <c r="H171" s="866"/>
      <c r="I171" s="901"/>
      <c r="J171" s="172"/>
      <c r="K171" s="38">
        <f>+$K$14</f>
        <v>0</v>
      </c>
      <c r="L171" s="893"/>
      <c r="M171" s="895">
        <f>+$M$14</f>
        <v>0</v>
      </c>
      <c r="N171" s="872"/>
      <c r="O171" s="872"/>
      <c r="P171" s="875"/>
      <c r="Q171" s="796"/>
      <c r="R171" s="796"/>
      <c r="S171" s="887"/>
      <c r="T171" s="904"/>
      <c r="U171" s="892"/>
      <c r="W171" s="29"/>
      <c r="X171" s="29"/>
      <c r="Y171" s="29"/>
      <c r="Z171" s="29"/>
      <c r="AD171" s="13"/>
      <c r="AE171" s="13"/>
      <c r="AF171" s="13"/>
      <c r="AG171" s="13"/>
      <c r="AH171" s="13"/>
      <c r="AI171" s="13"/>
    </row>
    <row r="172" spans="1:35" s="41" customFormat="1" ht="24.95" hidden="1" customHeight="1">
      <c r="A172" s="40"/>
      <c r="B172" s="879"/>
      <c r="C172" s="891"/>
      <c r="D172" s="891"/>
      <c r="E172" s="891"/>
      <c r="F172" s="891"/>
      <c r="G172" s="899"/>
      <c r="H172" s="867"/>
      <c r="I172" s="902"/>
      <c r="J172" s="172"/>
      <c r="K172" s="38">
        <f>+$K$15</f>
        <v>0</v>
      </c>
      <c r="L172" s="894"/>
      <c r="M172" s="896"/>
      <c r="N172" s="873"/>
      <c r="O172" s="873"/>
      <c r="P172" s="876"/>
      <c r="Q172" s="797"/>
      <c r="R172" s="797"/>
      <c r="S172" s="888"/>
      <c r="T172" s="904"/>
      <c r="U172" s="892"/>
      <c r="W172" s="29"/>
      <c r="X172" s="29"/>
      <c r="Y172" s="29"/>
      <c r="Z172" s="29"/>
      <c r="AD172" s="13"/>
      <c r="AE172" s="13"/>
      <c r="AF172" s="13"/>
      <c r="AG172" s="13"/>
      <c r="AH172" s="13"/>
      <c r="AI172" s="13"/>
    </row>
    <row r="173" spans="1:35" s="41" customFormat="1" ht="24.95" hidden="1" customHeight="1">
      <c r="A173" s="40"/>
      <c r="B173" s="877">
        <v>3</v>
      </c>
      <c r="C173" s="880"/>
      <c r="D173" s="880"/>
      <c r="E173" s="880"/>
      <c r="F173" s="880"/>
      <c r="G173" s="883"/>
      <c r="H173" s="865"/>
      <c r="I173" s="868"/>
      <c r="J173" s="172"/>
      <c r="K173" s="38">
        <f>+$K$13</f>
        <v>0</v>
      </c>
      <c r="L173" s="172"/>
      <c r="M173" s="38">
        <f>+$M$13</f>
        <v>0</v>
      </c>
      <c r="N173" s="871"/>
      <c r="O173" s="871"/>
      <c r="P173" s="874"/>
      <c r="Q173" s="795"/>
      <c r="R173" s="795"/>
      <c r="S173" s="886">
        <f>IF(COUNTIF(J173:K175,"CUMPLE")&gt;=1,(G173*I173),0)* (IF(N173="PRESENTÓ CERTIFICADO",1,0))* (IF(O173="ACORDE A ITEM 5.2.2 (T.R.)",1,0) )* ( IF(OR(Q173="SIN OBSERVACIÓN", Q173="REQUERIMIENTOS SUBSANADOS"),1,0)) *(IF(OR(R173="NINGUNO", R173="CUMPLEN CON LO SOLICITADO"),1,0))</f>
        <v>0</v>
      </c>
      <c r="T173" s="904"/>
      <c r="U173" s="892">
        <f t="shared" ref="U173" si="47">IF(COUNTIF(J173:K175,"CUMPLE")&gt;=1,1,0)</f>
        <v>0</v>
      </c>
      <c r="W173" s="29"/>
      <c r="X173" s="29"/>
      <c r="Y173" s="29"/>
      <c r="Z173" s="29"/>
      <c r="AA173" s="28"/>
      <c r="AB173" s="28"/>
      <c r="AC173" s="28"/>
      <c r="AD173" s="13"/>
      <c r="AE173" s="13"/>
      <c r="AF173" s="13"/>
      <c r="AG173" s="13"/>
      <c r="AH173" s="13"/>
      <c r="AI173" s="13"/>
    </row>
    <row r="174" spans="1:35" s="41" customFormat="1" ht="24.95" hidden="1" customHeight="1">
      <c r="A174" s="40"/>
      <c r="B174" s="878"/>
      <c r="C174" s="881"/>
      <c r="D174" s="881"/>
      <c r="E174" s="881"/>
      <c r="F174" s="881"/>
      <c r="G174" s="884"/>
      <c r="H174" s="866"/>
      <c r="I174" s="869"/>
      <c r="J174" s="172"/>
      <c r="K174" s="38">
        <f>+$K$14</f>
        <v>0</v>
      </c>
      <c r="L174" s="893"/>
      <c r="M174" s="895">
        <f>+$M$14</f>
        <v>0</v>
      </c>
      <c r="N174" s="872"/>
      <c r="O174" s="872"/>
      <c r="P174" s="875"/>
      <c r="Q174" s="796"/>
      <c r="R174" s="796"/>
      <c r="S174" s="887"/>
      <c r="T174" s="904"/>
      <c r="U174" s="892"/>
      <c r="W174" s="29"/>
      <c r="X174" s="29"/>
      <c r="Y174" s="29"/>
      <c r="Z174" s="29"/>
      <c r="AH174" s="13"/>
      <c r="AI174" s="13"/>
    </row>
    <row r="175" spans="1:35" s="41" customFormat="1" ht="24.95" hidden="1" customHeight="1">
      <c r="A175" s="40"/>
      <c r="B175" s="879"/>
      <c r="C175" s="882"/>
      <c r="D175" s="882"/>
      <c r="E175" s="882"/>
      <c r="F175" s="882"/>
      <c r="G175" s="885"/>
      <c r="H175" s="867"/>
      <c r="I175" s="870"/>
      <c r="J175" s="172"/>
      <c r="K175" s="38">
        <f>+$K$15</f>
        <v>0</v>
      </c>
      <c r="L175" s="894"/>
      <c r="M175" s="896"/>
      <c r="N175" s="873"/>
      <c r="O175" s="873"/>
      <c r="P175" s="876"/>
      <c r="Q175" s="797"/>
      <c r="R175" s="797"/>
      <c r="S175" s="888"/>
      <c r="T175" s="904"/>
      <c r="U175" s="892"/>
      <c r="W175" s="29"/>
      <c r="X175" s="29"/>
      <c r="Y175" s="29"/>
      <c r="Z175" s="29"/>
    </row>
    <row r="176" spans="1:35" s="41" customFormat="1" ht="24.95" hidden="1" customHeight="1">
      <c r="A176" s="40"/>
      <c r="B176" s="877">
        <v>4</v>
      </c>
      <c r="C176" s="889"/>
      <c r="D176" s="889"/>
      <c r="E176" s="889"/>
      <c r="F176" s="889"/>
      <c r="G176" s="897"/>
      <c r="H176" s="865"/>
      <c r="I176" s="900"/>
      <c r="J176" s="172"/>
      <c r="K176" s="38">
        <f>+$K$13</f>
        <v>0</v>
      </c>
      <c r="L176" s="172"/>
      <c r="M176" s="38">
        <f>+$M$13</f>
        <v>0</v>
      </c>
      <c r="N176" s="871"/>
      <c r="O176" s="871"/>
      <c r="P176" s="874"/>
      <c r="Q176" s="795"/>
      <c r="R176" s="795"/>
      <c r="S176" s="886">
        <f>IF(COUNTIF(J176:K178,"CUMPLE")&gt;=1,(G176*I176),0)* (IF(N176="PRESENTÓ CERTIFICADO",1,0))* (IF(O176="ACORDE A ITEM 5.2.2 (T.R.)",1,0) )* ( IF(OR(Q176="SIN OBSERVACIÓN", Q176="REQUERIMIENTOS SUBSANADOS"),1,0)) *(IF(OR(R176="NINGUNO", R176="CUMPLEN CON LO SOLICITADO"),1,0))</f>
        <v>0</v>
      </c>
      <c r="T176" s="904"/>
      <c r="U176" s="892">
        <f t="shared" ref="U176" si="48">IF(COUNTIF(J176:K178,"CUMPLE")&gt;=1,1,0)</f>
        <v>0</v>
      </c>
      <c r="W176" s="29"/>
      <c r="X176" s="29"/>
      <c r="Y176" s="29"/>
      <c r="Z176" s="29"/>
      <c r="AA176" s="13"/>
      <c r="AB176" s="13"/>
      <c r="AC176" s="13"/>
      <c r="AD176" s="13"/>
      <c r="AE176" s="13"/>
      <c r="AF176" s="13"/>
      <c r="AG176" s="13"/>
    </row>
    <row r="177" spans="1:35" s="41" customFormat="1" ht="24.95" hidden="1" customHeight="1">
      <c r="A177" s="40"/>
      <c r="B177" s="878"/>
      <c r="C177" s="890"/>
      <c r="D177" s="890"/>
      <c r="E177" s="890"/>
      <c r="F177" s="890"/>
      <c r="G177" s="898"/>
      <c r="H177" s="866"/>
      <c r="I177" s="901"/>
      <c r="J177" s="172"/>
      <c r="K177" s="38">
        <f>+$K$14</f>
        <v>0</v>
      </c>
      <c r="L177" s="893"/>
      <c r="M177" s="895">
        <f>+$M$14</f>
        <v>0</v>
      </c>
      <c r="N177" s="872"/>
      <c r="O177" s="872"/>
      <c r="P177" s="875"/>
      <c r="Q177" s="796"/>
      <c r="R177" s="796"/>
      <c r="S177" s="887"/>
      <c r="T177" s="904"/>
      <c r="U177" s="892"/>
      <c r="W177" s="29"/>
      <c r="X177" s="29"/>
      <c r="Y177" s="29"/>
      <c r="Z177" s="29"/>
      <c r="AA177" s="13"/>
      <c r="AB177" s="13"/>
      <c r="AC177" s="13"/>
      <c r="AD177" s="13"/>
      <c r="AE177" s="13"/>
      <c r="AF177" s="13"/>
      <c r="AG177" s="13"/>
    </row>
    <row r="178" spans="1:35" s="41" customFormat="1" ht="24.95" hidden="1" customHeight="1">
      <c r="A178" s="40"/>
      <c r="B178" s="879"/>
      <c r="C178" s="891"/>
      <c r="D178" s="891"/>
      <c r="E178" s="891"/>
      <c r="F178" s="891"/>
      <c r="G178" s="899"/>
      <c r="H178" s="867"/>
      <c r="I178" s="902"/>
      <c r="J178" s="172"/>
      <c r="K178" s="38">
        <f>+$K$15</f>
        <v>0</v>
      </c>
      <c r="L178" s="894"/>
      <c r="M178" s="896"/>
      <c r="N178" s="873"/>
      <c r="O178" s="873"/>
      <c r="P178" s="876"/>
      <c r="Q178" s="797"/>
      <c r="R178" s="797"/>
      <c r="S178" s="888"/>
      <c r="T178" s="904"/>
      <c r="U178" s="892"/>
      <c r="W178" s="29"/>
      <c r="X178" s="29"/>
      <c r="Y178" s="29"/>
      <c r="Z178" s="29"/>
      <c r="AA178" s="29"/>
      <c r="AB178" s="29"/>
      <c r="AC178" s="29"/>
      <c r="AD178" s="42"/>
      <c r="AE178" s="42"/>
      <c r="AF178" s="42"/>
      <c r="AG178" s="42"/>
    </row>
    <row r="179" spans="1:35" s="41" customFormat="1" ht="24.95" hidden="1" customHeight="1">
      <c r="A179" s="40"/>
      <c r="B179" s="877">
        <v>5</v>
      </c>
      <c r="C179" s="880"/>
      <c r="D179" s="880"/>
      <c r="E179" s="880"/>
      <c r="F179" s="880"/>
      <c r="G179" s="883"/>
      <c r="H179" s="865"/>
      <c r="I179" s="868"/>
      <c r="J179" s="172"/>
      <c r="K179" s="38">
        <f>+$K$13</f>
        <v>0</v>
      </c>
      <c r="L179" s="172"/>
      <c r="M179" s="38">
        <f>+$M$13</f>
        <v>0</v>
      </c>
      <c r="N179" s="871"/>
      <c r="O179" s="871"/>
      <c r="P179" s="874"/>
      <c r="Q179" s="795"/>
      <c r="R179" s="795"/>
      <c r="S179" s="886">
        <f>IF(COUNTIF(J179:K181,"CUMPLE")&gt;=1,(G179*I179),0)* (IF(N179="PRESENTÓ CERTIFICADO",1,0))* (IF(O179="ACORDE A ITEM 5.2.2 (T.R.)",1,0) )* ( IF(OR(Q179="SIN OBSERVACIÓN", Q179="REQUERIMIENTOS SUBSANADOS"),1,0)) *(IF(OR(R179="NINGUNO", R179="CUMPLEN CON LO SOLICITADO"),1,0))</f>
        <v>0</v>
      </c>
      <c r="T179" s="904"/>
      <c r="U179" s="892">
        <f t="shared" ref="U179" si="49">IF(COUNTIF(J179:K181,"CUMPLE")&gt;=1,1,0)</f>
        <v>0</v>
      </c>
      <c r="W179" s="29"/>
      <c r="X179" s="29"/>
      <c r="Y179" s="29"/>
      <c r="Z179" s="29"/>
      <c r="AA179" s="29"/>
      <c r="AB179" s="29"/>
      <c r="AC179" s="29"/>
      <c r="AD179" s="42"/>
      <c r="AE179" s="42"/>
      <c r="AF179" s="42"/>
      <c r="AG179" s="42"/>
    </row>
    <row r="180" spans="1:35" s="41" customFormat="1" ht="24.95" hidden="1" customHeight="1">
      <c r="A180" s="40"/>
      <c r="B180" s="878"/>
      <c r="C180" s="881"/>
      <c r="D180" s="881"/>
      <c r="E180" s="881"/>
      <c r="F180" s="881"/>
      <c r="G180" s="884"/>
      <c r="H180" s="866"/>
      <c r="I180" s="869"/>
      <c r="J180" s="172"/>
      <c r="K180" s="38">
        <f>+$K$14</f>
        <v>0</v>
      </c>
      <c r="L180" s="893"/>
      <c r="M180" s="895">
        <f>+$M$14</f>
        <v>0</v>
      </c>
      <c r="N180" s="872"/>
      <c r="O180" s="872"/>
      <c r="P180" s="875"/>
      <c r="Q180" s="796"/>
      <c r="R180" s="796"/>
      <c r="S180" s="887"/>
      <c r="T180" s="904"/>
      <c r="U180" s="892"/>
      <c r="W180" s="29"/>
      <c r="X180" s="29"/>
      <c r="Y180" s="29"/>
      <c r="Z180" s="29"/>
      <c r="AA180" s="29"/>
      <c r="AB180" s="29"/>
      <c r="AC180" s="29"/>
    </row>
    <row r="181" spans="1:35" s="41" customFormat="1" ht="24.95" hidden="1" customHeight="1">
      <c r="A181" s="40"/>
      <c r="B181" s="879"/>
      <c r="C181" s="882"/>
      <c r="D181" s="882"/>
      <c r="E181" s="882"/>
      <c r="F181" s="882"/>
      <c r="G181" s="885"/>
      <c r="H181" s="867"/>
      <c r="I181" s="870"/>
      <c r="J181" s="172"/>
      <c r="K181" s="38">
        <f>+$K$15</f>
        <v>0</v>
      </c>
      <c r="L181" s="894"/>
      <c r="M181" s="896"/>
      <c r="N181" s="873"/>
      <c r="O181" s="873"/>
      <c r="P181" s="876"/>
      <c r="Q181" s="797"/>
      <c r="R181" s="797"/>
      <c r="S181" s="888"/>
      <c r="T181" s="905"/>
      <c r="U181" s="892"/>
      <c r="W181" s="29"/>
      <c r="X181" s="29"/>
      <c r="Y181" s="29"/>
      <c r="Z181" s="29"/>
      <c r="AA181" s="29"/>
      <c r="AB181" s="29"/>
      <c r="AC181" s="29"/>
    </row>
    <row r="182" spans="1:35" s="28" customFormat="1" ht="24.95" hidden="1" customHeight="1">
      <c r="B182" s="854" t="str">
        <f>IF(S183=" "," ",IF(S183&gt;=$H$6,"CUMPLE CON LA EXPERIENCIA REQUERIDA","NO CUMPLE CON LA EXPERIENCIA REQUERIDA"))</f>
        <v xml:space="preserve"> </v>
      </c>
      <c r="C182" s="855"/>
      <c r="D182" s="855"/>
      <c r="E182" s="855"/>
      <c r="F182" s="855"/>
      <c r="G182" s="855"/>
      <c r="H182" s="855"/>
      <c r="I182" s="855"/>
      <c r="J182" s="855"/>
      <c r="K182" s="855"/>
      <c r="L182" s="855"/>
      <c r="M182" s="855"/>
      <c r="N182" s="855"/>
      <c r="O182" s="856"/>
      <c r="P182" s="860" t="s">
        <v>45</v>
      </c>
      <c r="Q182" s="861"/>
      <c r="R182" s="862"/>
      <c r="S182" s="44">
        <f>IF(T167="SI",SUM(S167:S181),0)</f>
        <v>0</v>
      </c>
      <c r="T182" s="863" t="str">
        <f>IF(S183=" "," ",IF(S183&gt;=$H$6,"CUMPLE","NO CUMPLE"))</f>
        <v xml:space="preserve"> </v>
      </c>
      <c r="W182" s="29"/>
      <c r="X182" s="29"/>
      <c r="Y182" s="29"/>
      <c r="Z182" s="29"/>
      <c r="AA182" s="29"/>
      <c r="AB182" s="29"/>
      <c r="AC182" s="29"/>
      <c r="AD182" s="41"/>
      <c r="AE182" s="41"/>
      <c r="AF182" s="41"/>
      <c r="AG182" s="41"/>
      <c r="AH182" s="41"/>
    </row>
    <row r="183" spans="1:35" s="41" customFormat="1" ht="24.95" hidden="1" customHeight="1">
      <c r="B183" s="857"/>
      <c r="C183" s="858"/>
      <c r="D183" s="858"/>
      <c r="E183" s="858"/>
      <c r="F183" s="858"/>
      <c r="G183" s="858"/>
      <c r="H183" s="858"/>
      <c r="I183" s="858"/>
      <c r="J183" s="858"/>
      <c r="K183" s="858"/>
      <c r="L183" s="858"/>
      <c r="M183" s="858"/>
      <c r="N183" s="858"/>
      <c r="O183" s="859"/>
      <c r="P183" s="860" t="s">
        <v>46</v>
      </c>
      <c r="Q183" s="861"/>
      <c r="R183" s="862"/>
      <c r="S183" s="44" t="str">
        <f>IFERROR((S182/$P$6)," ")</f>
        <v xml:space="preserve"> </v>
      </c>
      <c r="T183" s="864"/>
      <c r="W183" s="29"/>
      <c r="X183" s="29"/>
      <c r="Y183" s="29"/>
      <c r="Z183" s="29"/>
      <c r="AA183" s="29"/>
      <c r="AB183" s="29"/>
      <c r="AC183" s="29"/>
    </row>
    <row r="184" spans="1:35" ht="30" hidden="1" customHeight="1">
      <c r="AA184" s="29"/>
      <c r="AB184" s="29"/>
      <c r="AC184" s="29"/>
      <c r="AD184" s="41"/>
      <c r="AE184" s="41"/>
      <c r="AF184" s="41"/>
      <c r="AG184" s="41"/>
      <c r="AH184" s="28"/>
    </row>
    <row r="185" spans="1:35" ht="30" hidden="1" customHeight="1">
      <c r="AA185" s="29"/>
      <c r="AB185" s="29"/>
      <c r="AC185" s="29"/>
      <c r="AD185" s="41"/>
      <c r="AE185" s="41"/>
      <c r="AF185" s="41"/>
      <c r="AG185" s="41"/>
      <c r="AH185" s="41"/>
    </row>
    <row r="186" spans="1:35" ht="73.5" hidden="1" customHeight="1">
      <c r="B186" s="26">
        <v>9</v>
      </c>
      <c r="C186" s="916" t="s">
        <v>24</v>
      </c>
      <c r="D186" s="917"/>
      <c r="E186" s="918"/>
      <c r="F186" s="919">
        <f>IFERROR(VLOOKUP(B186,LISTA_OFERENTES,2,FALSE)," ")</f>
        <v>0</v>
      </c>
      <c r="G186" s="920"/>
      <c r="H186" s="920"/>
      <c r="I186" s="920"/>
      <c r="J186" s="920"/>
      <c r="K186" s="920"/>
      <c r="L186" s="920"/>
      <c r="M186" s="920"/>
      <c r="N186" s="920"/>
      <c r="O186" s="921"/>
      <c r="P186" s="922" t="s">
        <v>25</v>
      </c>
      <c r="Q186" s="923"/>
      <c r="R186" s="924"/>
      <c r="S186" s="27">
        <f>5-(INT(COUNTBLANK(C189:C203))-10)</f>
        <v>1</v>
      </c>
      <c r="T186" s="28"/>
      <c r="AA186" s="29"/>
      <c r="AB186" s="29"/>
      <c r="AC186" s="29"/>
      <c r="AD186" s="41"/>
      <c r="AE186" s="41"/>
      <c r="AF186" s="41"/>
      <c r="AG186" s="41"/>
    </row>
    <row r="187" spans="1:35" s="42" customFormat="1" ht="30" hidden="1" customHeight="1">
      <c r="B187" s="914" t="s">
        <v>26</v>
      </c>
      <c r="C187" s="906" t="s">
        <v>27</v>
      </c>
      <c r="D187" s="906" t="s">
        <v>28</v>
      </c>
      <c r="E187" s="906" t="s">
        <v>29</v>
      </c>
      <c r="F187" s="906" t="s">
        <v>30</v>
      </c>
      <c r="G187" s="906" t="s">
        <v>31</v>
      </c>
      <c r="H187" s="906" t="s">
        <v>32</v>
      </c>
      <c r="I187" s="906" t="s">
        <v>33</v>
      </c>
      <c r="J187" s="911" t="s">
        <v>34</v>
      </c>
      <c r="K187" s="912"/>
      <c r="L187" s="912"/>
      <c r="M187" s="913"/>
      <c r="N187" s="906" t="s">
        <v>35</v>
      </c>
      <c r="O187" s="906" t="s">
        <v>36</v>
      </c>
      <c r="P187" s="911" t="s">
        <v>37</v>
      </c>
      <c r="Q187" s="913"/>
      <c r="R187" s="906" t="s">
        <v>38</v>
      </c>
      <c r="S187" s="906" t="s">
        <v>39</v>
      </c>
      <c r="T187" s="906" t="str">
        <f>+$T$11</f>
        <v>Cumple con el requerimiento del numeral 6.2.2.2.1</v>
      </c>
      <c r="U187" s="906" t="str">
        <f>+$U$11</f>
        <v xml:space="preserve">VERIFICACIÓN CONDICIÓN DE EXPERIENCIA  </v>
      </c>
      <c r="V187" s="45"/>
      <c r="W187" s="29"/>
      <c r="X187" s="29"/>
      <c r="Y187" s="29"/>
      <c r="Z187" s="29"/>
      <c r="AA187" s="29"/>
      <c r="AB187" s="29"/>
      <c r="AC187" s="29"/>
      <c r="AD187" s="41"/>
      <c r="AE187" s="41"/>
      <c r="AF187" s="41"/>
      <c r="AG187" s="41"/>
      <c r="AH187" s="13"/>
    </row>
    <row r="188" spans="1:35" s="42" customFormat="1" ht="118.5" hidden="1" customHeight="1">
      <c r="B188" s="915"/>
      <c r="C188" s="907"/>
      <c r="D188" s="907"/>
      <c r="E188" s="907"/>
      <c r="F188" s="907"/>
      <c r="G188" s="907"/>
      <c r="H188" s="907"/>
      <c r="I188" s="907"/>
      <c r="J188" s="908" t="s">
        <v>42</v>
      </c>
      <c r="K188" s="909"/>
      <c r="L188" s="909"/>
      <c r="M188" s="910"/>
      <c r="N188" s="907"/>
      <c r="O188" s="907"/>
      <c r="P188" s="33" t="s">
        <v>10</v>
      </c>
      <c r="Q188" s="33" t="s">
        <v>43</v>
      </c>
      <c r="R188" s="907"/>
      <c r="S188" s="907"/>
      <c r="T188" s="907"/>
      <c r="U188" s="907"/>
      <c r="V188" s="45"/>
      <c r="W188" s="29"/>
      <c r="X188" s="29"/>
      <c r="Y188" s="29"/>
      <c r="Z188" s="29"/>
      <c r="AA188" s="29"/>
      <c r="AB188" s="29"/>
      <c r="AC188" s="29"/>
      <c r="AD188" s="41"/>
      <c r="AE188" s="41"/>
      <c r="AF188" s="41"/>
      <c r="AG188" s="41"/>
      <c r="AH188" s="13"/>
    </row>
    <row r="189" spans="1:35" s="41" customFormat="1" ht="24.95" hidden="1" customHeight="1">
      <c r="A189" s="40"/>
      <c r="B189" s="877">
        <v>1</v>
      </c>
      <c r="C189" s="880">
        <v>41</v>
      </c>
      <c r="D189" s="880">
        <v>115</v>
      </c>
      <c r="E189" s="880" t="s">
        <v>148</v>
      </c>
      <c r="F189" s="880" t="s">
        <v>149</v>
      </c>
      <c r="G189" s="883">
        <v>6155.56</v>
      </c>
      <c r="H189" s="865" t="s">
        <v>142</v>
      </c>
      <c r="I189" s="868">
        <v>0.5</v>
      </c>
      <c r="J189" s="172" t="s">
        <v>139</v>
      </c>
      <c r="K189" s="38">
        <f>+$K$13</f>
        <v>0</v>
      </c>
      <c r="L189" s="172"/>
      <c r="M189" s="38">
        <f>+$M$13</f>
        <v>0</v>
      </c>
      <c r="N189" s="871" t="s">
        <v>143</v>
      </c>
      <c r="O189" s="871" t="s">
        <v>144</v>
      </c>
      <c r="P189" s="874"/>
      <c r="Q189" s="795" t="s">
        <v>145</v>
      </c>
      <c r="R189" s="795" t="s">
        <v>146</v>
      </c>
      <c r="S189" s="886">
        <f>IF(COUNTIF(J189:K191,"CUMPLE")&gt;=1,(G189*I189),0)* (IF(N189="PRESENTÓ CERTIFICADO",1,0))* (IF(O189="ACORDE A ITEM 5.2.2 (T.R.)",1,0) )* ( IF(OR(Q189="SIN OBSERVACIÓN", Q189="REQUERIMIENTOS SUBSANADOS"),1,0)) *(IF(OR(R189="NINGUNO", R189="CUMPLEN CON LO SOLICITADO"),1,0))</f>
        <v>3077.78</v>
      </c>
      <c r="T189" s="903" t="s">
        <v>147</v>
      </c>
      <c r="U189" s="892">
        <f>IF(COUNTIF(J189:K191,"CUMPLE")&gt;=1,1,0)</f>
        <v>1</v>
      </c>
      <c r="W189" s="29"/>
      <c r="X189" s="29"/>
      <c r="Y189" s="29"/>
      <c r="Z189" s="29"/>
      <c r="AD189" s="13"/>
      <c r="AE189" s="13"/>
      <c r="AF189" s="13"/>
      <c r="AG189" s="13"/>
      <c r="AH189" s="13"/>
      <c r="AI189" s="13"/>
    </row>
    <row r="190" spans="1:35" s="41" customFormat="1" ht="24.95" hidden="1" customHeight="1">
      <c r="A190" s="40"/>
      <c r="B190" s="878"/>
      <c r="C190" s="881"/>
      <c r="D190" s="881"/>
      <c r="E190" s="881"/>
      <c r="F190" s="881"/>
      <c r="G190" s="884"/>
      <c r="H190" s="866"/>
      <c r="I190" s="869"/>
      <c r="J190" s="172" t="s">
        <v>139</v>
      </c>
      <c r="K190" s="38">
        <f>+$K$14</f>
        <v>0</v>
      </c>
      <c r="L190" s="893"/>
      <c r="M190" s="895">
        <f>+$M$14</f>
        <v>0</v>
      </c>
      <c r="N190" s="872"/>
      <c r="O190" s="872"/>
      <c r="P190" s="875"/>
      <c r="Q190" s="796"/>
      <c r="R190" s="796"/>
      <c r="S190" s="887"/>
      <c r="T190" s="904"/>
      <c r="U190" s="892"/>
      <c r="W190" s="29"/>
      <c r="X190" s="29"/>
      <c r="Y190" s="29"/>
      <c r="Z190" s="29"/>
      <c r="AD190" s="13"/>
      <c r="AE190" s="13"/>
      <c r="AF190" s="13"/>
      <c r="AG190" s="13"/>
      <c r="AH190" s="13"/>
      <c r="AI190" s="13"/>
    </row>
    <row r="191" spans="1:35" s="41" customFormat="1" ht="24.95" hidden="1" customHeight="1">
      <c r="A191" s="40"/>
      <c r="B191" s="879"/>
      <c r="C191" s="882"/>
      <c r="D191" s="882"/>
      <c r="E191" s="882"/>
      <c r="F191" s="882"/>
      <c r="G191" s="885"/>
      <c r="H191" s="867"/>
      <c r="I191" s="870"/>
      <c r="J191" s="172" t="s">
        <v>139</v>
      </c>
      <c r="K191" s="38">
        <f>+$K$15</f>
        <v>0</v>
      </c>
      <c r="L191" s="894"/>
      <c r="M191" s="896"/>
      <c r="N191" s="873"/>
      <c r="O191" s="873"/>
      <c r="P191" s="876"/>
      <c r="Q191" s="797"/>
      <c r="R191" s="797"/>
      <c r="S191" s="888"/>
      <c r="T191" s="904"/>
      <c r="U191" s="892"/>
      <c r="W191" s="29"/>
      <c r="X191" s="29"/>
      <c r="Y191" s="29"/>
      <c r="Z191" s="29"/>
      <c r="AD191" s="13"/>
      <c r="AE191" s="13"/>
      <c r="AF191" s="13"/>
      <c r="AG191" s="13"/>
      <c r="AH191" s="13"/>
      <c r="AI191" s="13"/>
    </row>
    <row r="192" spans="1:35" s="41" customFormat="1" ht="24.95" hidden="1" customHeight="1">
      <c r="A192" s="40"/>
      <c r="B192" s="877">
        <v>2</v>
      </c>
      <c r="C192" s="889"/>
      <c r="D192" s="889"/>
      <c r="E192" s="889"/>
      <c r="F192" s="889"/>
      <c r="G192" s="897"/>
      <c r="H192" s="865"/>
      <c r="I192" s="900"/>
      <c r="J192" s="172"/>
      <c r="K192" s="38">
        <f>+$K$13</f>
        <v>0</v>
      </c>
      <c r="L192" s="172"/>
      <c r="M192" s="38">
        <f>+$M$13</f>
        <v>0</v>
      </c>
      <c r="N192" s="871"/>
      <c r="O192" s="871"/>
      <c r="P192" s="874"/>
      <c r="Q192" s="795"/>
      <c r="R192" s="795"/>
      <c r="S192" s="886">
        <f>IF(COUNTIF(J192:K194,"CUMPLE")&gt;=1,(G192*I192),0)* (IF(N192="PRESENTÓ CERTIFICADO",1,0))* (IF(O192="ACORDE A ITEM 5.2.2 (T.R.)",1,0) )* ( IF(OR(Q192="SIN OBSERVACIÓN", Q192="REQUERIMIENTOS SUBSANADOS"),1,0)) *(IF(OR(R192="NINGUNO", R192="CUMPLEN CON LO SOLICITADO"),1,0))</f>
        <v>0</v>
      </c>
      <c r="T192" s="904"/>
      <c r="U192" s="892">
        <f>IF(COUNTIF(L192:M194,"CUMPLE")&gt;=1,1,0)</f>
        <v>0</v>
      </c>
      <c r="W192" s="29"/>
      <c r="X192" s="29"/>
      <c r="Y192" s="29"/>
      <c r="Z192" s="29"/>
      <c r="AD192" s="13"/>
      <c r="AE192" s="13"/>
      <c r="AF192" s="13"/>
      <c r="AG192" s="13"/>
      <c r="AH192" s="13"/>
      <c r="AI192" s="13"/>
    </row>
    <row r="193" spans="1:35" s="41" customFormat="1" ht="24.95" hidden="1" customHeight="1">
      <c r="A193" s="40"/>
      <c r="B193" s="878"/>
      <c r="C193" s="890"/>
      <c r="D193" s="890"/>
      <c r="E193" s="890"/>
      <c r="F193" s="890"/>
      <c r="G193" s="898"/>
      <c r="H193" s="866"/>
      <c r="I193" s="901"/>
      <c r="J193" s="172"/>
      <c r="K193" s="38">
        <f>+$K$14</f>
        <v>0</v>
      </c>
      <c r="L193" s="893"/>
      <c r="M193" s="895">
        <f>+$M$14</f>
        <v>0</v>
      </c>
      <c r="N193" s="872"/>
      <c r="O193" s="872"/>
      <c r="P193" s="875"/>
      <c r="Q193" s="796"/>
      <c r="R193" s="796"/>
      <c r="S193" s="887"/>
      <c r="T193" s="904"/>
      <c r="U193" s="892"/>
      <c r="W193" s="29"/>
      <c r="X193" s="29"/>
      <c r="Y193" s="29"/>
      <c r="Z193" s="29"/>
      <c r="AD193" s="13"/>
      <c r="AE193" s="13"/>
      <c r="AF193" s="13"/>
      <c r="AG193" s="13"/>
      <c r="AH193" s="13"/>
      <c r="AI193" s="13"/>
    </row>
    <row r="194" spans="1:35" s="41" customFormat="1" ht="24.95" hidden="1" customHeight="1">
      <c r="A194" s="40"/>
      <c r="B194" s="879"/>
      <c r="C194" s="891"/>
      <c r="D194" s="891"/>
      <c r="E194" s="891"/>
      <c r="F194" s="891"/>
      <c r="G194" s="899"/>
      <c r="H194" s="867"/>
      <c r="I194" s="902"/>
      <c r="J194" s="172"/>
      <c r="K194" s="38">
        <f>+$K$15</f>
        <v>0</v>
      </c>
      <c r="L194" s="894"/>
      <c r="M194" s="896"/>
      <c r="N194" s="873"/>
      <c r="O194" s="873"/>
      <c r="P194" s="876"/>
      <c r="Q194" s="797"/>
      <c r="R194" s="797"/>
      <c r="S194" s="888"/>
      <c r="T194" s="904"/>
      <c r="U194" s="892"/>
      <c r="W194" s="29"/>
      <c r="X194" s="29"/>
      <c r="Y194" s="29"/>
      <c r="Z194" s="29"/>
      <c r="AD194" s="13"/>
      <c r="AE194" s="13"/>
      <c r="AF194" s="13"/>
      <c r="AG194" s="13"/>
      <c r="AH194" s="13"/>
      <c r="AI194" s="13"/>
    </row>
    <row r="195" spans="1:35" s="41" customFormat="1" ht="24.95" hidden="1" customHeight="1">
      <c r="A195" s="40"/>
      <c r="B195" s="877">
        <v>3</v>
      </c>
      <c r="C195" s="880"/>
      <c r="D195" s="880"/>
      <c r="E195" s="880"/>
      <c r="F195" s="880"/>
      <c r="G195" s="883"/>
      <c r="H195" s="865"/>
      <c r="I195" s="868"/>
      <c r="J195" s="172"/>
      <c r="K195" s="38">
        <f>+$K$13</f>
        <v>0</v>
      </c>
      <c r="L195" s="172"/>
      <c r="M195" s="38">
        <f>+$M$13</f>
        <v>0</v>
      </c>
      <c r="N195" s="871"/>
      <c r="O195" s="871"/>
      <c r="P195" s="874"/>
      <c r="Q195" s="795"/>
      <c r="R195" s="795"/>
      <c r="S195" s="886">
        <f>IF(COUNTIF(J195:K197,"CUMPLE")&gt;=1,(G195*I195),0)* (IF(N195="PRESENTÓ CERTIFICADO",1,0))* (IF(O195="ACORDE A ITEM 5.2.2 (T.R.)",1,0) )* ( IF(OR(Q195="SIN OBSERVACIÓN", Q195="REQUERIMIENTOS SUBSANADOS"),1,0)) *(IF(OR(R195="NINGUNO", R195="CUMPLEN CON LO SOLICITADO"),1,0))</f>
        <v>0</v>
      </c>
      <c r="T195" s="904"/>
      <c r="U195" s="892">
        <f>IF(COUNTIF(L195:M197,"CUMPLE")&gt;=1,1,0)</f>
        <v>0</v>
      </c>
      <c r="W195" s="29"/>
      <c r="X195" s="29"/>
      <c r="Y195" s="29"/>
      <c r="Z195" s="29"/>
      <c r="AA195" s="28"/>
      <c r="AB195" s="28"/>
      <c r="AC195" s="28"/>
      <c r="AD195" s="13"/>
      <c r="AE195" s="13"/>
      <c r="AF195" s="13"/>
      <c r="AG195" s="13"/>
      <c r="AH195" s="13"/>
      <c r="AI195" s="13"/>
    </row>
    <row r="196" spans="1:35" s="41" customFormat="1" ht="24.95" hidden="1" customHeight="1">
      <c r="A196" s="40"/>
      <c r="B196" s="878"/>
      <c r="C196" s="881"/>
      <c r="D196" s="881"/>
      <c r="E196" s="881"/>
      <c r="F196" s="881"/>
      <c r="G196" s="884"/>
      <c r="H196" s="866"/>
      <c r="I196" s="869"/>
      <c r="J196" s="172"/>
      <c r="K196" s="38">
        <f>+$K$14</f>
        <v>0</v>
      </c>
      <c r="L196" s="893"/>
      <c r="M196" s="895">
        <f>+$M$14</f>
        <v>0</v>
      </c>
      <c r="N196" s="872"/>
      <c r="O196" s="872"/>
      <c r="P196" s="875"/>
      <c r="Q196" s="796"/>
      <c r="R196" s="796"/>
      <c r="S196" s="887"/>
      <c r="T196" s="904"/>
      <c r="U196" s="892"/>
      <c r="W196" s="29"/>
      <c r="X196" s="29"/>
      <c r="Y196" s="29"/>
      <c r="Z196" s="29"/>
      <c r="AH196" s="13"/>
      <c r="AI196" s="13"/>
    </row>
    <row r="197" spans="1:35" s="41" customFormat="1" ht="24.95" hidden="1" customHeight="1">
      <c r="A197" s="40"/>
      <c r="B197" s="879"/>
      <c r="C197" s="882"/>
      <c r="D197" s="882"/>
      <c r="E197" s="882"/>
      <c r="F197" s="882"/>
      <c r="G197" s="885"/>
      <c r="H197" s="867"/>
      <c r="I197" s="870"/>
      <c r="J197" s="172"/>
      <c r="K197" s="38">
        <f>+$K$15</f>
        <v>0</v>
      </c>
      <c r="L197" s="894"/>
      <c r="M197" s="896"/>
      <c r="N197" s="873"/>
      <c r="O197" s="873"/>
      <c r="P197" s="876"/>
      <c r="Q197" s="797"/>
      <c r="R197" s="797"/>
      <c r="S197" s="888"/>
      <c r="T197" s="904"/>
      <c r="U197" s="892"/>
      <c r="W197" s="29"/>
      <c r="X197" s="29"/>
      <c r="Y197" s="29"/>
      <c r="Z197" s="29"/>
    </row>
    <row r="198" spans="1:35" s="41" customFormat="1" ht="24.95" hidden="1" customHeight="1">
      <c r="A198" s="40"/>
      <c r="B198" s="877">
        <v>4</v>
      </c>
      <c r="C198" s="889"/>
      <c r="D198" s="889"/>
      <c r="E198" s="889"/>
      <c r="F198" s="889"/>
      <c r="G198" s="897"/>
      <c r="H198" s="865"/>
      <c r="I198" s="900"/>
      <c r="J198" s="172"/>
      <c r="K198" s="38">
        <f>+$K$13</f>
        <v>0</v>
      </c>
      <c r="L198" s="172"/>
      <c r="M198" s="38">
        <f>+$M$13</f>
        <v>0</v>
      </c>
      <c r="N198" s="871"/>
      <c r="O198" s="871"/>
      <c r="P198" s="874"/>
      <c r="Q198" s="795"/>
      <c r="R198" s="795"/>
      <c r="S198" s="886">
        <f>IF(COUNTIF(J198:K200,"CUMPLE")&gt;=1,(G198*I198),0)* (IF(N198="PRESENTÓ CERTIFICADO",1,0))* (IF(O198="ACORDE A ITEM 5.2.2 (T.R.)",1,0) )* ( IF(OR(Q198="SIN OBSERVACIÓN", Q198="REQUERIMIENTOS SUBSANADOS"),1,0)) *(IF(OR(R198="NINGUNO", R198="CUMPLEN CON LO SOLICITADO"),1,0))</f>
        <v>0</v>
      </c>
      <c r="T198" s="904"/>
      <c r="U198" s="892">
        <f>IF(COUNTIF(L198:M200,"CUMPLE")&gt;=1,1,0)</f>
        <v>0</v>
      </c>
      <c r="W198" s="29"/>
      <c r="X198" s="29"/>
      <c r="Y198" s="29"/>
      <c r="Z198" s="29"/>
      <c r="AA198" s="13"/>
      <c r="AB198" s="13"/>
      <c r="AC198" s="13"/>
      <c r="AD198" s="13"/>
      <c r="AE198" s="13"/>
      <c r="AF198" s="13"/>
      <c r="AG198" s="13"/>
    </row>
    <row r="199" spans="1:35" s="41" customFormat="1" ht="24.95" hidden="1" customHeight="1">
      <c r="A199" s="40"/>
      <c r="B199" s="878"/>
      <c r="C199" s="890"/>
      <c r="D199" s="890"/>
      <c r="E199" s="890"/>
      <c r="F199" s="890"/>
      <c r="G199" s="898"/>
      <c r="H199" s="866"/>
      <c r="I199" s="901"/>
      <c r="J199" s="172"/>
      <c r="K199" s="38">
        <f>+$K$14</f>
        <v>0</v>
      </c>
      <c r="L199" s="893"/>
      <c r="M199" s="895">
        <f>+$M$14</f>
        <v>0</v>
      </c>
      <c r="N199" s="872"/>
      <c r="O199" s="872"/>
      <c r="P199" s="875"/>
      <c r="Q199" s="796"/>
      <c r="R199" s="796"/>
      <c r="S199" s="887"/>
      <c r="T199" s="904"/>
      <c r="U199" s="892"/>
      <c r="W199" s="29"/>
      <c r="X199" s="29"/>
      <c r="Y199" s="29"/>
      <c r="Z199" s="29"/>
      <c r="AA199" s="13"/>
      <c r="AB199" s="13"/>
      <c r="AC199" s="13"/>
      <c r="AD199" s="13"/>
      <c r="AE199" s="13"/>
      <c r="AF199" s="13"/>
      <c r="AG199" s="13"/>
    </row>
    <row r="200" spans="1:35" s="41" customFormat="1" ht="24.95" hidden="1" customHeight="1">
      <c r="A200" s="40"/>
      <c r="B200" s="879"/>
      <c r="C200" s="891"/>
      <c r="D200" s="891"/>
      <c r="E200" s="891"/>
      <c r="F200" s="891"/>
      <c r="G200" s="899"/>
      <c r="H200" s="867"/>
      <c r="I200" s="902"/>
      <c r="J200" s="172"/>
      <c r="K200" s="38">
        <f>+$K$15</f>
        <v>0</v>
      </c>
      <c r="L200" s="894"/>
      <c r="M200" s="896"/>
      <c r="N200" s="873"/>
      <c r="O200" s="873"/>
      <c r="P200" s="876"/>
      <c r="Q200" s="797"/>
      <c r="R200" s="797"/>
      <c r="S200" s="888"/>
      <c r="T200" s="904"/>
      <c r="U200" s="892"/>
      <c r="W200" s="29"/>
      <c r="X200" s="29"/>
      <c r="Y200" s="29"/>
      <c r="Z200" s="29"/>
      <c r="AA200" s="29"/>
      <c r="AB200" s="29"/>
      <c r="AC200" s="29"/>
      <c r="AD200" s="42"/>
      <c r="AE200" s="42"/>
      <c r="AF200" s="42"/>
      <c r="AG200" s="42"/>
    </row>
    <row r="201" spans="1:35" s="41" customFormat="1" ht="24.95" hidden="1" customHeight="1">
      <c r="A201" s="40"/>
      <c r="B201" s="877">
        <v>5</v>
      </c>
      <c r="C201" s="880"/>
      <c r="D201" s="880"/>
      <c r="E201" s="880"/>
      <c r="F201" s="880"/>
      <c r="G201" s="883"/>
      <c r="H201" s="865"/>
      <c r="I201" s="868"/>
      <c r="J201" s="172"/>
      <c r="K201" s="38">
        <f>+$K$13</f>
        <v>0</v>
      </c>
      <c r="L201" s="172"/>
      <c r="M201" s="38">
        <f>+$M$13</f>
        <v>0</v>
      </c>
      <c r="N201" s="871"/>
      <c r="O201" s="871"/>
      <c r="P201" s="874"/>
      <c r="Q201" s="795"/>
      <c r="R201" s="795"/>
      <c r="S201" s="886">
        <f>IF(COUNTIF(J201:K203,"CUMPLE")&gt;=1,(G201*I201),0)* (IF(N201="PRESENTÓ CERTIFICADO",1,0))* (IF(O201="ACORDE A ITEM 5.2.2 (T.R.)",1,0) )* ( IF(OR(Q201="SIN OBSERVACIÓN", Q201="REQUERIMIENTOS SUBSANADOS"),1,0)) *(IF(OR(R201="NINGUNO", R201="CUMPLEN CON LO SOLICITADO"),1,0))</f>
        <v>0</v>
      </c>
      <c r="T201" s="904"/>
      <c r="U201" s="892">
        <f>IF(COUNTIF(L201:M203,"CUMPLE")&gt;=1,1,0)</f>
        <v>0</v>
      </c>
      <c r="W201" s="29"/>
      <c r="X201" s="29"/>
      <c r="Y201" s="29"/>
      <c r="Z201" s="29"/>
      <c r="AA201" s="29"/>
      <c r="AB201" s="29"/>
      <c r="AC201" s="29"/>
      <c r="AD201" s="42"/>
      <c r="AE201" s="42"/>
      <c r="AF201" s="42"/>
      <c r="AG201" s="42"/>
    </row>
    <row r="202" spans="1:35" s="41" customFormat="1" ht="24.95" hidden="1" customHeight="1">
      <c r="A202" s="40"/>
      <c r="B202" s="878"/>
      <c r="C202" s="881"/>
      <c r="D202" s="881"/>
      <c r="E202" s="881"/>
      <c r="F202" s="881"/>
      <c r="G202" s="884"/>
      <c r="H202" s="866"/>
      <c r="I202" s="869"/>
      <c r="J202" s="172"/>
      <c r="K202" s="38">
        <f>+$K$14</f>
        <v>0</v>
      </c>
      <c r="L202" s="893"/>
      <c r="M202" s="895">
        <f>+$M$14</f>
        <v>0</v>
      </c>
      <c r="N202" s="872"/>
      <c r="O202" s="872"/>
      <c r="P202" s="875"/>
      <c r="Q202" s="796"/>
      <c r="R202" s="796"/>
      <c r="S202" s="887"/>
      <c r="T202" s="904"/>
      <c r="U202" s="892"/>
      <c r="W202" s="29"/>
      <c r="X202" s="29"/>
      <c r="Y202" s="29"/>
      <c r="Z202" s="29"/>
      <c r="AA202" s="29"/>
      <c r="AB202" s="29"/>
      <c r="AC202" s="29"/>
    </row>
    <row r="203" spans="1:35" s="41" customFormat="1" ht="24.95" hidden="1" customHeight="1">
      <c r="A203" s="40"/>
      <c r="B203" s="879"/>
      <c r="C203" s="882"/>
      <c r="D203" s="882"/>
      <c r="E203" s="882"/>
      <c r="F203" s="882"/>
      <c r="G203" s="885"/>
      <c r="H203" s="867"/>
      <c r="I203" s="870"/>
      <c r="J203" s="172"/>
      <c r="K203" s="38">
        <f>+$K$15</f>
        <v>0</v>
      </c>
      <c r="L203" s="894"/>
      <c r="M203" s="896"/>
      <c r="N203" s="873"/>
      <c r="O203" s="873"/>
      <c r="P203" s="876"/>
      <c r="Q203" s="797"/>
      <c r="R203" s="797"/>
      <c r="S203" s="888"/>
      <c r="T203" s="905"/>
      <c r="U203" s="892"/>
      <c r="W203" s="29"/>
      <c r="X203" s="29"/>
      <c r="Y203" s="29"/>
      <c r="Z203" s="29"/>
      <c r="AA203" s="29"/>
      <c r="AB203" s="29"/>
      <c r="AC203" s="29"/>
    </row>
    <row r="204" spans="1:35" s="28" customFormat="1" ht="24.95" hidden="1" customHeight="1">
      <c r="B204" s="854" t="str">
        <f>IF(S205=" "," ",IF(S205&gt;=$H$6,"CUMPLE CON LA EXPERIENCIA REQUERIDA","NO CUMPLE CON LA EXPERIENCIA REQUERIDA"))</f>
        <v xml:space="preserve"> </v>
      </c>
      <c r="C204" s="855"/>
      <c r="D204" s="855"/>
      <c r="E204" s="855"/>
      <c r="F204" s="855"/>
      <c r="G204" s="855"/>
      <c r="H204" s="855"/>
      <c r="I204" s="855"/>
      <c r="J204" s="855"/>
      <c r="K204" s="855"/>
      <c r="L204" s="855"/>
      <c r="M204" s="855"/>
      <c r="N204" s="855"/>
      <c r="O204" s="856"/>
      <c r="P204" s="860" t="s">
        <v>45</v>
      </c>
      <c r="Q204" s="861"/>
      <c r="R204" s="862"/>
      <c r="S204" s="44">
        <f>IF(T189="SI",SUM(S189:S203),0)</f>
        <v>3077.78</v>
      </c>
      <c r="T204" s="863" t="str">
        <f>IF(S205=" "," ",IF(S205&gt;=$H$6,"CUMPLE","NO CUMPLE"))</f>
        <v xml:space="preserve"> </v>
      </c>
      <c r="W204" s="29"/>
      <c r="X204" s="29"/>
      <c r="Y204" s="29"/>
      <c r="Z204" s="29"/>
      <c r="AA204" s="29"/>
      <c r="AB204" s="29"/>
      <c r="AC204" s="29"/>
      <c r="AD204" s="41"/>
      <c r="AE204" s="41"/>
      <c r="AF204" s="41"/>
      <c r="AG204" s="41"/>
      <c r="AH204" s="41"/>
    </row>
    <row r="205" spans="1:35" s="41" customFormat="1" ht="24.95" hidden="1" customHeight="1">
      <c r="B205" s="857"/>
      <c r="C205" s="858"/>
      <c r="D205" s="858"/>
      <c r="E205" s="858"/>
      <c r="F205" s="858"/>
      <c r="G205" s="858"/>
      <c r="H205" s="858"/>
      <c r="I205" s="858"/>
      <c r="J205" s="858"/>
      <c r="K205" s="858"/>
      <c r="L205" s="858"/>
      <c r="M205" s="858"/>
      <c r="N205" s="858"/>
      <c r="O205" s="859"/>
      <c r="P205" s="860" t="s">
        <v>46</v>
      </c>
      <c r="Q205" s="861"/>
      <c r="R205" s="862"/>
      <c r="S205" s="44" t="str">
        <f>IFERROR((S204/$P$6)," ")</f>
        <v xml:space="preserve"> </v>
      </c>
      <c r="T205" s="864"/>
      <c r="W205" s="29"/>
      <c r="X205" s="29"/>
      <c r="Y205" s="29"/>
      <c r="Z205" s="29"/>
      <c r="AA205" s="29"/>
      <c r="AB205" s="29"/>
      <c r="AC205" s="29"/>
    </row>
    <row r="206" spans="1:35" ht="30" hidden="1" customHeight="1">
      <c r="AA206" s="29"/>
      <c r="AB206" s="29"/>
      <c r="AC206" s="29"/>
      <c r="AD206" s="41"/>
      <c r="AE206" s="41"/>
      <c r="AF206" s="41"/>
      <c r="AG206" s="41"/>
      <c r="AH206" s="28"/>
    </row>
    <row r="207" spans="1:35" ht="30" hidden="1" customHeight="1">
      <c r="AA207" s="29"/>
      <c r="AB207" s="29"/>
      <c r="AC207" s="29"/>
      <c r="AD207" s="41"/>
      <c r="AE207" s="41"/>
      <c r="AF207" s="41"/>
      <c r="AG207" s="41"/>
      <c r="AH207" s="41"/>
    </row>
    <row r="208" spans="1:35" ht="33.75" hidden="1">
      <c r="B208" s="26">
        <v>10</v>
      </c>
      <c r="C208" s="916" t="s">
        <v>24</v>
      </c>
      <c r="D208" s="917"/>
      <c r="E208" s="918"/>
      <c r="F208" s="919">
        <f>IFERROR(VLOOKUP(B208,LISTA_OFERENTES,2,FALSE)," ")</f>
        <v>0</v>
      </c>
      <c r="G208" s="920"/>
      <c r="H208" s="920"/>
      <c r="I208" s="920"/>
      <c r="J208" s="920"/>
      <c r="K208" s="920"/>
      <c r="L208" s="920"/>
      <c r="M208" s="920"/>
      <c r="N208" s="920"/>
      <c r="O208" s="921"/>
      <c r="P208" s="922" t="s">
        <v>25</v>
      </c>
      <c r="Q208" s="923"/>
      <c r="R208" s="924"/>
      <c r="S208" s="27">
        <f>5-(INT(COUNTBLANK(C211:C225))-10)</f>
        <v>0</v>
      </c>
      <c r="T208" s="28"/>
    </row>
    <row r="209" spans="2:21" ht="54" hidden="1" customHeight="1">
      <c r="B209" s="914" t="s">
        <v>26</v>
      </c>
      <c r="C209" s="906" t="s">
        <v>27</v>
      </c>
      <c r="D209" s="906" t="s">
        <v>28</v>
      </c>
      <c r="E209" s="906" t="s">
        <v>29</v>
      </c>
      <c r="F209" s="906" t="s">
        <v>30</v>
      </c>
      <c r="G209" s="906" t="s">
        <v>31</v>
      </c>
      <c r="H209" s="906" t="s">
        <v>32</v>
      </c>
      <c r="I209" s="906" t="s">
        <v>33</v>
      </c>
      <c r="J209" s="911" t="s">
        <v>34</v>
      </c>
      <c r="K209" s="912"/>
      <c r="L209" s="912"/>
      <c r="M209" s="913"/>
      <c r="N209" s="906" t="s">
        <v>35</v>
      </c>
      <c r="O209" s="906" t="s">
        <v>36</v>
      </c>
      <c r="P209" s="911" t="s">
        <v>37</v>
      </c>
      <c r="Q209" s="913"/>
      <c r="R209" s="906" t="s">
        <v>38</v>
      </c>
      <c r="S209" s="906" t="s">
        <v>39</v>
      </c>
      <c r="T209" s="906" t="str">
        <f>+$T$11</f>
        <v>Cumple con el requerimiento del numeral 6.2.2.2.1</v>
      </c>
      <c r="U209" s="906" t="str">
        <f>+$U$11</f>
        <v xml:space="preserve">VERIFICACIÓN CONDICIÓN DE EXPERIENCIA  </v>
      </c>
    </row>
    <row r="210" spans="2:21" ht="51" hidden="1" customHeight="1">
      <c r="B210" s="915"/>
      <c r="C210" s="907"/>
      <c r="D210" s="907"/>
      <c r="E210" s="907"/>
      <c r="F210" s="907"/>
      <c r="G210" s="907"/>
      <c r="H210" s="907"/>
      <c r="I210" s="907"/>
      <c r="J210" s="908" t="s">
        <v>42</v>
      </c>
      <c r="K210" s="909"/>
      <c r="L210" s="909"/>
      <c r="M210" s="910"/>
      <c r="N210" s="907"/>
      <c r="O210" s="907"/>
      <c r="P210" s="33" t="s">
        <v>10</v>
      </c>
      <c r="Q210" s="33" t="s">
        <v>43</v>
      </c>
      <c r="R210" s="907"/>
      <c r="S210" s="907"/>
      <c r="T210" s="907"/>
      <c r="U210" s="907"/>
    </row>
    <row r="211" spans="2:21" ht="25.5" hidden="1" customHeight="1">
      <c r="B211" s="877">
        <v>1</v>
      </c>
      <c r="C211" s="880"/>
      <c r="D211" s="880"/>
      <c r="E211" s="880"/>
      <c r="F211" s="880"/>
      <c r="G211" s="883"/>
      <c r="H211" s="865"/>
      <c r="I211" s="868"/>
      <c r="J211" s="172"/>
      <c r="K211" s="38">
        <f>+$K$13</f>
        <v>0</v>
      </c>
      <c r="L211" s="172"/>
      <c r="M211" s="38">
        <f>+$M$13</f>
        <v>0</v>
      </c>
      <c r="N211" s="871"/>
      <c r="O211" s="871"/>
      <c r="P211" s="874"/>
      <c r="Q211" s="795"/>
      <c r="R211" s="795"/>
      <c r="S211" s="886">
        <f>IF(COUNTIF(J211:K213,"CUMPLE")&gt;=1,(G211*I211),0)* (IF(N211="PRESENTÓ CERTIFICADO",1,0))* (IF(O211="ACORDE A ITEM 5.2.2 (T.R.)",1,0) )* ( IF(OR(Q211="SIN OBSERVACIÓN", Q211="REQUERIMIENTOS SUBSANADOS"),1,0)) *(IF(OR(R211="NINGUNO", R211="CUMPLEN CON LO SOLICITADO"),1,0))</f>
        <v>0</v>
      </c>
      <c r="T211" s="903"/>
      <c r="U211" s="892">
        <f>IF(COUNTIF(J211:K213,"CUMPLE")&gt;=1,1,0)</f>
        <v>0</v>
      </c>
    </row>
    <row r="212" spans="2:21" ht="25.5" hidden="1" customHeight="1">
      <c r="B212" s="878"/>
      <c r="C212" s="881"/>
      <c r="D212" s="881"/>
      <c r="E212" s="881"/>
      <c r="F212" s="881"/>
      <c r="G212" s="884"/>
      <c r="H212" s="866"/>
      <c r="I212" s="869"/>
      <c r="J212" s="172"/>
      <c r="K212" s="38">
        <f>+$K$14</f>
        <v>0</v>
      </c>
      <c r="L212" s="893"/>
      <c r="M212" s="895">
        <f>+$M$14</f>
        <v>0</v>
      </c>
      <c r="N212" s="872"/>
      <c r="O212" s="872"/>
      <c r="P212" s="875"/>
      <c r="Q212" s="796"/>
      <c r="R212" s="796"/>
      <c r="S212" s="887"/>
      <c r="T212" s="904"/>
      <c r="U212" s="892"/>
    </row>
    <row r="213" spans="2:21" ht="25.5" hidden="1" customHeight="1">
      <c r="B213" s="879"/>
      <c r="C213" s="882"/>
      <c r="D213" s="882"/>
      <c r="E213" s="882"/>
      <c r="F213" s="882"/>
      <c r="G213" s="885"/>
      <c r="H213" s="867"/>
      <c r="I213" s="870"/>
      <c r="J213" s="172"/>
      <c r="K213" s="38">
        <f>+$K$15</f>
        <v>0</v>
      </c>
      <c r="L213" s="894"/>
      <c r="M213" s="896"/>
      <c r="N213" s="873"/>
      <c r="O213" s="873"/>
      <c r="P213" s="876"/>
      <c r="Q213" s="797"/>
      <c r="R213" s="797"/>
      <c r="S213" s="888"/>
      <c r="T213" s="904"/>
      <c r="U213" s="892"/>
    </row>
    <row r="214" spans="2:21" ht="25.5" hidden="1" customHeight="1">
      <c r="B214" s="877">
        <v>2</v>
      </c>
      <c r="C214" s="889"/>
      <c r="D214" s="889"/>
      <c r="E214" s="889"/>
      <c r="F214" s="889"/>
      <c r="G214" s="897"/>
      <c r="H214" s="865"/>
      <c r="I214" s="900"/>
      <c r="J214" s="172"/>
      <c r="K214" s="38">
        <f>+$K$13</f>
        <v>0</v>
      </c>
      <c r="L214" s="172"/>
      <c r="M214" s="38">
        <f>+$M$13</f>
        <v>0</v>
      </c>
      <c r="N214" s="871"/>
      <c r="O214" s="871"/>
      <c r="P214" s="874"/>
      <c r="Q214" s="795"/>
      <c r="R214" s="795"/>
      <c r="S214" s="886">
        <f>IF(COUNTIF(J214:K216,"CUMPLE")&gt;=1,(G214*I214),0)* (IF(N214="PRESENTÓ CERTIFICADO",1,0))* (IF(O214="ACORDE A ITEM 5.2.2 (T.R.)",1,0) )* ( IF(OR(Q214="SIN OBSERVACIÓN", Q214="REQUERIMIENTOS SUBSANADOS"),1,0)) *(IF(OR(R214="NINGUNO", R214="CUMPLEN CON LO SOLICITADO"),1,0))</f>
        <v>0</v>
      </c>
      <c r="T214" s="904"/>
      <c r="U214" s="892">
        <f>IF(COUNTIF(L214:M216,"CUMPLE")&gt;=1,1,0)</f>
        <v>0</v>
      </c>
    </row>
    <row r="215" spans="2:21" ht="25.5" hidden="1" customHeight="1">
      <c r="B215" s="878"/>
      <c r="C215" s="890"/>
      <c r="D215" s="890"/>
      <c r="E215" s="890"/>
      <c r="F215" s="890"/>
      <c r="G215" s="898"/>
      <c r="H215" s="866"/>
      <c r="I215" s="901"/>
      <c r="J215" s="172"/>
      <c r="K215" s="38">
        <f>+$K$14</f>
        <v>0</v>
      </c>
      <c r="L215" s="893"/>
      <c r="M215" s="895">
        <f>+$M$14</f>
        <v>0</v>
      </c>
      <c r="N215" s="872"/>
      <c r="O215" s="872"/>
      <c r="P215" s="875"/>
      <c r="Q215" s="796"/>
      <c r="R215" s="796"/>
      <c r="S215" s="887"/>
      <c r="T215" s="904"/>
      <c r="U215" s="892"/>
    </row>
    <row r="216" spans="2:21" ht="25.5" hidden="1" customHeight="1">
      <c r="B216" s="879"/>
      <c r="C216" s="891"/>
      <c r="D216" s="891"/>
      <c r="E216" s="891"/>
      <c r="F216" s="891"/>
      <c r="G216" s="899"/>
      <c r="H216" s="867"/>
      <c r="I216" s="902"/>
      <c r="J216" s="172"/>
      <c r="K216" s="38">
        <f>+$K$15</f>
        <v>0</v>
      </c>
      <c r="L216" s="894"/>
      <c r="M216" s="896"/>
      <c r="N216" s="873"/>
      <c r="O216" s="873"/>
      <c r="P216" s="876"/>
      <c r="Q216" s="797"/>
      <c r="R216" s="797"/>
      <c r="S216" s="888"/>
      <c r="T216" s="904"/>
      <c r="U216" s="892"/>
    </row>
    <row r="217" spans="2:21" ht="25.5" hidden="1" customHeight="1">
      <c r="B217" s="877">
        <v>3</v>
      </c>
      <c r="C217" s="880"/>
      <c r="D217" s="880"/>
      <c r="E217" s="880"/>
      <c r="F217" s="880"/>
      <c r="G217" s="883"/>
      <c r="H217" s="865"/>
      <c r="I217" s="868"/>
      <c r="J217" s="172"/>
      <c r="K217" s="38">
        <f>+$K$13</f>
        <v>0</v>
      </c>
      <c r="L217" s="172"/>
      <c r="M217" s="38">
        <f>+$M$13</f>
        <v>0</v>
      </c>
      <c r="N217" s="871"/>
      <c r="O217" s="871"/>
      <c r="P217" s="874"/>
      <c r="Q217" s="795"/>
      <c r="R217" s="795"/>
      <c r="S217" s="886">
        <f>IF(COUNTIF(J217:K219,"CUMPLE")&gt;=1,(G217*I217),0)* (IF(N217="PRESENTÓ CERTIFICADO",1,0))* (IF(O217="ACORDE A ITEM 5.2.2 (T.R.)",1,0) )* ( IF(OR(Q217="SIN OBSERVACIÓN", Q217="REQUERIMIENTOS SUBSANADOS"),1,0)) *(IF(OR(R217="NINGUNO", R217="CUMPLEN CON LO SOLICITADO"),1,0))</f>
        <v>0</v>
      </c>
      <c r="T217" s="904"/>
      <c r="U217" s="892">
        <f>IF(COUNTIF(L217:M219,"CUMPLE")&gt;=1,1,0)</f>
        <v>0</v>
      </c>
    </row>
    <row r="218" spans="2:21" ht="25.5" hidden="1" customHeight="1">
      <c r="B218" s="878"/>
      <c r="C218" s="881"/>
      <c r="D218" s="881"/>
      <c r="E218" s="881"/>
      <c r="F218" s="881"/>
      <c r="G218" s="884"/>
      <c r="H218" s="866"/>
      <c r="I218" s="869"/>
      <c r="J218" s="172"/>
      <c r="K218" s="38">
        <f>+$K$14</f>
        <v>0</v>
      </c>
      <c r="L218" s="893"/>
      <c r="M218" s="895">
        <f>+$M$14</f>
        <v>0</v>
      </c>
      <c r="N218" s="872"/>
      <c r="O218" s="872"/>
      <c r="P218" s="875"/>
      <c r="Q218" s="796"/>
      <c r="R218" s="796"/>
      <c r="S218" s="887"/>
      <c r="T218" s="904"/>
      <c r="U218" s="892"/>
    </row>
    <row r="219" spans="2:21" ht="25.5" hidden="1" customHeight="1">
      <c r="B219" s="879"/>
      <c r="C219" s="882"/>
      <c r="D219" s="882"/>
      <c r="E219" s="882"/>
      <c r="F219" s="882"/>
      <c r="G219" s="885"/>
      <c r="H219" s="867"/>
      <c r="I219" s="870"/>
      <c r="J219" s="172"/>
      <c r="K219" s="38">
        <f>+$K$15</f>
        <v>0</v>
      </c>
      <c r="L219" s="894"/>
      <c r="M219" s="896"/>
      <c r="N219" s="873"/>
      <c r="O219" s="873"/>
      <c r="P219" s="876"/>
      <c r="Q219" s="797"/>
      <c r="R219" s="797"/>
      <c r="S219" s="888"/>
      <c r="T219" s="904"/>
      <c r="U219" s="892"/>
    </row>
    <row r="220" spans="2:21" ht="25.5" hidden="1" customHeight="1">
      <c r="B220" s="877">
        <v>4</v>
      </c>
      <c r="C220" s="889"/>
      <c r="D220" s="889"/>
      <c r="E220" s="889"/>
      <c r="F220" s="889"/>
      <c r="G220" s="897"/>
      <c r="H220" s="865"/>
      <c r="I220" s="900"/>
      <c r="J220" s="172"/>
      <c r="K220" s="38">
        <f>+$K$13</f>
        <v>0</v>
      </c>
      <c r="L220" s="172"/>
      <c r="M220" s="38">
        <f>+$M$13</f>
        <v>0</v>
      </c>
      <c r="N220" s="871"/>
      <c r="O220" s="871"/>
      <c r="P220" s="874"/>
      <c r="Q220" s="795"/>
      <c r="R220" s="795"/>
      <c r="S220" s="886">
        <f>IF(COUNTIF(J220:K222,"CUMPLE")&gt;=1,(G220*I220),0)* (IF(N220="PRESENTÓ CERTIFICADO",1,0))* (IF(O220="ACORDE A ITEM 5.2.2 (T.R.)",1,0) )* ( IF(OR(Q220="SIN OBSERVACIÓN", Q220="REQUERIMIENTOS SUBSANADOS"),1,0)) *(IF(OR(R220="NINGUNO", R220="CUMPLEN CON LO SOLICITADO"),1,0))</f>
        <v>0</v>
      </c>
      <c r="T220" s="904"/>
      <c r="U220" s="892">
        <f>IF(COUNTIF(L220:M222,"CUMPLE")&gt;=1,1,0)</f>
        <v>0</v>
      </c>
    </row>
    <row r="221" spans="2:21" ht="25.5" hidden="1" customHeight="1">
      <c r="B221" s="878"/>
      <c r="C221" s="890"/>
      <c r="D221" s="890"/>
      <c r="E221" s="890"/>
      <c r="F221" s="890"/>
      <c r="G221" s="898"/>
      <c r="H221" s="866"/>
      <c r="I221" s="901"/>
      <c r="J221" s="172"/>
      <c r="K221" s="38">
        <f>+$K$14</f>
        <v>0</v>
      </c>
      <c r="L221" s="893"/>
      <c r="M221" s="895">
        <f>+$M$14</f>
        <v>0</v>
      </c>
      <c r="N221" s="872"/>
      <c r="O221" s="872"/>
      <c r="P221" s="875"/>
      <c r="Q221" s="796"/>
      <c r="R221" s="796"/>
      <c r="S221" s="887"/>
      <c r="T221" s="904"/>
      <c r="U221" s="892"/>
    </row>
    <row r="222" spans="2:21" ht="25.5" hidden="1" customHeight="1">
      <c r="B222" s="879"/>
      <c r="C222" s="891"/>
      <c r="D222" s="891"/>
      <c r="E222" s="891"/>
      <c r="F222" s="891"/>
      <c r="G222" s="899"/>
      <c r="H222" s="867"/>
      <c r="I222" s="902"/>
      <c r="J222" s="172"/>
      <c r="K222" s="38">
        <f>+$K$15</f>
        <v>0</v>
      </c>
      <c r="L222" s="894"/>
      <c r="M222" s="896"/>
      <c r="N222" s="873"/>
      <c r="O222" s="873"/>
      <c r="P222" s="876"/>
      <c r="Q222" s="797"/>
      <c r="R222" s="797"/>
      <c r="S222" s="888"/>
      <c r="T222" s="904"/>
      <c r="U222" s="892"/>
    </row>
    <row r="223" spans="2:21" ht="25.5" hidden="1" customHeight="1">
      <c r="B223" s="877">
        <v>5</v>
      </c>
      <c r="C223" s="880"/>
      <c r="D223" s="880"/>
      <c r="E223" s="880"/>
      <c r="F223" s="880"/>
      <c r="G223" s="883"/>
      <c r="H223" s="865"/>
      <c r="I223" s="868"/>
      <c r="J223" s="172"/>
      <c r="K223" s="38">
        <f>+$K$13</f>
        <v>0</v>
      </c>
      <c r="L223" s="172"/>
      <c r="M223" s="38">
        <f>+$M$13</f>
        <v>0</v>
      </c>
      <c r="N223" s="871"/>
      <c r="O223" s="871"/>
      <c r="P223" s="874"/>
      <c r="Q223" s="795"/>
      <c r="R223" s="795"/>
      <c r="S223" s="886">
        <f>IF(COUNTIF(J223:K225,"CUMPLE")&gt;=1,(G223*I223),0)* (IF(N223="PRESENTÓ CERTIFICADO",1,0))* (IF(O223="ACORDE A ITEM 5.2.2 (T.R.)",1,0) )* ( IF(OR(Q223="SIN OBSERVACIÓN", Q223="REQUERIMIENTOS SUBSANADOS"),1,0)) *(IF(OR(R223="NINGUNO", R223="CUMPLEN CON LO SOLICITADO"),1,0))</f>
        <v>0</v>
      </c>
      <c r="T223" s="904"/>
      <c r="U223" s="892">
        <f>IF(COUNTIF(L223:M225,"CUMPLE")&gt;=1,1,0)</f>
        <v>0</v>
      </c>
    </row>
    <row r="224" spans="2:21" ht="25.5" hidden="1" customHeight="1">
      <c r="B224" s="878"/>
      <c r="C224" s="881"/>
      <c r="D224" s="881"/>
      <c r="E224" s="881"/>
      <c r="F224" s="881"/>
      <c r="G224" s="884"/>
      <c r="H224" s="866"/>
      <c r="I224" s="869"/>
      <c r="J224" s="172"/>
      <c r="K224" s="38">
        <f>+$K$14</f>
        <v>0</v>
      </c>
      <c r="L224" s="893"/>
      <c r="M224" s="895">
        <f>+$M$14</f>
        <v>0</v>
      </c>
      <c r="N224" s="872"/>
      <c r="O224" s="872"/>
      <c r="P224" s="875"/>
      <c r="Q224" s="796"/>
      <c r="R224" s="796"/>
      <c r="S224" s="887"/>
      <c r="T224" s="904"/>
      <c r="U224" s="892"/>
    </row>
    <row r="225" spans="2:21" ht="25.5" hidden="1" customHeight="1">
      <c r="B225" s="879"/>
      <c r="C225" s="882"/>
      <c r="D225" s="882"/>
      <c r="E225" s="882"/>
      <c r="F225" s="882"/>
      <c r="G225" s="885"/>
      <c r="H225" s="867"/>
      <c r="I225" s="870"/>
      <c r="J225" s="172"/>
      <c r="K225" s="38">
        <f>+$K$15</f>
        <v>0</v>
      </c>
      <c r="L225" s="894"/>
      <c r="M225" s="896"/>
      <c r="N225" s="873"/>
      <c r="O225" s="873"/>
      <c r="P225" s="876"/>
      <c r="Q225" s="797"/>
      <c r="R225" s="797"/>
      <c r="S225" s="888"/>
      <c r="T225" s="905"/>
      <c r="U225" s="892"/>
    </row>
    <row r="226" spans="2:21" ht="18" hidden="1" customHeight="1">
      <c r="B226" s="854" t="str">
        <f>IF(S227=" "," ",IF(S227&gt;=$H$6,"CUMPLE CON LA EXPERIENCIA REQUERIDA","NO CUMPLE CON LA EXPERIENCIA REQUERIDA"))</f>
        <v xml:space="preserve"> </v>
      </c>
      <c r="C226" s="855"/>
      <c r="D226" s="855"/>
      <c r="E226" s="855"/>
      <c r="F226" s="855"/>
      <c r="G226" s="855"/>
      <c r="H226" s="855"/>
      <c r="I226" s="855"/>
      <c r="J226" s="855"/>
      <c r="K226" s="855"/>
      <c r="L226" s="855"/>
      <c r="M226" s="855"/>
      <c r="N226" s="855"/>
      <c r="O226" s="856"/>
      <c r="P226" s="860" t="s">
        <v>45</v>
      </c>
      <c r="Q226" s="861"/>
      <c r="R226" s="862"/>
      <c r="S226" s="44">
        <f>IF(T211="SI",SUM(S211:S225),0)</f>
        <v>0</v>
      </c>
      <c r="T226" s="863" t="str">
        <f>IF(S227=" "," ",IF(S227&gt;=$H$6,"CUMPLE","NO CUMPLE"))</f>
        <v xml:space="preserve"> </v>
      </c>
      <c r="U226" s="28"/>
    </row>
    <row r="227" spans="2:21" ht="18" hidden="1" customHeight="1">
      <c r="B227" s="857"/>
      <c r="C227" s="858"/>
      <c r="D227" s="858"/>
      <c r="E227" s="858"/>
      <c r="F227" s="858"/>
      <c r="G227" s="858"/>
      <c r="H227" s="858"/>
      <c r="I227" s="858"/>
      <c r="J227" s="858"/>
      <c r="K227" s="858"/>
      <c r="L227" s="858"/>
      <c r="M227" s="858"/>
      <c r="N227" s="858"/>
      <c r="O227" s="859"/>
      <c r="P227" s="860" t="s">
        <v>46</v>
      </c>
      <c r="Q227" s="861"/>
      <c r="R227" s="862"/>
      <c r="S227" s="44" t="str">
        <f>IFERROR((S226/$P$6)," ")</f>
        <v xml:space="preserve"> </v>
      </c>
      <c r="T227" s="864"/>
      <c r="U227" s="41"/>
    </row>
    <row r="228" spans="2:21" hidden="1"/>
    <row r="229" spans="2:21" hidden="1"/>
    <row r="230" spans="2:21" ht="33.75" hidden="1">
      <c r="B230" s="26">
        <v>11</v>
      </c>
      <c r="C230" s="916" t="s">
        <v>24</v>
      </c>
      <c r="D230" s="917"/>
      <c r="E230" s="918"/>
      <c r="F230" s="919">
        <f>IFERROR(VLOOKUP(B230,LISTA_OFERENTES,2,FALSE)," ")</f>
        <v>0</v>
      </c>
      <c r="G230" s="920"/>
      <c r="H230" s="920"/>
      <c r="I230" s="920"/>
      <c r="J230" s="920"/>
      <c r="K230" s="920"/>
      <c r="L230" s="920"/>
      <c r="M230" s="920"/>
      <c r="N230" s="920"/>
      <c r="O230" s="921"/>
      <c r="P230" s="922" t="s">
        <v>25</v>
      </c>
      <c r="Q230" s="923"/>
      <c r="R230" s="924"/>
      <c r="S230" s="27">
        <f>5-(INT(COUNTBLANK(C233:C247))-10)</f>
        <v>0</v>
      </c>
      <c r="T230" s="28"/>
    </row>
    <row r="231" spans="2:21" ht="41.25" hidden="1" customHeight="1">
      <c r="B231" s="914" t="s">
        <v>26</v>
      </c>
      <c r="C231" s="906" t="s">
        <v>27</v>
      </c>
      <c r="D231" s="906" t="s">
        <v>28</v>
      </c>
      <c r="E231" s="906" t="s">
        <v>29</v>
      </c>
      <c r="F231" s="906" t="s">
        <v>30</v>
      </c>
      <c r="G231" s="906" t="s">
        <v>31</v>
      </c>
      <c r="H231" s="906" t="s">
        <v>32</v>
      </c>
      <c r="I231" s="906" t="s">
        <v>33</v>
      </c>
      <c r="J231" s="911" t="s">
        <v>34</v>
      </c>
      <c r="K231" s="912"/>
      <c r="L231" s="912"/>
      <c r="M231" s="913"/>
      <c r="N231" s="906" t="s">
        <v>35</v>
      </c>
      <c r="O231" s="906" t="s">
        <v>36</v>
      </c>
      <c r="P231" s="911" t="s">
        <v>37</v>
      </c>
      <c r="Q231" s="913"/>
      <c r="R231" s="906" t="s">
        <v>38</v>
      </c>
      <c r="S231" s="906" t="s">
        <v>39</v>
      </c>
      <c r="T231" s="906" t="str">
        <f>+$T$11</f>
        <v>Cumple con el requerimiento del numeral 6.2.2.2.1</v>
      </c>
      <c r="U231" s="906" t="str">
        <f>+$U$11</f>
        <v xml:space="preserve">VERIFICACIÓN CONDICIÓN DE EXPERIENCIA  </v>
      </c>
    </row>
    <row r="232" spans="2:21" ht="63" hidden="1" customHeight="1">
      <c r="B232" s="915"/>
      <c r="C232" s="907"/>
      <c r="D232" s="907"/>
      <c r="E232" s="907"/>
      <c r="F232" s="907"/>
      <c r="G232" s="907"/>
      <c r="H232" s="907"/>
      <c r="I232" s="907"/>
      <c r="J232" s="908" t="s">
        <v>42</v>
      </c>
      <c r="K232" s="909"/>
      <c r="L232" s="909"/>
      <c r="M232" s="910"/>
      <c r="N232" s="907"/>
      <c r="O232" s="907"/>
      <c r="P232" s="33" t="s">
        <v>10</v>
      </c>
      <c r="Q232" s="33" t="s">
        <v>43</v>
      </c>
      <c r="R232" s="907"/>
      <c r="S232" s="907"/>
      <c r="T232" s="907"/>
      <c r="U232" s="907"/>
    </row>
    <row r="233" spans="2:21" ht="21.75" hidden="1" customHeight="1">
      <c r="B233" s="877">
        <v>1</v>
      </c>
      <c r="C233" s="880"/>
      <c r="D233" s="880"/>
      <c r="E233" s="880"/>
      <c r="F233" s="880"/>
      <c r="G233" s="883"/>
      <c r="H233" s="865"/>
      <c r="I233" s="868"/>
      <c r="J233" s="172"/>
      <c r="K233" s="38">
        <f>+$K$13</f>
        <v>0</v>
      </c>
      <c r="L233" s="172"/>
      <c r="M233" s="38">
        <f>+$M$13</f>
        <v>0</v>
      </c>
      <c r="N233" s="871"/>
      <c r="O233" s="871"/>
      <c r="P233" s="874"/>
      <c r="Q233" s="795"/>
      <c r="R233" s="795"/>
      <c r="S233" s="886">
        <f>IF(COUNTIF(J233:K235,"CUMPLE")&gt;=1,(G233*I233),0)* (IF(N233="PRESENTÓ CERTIFICADO",1,0))* (IF(O233="ACORDE A ITEM 5.2.2 (T.R.)",1,0) )* ( IF(OR(Q233="SIN OBSERVACIÓN", Q233="REQUERIMIENTOS SUBSANADOS"),1,0)) *(IF(OR(R233="NINGUNO", R233="CUMPLEN CON LO SOLICITADO"),1,0))</f>
        <v>0</v>
      </c>
      <c r="T233" s="903"/>
      <c r="U233" s="892">
        <f>IF(COUNTIF(J233:K235,"CUMPLE")&gt;=1,1,0)</f>
        <v>0</v>
      </c>
    </row>
    <row r="234" spans="2:21" ht="21.75" hidden="1" customHeight="1">
      <c r="B234" s="878"/>
      <c r="C234" s="881"/>
      <c r="D234" s="881"/>
      <c r="E234" s="881"/>
      <c r="F234" s="881"/>
      <c r="G234" s="884"/>
      <c r="H234" s="866"/>
      <c r="I234" s="869"/>
      <c r="J234" s="172"/>
      <c r="K234" s="38">
        <f>+$K$14</f>
        <v>0</v>
      </c>
      <c r="L234" s="893"/>
      <c r="M234" s="895">
        <f>+$M$14</f>
        <v>0</v>
      </c>
      <c r="N234" s="872"/>
      <c r="O234" s="872"/>
      <c r="P234" s="875"/>
      <c r="Q234" s="796"/>
      <c r="R234" s="796"/>
      <c r="S234" s="887"/>
      <c r="T234" s="904"/>
      <c r="U234" s="892"/>
    </row>
    <row r="235" spans="2:21" ht="21.75" hidden="1" customHeight="1">
      <c r="B235" s="879"/>
      <c r="C235" s="882"/>
      <c r="D235" s="882"/>
      <c r="E235" s="882"/>
      <c r="F235" s="882"/>
      <c r="G235" s="885"/>
      <c r="H235" s="867"/>
      <c r="I235" s="870"/>
      <c r="J235" s="172"/>
      <c r="K235" s="38">
        <f>+$K$15</f>
        <v>0</v>
      </c>
      <c r="L235" s="894"/>
      <c r="M235" s="896"/>
      <c r="N235" s="873"/>
      <c r="O235" s="873"/>
      <c r="P235" s="876"/>
      <c r="Q235" s="797"/>
      <c r="R235" s="797"/>
      <c r="S235" s="888"/>
      <c r="T235" s="904"/>
      <c r="U235" s="892"/>
    </row>
    <row r="236" spans="2:21" ht="23.25" hidden="1" customHeight="1">
      <c r="B236" s="877">
        <v>2</v>
      </c>
      <c r="C236" s="889"/>
      <c r="D236" s="889"/>
      <c r="E236" s="889"/>
      <c r="F236" s="889"/>
      <c r="G236" s="897"/>
      <c r="H236" s="865"/>
      <c r="I236" s="868"/>
      <c r="J236" s="172"/>
      <c r="K236" s="38">
        <f>+$K$13</f>
        <v>0</v>
      </c>
      <c r="L236" s="172"/>
      <c r="M236" s="38">
        <f>+$M$13</f>
        <v>0</v>
      </c>
      <c r="N236" s="871"/>
      <c r="O236" s="871"/>
      <c r="P236" s="874"/>
      <c r="Q236" s="795"/>
      <c r="R236" s="795"/>
      <c r="S236" s="886">
        <f>IF(COUNTIF(J236:K238,"CUMPLE")&gt;=1,(G236*I236),0)* (IF(N236="PRESENTÓ CERTIFICADO",1,0))* (IF(O236="ACORDE A ITEM 5.2.2 (T.R.)",1,0) )* ( IF(OR(Q236="SIN OBSERVACIÓN", Q236="REQUERIMIENTOS SUBSANADOS"),1,0)) *(IF(OR(R236="NINGUNO", R236="CUMPLEN CON LO SOLICITADO"),1,0))</f>
        <v>0</v>
      </c>
      <c r="T236" s="904"/>
      <c r="U236" s="892">
        <f>IF(COUNTIF(J236:K238,"CUMPLE")&gt;=1,1,0)</f>
        <v>0</v>
      </c>
    </row>
    <row r="237" spans="2:21" ht="23.25" hidden="1" customHeight="1">
      <c r="B237" s="878"/>
      <c r="C237" s="890"/>
      <c r="D237" s="890"/>
      <c r="E237" s="890"/>
      <c r="F237" s="890"/>
      <c r="G237" s="898"/>
      <c r="H237" s="866"/>
      <c r="I237" s="869"/>
      <c r="J237" s="172"/>
      <c r="K237" s="38">
        <f>+$K$14</f>
        <v>0</v>
      </c>
      <c r="L237" s="893"/>
      <c r="M237" s="895">
        <f>+$M$14</f>
        <v>0</v>
      </c>
      <c r="N237" s="872"/>
      <c r="O237" s="872"/>
      <c r="P237" s="875"/>
      <c r="Q237" s="796"/>
      <c r="R237" s="796"/>
      <c r="S237" s="887"/>
      <c r="T237" s="904"/>
      <c r="U237" s="892"/>
    </row>
    <row r="238" spans="2:21" ht="23.25" hidden="1" customHeight="1">
      <c r="B238" s="879"/>
      <c r="C238" s="891"/>
      <c r="D238" s="891"/>
      <c r="E238" s="891"/>
      <c r="F238" s="891"/>
      <c r="G238" s="899"/>
      <c r="H238" s="867"/>
      <c r="I238" s="870"/>
      <c r="J238" s="172"/>
      <c r="K238" s="38">
        <f>+$K$15</f>
        <v>0</v>
      </c>
      <c r="L238" s="894"/>
      <c r="M238" s="896"/>
      <c r="N238" s="873"/>
      <c r="O238" s="873"/>
      <c r="P238" s="876"/>
      <c r="Q238" s="797"/>
      <c r="R238" s="797"/>
      <c r="S238" s="888"/>
      <c r="T238" s="904"/>
      <c r="U238" s="892"/>
    </row>
    <row r="239" spans="2:21" ht="23.25" hidden="1" customHeight="1">
      <c r="B239" s="877">
        <v>3</v>
      </c>
      <c r="C239" s="880"/>
      <c r="D239" s="880"/>
      <c r="E239" s="880"/>
      <c r="F239" s="880"/>
      <c r="G239" s="883"/>
      <c r="H239" s="865"/>
      <c r="I239" s="868"/>
      <c r="J239" s="172"/>
      <c r="K239" s="38">
        <f>+$K$13</f>
        <v>0</v>
      </c>
      <c r="L239" s="172"/>
      <c r="M239" s="38">
        <f>+$M$13</f>
        <v>0</v>
      </c>
      <c r="N239" s="871"/>
      <c r="O239" s="871"/>
      <c r="P239" s="874"/>
      <c r="Q239" s="795"/>
      <c r="R239" s="795"/>
      <c r="S239" s="886">
        <f>IF(COUNTIF(J239:K241,"CUMPLE")&gt;=1,(G239*I239),0)* (IF(N239="PRESENTÓ CERTIFICADO",1,0))* (IF(O239="ACORDE A ITEM 5.2.2 (T.R.)",1,0) )* ( IF(OR(Q239="SIN OBSERVACIÓN", Q239="REQUERIMIENTOS SUBSANADOS"),1,0)) *(IF(OR(R239="NINGUNO", R239="CUMPLEN CON LO SOLICITADO"),1,0))</f>
        <v>0</v>
      </c>
      <c r="T239" s="904"/>
      <c r="U239" s="892">
        <f>IF(COUNTIF(J239:K241,"CUMPLE")&gt;=1,1,0)</f>
        <v>0</v>
      </c>
    </row>
    <row r="240" spans="2:21" ht="23.25" hidden="1" customHeight="1">
      <c r="B240" s="878"/>
      <c r="C240" s="881"/>
      <c r="D240" s="881"/>
      <c r="E240" s="881"/>
      <c r="F240" s="881"/>
      <c r="G240" s="884"/>
      <c r="H240" s="866"/>
      <c r="I240" s="869"/>
      <c r="J240" s="172"/>
      <c r="K240" s="38">
        <f>+$K$14</f>
        <v>0</v>
      </c>
      <c r="L240" s="893"/>
      <c r="M240" s="895">
        <f>+$M$14</f>
        <v>0</v>
      </c>
      <c r="N240" s="872"/>
      <c r="O240" s="872"/>
      <c r="P240" s="875"/>
      <c r="Q240" s="796"/>
      <c r="R240" s="796"/>
      <c r="S240" s="887"/>
      <c r="T240" s="904"/>
      <c r="U240" s="892"/>
    </row>
    <row r="241" spans="2:21" ht="23.25" hidden="1" customHeight="1">
      <c r="B241" s="879"/>
      <c r="C241" s="882"/>
      <c r="D241" s="882"/>
      <c r="E241" s="882"/>
      <c r="F241" s="882"/>
      <c r="G241" s="885"/>
      <c r="H241" s="867"/>
      <c r="I241" s="870"/>
      <c r="J241" s="172"/>
      <c r="K241" s="38">
        <f>+$K$15</f>
        <v>0</v>
      </c>
      <c r="L241" s="894"/>
      <c r="M241" s="896"/>
      <c r="N241" s="873"/>
      <c r="O241" s="873"/>
      <c r="P241" s="876"/>
      <c r="Q241" s="797"/>
      <c r="R241" s="797"/>
      <c r="S241" s="888"/>
      <c r="T241" s="904"/>
      <c r="U241" s="892"/>
    </row>
    <row r="242" spans="2:21" ht="23.25" hidden="1" customHeight="1">
      <c r="B242" s="877">
        <v>4</v>
      </c>
      <c r="C242" s="889"/>
      <c r="D242" s="889"/>
      <c r="E242" s="889"/>
      <c r="F242" s="889"/>
      <c r="G242" s="897"/>
      <c r="H242" s="865"/>
      <c r="I242" s="900"/>
      <c r="J242" s="172"/>
      <c r="K242" s="38">
        <f>+$K$13</f>
        <v>0</v>
      </c>
      <c r="L242" s="172"/>
      <c r="M242" s="38">
        <f>+$M$13</f>
        <v>0</v>
      </c>
      <c r="N242" s="871"/>
      <c r="O242" s="871"/>
      <c r="P242" s="874"/>
      <c r="Q242" s="795"/>
      <c r="R242" s="795"/>
      <c r="S242" s="886">
        <f>IF(COUNTIF(J242:K244,"CUMPLE")&gt;=1,(G242*I242),0)* (IF(N242="PRESENTÓ CERTIFICADO",1,0))* (IF(O242="ACORDE A ITEM 5.2.2 (T.R.)",1,0) )* ( IF(OR(Q242="SIN OBSERVACIÓN", Q242="REQUERIMIENTOS SUBSANADOS"),1,0)) *(IF(OR(R242="NINGUNO", R242="CUMPLEN CON LO SOLICITADO"),1,0))</f>
        <v>0</v>
      </c>
      <c r="T242" s="904"/>
      <c r="U242" s="892">
        <f>IF(COUNTIF(L242:M244,"CUMPLE")&gt;=1,1,0)</f>
        <v>0</v>
      </c>
    </row>
    <row r="243" spans="2:21" ht="23.25" hidden="1" customHeight="1">
      <c r="B243" s="878"/>
      <c r="C243" s="890"/>
      <c r="D243" s="890"/>
      <c r="E243" s="890"/>
      <c r="F243" s="890"/>
      <c r="G243" s="898"/>
      <c r="H243" s="866"/>
      <c r="I243" s="901"/>
      <c r="J243" s="172"/>
      <c r="K243" s="38">
        <f>+$K$14</f>
        <v>0</v>
      </c>
      <c r="L243" s="893"/>
      <c r="M243" s="895">
        <f>+$M$14</f>
        <v>0</v>
      </c>
      <c r="N243" s="872"/>
      <c r="O243" s="872"/>
      <c r="P243" s="875"/>
      <c r="Q243" s="796"/>
      <c r="R243" s="796"/>
      <c r="S243" s="887"/>
      <c r="T243" s="904"/>
      <c r="U243" s="892"/>
    </row>
    <row r="244" spans="2:21" ht="23.25" hidden="1" customHeight="1">
      <c r="B244" s="879"/>
      <c r="C244" s="891"/>
      <c r="D244" s="891"/>
      <c r="E244" s="891"/>
      <c r="F244" s="891"/>
      <c r="G244" s="899"/>
      <c r="H244" s="867"/>
      <c r="I244" s="902"/>
      <c r="J244" s="172"/>
      <c r="K244" s="38">
        <f>+$K$15</f>
        <v>0</v>
      </c>
      <c r="L244" s="894"/>
      <c r="M244" s="896"/>
      <c r="N244" s="873"/>
      <c r="O244" s="873"/>
      <c r="P244" s="876"/>
      <c r="Q244" s="797"/>
      <c r="R244" s="797"/>
      <c r="S244" s="888"/>
      <c r="T244" s="904"/>
      <c r="U244" s="892"/>
    </row>
    <row r="245" spans="2:21" ht="23.25" hidden="1" customHeight="1">
      <c r="B245" s="877">
        <v>5</v>
      </c>
      <c r="C245" s="880"/>
      <c r="D245" s="880"/>
      <c r="E245" s="880"/>
      <c r="F245" s="880"/>
      <c r="G245" s="883"/>
      <c r="H245" s="865"/>
      <c r="I245" s="868"/>
      <c r="J245" s="172"/>
      <c r="K245" s="38">
        <f>+$K$13</f>
        <v>0</v>
      </c>
      <c r="L245" s="172"/>
      <c r="M245" s="38">
        <f>+$M$13</f>
        <v>0</v>
      </c>
      <c r="N245" s="871"/>
      <c r="O245" s="871"/>
      <c r="P245" s="874"/>
      <c r="Q245" s="795"/>
      <c r="R245" s="795"/>
      <c r="S245" s="886">
        <f>IF(COUNTIF(J245:K247,"CUMPLE")&gt;=1,(G245*I245),0)* (IF(N245="PRESENTÓ CERTIFICADO",1,0))* (IF(O245="ACORDE A ITEM 5.2.2 (T.R.)",1,0) )* ( IF(OR(Q245="SIN OBSERVACIÓN", Q245="REQUERIMIENTOS SUBSANADOS"),1,0)) *(IF(OR(R245="NINGUNO", R245="CUMPLEN CON LO SOLICITADO"),1,0))</f>
        <v>0</v>
      </c>
      <c r="T245" s="904"/>
      <c r="U245" s="892">
        <f>IF(COUNTIF(L245:M247,"CUMPLE")&gt;=1,1,0)</f>
        <v>0</v>
      </c>
    </row>
    <row r="246" spans="2:21" ht="23.25" hidden="1" customHeight="1">
      <c r="B246" s="878"/>
      <c r="C246" s="881"/>
      <c r="D246" s="881"/>
      <c r="E246" s="881"/>
      <c r="F246" s="881"/>
      <c r="G246" s="884"/>
      <c r="H246" s="866"/>
      <c r="I246" s="869"/>
      <c r="J246" s="172"/>
      <c r="K246" s="38">
        <f>+$K$14</f>
        <v>0</v>
      </c>
      <c r="L246" s="893"/>
      <c r="M246" s="895">
        <f>+$M$14</f>
        <v>0</v>
      </c>
      <c r="N246" s="872"/>
      <c r="O246" s="872"/>
      <c r="P246" s="875"/>
      <c r="Q246" s="796"/>
      <c r="R246" s="796"/>
      <c r="S246" s="887"/>
      <c r="T246" s="904"/>
      <c r="U246" s="892"/>
    </row>
    <row r="247" spans="2:21" ht="23.25" hidden="1" customHeight="1">
      <c r="B247" s="879"/>
      <c r="C247" s="882"/>
      <c r="D247" s="882"/>
      <c r="E247" s="882"/>
      <c r="F247" s="882"/>
      <c r="G247" s="885"/>
      <c r="H247" s="867"/>
      <c r="I247" s="870"/>
      <c r="J247" s="172"/>
      <c r="K247" s="38">
        <f>+$K$15</f>
        <v>0</v>
      </c>
      <c r="L247" s="894"/>
      <c r="M247" s="896"/>
      <c r="N247" s="873"/>
      <c r="O247" s="873"/>
      <c r="P247" s="876"/>
      <c r="Q247" s="797"/>
      <c r="R247" s="797"/>
      <c r="S247" s="888"/>
      <c r="T247" s="905"/>
      <c r="U247" s="892"/>
    </row>
    <row r="248" spans="2:21" ht="18" hidden="1" customHeight="1">
      <c r="B248" s="854" t="str">
        <f>IF(S249=" "," ",IF(S249&gt;=$H$6,"CUMPLE CON LA EXPERIENCIA REQUERIDA","NO CUMPLE CON LA EXPERIENCIA REQUERIDA"))</f>
        <v xml:space="preserve"> </v>
      </c>
      <c r="C248" s="855"/>
      <c r="D248" s="855"/>
      <c r="E248" s="855"/>
      <c r="F248" s="855"/>
      <c r="G248" s="855"/>
      <c r="H248" s="855"/>
      <c r="I248" s="855"/>
      <c r="J248" s="855"/>
      <c r="K248" s="855"/>
      <c r="L248" s="855"/>
      <c r="M248" s="855"/>
      <c r="N248" s="855"/>
      <c r="O248" s="856"/>
      <c r="P248" s="860" t="s">
        <v>45</v>
      </c>
      <c r="Q248" s="861"/>
      <c r="R248" s="862"/>
      <c r="S248" s="44">
        <f>IF(T233="SI",SUM(S233:S247),0)</f>
        <v>0</v>
      </c>
      <c r="T248" s="863" t="str">
        <f>IF(S249=" "," ",IF(S249&gt;=$H$6,"CUMPLE","NO CUMPLE"))</f>
        <v xml:space="preserve"> </v>
      </c>
      <c r="U248" s="28"/>
    </row>
    <row r="249" spans="2:21" ht="18" hidden="1" customHeight="1">
      <c r="B249" s="857"/>
      <c r="C249" s="858"/>
      <c r="D249" s="858"/>
      <c r="E249" s="858"/>
      <c r="F249" s="858"/>
      <c r="G249" s="858"/>
      <c r="H249" s="858"/>
      <c r="I249" s="858"/>
      <c r="J249" s="858"/>
      <c r="K249" s="858"/>
      <c r="L249" s="858"/>
      <c r="M249" s="858"/>
      <c r="N249" s="858"/>
      <c r="O249" s="859"/>
      <c r="P249" s="860" t="s">
        <v>46</v>
      </c>
      <c r="Q249" s="861"/>
      <c r="R249" s="862"/>
      <c r="S249" s="44" t="str">
        <f>IFERROR((S248/$P$6)," ")</f>
        <v xml:space="preserve"> </v>
      </c>
      <c r="T249" s="864"/>
      <c r="U249" s="41"/>
    </row>
    <row r="250" spans="2:21" hidden="1"/>
    <row r="251" spans="2:21" hidden="1"/>
    <row r="252" spans="2:21" ht="33.75" hidden="1">
      <c r="B252" s="26">
        <v>12</v>
      </c>
      <c r="C252" s="916" t="s">
        <v>24</v>
      </c>
      <c r="D252" s="917"/>
      <c r="E252" s="918"/>
      <c r="F252" s="919">
        <f>IFERROR(VLOOKUP(B252,LISTA_OFERENTES,2,FALSE)," ")</f>
        <v>0</v>
      </c>
      <c r="G252" s="920"/>
      <c r="H252" s="920"/>
      <c r="I252" s="920"/>
      <c r="J252" s="920"/>
      <c r="K252" s="920"/>
      <c r="L252" s="920"/>
      <c r="M252" s="920"/>
      <c r="N252" s="920"/>
      <c r="O252" s="921"/>
      <c r="P252" s="922" t="s">
        <v>25</v>
      </c>
      <c r="Q252" s="923"/>
      <c r="R252" s="924"/>
      <c r="S252" s="27">
        <f>5-(INT(COUNTBLANK(C255:C269))-10)</f>
        <v>0</v>
      </c>
      <c r="T252" s="28"/>
    </row>
    <row r="253" spans="2:21" ht="39.75" hidden="1" customHeight="1">
      <c r="B253" s="914" t="s">
        <v>26</v>
      </c>
      <c r="C253" s="906" t="s">
        <v>27</v>
      </c>
      <c r="D253" s="906" t="s">
        <v>28</v>
      </c>
      <c r="E253" s="906" t="s">
        <v>29</v>
      </c>
      <c r="F253" s="906" t="s">
        <v>30</v>
      </c>
      <c r="G253" s="906" t="s">
        <v>31</v>
      </c>
      <c r="H253" s="906" t="s">
        <v>32</v>
      </c>
      <c r="I253" s="906" t="s">
        <v>33</v>
      </c>
      <c r="J253" s="911" t="s">
        <v>34</v>
      </c>
      <c r="K253" s="912"/>
      <c r="L253" s="912"/>
      <c r="M253" s="913"/>
      <c r="N253" s="906" t="s">
        <v>35</v>
      </c>
      <c r="O253" s="906" t="s">
        <v>36</v>
      </c>
      <c r="P253" s="911" t="s">
        <v>37</v>
      </c>
      <c r="Q253" s="913"/>
      <c r="R253" s="906" t="s">
        <v>38</v>
      </c>
      <c r="S253" s="906" t="s">
        <v>39</v>
      </c>
      <c r="T253" s="906" t="str">
        <f>+$T$11</f>
        <v>Cumple con el requerimiento del numeral 6.2.2.2.1</v>
      </c>
      <c r="U253" s="906" t="str">
        <f>+$U$11</f>
        <v xml:space="preserve">VERIFICACIÓN CONDICIÓN DE EXPERIENCIA  </v>
      </c>
    </row>
    <row r="254" spans="2:21" ht="51.75" hidden="1" customHeight="1">
      <c r="B254" s="915"/>
      <c r="C254" s="907"/>
      <c r="D254" s="907"/>
      <c r="E254" s="907"/>
      <c r="F254" s="907"/>
      <c r="G254" s="907"/>
      <c r="H254" s="907"/>
      <c r="I254" s="907"/>
      <c r="J254" s="908" t="s">
        <v>42</v>
      </c>
      <c r="K254" s="909"/>
      <c r="L254" s="909"/>
      <c r="M254" s="910"/>
      <c r="N254" s="907"/>
      <c r="O254" s="907"/>
      <c r="P254" s="33" t="s">
        <v>10</v>
      </c>
      <c r="Q254" s="33" t="s">
        <v>43</v>
      </c>
      <c r="R254" s="907"/>
      <c r="S254" s="907"/>
      <c r="T254" s="907"/>
      <c r="U254" s="907"/>
    </row>
    <row r="255" spans="2:21" ht="28.5" hidden="1" customHeight="1">
      <c r="B255" s="877">
        <v>1</v>
      </c>
      <c r="C255" s="880"/>
      <c r="D255" s="880"/>
      <c r="E255" s="880"/>
      <c r="F255" s="880"/>
      <c r="G255" s="883"/>
      <c r="H255" s="865"/>
      <c r="I255" s="868"/>
      <c r="J255" s="172"/>
      <c r="K255" s="38">
        <f>+$K$13</f>
        <v>0</v>
      </c>
      <c r="L255" s="172"/>
      <c r="M255" s="38">
        <f>+$M$13</f>
        <v>0</v>
      </c>
      <c r="N255" s="871"/>
      <c r="O255" s="871"/>
      <c r="P255" s="874"/>
      <c r="Q255" s="795"/>
      <c r="R255" s="795"/>
      <c r="S255" s="886">
        <f>IF(COUNTIF(J255:K257,"CUMPLE")&gt;=1,(G255*I255),0)* (IF(N255="PRESENTÓ CERTIFICADO",1,0))* (IF(O255="ACORDE A ITEM 5.2.2 (T.R.)",1,0) )* ( IF(OR(Q255="SIN OBSERVACIÓN", Q255="REQUERIMIENTOS SUBSANADOS"),1,0)) *(IF(OR(R255="NINGUNO", R255="CUMPLEN CON LO SOLICITADO"),1,0))</f>
        <v>0</v>
      </c>
      <c r="T255" s="903" t="s">
        <v>147</v>
      </c>
      <c r="U255" s="892">
        <f>IF(COUNTIF(J255:K257,"CUMPLE")&gt;=1,1,0)</f>
        <v>0</v>
      </c>
    </row>
    <row r="256" spans="2:21" ht="28.5" hidden="1" customHeight="1">
      <c r="B256" s="878"/>
      <c r="C256" s="881"/>
      <c r="D256" s="881"/>
      <c r="E256" s="881"/>
      <c r="F256" s="881"/>
      <c r="G256" s="884"/>
      <c r="H256" s="866"/>
      <c r="I256" s="869"/>
      <c r="J256" s="172"/>
      <c r="K256" s="38">
        <f>+$K$14</f>
        <v>0</v>
      </c>
      <c r="L256" s="893"/>
      <c r="M256" s="895">
        <f>+$M$14</f>
        <v>0</v>
      </c>
      <c r="N256" s="872"/>
      <c r="O256" s="872"/>
      <c r="P256" s="875"/>
      <c r="Q256" s="796"/>
      <c r="R256" s="796"/>
      <c r="S256" s="887"/>
      <c r="T256" s="904"/>
      <c r="U256" s="892"/>
    </row>
    <row r="257" spans="2:21" ht="28.5" hidden="1" customHeight="1">
      <c r="B257" s="879"/>
      <c r="C257" s="882"/>
      <c r="D257" s="882"/>
      <c r="E257" s="882"/>
      <c r="F257" s="882"/>
      <c r="G257" s="885"/>
      <c r="H257" s="867"/>
      <c r="I257" s="870"/>
      <c r="J257" s="172"/>
      <c r="K257" s="38">
        <f>+$K$15</f>
        <v>0</v>
      </c>
      <c r="L257" s="894"/>
      <c r="M257" s="896"/>
      <c r="N257" s="873"/>
      <c r="O257" s="873"/>
      <c r="P257" s="876"/>
      <c r="Q257" s="797"/>
      <c r="R257" s="797"/>
      <c r="S257" s="888"/>
      <c r="T257" s="904"/>
      <c r="U257" s="892"/>
    </row>
    <row r="258" spans="2:21" ht="28.5" hidden="1" customHeight="1">
      <c r="B258" s="877">
        <v>2</v>
      </c>
      <c r="C258" s="889"/>
      <c r="D258" s="889"/>
      <c r="E258" s="889"/>
      <c r="F258" s="889"/>
      <c r="G258" s="897"/>
      <c r="H258" s="865"/>
      <c r="I258" s="868"/>
      <c r="J258" s="172"/>
      <c r="K258" s="38">
        <f>+$K$13</f>
        <v>0</v>
      </c>
      <c r="L258" s="172"/>
      <c r="M258" s="38">
        <f>+$M$13</f>
        <v>0</v>
      </c>
      <c r="N258" s="871"/>
      <c r="O258" s="871"/>
      <c r="P258" s="874"/>
      <c r="Q258" s="795"/>
      <c r="R258" s="795"/>
      <c r="S258" s="886">
        <f>IF(COUNTIF(J258:K260,"CUMPLE")&gt;=1,(G258*I258),0)* (IF(N258="PRESENTÓ CERTIFICADO",1,0))* (IF(O258="ACORDE A ITEM 5.2.2 (T.R.)",1,0) )* ( IF(OR(Q258="SIN OBSERVACIÓN", Q258="REQUERIMIENTOS SUBSANADOS"),1,0)) *(IF(OR(R258="NINGUNO", R258="CUMPLEN CON LO SOLICITADO"),1,0))</f>
        <v>0</v>
      </c>
      <c r="T258" s="904"/>
      <c r="U258" s="892">
        <f t="shared" ref="U258" si="50">IF(COUNTIF(J258:K260,"CUMPLE")&gt;=1,1,0)</f>
        <v>0</v>
      </c>
    </row>
    <row r="259" spans="2:21" ht="28.5" hidden="1" customHeight="1">
      <c r="B259" s="878"/>
      <c r="C259" s="890"/>
      <c r="D259" s="890"/>
      <c r="E259" s="890"/>
      <c r="F259" s="890"/>
      <c r="G259" s="898"/>
      <c r="H259" s="866"/>
      <c r="I259" s="869"/>
      <c r="J259" s="172"/>
      <c r="K259" s="38">
        <f>+$K$14</f>
        <v>0</v>
      </c>
      <c r="L259" s="893"/>
      <c r="M259" s="895">
        <f>+$M$14</f>
        <v>0</v>
      </c>
      <c r="N259" s="872"/>
      <c r="O259" s="872"/>
      <c r="P259" s="875"/>
      <c r="Q259" s="796"/>
      <c r="R259" s="796"/>
      <c r="S259" s="887"/>
      <c r="T259" s="904"/>
      <c r="U259" s="892"/>
    </row>
    <row r="260" spans="2:21" ht="28.5" hidden="1" customHeight="1">
      <c r="B260" s="879"/>
      <c r="C260" s="891"/>
      <c r="D260" s="891"/>
      <c r="E260" s="891"/>
      <c r="F260" s="891"/>
      <c r="G260" s="899"/>
      <c r="H260" s="867"/>
      <c r="I260" s="870"/>
      <c r="J260" s="172"/>
      <c r="K260" s="38">
        <f>+$K$15</f>
        <v>0</v>
      </c>
      <c r="L260" s="894"/>
      <c r="M260" s="896"/>
      <c r="N260" s="873"/>
      <c r="O260" s="873"/>
      <c r="P260" s="876"/>
      <c r="Q260" s="797"/>
      <c r="R260" s="797"/>
      <c r="S260" s="888"/>
      <c r="T260" s="904"/>
      <c r="U260" s="892"/>
    </row>
    <row r="261" spans="2:21" ht="28.5" hidden="1" customHeight="1">
      <c r="B261" s="877">
        <v>3</v>
      </c>
      <c r="C261" s="880"/>
      <c r="D261" s="880"/>
      <c r="E261" s="880"/>
      <c r="F261" s="880"/>
      <c r="G261" s="883"/>
      <c r="H261" s="865"/>
      <c r="I261" s="868"/>
      <c r="J261" s="172"/>
      <c r="K261" s="38">
        <f>+$K$13</f>
        <v>0</v>
      </c>
      <c r="L261" s="172"/>
      <c r="M261" s="38">
        <f>+$M$13</f>
        <v>0</v>
      </c>
      <c r="N261" s="871"/>
      <c r="O261" s="871"/>
      <c r="P261" s="874"/>
      <c r="Q261" s="795"/>
      <c r="R261" s="795"/>
      <c r="S261" s="886">
        <f>IF(COUNTIF(J261:K263,"CUMPLE")&gt;=1,(G261*I261),0)* (IF(N261="PRESENTÓ CERTIFICADO",1,0))* (IF(O261="ACORDE A ITEM 5.2.2 (T.R.)",1,0) )* ( IF(OR(Q261="SIN OBSERVACIÓN", Q261="REQUERIMIENTOS SUBSANADOS"),1,0)) *(IF(OR(R261="NINGUNO", R261="CUMPLEN CON LO SOLICITADO"),1,0))</f>
        <v>0</v>
      </c>
      <c r="T261" s="904"/>
      <c r="U261" s="892">
        <f t="shared" ref="U261" si="51">IF(COUNTIF(J261:K263,"CUMPLE")&gt;=1,1,0)</f>
        <v>0</v>
      </c>
    </row>
    <row r="262" spans="2:21" ht="28.5" hidden="1" customHeight="1">
      <c r="B262" s="878"/>
      <c r="C262" s="881"/>
      <c r="D262" s="881"/>
      <c r="E262" s="881"/>
      <c r="F262" s="881"/>
      <c r="G262" s="884"/>
      <c r="H262" s="866"/>
      <c r="I262" s="869"/>
      <c r="J262" s="172"/>
      <c r="K262" s="38">
        <f>+$K$14</f>
        <v>0</v>
      </c>
      <c r="L262" s="893"/>
      <c r="M262" s="895">
        <f>+$M$14</f>
        <v>0</v>
      </c>
      <c r="N262" s="872"/>
      <c r="O262" s="872"/>
      <c r="P262" s="875"/>
      <c r="Q262" s="796"/>
      <c r="R262" s="796"/>
      <c r="S262" s="887"/>
      <c r="T262" s="904"/>
      <c r="U262" s="892"/>
    </row>
    <row r="263" spans="2:21" ht="28.5" hidden="1" customHeight="1">
      <c r="B263" s="879"/>
      <c r="C263" s="882"/>
      <c r="D263" s="882"/>
      <c r="E263" s="882"/>
      <c r="F263" s="882"/>
      <c r="G263" s="885"/>
      <c r="H263" s="867"/>
      <c r="I263" s="870"/>
      <c r="J263" s="172"/>
      <c r="K263" s="38">
        <f>+$K$15</f>
        <v>0</v>
      </c>
      <c r="L263" s="894"/>
      <c r="M263" s="896"/>
      <c r="N263" s="873"/>
      <c r="O263" s="873"/>
      <c r="P263" s="876"/>
      <c r="Q263" s="797"/>
      <c r="R263" s="797"/>
      <c r="S263" s="888"/>
      <c r="T263" s="904"/>
      <c r="U263" s="892"/>
    </row>
    <row r="264" spans="2:21" ht="28.5" hidden="1" customHeight="1">
      <c r="B264" s="877">
        <v>4</v>
      </c>
      <c r="C264" s="889"/>
      <c r="D264" s="889"/>
      <c r="E264" s="889"/>
      <c r="F264" s="889"/>
      <c r="G264" s="897"/>
      <c r="H264" s="865"/>
      <c r="I264" s="868"/>
      <c r="J264" s="172"/>
      <c r="K264" s="38">
        <f>+$K$13</f>
        <v>0</v>
      </c>
      <c r="L264" s="172"/>
      <c r="M264" s="38">
        <f>+$M$13</f>
        <v>0</v>
      </c>
      <c r="N264" s="871"/>
      <c r="O264" s="871"/>
      <c r="P264" s="874"/>
      <c r="Q264" s="795"/>
      <c r="R264" s="795"/>
      <c r="S264" s="886">
        <f>IF(COUNTIF(J264:K266,"CUMPLE")&gt;=1,(G264*I264),0)* (IF(N264="PRESENTÓ CERTIFICADO",1,0))* (IF(O264="ACORDE A ITEM 5.2.2 (T.R.)",1,0) )* ( IF(OR(Q264="SIN OBSERVACIÓN", Q264="REQUERIMIENTOS SUBSANADOS"),1,0)) *(IF(OR(R264="NINGUNO", R264="CUMPLEN CON LO SOLICITADO"),1,0))</f>
        <v>0</v>
      </c>
      <c r="T264" s="904"/>
      <c r="U264" s="892">
        <f t="shared" ref="U264" si="52">IF(COUNTIF(J264:K266,"CUMPLE")&gt;=1,1,0)</f>
        <v>0</v>
      </c>
    </row>
    <row r="265" spans="2:21" ht="28.5" hidden="1" customHeight="1">
      <c r="B265" s="878"/>
      <c r="C265" s="890"/>
      <c r="D265" s="890"/>
      <c r="E265" s="890"/>
      <c r="F265" s="890"/>
      <c r="G265" s="898"/>
      <c r="H265" s="866"/>
      <c r="I265" s="869"/>
      <c r="J265" s="172"/>
      <c r="K265" s="38">
        <f>+$K$14</f>
        <v>0</v>
      </c>
      <c r="L265" s="893"/>
      <c r="M265" s="895">
        <f>+$M$14</f>
        <v>0</v>
      </c>
      <c r="N265" s="872"/>
      <c r="O265" s="872"/>
      <c r="P265" s="875"/>
      <c r="Q265" s="796"/>
      <c r="R265" s="796"/>
      <c r="S265" s="887"/>
      <c r="T265" s="904"/>
      <c r="U265" s="892"/>
    </row>
    <row r="266" spans="2:21" ht="28.5" hidden="1" customHeight="1">
      <c r="B266" s="879"/>
      <c r="C266" s="891"/>
      <c r="D266" s="891"/>
      <c r="E266" s="891"/>
      <c r="F266" s="891"/>
      <c r="G266" s="899"/>
      <c r="H266" s="867"/>
      <c r="I266" s="870"/>
      <c r="J266" s="172"/>
      <c r="K266" s="38">
        <f>+$K$15</f>
        <v>0</v>
      </c>
      <c r="L266" s="894"/>
      <c r="M266" s="896"/>
      <c r="N266" s="873"/>
      <c r="O266" s="873"/>
      <c r="P266" s="876"/>
      <c r="Q266" s="797"/>
      <c r="R266" s="797"/>
      <c r="S266" s="888"/>
      <c r="T266" s="904"/>
      <c r="U266" s="892"/>
    </row>
    <row r="267" spans="2:21" ht="28.5" hidden="1" customHeight="1">
      <c r="B267" s="877">
        <v>5</v>
      </c>
      <c r="C267" s="880"/>
      <c r="D267" s="880"/>
      <c r="E267" s="880"/>
      <c r="F267" s="880"/>
      <c r="G267" s="883"/>
      <c r="H267" s="865"/>
      <c r="I267" s="868"/>
      <c r="J267" s="172"/>
      <c r="K267" s="38">
        <f>+$K$13</f>
        <v>0</v>
      </c>
      <c r="L267" s="172"/>
      <c r="M267" s="38">
        <f>+$M$13</f>
        <v>0</v>
      </c>
      <c r="N267" s="871"/>
      <c r="O267" s="871"/>
      <c r="P267" s="874"/>
      <c r="Q267" s="795"/>
      <c r="R267" s="795"/>
      <c r="S267" s="886">
        <f>IF(COUNTIF(J267:K269,"CUMPLE")&gt;=1,(G267*I267),0)* (IF(N267="PRESENTÓ CERTIFICADO",1,0))* (IF(O267="ACORDE A ITEM 5.2.2 (T.R.)",1,0) )* ( IF(OR(Q267="SIN OBSERVACIÓN", Q267="REQUERIMIENTOS SUBSANADOS"),1,0)) *(IF(OR(R267="NINGUNO", R267="CUMPLEN CON LO SOLICITADO"),1,0))</f>
        <v>0</v>
      </c>
      <c r="T267" s="904"/>
      <c r="U267" s="892">
        <f t="shared" ref="U267" si="53">IF(COUNTIF(J267:K269,"CUMPLE")&gt;=1,1,0)</f>
        <v>0</v>
      </c>
    </row>
    <row r="268" spans="2:21" ht="28.5" hidden="1" customHeight="1">
      <c r="B268" s="878"/>
      <c r="C268" s="881"/>
      <c r="D268" s="881"/>
      <c r="E268" s="881"/>
      <c r="F268" s="881"/>
      <c r="G268" s="884"/>
      <c r="H268" s="866"/>
      <c r="I268" s="869"/>
      <c r="J268" s="172"/>
      <c r="K268" s="38">
        <f>+$K$14</f>
        <v>0</v>
      </c>
      <c r="L268" s="893"/>
      <c r="M268" s="895">
        <f>+$M$14</f>
        <v>0</v>
      </c>
      <c r="N268" s="872"/>
      <c r="O268" s="872"/>
      <c r="P268" s="875"/>
      <c r="Q268" s="796"/>
      <c r="R268" s="796"/>
      <c r="S268" s="887"/>
      <c r="T268" s="904"/>
      <c r="U268" s="892"/>
    </row>
    <row r="269" spans="2:21" ht="28.5" hidden="1" customHeight="1">
      <c r="B269" s="879"/>
      <c r="C269" s="882"/>
      <c r="D269" s="882"/>
      <c r="E269" s="882"/>
      <c r="F269" s="882"/>
      <c r="G269" s="885"/>
      <c r="H269" s="867"/>
      <c r="I269" s="870"/>
      <c r="J269" s="172"/>
      <c r="K269" s="38">
        <f>+$K$15</f>
        <v>0</v>
      </c>
      <c r="L269" s="894"/>
      <c r="M269" s="896"/>
      <c r="N269" s="873"/>
      <c r="O269" s="873"/>
      <c r="P269" s="876"/>
      <c r="Q269" s="797"/>
      <c r="R269" s="797"/>
      <c r="S269" s="888"/>
      <c r="T269" s="905"/>
      <c r="U269" s="892"/>
    </row>
    <row r="270" spans="2:21" ht="18" hidden="1" customHeight="1">
      <c r="B270" s="854" t="str">
        <f>IF(S271=" "," ",IF(S271&gt;=$H$6,"CUMPLE CON LA EXPERIENCIA REQUERIDA","NO CUMPLE CON LA EXPERIENCIA REQUERIDA"))</f>
        <v xml:space="preserve"> </v>
      </c>
      <c r="C270" s="855"/>
      <c r="D270" s="855"/>
      <c r="E270" s="855"/>
      <c r="F270" s="855"/>
      <c r="G270" s="855"/>
      <c r="H270" s="855"/>
      <c r="I270" s="855"/>
      <c r="J270" s="855"/>
      <c r="K270" s="855"/>
      <c r="L270" s="855"/>
      <c r="M270" s="855"/>
      <c r="N270" s="855"/>
      <c r="O270" s="856"/>
      <c r="P270" s="860" t="s">
        <v>45</v>
      </c>
      <c r="Q270" s="861"/>
      <c r="R270" s="862"/>
      <c r="S270" s="44">
        <f>IF(T255="SI",SUM(S255:S269),0)</f>
        <v>0</v>
      </c>
      <c r="T270" s="863" t="str">
        <f>IF(S271=" "," ",IF(S271&gt;=$H$6,"CUMPLE","NO CUMPLE"))</f>
        <v xml:space="preserve"> </v>
      </c>
      <c r="U270" s="28"/>
    </row>
    <row r="271" spans="2:21" ht="18" hidden="1" customHeight="1">
      <c r="B271" s="857"/>
      <c r="C271" s="858"/>
      <c r="D271" s="858"/>
      <c r="E271" s="858"/>
      <c r="F271" s="858"/>
      <c r="G271" s="858"/>
      <c r="H271" s="858"/>
      <c r="I271" s="858"/>
      <c r="J271" s="858"/>
      <c r="K271" s="858"/>
      <c r="L271" s="858"/>
      <c r="M271" s="858"/>
      <c r="N271" s="858"/>
      <c r="O271" s="859"/>
      <c r="P271" s="860" t="s">
        <v>46</v>
      </c>
      <c r="Q271" s="861"/>
      <c r="R271" s="862"/>
      <c r="S271" s="44" t="str">
        <f>IFERROR((S270/$P$6)," ")</f>
        <v xml:space="preserve"> </v>
      </c>
      <c r="T271" s="864"/>
      <c r="U271" s="41"/>
    </row>
    <row r="272" spans="2:21" hidden="1"/>
    <row r="273" spans="2:21" hidden="1"/>
    <row r="274" spans="2:21" ht="33.75" hidden="1">
      <c r="B274" s="26">
        <v>13</v>
      </c>
      <c r="C274" s="916" t="s">
        <v>24</v>
      </c>
      <c r="D274" s="917"/>
      <c r="E274" s="918"/>
      <c r="F274" s="919">
        <f>IFERROR(VLOOKUP(B274,LISTA_OFERENTES,2,FALSE)," ")</f>
        <v>0</v>
      </c>
      <c r="G274" s="920"/>
      <c r="H274" s="920"/>
      <c r="I274" s="920"/>
      <c r="J274" s="920"/>
      <c r="K274" s="920"/>
      <c r="L274" s="920"/>
      <c r="M274" s="920"/>
      <c r="N274" s="920"/>
      <c r="O274" s="921"/>
      <c r="P274" s="922" t="s">
        <v>25</v>
      </c>
      <c r="Q274" s="923"/>
      <c r="R274" s="924"/>
      <c r="S274" s="27">
        <f>5-(INT(COUNTBLANK(C277:C291))-10)</f>
        <v>0</v>
      </c>
      <c r="T274" s="28"/>
    </row>
    <row r="275" spans="2:21" ht="46.5" hidden="1" customHeight="1">
      <c r="B275" s="914" t="s">
        <v>26</v>
      </c>
      <c r="C275" s="906" t="s">
        <v>27</v>
      </c>
      <c r="D275" s="906" t="s">
        <v>28</v>
      </c>
      <c r="E275" s="906" t="s">
        <v>29</v>
      </c>
      <c r="F275" s="906" t="s">
        <v>30</v>
      </c>
      <c r="G275" s="906" t="s">
        <v>31</v>
      </c>
      <c r="H275" s="906" t="s">
        <v>32</v>
      </c>
      <c r="I275" s="906" t="s">
        <v>33</v>
      </c>
      <c r="J275" s="911" t="s">
        <v>34</v>
      </c>
      <c r="K275" s="912"/>
      <c r="L275" s="912"/>
      <c r="M275" s="913"/>
      <c r="N275" s="906" t="s">
        <v>35</v>
      </c>
      <c r="O275" s="906" t="s">
        <v>36</v>
      </c>
      <c r="P275" s="911" t="s">
        <v>37</v>
      </c>
      <c r="Q275" s="913"/>
      <c r="R275" s="906" t="s">
        <v>38</v>
      </c>
      <c r="S275" s="906" t="s">
        <v>39</v>
      </c>
      <c r="T275" s="906" t="str">
        <f>+$T$11</f>
        <v>Cumple con el requerimiento del numeral 6.2.2.2.1</v>
      </c>
      <c r="U275" s="906" t="str">
        <f>+$U$11</f>
        <v xml:space="preserve">VERIFICACIÓN CONDICIÓN DE EXPERIENCIA  </v>
      </c>
    </row>
    <row r="276" spans="2:21" ht="46.5" hidden="1" customHeight="1">
      <c r="B276" s="915"/>
      <c r="C276" s="907"/>
      <c r="D276" s="907"/>
      <c r="E276" s="907"/>
      <c r="F276" s="907"/>
      <c r="G276" s="907"/>
      <c r="H276" s="907"/>
      <c r="I276" s="907"/>
      <c r="J276" s="908" t="s">
        <v>42</v>
      </c>
      <c r="K276" s="909"/>
      <c r="L276" s="909"/>
      <c r="M276" s="910"/>
      <c r="N276" s="907"/>
      <c r="O276" s="907"/>
      <c r="P276" s="33" t="s">
        <v>10</v>
      </c>
      <c r="Q276" s="33" t="s">
        <v>43</v>
      </c>
      <c r="R276" s="907"/>
      <c r="S276" s="907"/>
      <c r="T276" s="907"/>
      <c r="U276" s="907"/>
    </row>
    <row r="277" spans="2:21" ht="29.25" hidden="1" customHeight="1">
      <c r="B277" s="877">
        <v>1</v>
      </c>
      <c r="C277" s="880"/>
      <c r="D277" s="880"/>
      <c r="E277" s="880"/>
      <c r="F277" s="880"/>
      <c r="G277" s="883"/>
      <c r="H277" s="865"/>
      <c r="I277" s="868"/>
      <c r="J277" s="172"/>
      <c r="K277" s="38">
        <f>+$K$13</f>
        <v>0</v>
      </c>
      <c r="L277" s="172"/>
      <c r="M277" s="38">
        <f>+$M$13</f>
        <v>0</v>
      </c>
      <c r="N277" s="871"/>
      <c r="O277" s="871"/>
      <c r="P277" s="874"/>
      <c r="Q277" s="795"/>
      <c r="R277" s="795"/>
      <c r="S277" s="886">
        <f>IF(COUNTIF(J277:K279,"CUMPLE")&gt;=1,(G277*I277),0)* (IF(N277="PRESENTÓ CERTIFICADO",1,0))* (IF(O277="ACORDE A ITEM 5.2.2 (T.R.)",1,0) )* ( IF(OR(Q277="SIN OBSERVACIÓN", Q277="REQUERIMIENTOS SUBSANADOS"),1,0)) *(IF(OR(R277="NINGUNO", R277="CUMPLEN CON LO SOLICITADO"),1,0))</f>
        <v>0</v>
      </c>
      <c r="T277" s="903"/>
      <c r="U277" s="892">
        <f>IF(COUNTIF(J277:K279,"CUMPLE")&gt;=1,1,0)</f>
        <v>0</v>
      </c>
    </row>
    <row r="278" spans="2:21" ht="29.25" hidden="1" customHeight="1">
      <c r="B278" s="878"/>
      <c r="C278" s="881"/>
      <c r="D278" s="881"/>
      <c r="E278" s="881"/>
      <c r="F278" s="881"/>
      <c r="G278" s="884"/>
      <c r="H278" s="866"/>
      <c r="I278" s="869"/>
      <c r="J278" s="172"/>
      <c r="K278" s="38">
        <f>+$K$14</f>
        <v>0</v>
      </c>
      <c r="L278" s="893"/>
      <c r="M278" s="895">
        <f>+$M$14</f>
        <v>0</v>
      </c>
      <c r="N278" s="872"/>
      <c r="O278" s="872"/>
      <c r="P278" s="875"/>
      <c r="Q278" s="796"/>
      <c r="R278" s="796"/>
      <c r="S278" s="887"/>
      <c r="T278" s="904"/>
      <c r="U278" s="892"/>
    </row>
    <row r="279" spans="2:21" ht="29.25" hidden="1" customHeight="1">
      <c r="B279" s="879"/>
      <c r="C279" s="882"/>
      <c r="D279" s="882"/>
      <c r="E279" s="882"/>
      <c r="F279" s="882"/>
      <c r="G279" s="885"/>
      <c r="H279" s="867"/>
      <c r="I279" s="870"/>
      <c r="J279" s="172"/>
      <c r="K279" s="38">
        <f>+$K$15</f>
        <v>0</v>
      </c>
      <c r="L279" s="894"/>
      <c r="M279" s="896"/>
      <c r="N279" s="873"/>
      <c r="O279" s="873"/>
      <c r="P279" s="876"/>
      <c r="Q279" s="797"/>
      <c r="R279" s="797"/>
      <c r="S279" s="888"/>
      <c r="T279" s="904"/>
      <c r="U279" s="892"/>
    </row>
    <row r="280" spans="2:21" ht="29.25" hidden="1" customHeight="1">
      <c r="B280" s="877">
        <v>2</v>
      </c>
      <c r="C280" s="889"/>
      <c r="D280" s="889"/>
      <c r="E280" s="889"/>
      <c r="F280" s="889"/>
      <c r="G280" s="897"/>
      <c r="H280" s="865"/>
      <c r="I280" s="900"/>
      <c r="J280" s="172"/>
      <c r="K280" s="38">
        <f>+$K$13</f>
        <v>0</v>
      </c>
      <c r="L280" s="172"/>
      <c r="M280" s="38">
        <f>+$M$13</f>
        <v>0</v>
      </c>
      <c r="N280" s="871"/>
      <c r="O280" s="871"/>
      <c r="P280" s="874"/>
      <c r="Q280" s="795"/>
      <c r="R280" s="795"/>
      <c r="S280" s="886">
        <f>IF(COUNTIF(J280:K282,"CUMPLE")&gt;=1,(G280*I280),0)* (IF(N280="PRESENTÓ CERTIFICADO",1,0))* (IF(O280="ACORDE A ITEM 5.2.2 (T.R.)",1,0) )* ( IF(OR(Q280="SIN OBSERVACIÓN", Q280="REQUERIMIENTOS SUBSANADOS"),1,0)) *(IF(OR(R280="NINGUNO", R280="CUMPLEN CON LO SOLICITADO"),1,0))</f>
        <v>0</v>
      </c>
      <c r="T280" s="904"/>
      <c r="U280" s="892">
        <f t="shared" ref="U280" si="54">IF(COUNTIF(J280:K282,"CUMPLE")&gt;=1,1,0)</f>
        <v>0</v>
      </c>
    </row>
    <row r="281" spans="2:21" ht="29.25" hidden="1" customHeight="1">
      <c r="B281" s="878"/>
      <c r="C281" s="890"/>
      <c r="D281" s="890"/>
      <c r="E281" s="890"/>
      <c r="F281" s="890"/>
      <c r="G281" s="898"/>
      <c r="H281" s="866"/>
      <c r="I281" s="901"/>
      <c r="J281" s="172"/>
      <c r="K281" s="38">
        <f>+$K$14</f>
        <v>0</v>
      </c>
      <c r="L281" s="893"/>
      <c r="M281" s="895">
        <f>+$M$14</f>
        <v>0</v>
      </c>
      <c r="N281" s="872"/>
      <c r="O281" s="872"/>
      <c r="P281" s="875"/>
      <c r="Q281" s="796"/>
      <c r="R281" s="796"/>
      <c r="S281" s="887"/>
      <c r="T281" s="904"/>
      <c r="U281" s="892"/>
    </row>
    <row r="282" spans="2:21" ht="29.25" hidden="1" customHeight="1">
      <c r="B282" s="879"/>
      <c r="C282" s="891"/>
      <c r="D282" s="891"/>
      <c r="E282" s="891"/>
      <c r="F282" s="891"/>
      <c r="G282" s="899"/>
      <c r="H282" s="867"/>
      <c r="I282" s="902"/>
      <c r="J282" s="172"/>
      <c r="K282" s="38">
        <f>+$K$15</f>
        <v>0</v>
      </c>
      <c r="L282" s="894"/>
      <c r="M282" s="896"/>
      <c r="N282" s="873"/>
      <c r="O282" s="873"/>
      <c r="P282" s="876"/>
      <c r="Q282" s="797"/>
      <c r="R282" s="797"/>
      <c r="S282" s="888"/>
      <c r="T282" s="904"/>
      <c r="U282" s="892"/>
    </row>
    <row r="283" spans="2:21" ht="29.25" hidden="1" customHeight="1">
      <c r="B283" s="877">
        <v>3</v>
      </c>
      <c r="C283" s="880"/>
      <c r="D283" s="880"/>
      <c r="E283" s="880"/>
      <c r="F283" s="880"/>
      <c r="G283" s="883"/>
      <c r="H283" s="865"/>
      <c r="I283" s="868"/>
      <c r="J283" s="172"/>
      <c r="K283" s="38">
        <f>+$K$13</f>
        <v>0</v>
      </c>
      <c r="L283" s="172"/>
      <c r="M283" s="38">
        <f>+$M$13</f>
        <v>0</v>
      </c>
      <c r="N283" s="871"/>
      <c r="O283" s="871"/>
      <c r="P283" s="874"/>
      <c r="Q283" s="795"/>
      <c r="R283" s="795"/>
      <c r="S283" s="886">
        <f>IF(COUNTIF(J283:K285,"CUMPLE")&gt;=1,(G283*I283),0)* (IF(N283="PRESENTÓ CERTIFICADO",1,0))* (IF(O283="ACORDE A ITEM 5.2.2 (T.R.)",1,0) )* ( IF(OR(Q283="SIN OBSERVACIÓN", Q283="REQUERIMIENTOS SUBSANADOS"),1,0)) *(IF(OR(R283="NINGUNO", R283="CUMPLEN CON LO SOLICITADO"),1,0))</f>
        <v>0</v>
      </c>
      <c r="T283" s="904"/>
      <c r="U283" s="892">
        <f t="shared" ref="U283" si="55">IF(COUNTIF(J283:K285,"CUMPLE")&gt;=1,1,0)</f>
        <v>0</v>
      </c>
    </row>
    <row r="284" spans="2:21" ht="29.25" hidden="1" customHeight="1">
      <c r="B284" s="878"/>
      <c r="C284" s="881"/>
      <c r="D284" s="881"/>
      <c r="E284" s="881"/>
      <c r="F284" s="881"/>
      <c r="G284" s="884"/>
      <c r="H284" s="866"/>
      <c r="I284" s="869"/>
      <c r="J284" s="172"/>
      <c r="K284" s="38">
        <f>+$K$14</f>
        <v>0</v>
      </c>
      <c r="L284" s="893"/>
      <c r="M284" s="895">
        <f>+$M$14</f>
        <v>0</v>
      </c>
      <c r="N284" s="872"/>
      <c r="O284" s="872"/>
      <c r="P284" s="875"/>
      <c r="Q284" s="796"/>
      <c r="R284" s="796"/>
      <c r="S284" s="887"/>
      <c r="T284" s="904"/>
      <c r="U284" s="892"/>
    </row>
    <row r="285" spans="2:21" ht="29.25" hidden="1" customHeight="1">
      <c r="B285" s="879"/>
      <c r="C285" s="882"/>
      <c r="D285" s="882"/>
      <c r="E285" s="882"/>
      <c r="F285" s="882"/>
      <c r="G285" s="885"/>
      <c r="H285" s="867"/>
      <c r="I285" s="870"/>
      <c r="J285" s="172"/>
      <c r="K285" s="38">
        <f>+$K$15</f>
        <v>0</v>
      </c>
      <c r="L285" s="894"/>
      <c r="M285" s="896"/>
      <c r="N285" s="873"/>
      <c r="O285" s="873"/>
      <c r="P285" s="876"/>
      <c r="Q285" s="797"/>
      <c r="R285" s="797"/>
      <c r="S285" s="888"/>
      <c r="T285" s="904"/>
      <c r="U285" s="892"/>
    </row>
    <row r="286" spans="2:21" ht="29.25" hidden="1" customHeight="1">
      <c r="B286" s="877">
        <v>4</v>
      </c>
      <c r="C286" s="889"/>
      <c r="D286" s="889"/>
      <c r="E286" s="889"/>
      <c r="F286" s="889"/>
      <c r="G286" s="897"/>
      <c r="H286" s="865"/>
      <c r="I286" s="900"/>
      <c r="J286" s="172"/>
      <c r="K286" s="38">
        <f>+$K$13</f>
        <v>0</v>
      </c>
      <c r="L286" s="172"/>
      <c r="M286" s="38">
        <f>+$M$13</f>
        <v>0</v>
      </c>
      <c r="N286" s="871"/>
      <c r="O286" s="871"/>
      <c r="P286" s="874"/>
      <c r="Q286" s="795"/>
      <c r="R286" s="795"/>
      <c r="S286" s="886">
        <f>IF(COUNTIF(J286:K288,"CUMPLE")&gt;=1,(G286*I286),0)* (IF(N286="PRESENTÓ CERTIFICADO",1,0))* (IF(O286="ACORDE A ITEM 5.2.2 (T.R.)",1,0) )* ( IF(OR(Q286="SIN OBSERVACIÓN", Q286="REQUERIMIENTOS SUBSANADOS"),1,0)) *(IF(OR(R286="NINGUNO", R286="CUMPLEN CON LO SOLICITADO"),1,0))</f>
        <v>0</v>
      </c>
      <c r="T286" s="904"/>
      <c r="U286" s="892">
        <f>IF(COUNTIF(L286:M288,"CUMPLE")&gt;=1,1,0)</f>
        <v>0</v>
      </c>
    </row>
    <row r="287" spans="2:21" ht="29.25" hidden="1" customHeight="1">
      <c r="B287" s="878"/>
      <c r="C287" s="890"/>
      <c r="D287" s="890"/>
      <c r="E287" s="890"/>
      <c r="F287" s="890"/>
      <c r="G287" s="898"/>
      <c r="H287" s="866"/>
      <c r="I287" s="901"/>
      <c r="J287" s="172"/>
      <c r="K287" s="38">
        <f>+$K$14</f>
        <v>0</v>
      </c>
      <c r="L287" s="893"/>
      <c r="M287" s="895">
        <f>+$M$14</f>
        <v>0</v>
      </c>
      <c r="N287" s="872"/>
      <c r="O287" s="872"/>
      <c r="P287" s="875"/>
      <c r="Q287" s="796"/>
      <c r="R287" s="796"/>
      <c r="S287" s="887"/>
      <c r="T287" s="904"/>
      <c r="U287" s="892"/>
    </row>
    <row r="288" spans="2:21" ht="29.25" hidden="1" customHeight="1">
      <c r="B288" s="879"/>
      <c r="C288" s="891"/>
      <c r="D288" s="891"/>
      <c r="E288" s="891"/>
      <c r="F288" s="891"/>
      <c r="G288" s="899"/>
      <c r="H288" s="867"/>
      <c r="I288" s="902"/>
      <c r="J288" s="172"/>
      <c r="K288" s="38">
        <f>+$K$15</f>
        <v>0</v>
      </c>
      <c r="L288" s="894"/>
      <c r="M288" s="896"/>
      <c r="N288" s="873"/>
      <c r="O288" s="873"/>
      <c r="P288" s="876"/>
      <c r="Q288" s="797"/>
      <c r="R288" s="797"/>
      <c r="S288" s="888"/>
      <c r="T288" s="904"/>
      <c r="U288" s="892"/>
    </row>
    <row r="289" spans="2:21" ht="29.25" hidden="1" customHeight="1">
      <c r="B289" s="877">
        <v>5</v>
      </c>
      <c r="C289" s="880"/>
      <c r="D289" s="880"/>
      <c r="E289" s="880"/>
      <c r="F289" s="880"/>
      <c r="G289" s="883"/>
      <c r="H289" s="865"/>
      <c r="I289" s="868"/>
      <c r="J289" s="172"/>
      <c r="K289" s="38">
        <f>+$K$13</f>
        <v>0</v>
      </c>
      <c r="L289" s="172"/>
      <c r="M289" s="38">
        <f>+$M$13</f>
        <v>0</v>
      </c>
      <c r="N289" s="871"/>
      <c r="O289" s="871"/>
      <c r="P289" s="874"/>
      <c r="Q289" s="795"/>
      <c r="R289" s="795"/>
      <c r="S289" s="886">
        <f>IF(COUNTIF(J289:K291,"CUMPLE")&gt;=1,(G289*I289),0)* (IF(N289="PRESENTÓ CERTIFICADO",1,0))* (IF(O289="ACORDE A ITEM 5.2.2 (T.R.)",1,0) )* ( IF(OR(Q289="SIN OBSERVACIÓN", Q289="REQUERIMIENTOS SUBSANADOS"),1,0)) *(IF(OR(R289="NINGUNO", R289="CUMPLEN CON LO SOLICITADO"),1,0))</f>
        <v>0</v>
      </c>
      <c r="T289" s="904"/>
      <c r="U289" s="892">
        <f>IF(COUNTIF(L289:M291,"CUMPLE")&gt;=1,1,0)</f>
        <v>0</v>
      </c>
    </row>
    <row r="290" spans="2:21" ht="29.25" hidden="1" customHeight="1">
      <c r="B290" s="878"/>
      <c r="C290" s="881"/>
      <c r="D290" s="881"/>
      <c r="E290" s="881"/>
      <c r="F290" s="881"/>
      <c r="G290" s="884"/>
      <c r="H290" s="866"/>
      <c r="I290" s="869"/>
      <c r="J290" s="172"/>
      <c r="K290" s="38">
        <f>+$K$14</f>
        <v>0</v>
      </c>
      <c r="L290" s="893"/>
      <c r="M290" s="895">
        <f>+$M$14</f>
        <v>0</v>
      </c>
      <c r="N290" s="872"/>
      <c r="O290" s="872"/>
      <c r="P290" s="875"/>
      <c r="Q290" s="796"/>
      <c r="R290" s="796"/>
      <c r="S290" s="887"/>
      <c r="T290" s="904"/>
      <c r="U290" s="892"/>
    </row>
    <row r="291" spans="2:21" ht="29.25" hidden="1" customHeight="1">
      <c r="B291" s="879"/>
      <c r="C291" s="882"/>
      <c r="D291" s="882"/>
      <c r="E291" s="882"/>
      <c r="F291" s="882"/>
      <c r="G291" s="885"/>
      <c r="H291" s="867"/>
      <c r="I291" s="870"/>
      <c r="J291" s="172"/>
      <c r="K291" s="38">
        <f>+$K$15</f>
        <v>0</v>
      </c>
      <c r="L291" s="894"/>
      <c r="M291" s="896"/>
      <c r="N291" s="873"/>
      <c r="O291" s="873"/>
      <c r="P291" s="876"/>
      <c r="Q291" s="797"/>
      <c r="R291" s="797"/>
      <c r="S291" s="888"/>
      <c r="T291" s="905"/>
      <c r="U291" s="892"/>
    </row>
    <row r="292" spans="2:21" ht="18" hidden="1" customHeight="1">
      <c r="B292" s="854" t="str">
        <f>IF(S293=" "," ",IF(S293&gt;=$H$6,"CUMPLE CON LA EXPERIENCIA REQUERIDA","NO CUMPLE CON LA EXPERIENCIA REQUERIDA"))</f>
        <v xml:space="preserve"> </v>
      </c>
      <c r="C292" s="855"/>
      <c r="D292" s="855"/>
      <c r="E292" s="855"/>
      <c r="F292" s="855"/>
      <c r="G292" s="855"/>
      <c r="H292" s="855"/>
      <c r="I292" s="855"/>
      <c r="J292" s="855"/>
      <c r="K292" s="855"/>
      <c r="L292" s="855"/>
      <c r="M292" s="855"/>
      <c r="N292" s="855"/>
      <c r="O292" s="856"/>
      <c r="P292" s="860" t="s">
        <v>45</v>
      </c>
      <c r="Q292" s="861"/>
      <c r="R292" s="862"/>
      <c r="S292" s="44">
        <f>IF(T277="SI",SUM(S277:S291),0)</f>
        <v>0</v>
      </c>
      <c r="T292" s="863" t="str">
        <f>IF(S293=" "," ",IF(S293&gt;=$H$6,"CUMPLE","NO CUMPLE"))</f>
        <v xml:space="preserve"> </v>
      </c>
      <c r="U292" s="28"/>
    </row>
    <row r="293" spans="2:21" ht="18" hidden="1" customHeight="1">
      <c r="B293" s="857"/>
      <c r="C293" s="858"/>
      <c r="D293" s="858"/>
      <c r="E293" s="858"/>
      <c r="F293" s="858"/>
      <c r="G293" s="858"/>
      <c r="H293" s="858"/>
      <c r="I293" s="858"/>
      <c r="J293" s="858"/>
      <c r="K293" s="858"/>
      <c r="L293" s="858"/>
      <c r="M293" s="858"/>
      <c r="N293" s="858"/>
      <c r="O293" s="859"/>
      <c r="P293" s="860" t="s">
        <v>46</v>
      </c>
      <c r="Q293" s="861"/>
      <c r="R293" s="862"/>
      <c r="S293" s="44" t="str">
        <f>IFERROR((S292/$P$6)," ")</f>
        <v xml:space="preserve"> </v>
      </c>
      <c r="T293" s="864"/>
      <c r="U293" s="41"/>
    </row>
    <row r="294" spans="2:21" hidden="1"/>
    <row r="295" spans="2:21" hidden="1"/>
    <row r="296" spans="2:21" ht="33.75" hidden="1">
      <c r="B296" s="26">
        <v>14</v>
      </c>
      <c r="C296" s="916" t="s">
        <v>24</v>
      </c>
      <c r="D296" s="917"/>
      <c r="E296" s="918"/>
      <c r="F296" s="919">
        <f>IFERROR(VLOOKUP(B296,LISTA_OFERENTES,2,FALSE)," ")</f>
        <v>0</v>
      </c>
      <c r="G296" s="920"/>
      <c r="H296" s="920"/>
      <c r="I296" s="920"/>
      <c r="J296" s="920"/>
      <c r="K296" s="920"/>
      <c r="L296" s="920"/>
      <c r="M296" s="920"/>
      <c r="N296" s="920"/>
      <c r="O296" s="921"/>
      <c r="P296" s="922" t="s">
        <v>25</v>
      </c>
      <c r="Q296" s="923"/>
      <c r="R296" s="924"/>
      <c r="S296" s="27">
        <f>5-(INT(COUNTBLANK(C299:C313))-10)</f>
        <v>0</v>
      </c>
      <c r="T296" s="28"/>
    </row>
    <row r="297" spans="2:21" ht="51" hidden="1" customHeight="1">
      <c r="B297" s="914" t="s">
        <v>26</v>
      </c>
      <c r="C297" s="906" t="s">
        <v>27</v>
      </c>
      <c r="D297" s="906" t="s">
        <v>28</v>
      </c>
      <c r="E297" s="906" t="s">
        <v>29</v>
      </c>
      <c r="F297" s="906" t="s">
        <v>30</v>
      </c>
      <c r="G297" s="906" t="s">
        <v>31</v>
      </c>
      <c r="H297" s="906" t="s">
        <v>32</v>
      </c>
      <c r="I297" s="906" t="s">
        <v>33</v>
      </c>
      <c r="J297" s="911" t="s">
        <v>34</v>
      </c>
      <c r="K297" s="912"/>
      <c r="L297" s="912"/>
      <c r="M297" s="913"/>
      <c r="N297" s="906" t="s">
        <v>35</v>
      </c>
      <c r="O297" s="906" t="s">
        <v>36</v>
      </c>
      <c r="P297" s="911" t="s">
        <v>37</v>
      </c>
      <c r="Q297" s="913"/>
      <c r="R297" s="906" t="s">
        <v>38</v>
      </c>
      <c r="S297" s="906" t="s">
        <v>39</v>
      </c>
      <c r="T297" s="906" t="str">
        <f>+$T$11</f>
        <v>Cumple con el requerimiento del numeral 6.2.2.2.1</v>
      </c>
      <c r="U297" s="906" t="str">
        <f>+$U$11</f>
        <v xml:space="preserve">VERIFICACIÓN CONDICIÓN DE EXPERIENCIA  </v>
      </c>
    </row>
    <row r="298" spans="2:21" ht="54.75" hidden="1" customHeight="1">
      <c r="B298" s="915"/>
      <c r="C298" s="907"/>
      <c r="D298" s="907"/>
      <c r="E298" s="907"/>
      <c r="F298" s="907"/>
      <c r="G298" s="907"/>
      <c r="H298" s="907"/>
      <c r="I298" s="907"/>
      <c r="J298" s="908" t="s">
        <v>42</v>
      </c>
      <c r="K298" s="909"/>
      <c r="L298" s="909"/>
      <c r="M298" s="910"/>
      <c r="N298" s="907"/>
      <c r="O298" s="907"/>
      <c r="P298" s="33" t="s">
        <v>10</v>
      </c>
      <c r="Q298" s="33" t="s">
        <v>43</v>
      </c>
      <c r="R298" s="907"/>
      <c r="S298" s="907"/>
      <c r="T298" s="907"/>
      <c r="U298" s="907"/>
    </row>
    <row r="299" spans="2:21" ht="33" hidden="1" customHeight="1">
      <c r="B299" s="877">
        <v>1</v>
      </c>
      <c r="C299" s="880"/>
      <c r="D299" s="880"/>
      <c r="E299" s="880"/>
      <c r="F299" s="880"/>
      <c r="G299" s="883"/>
      <c r="H299" s="865"/>
      <c r="I299" s="868"/>
      <c r="J299" s="172"/>
      <c r="K299" s="38">
        <f>+$K$13</f>
        <v>0</v>
      </c>
      <c r="L299" s="172"/>
      <c r="M299" s="38">
        <f>+$M$13</f>
        <v>0</v>
      </c>
      <c r="N299" s="871"/>
      <c r="O299" s="871"/>
      <c r="P299" s="874"/>
      <c r="Q299" s="795"/>
      <c r="R299" s="795"/>
      <c r="S299" s="886">
        <f>IF(COUNTIF(J299:K301,"CUMPLE")&gt;=1,(G299*I299),0)* (IF(N299="PRESENTÓ CERTIFICADO",1,0))* (IF(O299="ACORDE A ITEM 5.2.2 (T.R.)",1,0) )* ( IF(OR(Q299="SIN OBSERVACIÓN", Q299="REQUERIMIENTOS SUBSANADOS"),1,0)) *(IF(OR(R299="NINGUNO", R299="CUMPLEN CON LO SOLICITADO"),1,0))</f>
        <v>0</v>
      </c>
      <c r="T299" s="903"/>
      <c r="U299" s="892">
        <f>IF(COUNTIF(L299:M301,"CUMPLE")&gt;=1,1,0)</f>
        <v>0</v>
      </c>
    </row>
    <row r="300" spans="2:21" ht="33" hidden="1" customHeight="1">
      <c r="B300" s="878"/>
      <c r="C300" s="881"/>
      <c r="D300" s="881"/>
      <c r="E300" s="881"/>
      <c r="F300" s="881"/>
      <c r="G300" s="884"/>
      <c r="H300" s="866"/>
      <c r="I300" s="869"/>
      <c r="J300" s="172"/>
      <c r="K300" s="38">
        <f>+$K$14</f>
        <v>0</v>
      </c>
      <c r="L300" s="893"/>
      <c r="M300" s="895">
        <f>+$M$14</f>
        <v>0</v>
      </c>
      <c r="N300" s="872"/>
      <c r="O300" s="872"/>
      <c r="P300" s="875"/>
      <c r="Q300" s="796"/>
      <c r="R300" s="796"/>
      <c r="S300" s="887"/>
      <c r="T300" s="904"/>
      <c r="U300" s="892"/>
    </row>
    <row r="301" spans="2:21" ht="33" hidden="1" customHeight="1">
      <c r="B301" s="879"/>
      <c r="C301" s="882"/>
      <c r="D301" s="882"/>
      <c r="E301" s="882"/>
      <c r="F301" s="882"/>
      <c r="G301" s="885"/>
      <c r="H301" s="867"/>
      <c r="I301" s="870"/>
      <c r="J301" s="172"/>
      <c r="K301" s="38">
        <f>+$K$15</f>
        <v>0</v>
      </c>
      <c r="L301" s="894"/>
      <c r="M301" s="896"/>
      <c r="N301" s="873"/>
      <c r="O301" s="873"/>
      <c r="P301" s="876"/>
      <c r="Q301" s="797"/>
      <c r="R301" s="797"/>
      <c r="S301" s="888"/>
      <c r="T301" s="904"/>
      <c r="U301" s="892"/>
    </row>
    <row r="302" spans="2:21" ht="33" hidden="1" customHeight="1">
      <c r="B302" s="877">
        <v>2</v>
      </c>
      <c r="C302" s="889"/>
      <c r="D302" s="889"/>
      <c r="E302" s="889"/>
      <c r="F302" s="889"/>
      <c r="G302" s="897"/>
      <c r="H302" s="865"/>
      <c r="I302" s="900"/>
      <c r="J302" s="172"/>
      <c r="K302" s="38">
        <f>+$K$13</f>
        <v>0</v>
      </c>
      <c r="L302" s="172"/>
      <c r="M302" s="38">
        <f>+$M$13</f>
        <v>0</v>
      </c>
      <c r="N302" s="871"/>
      <c r="O302" s="871"/>
      <c r="P302" s="874"/>
      <c r="Q302" s="795"/>
      <c r="R302" s="795"/>
      <c r="S302" s="886">
        <f>IF(COUNTIF(J302:K304,"CUMPLE")&gt;=1,(G302*I302),0)* (IF(N302="PRESENTÓ CERTIFICADO",1,0))* (IF(O302="ACORDE A ITEM 5.2.2 (T.R.)",1,0) )* ( IF(OR(Q302="SIN OBSERVACIÓN", Q302="REQUERIMIENTOS SUBSANADOS"),1,0)) *(IF(OR(R302="NINGUNO", R302="CUMPLEN CON LO SOLICITADO"),1,0))</f>
        <v>0</v>
      </c>
      <c r="T302" s="904"/>
      <c r="U302" s="892">
        <f>IF(COUNTIF(L302:M304,"CUMPLE")&gt;=1,1,0)</f>
        <v>0</v>
      </c>
    </row>
    <row r="303" spans="2:21" ht="33" hidden="1" customHeight="1">
      <c r="B303" s="878"/>
      <c r="C303" s="890"/>
      <c r="D303" s="890"/>
      <c r="E303" s="890"/>
      <c r="F303" s="890"/>
      <c r="G303" s="898"/>
      <c r="H303" s="866"/>
      <c r="I303" s="901"/>
      <c r="J303" s="172"/>
      <c r="K303" s="38">
        <f>+$K$14</f>
        <v>0</v>
      </c>
      <c r="L303" s="893"/>
      <c r="M303" s="895">
        <f>+$M$14</f>
        <v>0</v>
      </c>
      <c r="N303" s="872"/>
      <c r="O303" s="872"/>
      <c r="P303" s="875"/>
      <c r="Q303" s="796"/>
      <c r="R303" s="796"/>
      <c r="S303" s="887"/>
      <c r="T303" s="904"/>
      <c r="U303" s="892"/>
    </row>
    <row r="304" spans="2:21" ht="33" hidden="1" customHeight="1">
      <c r="B304" s="879"/>
      <c r="C304" s="891"/>
      <c r="D304" s="891"/>
      <c r="E304" s="891"/>
      <c r="F304" s="891"/>
      <c r="G304" s="899"/>
      <c r="H304" s="867"/>
      <c r="I304" s="902"/>
      <c r="J304" s="172"/>
      <c r="K304" s="38">
        <f>+$K$15</f>
        <v>0</v>
      </c>
      <c r="L304" s="894"/>
      <c r="M304" s="896"/>
      <c r="N304" s="873"/>
      <c r="O304" s="873"/>
      <c r="P304" s="876"/>
      <c r="Q304" s="797"/>
      <c r="R304" s="797"/>
      <c r="S304" s="888"/>
      <c r="T304" s="904"/>
      <c r="U304" s="892"/>
    </row>
    <row r="305" spans="2:21" ht="33" hidden="1" customHeight="1">
      <c r="B305" s="877">
        <v>3</v>
      </c>
      <c r="C305" s="880"/>
      <c r="D305" s="880"/>
      <c r="E305" s="880"/>
      <c r="F305" s="880"/>
      <c r="G305" s="883"/>
      <c r="H305" s="865"/>
      <c r="I305" s="868"/>
      <c r="J305" s="172"/>
      <c r="K305" s="38">
        <f>+$K$13</f>
        <v>0</v>
      </c>
      <c r="L305" s="172"/>
      <c r="M305" s="38">
        <f>+$M$13</f>
        <v>0</v>
      </c>
      <c r="N305" s="871"/>
      <c r="O305" s="871"/>
      <c r="P305" s="874"/>
      <c r="Q305" s="795"/>
      <c r="R305" s="795"/>
      <c r="S305" s="886">
        <f>IF(COUNTIF(J305:K307,"CUMPLE")&gt;=1,(G305*I305),0)* (IF(N305="PRESENTÓ CERTIFICADO",1,0))* (IF(O305="ACORDE A ITEM 5.2.2 (T.R.)",1,0) )* ( IF(OR(Q305="SIN OBSERVACIÓN", Q305="REQUERIMIENTOS SUBSANADOS"),1,0)) *(IF(OR(R305="NINGUNO", R305="CUMPLEN CON LO SOLICITADO"),1,0))</f>
        <v>0</v>
      </c>
      <c r="T305" s="904"/>
      <c r="U305" s="892">
        <f>IF(COUNTIF(L305:M307,"CUMPLE")&gt;=1,1,0)</f>
        <v>0</v>
      </c>
    </row>
    <row r="306" spans="2:21" ht="33" hidden="1" customHeight="1">
      <c r="B306" s="878"/>
      <c r="C306" s="881"/>
      <c r="D306" s="881"/>
      <c r="E306" s="881"/>
      <c r="F306" s="881"/>
      <c r="G306" s="884"/>
      <c r="H306" s="866"/>
      <c r="I306" s="869"/>
      <c r="J306" s="172"/>
      <c r="K306" s="38">
        <f>+$K$14</f>
        <v>0</v>
      </c>
      <c r="L306" s="893"/>
      <c r="M306" s="895">
        <f>+$M$14</f>
        <v>0</v>
      </c>
      <c r="N306" s="872"/>
      <c r="O306" s="872"/>
      <c r="P306" s="875"/>
      <c r="Q306" s="796"/>
      <c r="R306" s="796"/>
      <c r="S306" s="887"/>
      <c r="T306" s="904"/>
      <c r="U306" s="892"/>
    </row>
    <row r="307" spans="2:21" ht="33" hidden="1" customHeight="1">
      <c r="B307" s="879"/>
      <c r="C307" s="882"/>
      <c r="D307" s="882"/>
      <c r="E307" s="882"/>
      <c r="F307" s="882"/>
      <c r="G307" s="885"/>
      <c r="H307" s="867"/>
      <c r="I307" s="870"/>
      <c r="J307" s="172"/>
      <c r="K307" s="38">
        <f>+$K$15</f>
        <v>0</v>
      </c>
      <c r="L307" s="894"/>
      <c r="M307" s="896"/>
      <c r="N307" s="873"/>
      <c r="O307" s="873"/>
      <c r="P307" s="876"/>
      <c r="Q307" s="797"/>
      <c r="R307" s="797"/>
      <c r="S307" s="888"/>
      <c r="T307" s="904"/>
      <c r="U307" s="892"/>
    </row>
    <row r="308" spans="2:21" ht="33" hidden="1" customHeight="1">
      <c r="B308" s="877">
        <v>4</v>
      </c>
      <c r="C308" s="889"/>
      <c r="D308" s="889"/>
      <c r="E308" s="889"/>
      <c r="F308" s="889"/>
      <c r="G308" s="897"/>
      <c r="H308" s="865"/>
      <c r="I308" s="900"/>
      <c r="J308" s="172"/>
      <c r="K308" s="38">
        <f>+$K$13</f>
        <v>0</v>
      </c>
      <c r="L308" s="172"/>
      <c r="M308" s="38">
        <f>+$M$13</f>
        <v>0</v>
      </c>
      <c r="N308" s="871"/>
      <c r="O308" s="871"/>
      <c r="P308" s="874"/>
      <c r="Q308" s="795"/>
      <c r="R308" s="795"/>
      <c r="S308" s="886">
        <f>IF(COUNTIF(J308:K310,"CUMPLE")&gt;=1,(G308*I308),0)* (IF(N308="PRESENTÓ CERTIFICADO",1,0))* (IF(O308="ACORDE A ITEM 5.2.2 (T.R.)",1,0) )* ( IF(OR(Q308="SIN OBSERVACIÓN", Q308="REQUERIMIENTOS SUBSANADOS"),1,0)) *(IF(OR(R308="NINGUNO", R308="CUMPLEN CON LO SOLICITADO"),1,0))</f>
        <v>0</v>
      </c>
      <c r="T308" s="904"/>
      <c r="U308" s="892">
        <f>IF(COUNTIF(L308:M310,"CUMPLE")&gt;=1,1,0)</f>
        <v>0</v>
      </c>
    </row>
    <row r="309" spans="2:21" ht="33" hidden="1" customHeight="1">
      <c r="B309" s="878"/>
      <c r="C309" s="890"/>
      <c r="D309" s="890"/>
      <c r="E309" s="890"/>
      <c r="F309" s="890"/>
      <c r="G309" s="898"/>
      <c r="H309" s="866"/>
      <c r="I309" s="901"/>
      <c r="J309" s="172"/>
      <c r="K309" s="38">
        <f>+$K$14</f>
        <v>0</v>
      </c>
      <c r="L309" s="893"/>
      <c r="M309" s="895">
        <f>+$M$14</f>
        <v>0</v>
      </c>
      <c r="N309" s="872"/>
      <c r="O309" s="872"/>
      <c r="P309" s="875"/>
      <c r="Q309" s="796"/>
      <c r="R309" s="796"/>
      <c r="S309" s="887"/>
      <c r="T309" s="904"/>
      <c r="U309" s="892"/>
    </row>
    <row r="310" spans="2:21" ht="33" hidden="1" customHeight="1">
      <c r="B310" s="879"/>
      <c r="C310" s="891"/>
      <c r="D310" s="891"/>
      <c r="E310" s="891"/>
      <c r="F310" s="891"/>
      <c r="G310" s="899"/>
      <c r="H310" s="867"/>
      <c r="I310" s="902"/>
      <c r="J310" s="172"/>
      <c r="K310" s="38">
        <f>+$K$15</f>
        <v>0</v>
      </c>
      <c r="L310" s="894"/>
      <c r="M310" s="896"/>
      <c r="N310" s="873"/>
      <c r="O310" s="873"/>
      <c r="P310" s="876"/>
      <c r="Q310" s="797"/>
      <c r="R310" s="797"/>
      <c r="S310" s="888"/>
      <c r="T310" s="904"/>
      <c r="U310" s="892"/>
    </row>
    <row r="311" spans="2:21" ht="33" hidden="1" customHeight="1">
      <c r="B311" s="877">
        <v>5</v>
      </c>
      <c r="C311" s="880"/>
      <c r="D311" s="880"/>
      <c r="E311" s="880"/>
      <c r="F311" s="880"/>
      <c r="G311" s="883"/>
      <c r="H311" s="865"/>
      <c r="I311" s="868"/>
      <c r="J311" s="172"/>
      <c r="K311" s="38">
        <f>+$K$13</f>
        <v>0</v>
      </c>
      <c r="L311" s="172"/>
      <c r="M311" s="38">
        <f>+$M$13</f>
        <v>0</v>
      </c>
      <c r="N311" s="871"/>
      <c r="O311" s="871"/>
      <c r="P311" s="874"/>
      <c r="Q311" s="795"/>
      <c r="R311" s="795"/>
      <c r="S311" s="886">
        <f>IF(COUNTIF(J311:K313,"CUMPLE")&gt;=1,(G311*I311),0)* (IF(N311="PRESENTÓ CERTIFICADO",1,0))* (IF(O311="ACORDE A ITEM 5.2.2 (T.R.)",1,0) )* ( IF(OR(Q311="SIN OBSERVACIÓN", Q311="REQUERIMIENTOS SUBSANADOS"),1,0)) *(IF(OR(R311="NINGUNO", R311="CUMPLEN CON LO SOLICITADO"),1,0))</f>
        <v>0</v>
      </c>
      <c r="T311" s="904"/>
      <c r="U311" s="892">
        <f>IF(COUNTIF(L311:M313,"CUMPLE")&gt;=1,1,0)</f>
        <v>0</v>
      </c>
    </row>
    <row r="312" spans="2:21" ht="33" hidden="1" customHeight="1">
      <c r="B312" s="878"/>
      <c r="C312" s="881"/>
      <c r="D312" s="881"/>
      <c r="E312" s="881"/>
      <c r="F312" s="881"/>
      <c r="G312" s="884"/>
      <c r="H312" s="866"/>
      <c r="I312" s="869"/>
      <c r="J312" s="172"/>
      <c r="K312" s="38">
        <f>+$K$14</f>
        <v>0</v>
      </c>
      <c r="L312" s="893"/>
      <c r="M312" s="895">
        <f>+$M$14</f>
        <v>0</v>
      </c>
      <c r="N312" s="872"/>
      <c r="O312" s="872"/>
      <c r="P312" s="875"/>
      <c r="Q312" s="796"/>
      <c r="R312" s="796"/>
      <c r="S312" s="887"/>
      <c r="T312" s="904"/>
      <c r="U312" s="892"/>
    </row>
    <row r="313" spans="2:21" ht="33" hidden="1" customHeight="1">
      <c r="B313" s="879"/>
      <c r="C313" s="882"/>
      <c r="D313" s="882"/>
      <c r="E313" s="882"/>
      <c r="F313" s="882"/>
      <c r="G313" s="885"/>
      <c r="H313" s="867"/>
      <c r="I313" s="870"/>
      <c r="J313" s="172"/>
      <c r="K313" s="38">
        <f>+$K$15</f>
        <v>0</v>
      </c>
      <c r="L313" s="894"/>
      <c r="M313" s="896"/>
      <c r="N313" s="873"/>
      <c r="O313" s="873"/>
      <c r="P313" s="876"/>
      <c r="Q313" s="797"/>
      <c r="R313" s="797"/>
      <c r="S313" s="888"/>
      <c r="T313" s="905"/>
      <c r="U313" s="892"/>
    </row>
    <row r="314" spans="2:21" ht="18" hidden="1" customHeight="1">
      <c r="B314" s="854" t="str">
        <f>IF(S315=" "," ",IF(S315&gt;=$H$6,"CUMPLE CON LA EXPERIENCIA REQUERIDA","NO CUMPLE CON LA EXPERIENCIA REQUERIDA"))</f>
        <v xml:space="preserve"> </v>
      </c>
      <c r="C314" s="855"/>
      <c r="D314" s="855"/>
      <c r="E314" s="855"/>
      <c r="F314" s="855"/>
      <c r="G314" s="855"/>
      <c r="H314" s="855"/>
      <c r="I314" s="855"/>
      <c r="J314" s="855"/>
      <c r="K314" s="855"/>
      <c r="L314" s="855"/>
      <c r="M314" s="855"/>
      <c r="N314" s="855"/>
      <c r="O314" s="856"/>
      <c r="P314" s="860" t="s">
        <v>45</v>
      </c>
      <c r="Q314" s="861"/>
      <c r="R314" s="862"/>
      <c r="S314" s="44">
        <f>IF(T299="SI",SUM(S299:S313),0)</f>
        <v>0</v>
      </c>
      <c r="T314" s="863" t="str">
        <f>IF(S315=" "," ",IF(S315&gt;=$H$6,"CUMPLE","NO CUMPLE"))</f>
        <v xml:space="preserve"> </v>
      </c>
      <c r="U314" s="28"/>
    </row>
    <row r="315" spans="2:21" ht="18" hidden="1" customHeight="1">
      <c r="B315" s="857"/>
      <c r="C315" s="858"/>
      <c r="D315" s="858"/>
      <c r="E315" s="858"/>
      <c r="F315" s="858"/>
      <c r="G315" s="858"/>
      <c r="H315" s="858"/>
      <c r="I315" s="858"/>
      <c r="J315" s="858"/>
      <c r="K315" s="858"/>
      <c r="L315" s="858"/>
      <c r="M315" s="858"/>
      <c r="N315" s="858"/>
      <c r="O315" s="859"/>
      <c r="P315" s="860" t="s">
        <v>46</v>
      </c>
      <c r="Q315" s="861"/>
      <c r="R315" s="862"/>
      <c r="S315" s="44" t="str">
        <f>IFERROR((S314/$P$6)," ")</f>
        <v xml:space="preserve"> </v>
      </c>
      <c r="T315" s="864"/>
      <c r="U315" s="41"/>
    </row>
    <row r="324" spans="8:8">
      <c r="H324" s="259"/>
    </row>
    <row r="325" spans="8:8">
      <c r="H325" s="278"/>
    </row>
  </sheetData>
  <sheetProtection algorithmName="SHA-512" hashValue="YJBbWtB6z9uX59hzqkLcysOn298G7xOVzlkX7Xc6HSj1UFGfJBS+VndraatiKdw9IAhvTRI/SRdZ0bdyZ5QBxQ==" saltValue="a1/gC9ztpJkHCN7wFnW8Wg==" spinCount="100000" sheet="1" objects="1" scenarios="1"/>
  <mergeCells count="1550">
    <mergeCell ref="B1:S1"/>
    <mergeCell ref="B3:S3"/>
    <mergeCell ref="F4:N4"/>
    <mergeCell ref="F5:G5"/>
    <mergeCell ref="L5:M6"/>
    <mergeCell ref="N5:O5"/>
    <mergeCell ref="F6:G6"/>
    <mergeCell ref="N6:O6"/>
    <mergeCell ref="S11:S12"/>
    <mergeCell ref="T11:T12"/>
    <mergeCell ref="U11:U12"/>
    <mergeCell ref="W11:Y11"/>
    <mergeCell ref="J12:M12"/>
    <mergeCell ref="B13:B15"/>
    <mergeCell ref="C13:C15"/>
    <mergeCell ref="D13:D15"/>
    <mergeCell ref="E13:E15"/>
    <mergeCell ref="F13:F15"/>
    <mergeCell ref="I11:I12"/>
    <mergeCell ref="J11:M11"/>
    <mergeCell ref="N11:N12"/>
    <mergeCell ref="O11:O12"/>
    <mergeCell ref="P11:Q11"/>
    <mergeCell ref="R11:R12"/>
    <mergeCell ref="C10:E10"/>
    <mergeCell ref="F10:O10"/>
    <mergeCell ref="P10:R10"/>
    <mergeCell ref="B11:B12"/>
    <mergeCell ref="C11:C12"/>
    <mergeCell ref="D11:D12"/>
    <mergeCell ref="E11:E12"/>
    <mergeCell ref="F11:F12"/>
    <mergeCell ref="R13:R15"/>
    <mergeCell ref="S13:S15"/>
    <mergeCell ref="T13:T27"/>
    <mergeCell ref="U13:U15"/>
    <mergeCell ref="AI13:AI28"/>
    <mergeCell ref="R16:R18"/>
    <mergeCell ref="S16:S18"/>
    <mergeCell ref="U16:U18"/>
    <mergeCell ref="R19:R21"/>
    <mergeCell ref="G13:G15"/>
    <mergeCell ref="H13:H15"/>
    <mergeCell ref="I13:I15"/>
    <mergeCell ref="N13:N15"/>
    <mergeCell ref="O13:O15"/>
    <mergeCell ref="P13:P15"/>
    <mergeCell ref="L14:L15"/>
    <mergeCell ref="M14:M15"/>
    <mergeCell ref="R22:R24"/>
    <mergeCell ref="S22:S24"/>
    <mergeCell ref="U22:U24"/>
    <mergeCell ref="L23:L24"/>
    <mergeCell ref="M23:M24"/>
    <mergeCell ref="B28:O29"/>
    <mergeCell ref="P28:R28"/>
    <mergeCell ref="T28:T29"/>
    <mergeCell ref="P29:R29"/>
    <mergeCell ref="H16:H18"/>
    <mergeCell ref="I16:I18"/>
    <mergeCell ref="N16:N18"/>
    <mergeCell ref="O16:O18"/>
    <mergeCell ref="P16:P18"/>
    <mergeCell ref="Q16:Q18"/>
    <mergeCell ref="L17:L18"/>
    <mergeCell ref="M17:M18"/>
    <mergeCell ref="B16:B18"/>
    <mergeCell ref="C16:C18"/>
    <mergeCell ref="D16:D18"/>
    <mergeCell ref="E16:E18"/>
    <mergeCell ref="F16:F18"/>
    <mergeCell ref="G16:G18"/>
    <mergeCell ref="G11:G12"/>
    <mergeCell ref="H11:H12"/>
    <mergeCell ref="Q13:Q15"/>
    <mergeCell ref="H22:H24"/>
    <mergeCell ref="I22:I24"/>
    <mergeCell ref="N22:N24"/>
    <mergeCell ref="O22:O24"/>
    <mergeCell ref="P22:P24"/>
    <mergeCell ref="Q22:Q24"/>
    <mergeCell ref="S19:S21"/>
    <mergeCell ref="U19:U21"/>
    <mergeCell ref="L20:L21"/>
    <mergeCell ref="M20:M21"/>
    <mergeCell ref="B22:B24"/>
    <mergeCell ref="C22:C24"/>
    <mergeCell ref="D22:D24"/>
    <mergeCell ref="E22:E24"/>
    <mergeCell ref="F22:F24"/>
    <mergeCell ref="G22:G24"/>
    <mergeCell ref="H19:H21"/>
    <mergeCell ref="I19:I21"/>
    <mergeCell ref="N19:N21"/>
    <mergeCell ref="O19:O21"/>
    <mergeCell ref="P19:P21"/>
    <mergeCell ref="Q19:Q21"/>
    <mergeCell ref="B19:B21"/>
    <mergeCell ref="C19:C21"/>
    <mergeCell ref="D19:D21"/>
    <mergeCell ref="E19:E21"/>
    <mergeCell ref="F19:F21"/>
    <mergeCell ref="G19:G21"/>
    <mergeCell ref="U25:U27"/>
    <mergeCell ref="L26:L27"/>
    <mergeCell ref="M26:M27"/>
    <mergeCell ref="G25:G27"/>
    <mergeCell ref="H25:H27"/>
    <mergeCell ref="I25:I27"/>
    <mergeCell ref="N25:N27"/>
    <mergeCell ref="O25:O27"/>
    <mergeCell ref="P25:P27"/>
    <mergeCell ref="R33:R34"/>
    <mergeCell ref="S33:S34"/>
    <mergeCell ref="T33:T34"/>
    <mergeCell ref="U33:U34"/>
    <mergeCell ref="J34:M34"/>
    <mergeCell ref="B25:B27"/>
    <mergeCell ref="C25:C27"/>
    <mergeCell ref="D25:D27"/>
    <mergeCell ref="E25:E27"/>
    <mergeCell ref="F25:F27"/>
    <mergeCell ref="H33:H34"/>
    <mergeCell ref="I33:I34"/>
    <mergeCell ref="J33:M33"/>
    <mergeCell ref="N33:N34"/>
    <mergeCell ref="O33:O34"/>
    <mergeCell ref="P33:Q33"/>
    <mergeCell ref="B33:B34"/>
    <mergeCell ref="C33:C34"/>
    <mergeCell ref="D33:D34"/>
    <mergeCell ref="E33:E34"/>
    <mergeCell ref="F33:F34"/>
    <mergeCell ref="G33:G34"/>
    <mergeCell ref="C32:E32"/>
    <mergeCell ref="F32:O32"/>
    <mergeCell ref="P32:R32"/>
    <mergeCell ref="Q25:Q27"/>
    <mergeCell ref="R25:R27"/>
    <mergeCell ref="B38:B40"/>
    <mergeCell ref="C38:C40"/>
    <mergeCell ref="D38:D40"/>
    <mergeCell ref="E38:E40"/>
    <mergeCell ref="F38:F40"/>
    <mergeCell ref="G38:G40"/>
    <mergeCell ref="Q35:Q37"/>
    <mergeCell ref="R35:R37"/>
    <mergeCell ref="S35:S37"/>
    <mergeCell ref="L36:L37"/>
    <mergeCell ref="M36:M37"/>
    <mergeCell ref="R38:R40"/>
    <mergeCell ref="S38:S40"/>
    <mergeCell ref="G35:G37"/>
    <mergeCell ref="H35:H37"/>
    <mergeCell ref="I35:I37"/>
    <mergeCell ref="N35:N37"/>
    <mergeCell ref="O35:O37"/>
    <mergeCell ref="P35:P37"/>
    <mergeCell ref="B35:B37"/>
    <mergeCell ref="C35:C37"/>
    <mergeCell ref="D35:D37"/>
    <mergeCell ref="E35:E37"/>
    <mergeCell ref="F35:F37"/>
    <mergeCell ref="S25:S27"/>
    <mergeCell ref="B44:B46"/>
    <mergeCell ref="C44:C46"/>
    <mergeCell ref="D44:D46"/>
    <mergeCell ref="E44:E46"/>
    <mergeCell ref="F44:F46"/>
    <mergeCell ref="H41:H43"/>
    <mergeCell ref="I41:I43"/>
    <mergeCell ref="N41:N43"/>
    <mergeCell ref="O41:O43"/>
    <mergeCell ref="P41:P43"/>
    <mergeCell ref="Q41:Q43"/>
    <mergeCell ref="B41:B43"/>
    <mergeCell ref="C41:C43"/>
    <mergeCell ref="D41:D43"/>
    <mergeCell ref="E41:E43"/>
    <mergeCell ref="F41:F43"/>
    <mergeCell ref="G41:G43"/>
    <mergeCell ref="Q44:Q46"/>
    <mergeCell ref="R44:R46"/>
    <mergeCell ref="S44:S46"/>
    <mergeCell ref="U44:U46"/>
    <mergeCell ref="L45:L46"/>
    <mergeCell ref="M45:M46"/>
    <mergeCell ref="G44:G46"/>
    <mergeCell ref="H44:H46"/>
    <mergeCell ref="I44:I46"/>
    <mergeCell ref="N44:N46"/>
    <mergeCell ref="O44:O46"/>
    <mergeCell ref="P44:P46"/>
    <mergeCell ref="R41:R43"/>
    <mergeCell ref="S41:S43"/>
    <mergeCell ref="U41:U43"/>
    <mergeCell ref="L42:L43"/>
    <mergeCell ref="M42:M43"/>
    <mergeCell ref="T35:T49"/>
    <mergeCell ref="U35:U37"/>
    <mergeCell ref="U38:U40"/>
    <mergeCell ref="R47:R49"/>
    <mergeCell ref="S47:S49"/>
    <mergeCell ref="U47:U49"/>
    <mergeCell ref="L48:L49"/>
    <mergeCell ref="M48:M49"/>
    <mergeCell ref="H38:H40"/>
    <mergeCell ref="I38:I40"/>
    <mergeCell ref="N38:N40"/>
    <mergeCell ref="O38:O40"/>
    <mergeCell ref="P38:P40"/>
    <mergeCell ref="Q38:Q40"/>
    <mergeCell ref="L39:L40"/>
    <mergeCell ref="M39:M40"/>
    <mergeCell ref="B50:O51"/>
    <mergeCell ref="P50:R50"/>
    <mergeCell ref="T50:T51"/>
    <mergeCell ref="P51:R51"/>
    <mergeCell ref="H47:H49"/>
    <mergeCell ref="I47:I49"/>
    <mergeCell ref="N47:N49"/>
    <mergeCell ref="O47:O49"/>
    <mergeCell ref="P47:P49"/>
    <mergeCell ref="Q47:Q49"/>
    <mergeCell ref="B47:B49"/>
    <mergeCell ref="C47:C49"/>
    <mergeCell ref="D47:D49"/>
    <mergeCell ref="E47:E49"/>
    <mergeCell ref="F47:F49"/>
    <mergeCell ref="G47:G49"/>
    <mergeCell ref="B57:B59"/>
    <mergeCell ref="C57:C59"/>
    <mergeCell ref="D57:D59"/>
    <mergeCell ref="E57:E59"/>
    <mergeCell ref="F57:F59"/>
    <mergeCell ref="G57:G59"/>
    <mergeCell ref="I55:I56"/>
    <mergeCell ref="J55:M55"/>
    <mergeCell ref="N55:N56"/>
    <mergeCell ref="O55:O56"/>
    <mergeCell ref="P55:Q55"/>
    <mergeCell ref="R55:R56"/>
    <mergeCell ref="C54:E54"/>
    <mergeCell ref="F54:O54"/>
    <mergeCell ref="P54:R54"/>
    <mergeCell ref="B55:B56"/>
    <mergeCell ref="R57:R59"/>
    <mergeCell ref="S57:S59"/>
    <mergeCell ref="T57:T71"/>
    <mergeCell ref="U57:U59"/>
    <mergeCell ref="L58:L59"/>
    <mergeCell ref="M58:M59"/>
    <mergeCell ref="R60:R62"/>
    <mergeCell ref="S60:S62"/>
    <mergeCell ref="U60:U62"/>
    <mergeCell ref="R63:R65"/>
    <mergeCell ref="H57:H59"/>
    <mergeCell ref="I57:I59"/>
    <mergeCell ref="N57:N59"/>
    <mergeCell ref="O57:O59"/>
    <mergeCell ref="P57:P59"/>
    <mergeCell ref="Q57:Q59"/>
    <mergeCell ref="S55:S56"/>
    <mergeCell ref="T55:T56"/>
    <mergeCell ref="U55:U56"/>
    <mergeCell ref="J56:M56"/>
    <mergeCell ref="R66:R68"/>
    <mergeCell ref="S66:S68"/>
    <mergeCell ref="U66:U68"/>
    <mergeCell ref="L67:L68"/>
    <mergeCell ref="M67:M68"/>
    <mergeCell ref="H60:H62"/>
    <mergeCell ref="I60:I62"/>
    <mergeCell ref="N60:N62"/>
    <mergeCell ref="O60:O62"/>
    <mergeCell ref="P60:P62"/>
    <mergeCell ref="Q60:Q62"/>
    <mergeCell ref="L61:L62"/>
    <mergeCell ref="M61:M62"/>
    <mergeCell ref="B60:B62"/>
    <mergeCell ref="C60:C62"/>
    <mergeCell ref="D60:D62"/>
    <mergeCell ref="E60:E62"/>
    <mergeCell ref="F60:F62"/>
    <mergeCell ref="G60:G62"/>
    <mergeCell ref="C55:C56"/>
    <mergeCell ref="D55:D56"/>
    <mergeCell ref="E55:E56"/>
    <mergeCell ref="F55:F56"/>
    <mergeCell ref="G55:G56"/>
    <mergeCell ref="H55:H56"/>
    <mergeCell ref="H66:H68"/>
    <mergeCell ref="I66:I68"/>
    <mergeCell ref="N66:N68"/>
    <mergeCell ref="O66:O68"/>
    <mergeCell ref="P66:P68"/>
    <mergeCell ref="Q66:Q68"/>
    <mergeCell ref="S63:S65"/>
    <mergeCell ref="U63:U65"/>
    <mergeCell ref="L64:L65"/>
    <mergeCell ref="M64:M65"/>
    <mergeCell ref="B66:B68"/>
    <mergeCell ref="C66:C68"/>
    <mergeCell ref="D66:D68"/>
    <mergeCell ref="E66:E68"/>
    <mergeCell ref="F66:F68"/>
    <mergeCell ref="G66:G68"/>
    <mergeCell ref="H63:H65"/>
    <mergeCell ref="I63:I65"/>
    <mergeCell ref="N63:N65"/>
    <mergeCell ref="O63:O65"/>
    <mergeCell ref="P63:P65"/>
    <mergeCell ref="Q63:Q65"/>
    <mergeCell ref="B63:B65"/>
    <mergeCell ref="C63:C65"/>
    <mergeCell ref="D63:D65"/>
    <mergeCell ref="E63:E65"/>
    <mergeCell ref="F63:F65"/>
    <mergeCell ref="G63:G65"/>
    <mergeCell ref="B72:O73"/>
    <mergeCell ref="P72:R72"/>
    <mergeCell ref="T72:T73"/>
    <mergeCell ref="P73:R73"/>
    <mergeCell ref="C76:E76"/>
    <mergeCell ref="F76:O76"/>
    <mergeCell ref="P76:R76"/>
    <mergeCell ref="Q69:Q71"/>
    <mergeCell ref="R69:R71"/>
    <mergeCell ref="S69:S71"/>
    <mergeCell ref="U69:U71"/>
    <mergeCell ref="L70:L71"/>
    <mergeCell ref="M70:M71"/>
    <mergeCell ref="G69:G71"/>
    <mergeCell ref="H69:H71"/>
    <mergeCell ref="I69:I71"/>
    <mergeCell ref="N69:N71"/>
    <mergeCell ref="O69:O71"/>
    <mergeCell ref="P69:P71"/>
    <mergeCell ref="B69:B71"/>
    <mergeCell ref="C69:C71"/>
    <mergeCell ref="D69:D71"/>
    <mergeCell ref="E69:E71"/>
    <mergeCell ref="F69:F71"/>
    <mergeCell ref="R77:R78"/>
    <mergeCell ref="S77:S78"/>
    <mergeCell ref="T77:T78"/>
    <mergeCell ref="U77:U78"/>
    <mergeCell ref="J78:M78"/>
    <mergeCell ref="B79:B81"/>
    <mergeCell ref="C79:C81"/>
    <mergeCell ref="D79:D81"/>
    <mergeCell ref="E79:E81"/>
    <mergeCell ref="F79:F81"/>
    <mergeCell ref="H77:H78"/>
    <mergeCell ref="I77:I78"/>
    <mergeCell ref="J77:M77"/>
    <mergeCell ref="N77:N78"/>
    <mergeCell ref="O77:O78"/>
    <mergeCell ref="P77:Q77"/>
    <mergeCell ref="B77:B78"/>
    <mergeCell ref="C77:C78"/>
    <mergeCell ref="D77:D78"/>
    <mergeCell ref="E77:E78"/>
    <mergeCell ref="F77:F78"/>
    <mergeCell ref="G77:G78"/>
    <mergeCell ref="B82:B84"/>
    <mergeCell ref="C82:C84"/>
    <mergeCell ref="D82:D84"/>
    <mergeCell ref="E82:E84"/>
    <mergeCell ref="F82:F84"/>
    <mergeCell ref="G82:G84"/>
    <mergeCell ref="Q79:Q81"/>
    <mergeCell ref="R79:R81"/>
    <mergeCell ref="S79:S81"/>
    <mergeCell ref="L80:L81"/>
    <mergeCell ref="M80:M81"/>
    <mergeCell ref="R82:R84"/>
    <mergeCell ref="S82:S84"/>
    <mergeCell ref="G79:G81"/>
    <mergeCell ref="H79:H81"/>
    <mergeCell ref="I79:I81"/>
    <mergeCell ref="N79:N81"/>
    <mergeCell ref="O79:O81"/>
    <mergeCell ref="P79:P81"/>
    <mergeCell ref="B88:B90"/>
    <mergeCell ref="C88:C90"/>
    <mergeCell ref="D88:D90"/>
    <mergeCell ref="E88:E90"/>
    <mergeCell ref="F88:F90"/>
    <mergeCell ref="H85:H87"/>
    <mergeCell ref="I85:I87"/>
    <mergeCell ref="N85:N87"/>
    <mergeCell ref="O85:O87"/>
    <mergeCell ref="P85:P87"/>
    <mergeCell ref="Q85:Q87"/>
    <mergeCell ref="B85:B87"/>
    <mergeCell ref="C85:C87"/>
    <mergeCell ref="D85:D87"/>
    <mergeCell ref="E85:E87"/>
    <mergeCell ref="F85:F87"/>
    <mergeCell ref="G85:G87"/>
    <mergeCell ref="Q88:Q90"/>
    <mergeCell ref="R88:R90"/>
    <mergeCell ref="S88:S90"/>
    <mergeCell ref="U88:U90"/>
    <mergeCell ref="L89:L90"/>
    <mergeCell ref="M89:M90"/>
    <mergeCell ref="G88:G90"/>
    <mergeCell ref="H88:H90"/>
    <mergeCell ref="I88:I90"/>
    <mergeCell ref="N88:N90"/>
    <mergeCell ref="O88:O90"/>
    <mergeCell ref="P88:P90"/>
    <mergeCell ref="R85:R87"/>
    <mergeCell ref="S85:S87"/>
    <mergeCell ref="U85:U87"/>
    <mergeCell ref="L86:L87"/>
    <mergeCell ref="M86:M87"/>
    <mergeCell ref="T79:T93"/>
    <mergeCell ref="U79:U81"/>
    <mergeCell ref="U82:U84"/>
    <mergeCell ref="R91:R93"/>
    <mergeCell ref="S91:S93"/>
    <mergeCell ref="U91:U93"/>
    <mergeCell ref="L92:L93"/>
    <mergeCell ref="M92:M93"/>
    <mergeCell ref="H82:H84"/>
    <mergeCell ref="I82:I84"/>
    <mergeCell ref="N82:N84"/>
    <mergeCell ref="O82:O84"/>
    <mergeCell ref="P82:P84"/>
    <mergeCell ref="Q82:Q84"/>
    <mergeCell ref="L83:L84"/>
    <mergeCell ref="M83:M84"/>
    <mergeCell ref="B94:O95"/>
    <mergeCell ref="P94:R94"/>
    <mergeCell ref="T94:T95"/>
    <mergeCell ref="P95:R95"/>
    <mergeCell ref="H91:H93"/>
    <mergeCell ref="I91:I93"/>
    <mergeCell ref="N91:N93"/>
    <mergeCell ref="O91:O93"/>
    <mergeCell ref="P91:P93"/>
    <mergeCell ref="Q91:Q93"/>
    <mergeCell ref="B91:B93"/>
    <mergeCell ref="C91:C93"/>
    <mergeCell ref="D91:D93"/>
    <mergeCell ref="E91:E93"/>
    <mergeCell ref="F91:F93"/>
    <mergeCell ref="G91:G93"/>
    <mergeCell ref="B101:B103"/>
    <mergeCell ref="C101:C103"/>
    <mergeCell ref="D101:D103"/>
    <mergeCell ref="E101:E103"/>
    <mergeCell ref="F101:F103"/>
    <mergeCell ref="G101:G103"/>
    <mergeCell ref="I99:I100"/>
    <mergeCell ref="J99:M99"/>
    <mergeCell ref="N99:N100"/>
    <mergeCell ref="O99:O100"/>
    <mergeCell ref="P99:Q99"/>
    <mergeCell ref="R99:R100"/>
    <mergeCell ref="C98:E98"/>
    <mergeCell ref="F98:O98"/>
    <mergeCell ref="P98:R98"/>
    <mergeCell ref="B99:B100"/>
    <mergeCell ref="R101:R103"/>
    <mergeCell ref="S101:S103"/>
    <mergeCell ref="T101:T115"/>
    <mergeCell ref="U101:U103"/>
    <mergeCell ref="L102:L103"/>
    <mergeCell ref="M102:M103"/>
    <mergeCell ref="R104:R106"/>
    <mergeCell ref="S104:S106"/>
    <mergeCell ref="U104:U106"/>
    <mergeCell ref="R107:R109"/>
    <mergeCell ref="H101:H103"/>
    <mergeCell ref="I101:I103"/>
    <mergeCell ref="N101:N103"/>
    <mergeCell ref="O101:O103"/>
    <mergeCell ref="P101:P103"/>
    <mergeCell ref="Q101:Q103"/>
    <mergeCell ref="S99:S100"/>
    <mergeCell ref="T99:T100"/>
    <mergeCell ref="U99:U100"/>
    <mergeCell ref="J100:M100"/>
    <mergeCell ref="R110:R112"/>
    <mergeCell ref="S110:S112"/>
    <mergeCell ref="U110:U112"/>
    <mergeCell ref="L111:L112"/>
    <mergeCell ref="M111:M112"/>
    <mergeCell ref="H104:H106"/>
    <mergeCell ref="I104:I106"/>
    <mergeCell ref="N104:N106"/>
    <mergeCell ref="O104:O106"/>
    <mergeCell ref="P104:P106"/>
    <mergeCell ref="Q104:Q106"/>
    <mergeCell ref="L105:L106"/>
    <mergeCell ref="M105:M106"/>
    <mergeCell ref="B104:B106"/>
    <mergeCell ref="C104:C106"/>
    <mergeCell ref="D104:D106"/>
    <mergeCell ref="E104:E106"/>
    <mergeCell ref="F104:F106"/>
    <mergeCell ref="G104:G106"/>
    <mergeCell ref="C99:C100"/>
    <mergeCell ref="D99:D100"/>
    <mergeCell ref="E99:E100"/>
    <mergeCell ref="F99:F100"/>
    <mergeCell ref="G99:G100"/>
    <mergeCell ref="H99:H100"/>
    <mergeCell ref="H110:H112"/>
    <mergeCell ref="I110:I112"/>
    <mergeCell ref="N110:N112"/>
    <mergeCell ref="O110:O112"/>
    <mergeCell ref="P110:P112"/>
    <mergeCell ref="Q110:Q112"/>
    <mergeCell ref="S107:S109"/>
    <mergeCell ref="U107:U109"/>
    <mergeCell ref="L108:L109"/>
    <mergeCell ref="M108:M109"/>
    <mergeCell ref="B110:B112"/>
    <mergeCell ref="C110:C112"/>
    <mergeCell ref="D110:D112"/>
    <mergeCell ref="E110:E112"/>
    <mergeCell ref="F110:F112"/>
    <mergeCell ref="G110:G112"/>
    <mergeCell ref="H107:H109"/>
    <mergeCell ref="I107:I109"/>
    <mergeCell ref="N107:N109"/>
    <mergeCell ref="O107:O109"/>
    <mergeCell ref="P107:P109"/>
    <mergeCell ref="Q107:Q109"/>
    <mergeCell ref="B107:B109"/>
    <mergeCell ref="C107:C109"/>
    <mergeCell ref="D107:D109"/>
    <mergeCell ref="E107:E109"/>
    <mergeCell ref="F107:F109"/>
    <mergeCell ref="G107:G109"/>
    <mergeCell ref="B116:O117"/>
    <mergeCell ref="P116:R116"/>
    <mergeCell ref="T116:T117"/>
    <mergeCell ref="P117:R117"/>
    <mergeCell ref="C120:E120"/>
    <mergeCell ref="F120:O120"/>
    <mergeCell ref="P120:R120"/>
    <mergeCell ref="Q113:Q115"/>
    <mergeCell ref="R113:R115"/>
    <mergeCell ref="S113:S115"/>
    <mergeCell ref="U113:U115"/>
    <mergeCell ref="L114:L115"/>
    <mergeCell ref="M114:M115"/>
    <mergeCell ref="G113:G115"/>
    <mergeCell ref="H113:H115"/>
    <mergeCell ref="I113:I115"/>
    <mergeCell ref="N113:N115"/>
    <mergeCell ref="O113:O115"/>
    <mergeCell ref="P113:P115"/>
    <mergeCell ref="B113:B115"/>
    <mergeCell ref="C113:C115"/>
    <mergeCell ref="D113:D115"/>
    <mergeCell ref="E113:E115"/>
    <mergeCell ref="F113:F115"/>
    <mergeCell ref="R121:R122"/>
    <mergeCell ref="S121:S122"/>
    <mergeCell ref="T121:T122"/>
    <mergeCell ref="U121:U122"/>
    <mergeCell ref="J122:M122"/>
    <mergeCell ref="B123:B125"/>
    <mergeCell ref="C123:C125"/>
    <mergeCell ref="D123:D125"/>
    <mergeCell ref="E123:E125"/>
    <mergeCell ref="F123:F125"/>
    <mergeCell ref="H121:H122"/>
    <mergeCell ref="I121:I122"/>
    <mergeCell ref="J121:M121"/>
    <mergeCell ref="N121:N122"/>
    <mergeCell ref="O121:O122"/>
    <mergeCell ref="P121:Q121"/>
    <mergeCell ref="B121:B122"/>
    <mergeCell ref="C121:C122"/>
    <mergeCell ref="D121:D122"/>
    <mergeCell ref="E121:E122"/>
    <mergeCell ref="F121:F122"/>
    <mergeCell ref="G121:G122"/>
    <mergeCell ref="B126:B128"/>
    <mergeCell ref="C126:C128"/>
    <mergeCell ref="D126:D128"/>
    <mergeCell ref="E126:E128"/>
    <mergeCell ref="F126:F128"/>
    <mergeCell ref="G126:G128"/>
    <mergeCell ref="Q123:Q125"/>
    <mergeCell ref="R123:R125"/>
    <mergeCell ref="S123:S125"/>
    <mergeCell ref="L124:L125"/>
    <mergeCell ref="M124:M125"/>
    <mergeCell ref="R126:R128"/>
    <mergeCell ref="S126:S128"/>
    <mergeCell ref="G123:G125"/>
    <mergeCell ref="H123:H125"/>
    <mergeCell ref="I123:I125"/>
    <mergeCell ref="N123:N125"/>
    <mergeCell ref="O123:O125"/>
    <mergeCell ref="P123:P125"/>
    <mergeCell ref="B132:B134"/>
    <mergeCell ref="C132:C134"/>
    <mergeCell ref="D132:D134"/>
    <mergeCell ref="E132:E134"/>
    <mergeCell ref="F132:F134"/>
    <mergeCell ref="H129:H131"/>
    <mergeCell ref="I129:I131"/>
    <mergeCell ref="N129:N131"/>
    <mergeCell ref="O129:O131"/>
    <mergeCell ref="P129:P131"/>
    <mergeCell ref="Q129:Q131"/>
    <mergeCell ref="B129:B131"/>
    <mergeCell ref="C129:C131"/>
    <mergeCell ref="D129:D131"/>
    <mergeCell ref="E129:E131"/>
    <mergeCell ref="F129:F131"/>
    <mergeCell ref="G129:G131"/>
    <mergeCell ref="Q132:Q134"/>
    <mergeCell ref="R132:R134"/>
    <mergeCell ref="S132:S134"/>
    <mergeCell ref="U132:U134"/>
    <mergeCell ref="L133:L134"/>
    <mergeCell ref="M133:M134"/>
    <mergeCell ref="G132:G134"/>
    <mergeCell ref="H132:H134"/>
    <mergeCell ref="I132:I134"/>
    <mergeCell ref="N132:N134"/>
    <mergeCell ref="O132:O134"/>
    <mergeCell ref="P132:P134"/>
    <mergeCell ref="R129:R131"/>
    <mergeCell ref="S129:S131"/>
    <mergeCell ref="U129:U131"/>
    <mergeCell ref="L130:L131"/>
    <mergeCell ref="M130:M131"/>
    <mergeCell ref="T123:T137"/>
    <mergeCell ref="U123:U125"/>
    <mergeCell ref="U126:U128"/>
    <mergeCell ref="R135:R137"/>
    <mergeCell ref="S135:S137"/>
    <mergeCell ref="U135:U137"/>
    <mergeCell ref="L136:L137"/>
    <mergeCell ref="M136:M137"/>
    <mergeCell ref="H126:H128"/>
    <mergeCell ref="I126:I128"/>
    <mergeCell ref="N126:N128"/>
    <mergeCell ref="O126:O128"/>
    <mergeCell ref="P126:P128"/>
    <mergeCell ref="Q126:Q128"/>
    <mergeCell ref="L127:L128"/>
    <mergeCell ref="M127:M128"/>
    <mergeCell ref="B138:O139"/>
    <mergeCell ref="P138:R138"/>
    <mergeCell ref="T138:T139"/>
    <mergeCell ref="P139:R139"/>
    <mergeCell ref="H135:H137"/>
    <mergeCell ref="I135:I137"/>
    <mergeCell ref="N135:N137"/>
    <mergeCell ref="O135:O137"/>
    <mergeCell ref="P135:P137"/>
    <mergeCell ref="Q135:Q137"/>
    <mergeCell ref="B135:B137"/>
    <mergeCell ref="C135:C137"/>
    <mergeCell ref="D135:D137"/>
    <mergeCell ref="E135:E137"/>
    <mergeCell ref="F135:F137"/>
    <mergeCell ref="G135:G137"/>
    <mergeCell ref="B145:B147"/>
    <mergeCell ref="C145:C147"/>
    <mergeCell ref="D145:D147"/>
    <mergeCell ref="E145:E147"/>
    <mergeCell ref="F145:F147"/>
    <mergeCell ref="G145:G147"/>
    <mergeCell ref="I143:I144"/>
    <mergeCell ref="J143:M143"/>
    <mergeCell ref="N143:N144"/>
    <mergeCell ref="O143:O144"/>
    <mergeCell ref="P143:Q143"/>
    <mergeCell ref="R143:R144"/>
    <mergeCell ref="C142:E142"/>
    <mergeCell ref="F142:O142"/>
    <mergeCell ref="P142:R142"/>
    <mergeCell ref="B143:B144"/>
    <mergeCell ref="R145:R147"/>
    <mergeCell ref="S145:S147"/>
    <mergeCell ref="T145:T159"/>
    <mergeCell ref="U145:U147"/>
    <mergeCell ref="L146:L147"/>
    <mergeCell ref="M146:M147"/>
    <mergeCell ref="R148:R150"/>
    <mergeCell ref="S148:S150"/>
    <mergeCell ref="U148:U150"/>
    <mergeCell ref="R151:R153"/>
    <mergeCell ref="H145:H147"/>
    <mergeCell ref="I145:I147"/>
    <mergeCell ref="N145:N147"/>
    <mergeCell ref="O145:O147"/>
    <mergeCell ref="P145:P147"/>
    <mergeCell ref="Q145:Q147"/>
    <mergeCell ref="S143:S144"/>
    <mergeCell ref="T143:T144"/>
    <mergeCell ref="U143:U144"/>
    <mergeCell ref="J144:M144"/>
    <mergeCell ref="R154:R156"/>
    <mergeCell ref="S154:S156"/>
    <mergeCell ref="U154:U156"/>
    <mergeCell ref="L155:L156"/>
    <mergeCell ref="M155:M156"/>
    <mergeCell ref="H148:H150"/>
    <mergeCell ref="I148:I150"/>
    <mergeCell ref="N148:N150"/>
    <mergeCell ref="O148:O150"/>
    <mergeCell ref="P148:P150"/>
    <mergeCell ref="Q148:Q150"/>
    <mergeCell ref="L149:L150"/>
    <mergeCell ref="M149:M150"/>
    <mergeCell ref="B148:B150"/>
    <mergeCell ref="C148:C150"/>
    <mergeCell ref="D148:D150"/>
    <mergeCell ref="E148:E150"/>
    <mergeCell ref="F148:F150"/>
    <mergeCell ref="G148:G150"/>
    <mergeCell ref="C143:C144"/>
    <mergeCell ref="D143:D144"/>
    <mergeCell ref="E143:E144"/>
    <mergeCell ref="F143:F144"/>
    <mergeCell ref="G143:G144"/>
    <mergeCell ref="H143:H144"/>
    <mergeCell ref="H154:H156"/>
    <mergeCell ref="I154:I156"/>
    <mergeCell ref="N154:N156"/>
    <mergeCell ref="O154:O156"/>
    <mergeCell ref="P154:P156"/>
    <mergeCell ref="Q154:Q156"/>
    <mergeCell ref="S151:S153"/>
    <mergeCell ref="U151:U153"/>
    <mergeCell ref="L152:L153"/>
    <mergeCell ref="M152:M153"/>
    <mergeCell ref="B154:B156"/>
    <mergeCell ref="C154:C156"/>
    <mergeCell ref="D154:D156"/>
    <mergeCell ref="E154:E156"/>
    <mergeCell ref="F154:F156"/>
    <mergeCell ref="G154:G156"/>
    <mergeCell ref="H151:H153"/>
    <mergeCell ref="I151:I153"/>
    <mergeCell ref="N151:N153"/>
    <mergeCell ref="O151:O153"/>
    <mergeCell ref="P151:P153"/>
    <mergeCell ref="Q151:Q153"/>
    <mergeCell ref="B151:B153"/>
    <mergeCell ref="C151:C153"/>
    <mergeCell ref="D151:D153"/>
    <mergeCell ref="E151:E153"/>
    <mergeCell ref="F151:F153"/>
    <mergeCell ref="G151:G153"/>
    <mergeCell ref="B160:O161"/>
    <mergeCell ref="P160:R160"/>
    <mergeCell ref="T160:T161"/>
    <mergeCell ref="P161:R161"/>
    <mergeCell ref="C164:E164"/>
    <mergeCell ref="F164:O164"/>
    <mergeCell ref="P164:R164"/>
    <mergeCell ref="Q157:Q159"/>
    <mergeCell ref="R157:R159"/>
    <mergeCell ref="S157:S159"/>
    <mergeCell ref="U157:U159"/>
    <mergeCell ref="L158:L159"/>
    <mergeCell ref="M158:M159"/>
    <mergeCell ref="G157:G159"/>
    <mergeCell ref="H157:H159"/>
    <mergeCell ref="I157:I159"/>
    <mergeCell ref="N157:N159"/>
    <mergeCell ref="O157:O159"/>
    <mergeCell ref="P157:P159"/>
    <mergeCell ref="B157:B159"/>
    <mergeCell ref="C157:C159"/>
    <mergeCell ref="D157:D159"/>
    <mergeCell ref="E157:E159"/>
    <mergeCell ref="F157:F159"/>
    <mergeCell ref="R165:R166"/>
    <mergeCell ref="S165:S166"/>
    <mergeCell ref="T165:T166"/>
    <mergeCell ref="U165:U166"/>
    <mergeCell ref="J166:M166"/>
    <mergeCell ref="B167:B169"/>
    <mergeCell ref="C167:C169"/>
    <mergeCell ref="D167:D169"/>
    <mergeCell ref="E167:E169"/>
    <mergeCell ref="F167:F169"/>
    <mergeCell ref="H165:H166"/>
    <mergeCell ref="I165:I166"/>
    <mergeCell ref="J165:M165"/>
    <mergeCell ref="N165:N166"/>
    <mergeCell ref="O165:O166"/>
    <mergeCell ref="P165:Q165"/>
    <mergeCell ref="B165:B166"/>
    <mergeCell ref="C165:C166"/>
    <mergeCell ref="D165:D166"/>
    <mergeCell ref="E165:E166"/>
    <mergeCell ref="F165:F166"/>
    <mergeCell ref="G165:G166"/>
    <mergeCell ref="B170:B172"/>
    <mergeCell ref="C170:C172"/>
    <mergeCell ref="D170:D172"/>
    <mergeCell ref="E170:E172"/>
    <mergeCell ref="F170:F172"/>
    <mergeCell ref="G170:G172"/>
    <mergeCell ref="Q167:Q169"/>
    <mergeCell ref="R167:R169"/>
    <mergeCell ref="S167:S169"/>
    <mergeCell ref="L168:L169"/>
    <mergeCell ref="M168:M169"/>
    <mergeCell ref="R170:R172"/>
    <mergeCell ref="S170:S172"/>
    <mergeCell ref="G167:G169"/>
    <mergeCell ref="H167:H169"/>
    <mergeCell ref="I167:I169"/>
    <mergeCell ref="N167:N169"/>
    <mergeCell ref="O167:O169"/>
    <mergeCell ref="P167:P169"/>
    <mergeCell ref="B176:B178"/>
    <mergeCell ref="C176:C178"/>
    <mergeCell ref="D176:D178"/>
    <mergeCell ref="E176:E178"/>
    <mergeCell ref="F176:F178"/>
    <mergeCell ref="H173:H175"/>
    <mergeCell ref="I173:I175"/>
    <mergeCell ref="N173:N175"/>
    <mergeCell ref="O173:O175"/>
    <mergeCell ref="P173:P175"/>
    <mergeCell ref="Q173:Q175"/>
    <mergeCell ref="B173:B175"/>
    <mergeCell ref="C173:C175"/>
    <mergeCell ref="D173:D175"/>
    <mergeCell ref="E173:E175"/>
    <mergeCell ref="F173:F175"/>
    <mergeCell ref="G173:G175"/>
    <mergeCell ref="Q176:Q178"/>
    <mergeCell ref="R176:R178"/>
    <mergeCell ref="S176:S178"/>
    <mergeCell ref="U176:U178"/>
    <mergeCell ref="L177:L178"/>
    <mergeCell ref="M177:M178"/>
    <mergeCell ref="G176:G178"/>
    <mergeCell ref="H176:H178"/>
    <mergeCell ref="I176:I178"/>
    <mergeCell ref="N176:N178"/>
    <mergeCell ref="O176:O178"/>
    <mergeCell ref="P176:P178"/>
    <mergeCell ref="R173:R175"/>
    <mergeCell ref="S173:S175"/>
    <mergeCell ref="U173:U175"/>
    <mergeCell ref="L174:L175"/>
    <mergeCell ref="M174:M175"/>
    <mergeCell ref="T167:T181"/>
    <mergeCell ref="U167:U169"/>
    <mergeCell ref="U170:U172"/>
    <mergeCell ref="R179:R181"/>
    <mergeCell ref="S179:S181"/>
    <mergeCell ref="U179:U181"/>
    <mergeCell ref="L180:L181"/>
    <mergeCell ref="M180:M181"/>
    <mergeCell ref="H170:H172"/>
    <mergeCell ref="I170:I172"/>
    <mergeCell ref="N170:N172"/>
    <mergeCell ref="O170:O172"/>
    <mergeCell ref="P170:P172"/>
    <mergeCell ref="Q170:Q172"/>
    <mergeCell ref="L171:L172"/>
    <mergeCell ref="M171:M172"/>
    <mergeCell ref="B182:O183"/>
    <mergeCell ref="P182:R182"/>
    <mergeCell ref="T182:T183"/>
    <mergeCell ref="P183:R183"/>
    <mergeCell ref="H179:H181"/>
    <mergeCell ref="I179:I181"/>
    <mergeCell ref="N179:N181"/>
    <mergeCell ref="O179:O181"/>
    <mergeCell ref="P179:P181"/>
    <mergeCell ref="Q179:Q181"/>
    <mergeCell ref="B179:B181"/>
    <mergeCell ref="C179:C181"/>
    <mergeCell ref="D179:D181"/>
    <mergeCell ref="E179:E181"/>
    <mergeCell ref="F179:F181"/>
    <mergeCell ref="G179:G181"/>
    <mergeCell ref="B189:B191"/>
    <mergeCell ref="C189:C191"/>
    <mergeCell ref="D189:D191"/>
    <mergeCell ref="E189:E191"/>
    <mergeCell ref="F189:F191"/>
    <mergeCell ref="G189:G191"/>
    <mergeCell ref="I187:I188"/>
    <mergeCell ref="J187:M187"/>
    <mergeCell ref="N187:N188"/>
    <mergeCell ref="O187:O188"/>
    <mergeCell ref="P187:Q187"/>
    <mergeCell ref="R187:R188"/>
    <mergeCell ref="C186:E186"/>
    <mergeCell ref="F186:O186"/>
    <mergeCell ref="P186:R186"/>
    <mergeCell ref="B187:B188"/>
    <mergeCell ref="R189:R191"/>
    <mergeCell ref="S189:S191"/>
    <mergeCell ref="T189:T203"/>
    <mergeCell ref="U189:U191"/>
    <mergeCell ref="L190:L191"/>
    <mergeCell ref="M190:M191"/>
    <mergeCell ref="R192:R194"/>
    <mergeCell ref="S192:S194"/>
    <mergeCell ref="U192:U194"/>
    <mergeCell ref="R195:R197"/>
    <mergeCell ref="H189:H191"/>
    <mergeCell ref="I189:I191"/>
    <mergeCell ref="N189:N191"/>
    <mergeCell ref="O189:O191"/>
    <mergeCell ref="P189:P191"/>
    <mergeCell ref="Q189:Q191"/>
    <mergeCell ref="S187:S188"/>
    <mergeCell ref="T187:T188"/>
    <mergeCell ref="U187:U188"/>
    <mergeCell ref="J188:M188"/>
    <mergeCell ref="R198:R200"/>
    <mergeCell ref="S198:S200"/>
    <mergeCell ref="U198:U200"/>
    <mergeCell ref="L199:L200"/>
    <mergeCell ref="M199:M200"/>
    <mergeCell ref="H192:H194"/>
    <mergeCell ref="I192:I194"/>
    <mergeCell ref="N192:N194"/>
    <mergeCell ref="O192:O194"/>
    <mergeCell ref="P192:P194"/>
    <mergeCell ref="Q192:Q194"/>
    <mergeCell ref="L193:L194"/>
    <mergeCell ref="M193:M194"/>
    <mergeCell ref="B192:B194"/>
    <mergeCell ref="C192:C194"/>
    <mergeCell ref="D192:D194"/>
    <mergeCell ref="E192:E194"/>
    <mergeCell ref="F192:F194"/>
    <mergeCell ref="G192:G194"/>
    <mergeCell ref="C187:C188"/>
    <mergeCell ref="D187:D188"/>
    <mergeCell ref="E187:E188"/>
    <mergeCell ref="F187:F188"/>
    <mergeCell ref="G187:G188"/>
    <mergeCell ref="H187:H188"/>
    <mergeCell ref="H198:H200"/>
    <mergeCell ref="I198:I200"/>
    <mergeCell ref="N198:N200"/>
    <mergeCell ref="O198:O200"/>
    <mergeCell ref="P198:P200"/>
    <mergeCell ref="Q198:Q200"/>
    <mergeCell ref="S195:S197"/>
    <mergeCell ref="U195:U197"/>
    <mergeCell ref="L196:L197"/>
    <mergeCell ref="M196:M197"/>
    <mergeCell ref="B198:B200"/>
    <mergeCell ref="C198:C200"/>
    <mergeCell ref="D198:D200"/>
    <mergeCell ref="E198:E200"/>
    <mergeCell ref="F198:F200"/>
    <mergeCell ref="G198:G200"/>
    <mergeCell ref="H195:H197"/>
    <mergeCell ref="I195:I197"/>
    <mergeCell ref="N195:N197"/>
    <mergeCell ref="O195:O197"/>
    <mergeCell ref="P195:P197"/>
    <mergeCell ref="Q195:Q197"/>
    <mergeCell ref="B195:B197"/>
    <mergeCell ref="C195:C197"/>
    <mergeCell ref="D195:D197"/>
    <mergeCell ref="E195:E197"/>
    <mergeCell ref="F195:F197"/>
    <mergeCell ref="G195:G197"/>
    <mergeCell ref="B204:O205"/>
    <mergeCell ref="P204:R204"/>
    <mergeCell ref="T204:T205"/>
    <mergeCell ref="P205:R205"/>
    <mergeCell ref="C208:E208"/>
    <mergeCell ref="F208:O208"/>
    <mergeCell ref="P208:R208"/>
    <mergeCell ref="Q201:Q203"/>
    <mergeCell ref="R201:R203"/>
    <mergeCell ref="S201:S203"/>
    <mergeCell ref="U201:U203"/>
    <mergeCell ref="L202:L203"/>
    <mergeCell ref="M202:M203"/>
    <mergeCell ref="G201:G203"/>
    <mergeCell ref="H201:H203"/>
    <mergeCell ref="I201:I203"/>
    <mergeCell ref="N201:N203"/>
    <mergeCell ref="O201:O203"/>
    <mergeCell ref="P201:P203"/>
    <mergeCell ref="B201:B203"/>
    <mergeCell ref="C201:C203"/>
    <mergeCell ref="D201:D203"/>
    <mergeCell ref="E201:E203"/>
    <mergeCell ref="F201:F203"/>
    <mergeCell ref="R209:R210"/>
    <mergeCell ref="S209:S210"/>
    <mergeCell ref="T209:T210"/>
    <mergeCell ref="U209:U210"/>
    <mergeCell ref="J210:M210"/>
    <mergeCell ref="B211:B213"/>
    <mergeCell ref="C211:C213"/>
    <mergeCell ref="D211:D213"/>
    <mergeCell ref="E211:E213"/>
    <mergeCell ref="F211:F213"/>
    <mergeCell ref="H209:H210"/>
    <mergeCell ref="I209:I210"/>
    <mergeCell ref="J209:M209"/>
    <mergeCell ref="N209:N210"/>
    <mergeCell ref="O209:O210"/>
    <mergeCell ref="P209:Q209"/>
    <mergeCell ref="B209:B210"/>
    <mergeCell ref="C209:C210"/>
    <mergeCell ref="D209:D210"/>
    <mergeCell ref="E209:E210"/>
    <mergeCell ref="F209:F210"/>
    <mergeCell ref="G209:G210"/>
    <mergeCell ref="B214:B216"/>
    <mergeCell ref="C214:C216"/>
    <mergeCell ref="D214:D216"/>
    <mergeCell ref="E214:E216"/>
    <mergeCell ref="F214:F216"/>
    <mergeCell ref="G214:G216"/>
    <mergeCell ref="Q211:Q213"/>
    <mergeCell ref="R211:R213"/>
    <mergeCell ref="S211:S213"/>
    <mergeCell ref="L212:L213"/>
    <mergeCell ref="M212:M213"/>
    <mergeCell ref="R214:R216"/>
    <mergeCell ref="S214:S216"/>
    <mergeCell ref="G211:G213"/>
    <mergeCell ref="H211:H213"/>
    <mergeCell ref="I211:I213"/>
    <mergeCell ref="N211:N213"/>
    <mergeCell ref="O211:O213"/>
    <mergeCell ref="P211:P213"/>
    <mergeCell ref="B220:B222"/>
    <mergeCell ref="C220:C222"/>
    <mergeCell ref="D220:D222"/>
    <mergeCell ref="E220:E222"/>
    <mergeCell ref="F220:F222"/>
    <mergeCell ref="H217:H219"/>
    <mergeCell ref="I217:I219"/>
    <mergeCell ref="N217:N219"/>
    <mergeCell ref="O217:O219"/>
    <mergeCell ref="P217:P219"/>
    <mergeCell ref="Q217:Q219"/>
    <mergeCell ref="B217:B219"/>
    <mergeCell ref="C217:C219"/>
    <mergeCell ref="D217:D219"/>
    <mergeCell ref="E217:E219"/>
    <mergeCell ref="F217:F219"/>
    <mergeCell ref="G217:G219"/>
    <mergeCell ref="Q220:Q222"/>
    <mergeCell ref="R220:R222"/>
    <mergeCell ref="S220:S222"/>
    <mergeCell ref="U220:U222"/>
    <mergeCell ref="L221:L222"/>
    <mergeCell ref="M221:M222"/>
    <mergeCell ref="G220:G222"/>
    <mergeCell ref="H220:H222"/>
    <mergeCell ref="I220:I222"/>
    <mergeCell ref="N220:N222"/>
    <mergeCell ref="O220:O222"/>
    <mergeCell ref="P220:P222"/>
    <mergeCell ref="R217:R219"/>
    <mergeCell ref="S217:S219"/>
    <mergeCell ref="U217:U219"/>
    <mergeCell ref="L218:L219"/>
    <mergeCell ref="M218:M219"/>
    <mergeCell ref="T211:T225"/>
    <mergeCell ref="U211:U213"/>
    <mergeCell ref="U214:U216"/>
    <mergeCell ref="R223:R225"/>
    <mergeCell ref="S223:S225"/>
    <mergeCell ref="U223:U225"/>
    <mergeCell ref="L224:L225"/>
    <mergeCell ref="M224:M225"/>
    <mergeCell ref="H214:H216"/>
    <mergeCell ref="I214:I216"/>
    <mergeCell ref="N214:N216"/>
    <mergeCell ref="O214:O216"/>
    <mergeCell ref="P214:P216"/>
    <mergeCell ref="Q214:Q216"/>
    <mergeCell ref="L215:L216"/>
    <mergeCell ref="M215:M216"/>
    <mergeCell ref="B226:O227"/>
    <mergeCell ref="P226:R226"/>
    <mergeCell ref="T226:T227"/>
    <mergeCell ref="P227:R227"/>
    <mergeCell ref="H223:H225"/>
    <mergeCell ref="I223:I225"/>
    <mergeCell ref="N223:N225"/>
    <mergeCell ref="O223:O225"/>
    <mergeCell ref="P223:P225"/>
    <mergeCell ref="Q223:Q225"/>
    <mergeCell ref="B223:B225"/>
    <mergeCell ref="C223:C225"/>
    <mergeCell ref="D223:D225"/>
    <mergeCell ref="E223:E225"/>
    <mergeCell ref="F223:F225"/>
    <mergeCell ref="G223:G225"/>
    <mergeCell ref="B233:B235"/>
    <mergeCell ref="C233:C235"/>
    <mergeCell ref="D233:D235"/>
    <mergeCell ref="E233:E235"/>
    <mergeCell ref="F233:F235"/>
    <mergeCell ref="G233:G235"/>
    <mergeCell ref="I231:I232"/>
    <mergeCell ref="J231:M231"/>
    <mergeCell ref="N231:N232"/>
    <mergeCell ref="O231:O232"/>
    <mergeCell ref="P231:Q231"/>
    <mergeCell ref="R231:R232"/>
    <mergeCell ref="C230:E230"/>
    <mergeCell ref="F230:O230"/>
    <mergeCell ref="P230:R230"/>
    <mergeCell ref="B231:B232"/>
    <mergeCell ref="R233:R235"/>
    <mergeCell ref="S233:S235"/>
    <mergeCell ref="T233:T247"/>
    <mergeCell ref="U233:U235"/>
    <mergeCell ref="L234:L235"/>
    <mergeCell ref="M234:M235"/>
    <mergeCell ref="R236:R238"/>
    <mergeCell ref="S236:S238"/>
    <mergeCell ref="U236:U238"/>
    <mergeCell ref="R239:R241"/>
    <mergeCell ref="H233:H235"/>
    <mergeCell ref="I233:I235"/>
    <mergeCell ref="N233:N235"/>
    <mergeCell ref="O233:O235"/>
    <mergeCell ref="P233:P235"/>
    <mergeCell ref="Q233:Q235"/>
    <mergeCell ref="S231:S232"/>
    <mergeCell ref="T231:T232"/>
    <mergeCell ref="U231:U232"/>
    <mergeCell ref="J232:M232"/>
    <mergeCell ref="R242:R244"/>
    <mergeCell ref="S242:S244"/>
    <mergeCell ref="U242:U244"/>
    <mergeCell ref="L243:L244"/>
    <mergeCell ref="M243:M244"/>
    <mergeCell ref="H236:H238"/>
    <mergeCell ref="I236:I238"/>
    <mergeCell ref="N236:N238"/>
    <mergeCell ref="O236:O238"/>
    <mergeCell ref="P236:P238"/>
    <mergeCell ref="Q236:Q238"/>
    <mergeCell ref="L237:L238"/>
    <mergeCell ref="M237:M238"/>
    <mergeCell ref="B236:B238"/>
    <mergeCell ref="C236:C238"/>
    <mergeCell ref="D236:D238"/>
    <mergeCell ref="E236:E238"/>
    <mergeCell ref="F236:F238"/>
    <mergeCell ref="G236:G238"/>
    <mergeCell ref="C231:C232"/>
    <mergeCell ref="D231:D232"/>
    <mergeCell ref="E231:E232"/>
    <mergeCell ref="F231:F232"/>
    <mergeCell ref="G231:G232"/>
    <mergeCell ref="H231:H232"/>
    <mergeCell ref="H242:H244"/>
    <mergeCell ref="I242:I244"/>
    <mergeCell ref="N242:N244"/>
    <mergeCell ref="O242:O244"/>
    <mergeCell ref="P242:P244"/>
    <mergeCell ref="Q242:Q244"/>
    <mergeCell ref="S239:S241"/>
    <mergeCell ref="U239:U241"/>
    <mergeCell ref="L240:L241"/>
    <mergeCell ref="M240:M241"/>
    <mergeCell ref="B242:B244"/>
    <mergeCell ref="C242:C244"/>
    <mergeCell ref="D242:D244"/>
    <mergeCell ref="E242:E244"/>
    <mergeCell ref="F242:F244"/>
    <mergeCell ref="G242:G244"/>
    <mergeCell ref="H239:H241"/>
    <mergeCell ref="I239:I241"/>
    <mergeCell ref="N239:N241"/>
    <mergeCell ref="O239:O241"/>
    <mergeCell ref="P239:P241"/>
    <mergeCell ref="Q239:Q241"/>
    <mergeCell ref="B239:B241"/>
    <mergeCell ref="C239:C241"/>
    <mergeCell ref="D239:D241"/>
    <mergeCell ref="E239:E241"/>
    <mergeCell ref="F239:F241"/>
    <mergeCell ref="G239:G241"/>
    <mergeCell ref="B248:O249"/>
    <mergeCell ref="P248:R248"/>
    <mergeCell ref="T248:T249"/>
    <mergeCell ref="P249:R249"/>
    <mergeCell ref="C252:E252"/>
    <mergeCell ref="F252:O252"/>
    <mergeCell ref="P252:R252"/>
    <mergeCell ref="Q245:Q247"/>
    <mergeCell ref="R245:R247"/>
    <mergeCell ref="S245:S247"/>
    <mergeCell ref="U245:U247"/>
    <mergeCell ref="L246:L247"/>
    <mergeCell ref="M246:M247"/>
    <mergeCell ref="G245:G247"/>
    <mergeCell ref="H245:H247"/>
    <mergeCell ref="I245:I247"/>
    <mergeCell ref="N245:N247"/>
    <mergeCell ref="O245:O247"/>
    <mergeCell ref="P245:P247"/>
    <mergeCell ref="B245:B247"/>
    <mergeCell ref="C245:C247"/>
    <mergeCell ref="D245:D247"/>
    <mergeCell ref="E245:E247"/>
    <mergeCell ref="F245:F247"/>
    <mergeCell ref="R253:R254"/>
    <mergeCell ref="S253:S254"/>
    <mergeCell ref="T253:T254"/>
    <mergeCell ref="U253:U254"/>
    <mergeCell ref="J254:M254"/>
    <mergeCell ref="B255:B257"/>
    <mergeCell ref="C255:C257"/>
    <mergeCell ref="D255:D257"/>
    <mergeCell ref="E255:E257"/>
    <mergeCell ref="F255:F257"/>
    <mergeCell ref="H253:H254"/>
    <mergeCell ref="I253:I254"/>
    <mergeCell ref="J253:M253"/>
    <mergeCell ref="N253:N254"/>
    <mergeCell ref="O253:O254"/>
    <mergeCell ref="P253:Q253"/>
    <mergeCell ref="B253:B254"/>
    <mergeCell ref="C253:C254"/>
    <mergeCell ref="D253:D254"/>
    <mergeCell ref="E253:E254"/>
    <mergeCell ref="F253:F254"/>
    <mergeCell ref="G253:G254"/>
    <mergeCell ref="B258:B260"/>
    <mergeCell ref="C258:C260"/>
    <mergeCell ref="D258:D260"/>
    <mergeCell ref="E258:E260"/>
    <mergeCell ref="F258:F260"/>
    <mergeCell ref="G258:G260"/>
    <mergeCell ref="Q255:Q257"/>
    <mergeCell ref="R255:R257"/>
    <mergeCell ref="S255:S257"/>
    <mergeCell ref="L256:L257"/>
    <mergeCell ref="M256:M257"/>
    <mergeCell ref="R258:R260"/>
    <mergeCell ref="S258:S260"/>
    <mergeCell ref="G255:G257"/>
    <mergeCell ref="H255:H257"/>
    <mergeCell ref="I255:I257"/>
    <mergeCell ref="N255:N257"/>
    <mergeCell ref="O255:O257"/>
    <mergeCell ref="P255:P257"/>
    <mergeCell ref="B264:B266"/>
    <mergeCell ref="C264:C266"/>
    <mergeCell ref="D264:D266"/>
    <mergeCell ref="E264:E266"/>
    <mergeCell ref="F264:F266"/>
    <mergeCell ref="H261:H263"/>
    <mergeCell ref="I261:I263"/>
    <mergeCell ref="N261:N263"/>
    <mergeCell ref="O261:O263"/>
    <mergeCell ref="P261:P263"/>
    <mergeCell ref="Q261:Q263"/>
    <mergeCell ref="B261:B263"/>
    <mergeCell ref="C261:C263"/>
    <mergeCell ref="D261:D263"/>
    <mergeCell ref="E261:E263"/>
    <mergeCell ref="F261:F263"/>
    <mergeCell ref="G261:G263"/>
    <mergeCell ref="Q264:Q266"/>
    <mergeCell ref="R264:R266"/>
    <mergeCell ref="S264:S266"/>
    <mergeCell ref="U264:U266"/>
    <mergeCell ref="L265:L266"/>
    <mergeCell ref="M265:M266"/>
    <mergeCell ref="G264:G266"/>
    <mergeCell ref="H264:H266"/>
    <mergeCell ref="I264:I266"/>
    <mergeCell ref="N264:N266"/>
    <mergeCell ref="O264:O266"/>
    <mergeCell ref="P264:P266"/>
    <mergeCell ref="R261:R263"/>
    <mergeCell ref="S261:S263"/>
    <mergeCell ref="U261:U263"/>
    <mergeCell ref="L262:L263"/>
    <mergeCell ref="M262:M263"/>
    <mergeCell ref="T255:T269"/>
    <mergeCell ref="U255:U257"/>
    <mergeCell ref="U258:U260"/>
    <mergeCell ref="R267:R269"/>
    <mergeCell ref="S267:S269"/>
    <mergeCell ref="U267:U269"/>
    <mergeCell ref="L268:L269"/>
    <mergeCell ref="M268:M269"/>
    <mergeCell ref="H258:H260"/>
    <mergeCell ref="I258:I260"/>
    <mergeCell ref="N258:N260"/>
    <mergeCell ref="O258:O260"/>
    <mergeCell ref="P258:P260"/>
    <mergeCell ref="Q258:Q260"/>
    <mergeCell ref="L259:L260"/>
    <mergeCell ref="M259:M260"/>
    <mergeCell ref="B270:O271"/>
    <mergeCell ref="P270:R270"/>
    <mergeCell ref="T270:T271"/>
    <mergeCell ref="P271:R271"/>
    <mergeCell ref="H267:H269"/>
    <mergeCell ref="I267:I269"/>
    <mergeCell ref="N267:N269"/>
    <mergeCell ref="O267:O269"/>
    <mergeCell ref="P267:P269"/>
    <mergeCell ref="Q267:Q269"/>
    <mergeCell ref="B267:B269"/>
    <mergeCell ref="C267:C269"/>
    <mergeCell ref="D267:D269"/>
    <mergeCell ref="E267:E269"/>
    <mergeCell ref="F267:F269"/>
    <mergeCell ref="G267:G269"/>
    <mergeCell ref="B277:B279"/>
    <mergeCell ref="C277:C279"/>
    <mergeCell ref="D277:D279"/>
    <mergeCell ref="E277:E279"/>
    <mergeCell ref="F277:F279"/>
    <mergeCell ref="G277:G279"/>
    <mergeCell ref="I275:I276"/>
    <mergeCell ref="J275:M275"/>
    <mergeCell ref="N275:N276"/>
    <mergeCell ref="O275:O276"/>
    <mergeCell ref="P275:Q275"/>
    <mergeCell ref="R275:R276"/>
    <mergeCell ref="C274:E274"/>
    <mergeCell ref="F274:O274"/>
    <mergeCell ref="P274:R274"/>
    <mergeCell ref="B275:B276"/>
    <mergeCell ref="R277:R279"/>
    <mergeCell ref="S277:S279"/>
    <mergeCell ref="T277:T291"/>
    <mergeCell ref="U277:U279"/>
    <mergeCell ref="L278:L279"/>
    <mergeCell ref="M278:M279"/>
    <mergeCell ref="R280:R282"/>
    <mergeCell ref="S280:S282"/>
    <mergeCell ref="U280:U282"/>
    <mergeCell ref="R283:R285"/>
    <mergeCell ref="H277:H279"/>
    <mergeCell ref="I277:I279"/>
    <mergeCell ref="N277:N279"/>
    <mergeCell ref="O277:O279"/>
    <mergeCell ref="P277:P279"/>
    <mergeCell ref="Q277:Q279"/>
    <mergeCell ref="S275:S276"/>
    <mergeCell ref="T275:T276"/>
    <mergeCell ref="U275:U276"/>
    <mergeCell ref="J276:M276"/>
    <mergeCell ref="R286:R288"/>
    <mergeCell ref="S286:S288"/>
    <mergeCell ref="U286:U288"/>
    <mergeCell ref="L287:L288"/>
    <mergeCell ref="M287:M288"/>
    <mergeCell ref="H280:H282"/>
    <mergeCell ref="I280:I282"/>
    <mergeCell ref="N280:N282"/>
    <mergeCell ref="O280:O282"/>
    <mergeCell ref="P280:P282"/>
    <mergeCell ref="Q280:Q282"/>
    <mergeCell ref="L281:L282"/>
    <mergeCell ref="M281:M282"/>
    <mergeCell ref="B280:B282"/>
    <mergeCell ref="C280:C282"/>
    <mergeCell ref="D280:D282"/>
    <mergeCell ref="E280:E282"/>
    <mergeCell ref="F280:F282"/>
    <mergeCell ref="G280:G282"/>
    <mergeCell ref="C275:C276"/>
    <mergeCell ref="D275:D276"/>
    <mergeCell ref="E275:E276"/>
    <mergeCell ref="F275:F276"/>
    <mergeCell ref="G275:G276"/>
    <mergeCell ref="H275:H276"/>
    <mergeCell ref="H286:H288"/>
    <mergeCell ref="I286:I288"/>
    <mergeCell ref="N286:N288"/>
    <mergeCell ref="O286:O288"/>
    <mergeCell ref="P286:P288"/>
    <mergeCell ref="Q286:Q288"/>
    <mergeCell ref="S283:S285"/>
    <mergeCell ref="U283:U285"/>
    <mergeCell ref="L284:L285"/>
    <mergeCell ref="M284:M285"/>
    <mergeCell ref="B286:B288"/>
    <mergeCell ref="C286:C288"/>
    <mergeCell ref="D286:D288"/>
    <mergeCell ref="E286:E288"/>
    <mergeCell ref="F286:F288"/>
    <mergeCell ref="G286:G288"/>
    <mergeCell ref="H283:H285"/>
    <mergeCell ref="I283:I285"/>
    <mergeCell ref="N283:N285"/>
    <mergeCell ref="O283:O285"/>
    <mergeCell ref="P283:P285"/>
    <mergeCell ref="Q283:Q285"/>
    <mergeCell ref="B283:B285"/>
    <mergeCell ref="C283:C285"/>
    <mergeCell ref="D283:D285"/>
    <mergeCell ref="E283:E285"/>
    <mergeCell ref="F283:F285"/>
    <mergeCell ref="G283:G285"/>
    <mergeCell ref="B292:O293"/>
    <mergeCell ref="P292:R292"/>
    <mergeCell ref="T292:T293"/>
    <mergeCell ref="P293:R293"/>
    <mergeCell ref="C296:E296"/>
    <mergeCell ref="F296:O296"/>
    <mergeCell ref="P296:R296"/>
    <mergeCell ref="Q289:Q291"/>
    <mergeCell ref="R289:R291"/>
    <mergeCell ref="S289:S291"/>
    <mergeCell ref="U289:U291"/>
    <mergeCell ref="L290:L291"/>
    <mergeCell ref="M290:M291"/>
    <mergeCell ref="G289:G291"/>
    <mergeCell ref="H289:H291"/>
    <mergeCell ref="I289:I291"/>
    <mergeCell ref="N289:N291"/>
    <mergeCell ref="O289:O291"/>
    <mergeCell ref="P289:P291"/>
    <mergeCell ref="B289:B291"/>
    <mergeCell ref="C289:C291"/>
    <mergeCell ref="D289:D291"/>
    <mergeCell ref="E289:E291"/>
    <mergeCell ref="F289:F291"/>
    <mergeCell ref="M300:M301"/>
    <mergeCell ref="R302:R304"/>
    <mergeCell ref="S302:S304"/>
    <mergeCell ref="G299:G301"/>
    <mergeCell ref="H299:H301"/>
    <mergeCell ref="I299:I301"/>
    <mergeCell ref="N299:N301"/>
    <mergeCell ref="O299:O301"/>
    <mergeCell ref="P299:P301"/>
    <mergeCell ref="R297:R298"/>
    <mergeCell ref="S297:S298"/>
    <mergeCell ref="T297:T298"/>
    <mergeCell ref="U297:U298"/>
    <mergeCell ref="J298:M298"/>
    <mergeCell ref="B299:B301"/>
    <mergeCell ref="C299:C301"/>
    <mergeCell ref="D299:D301"/>
    <mergeCell ref="E299:E301"/>
    <mergeCell ref="F299:F301"/>
    <mergeCell ref="H297:H298"/>
    <mergeCell ref="I297:I298"/>
    <mergeCell ref="J297:M297"/>
    <mergeCell ref="N297:N298"/>
    <mergeCell ref="O297:O298"/>
    <mergeCell ref="P297:Q297"/>
    <mergeCell ref="B297:B298"/>
    <mergeCell ref="C297:C298"/>
    <mergeCell ref="D297:D298"/>
    <mergeCell ref="E297:E298"/>
    <mergeCell ref="F297:F298"/>
    <mergeCell ref="G297:G298"/>
    <mergeCell ref="B305:B307"/>
    <mergeCell ref="C305:C307"/>
    <mergeCell ref="D305:D307"/>
    <mergeCell ref="E305:E307"/>
    <mergeCell ref="F305:F307"/>
    <mergeCell ref="G305:G307"/>
    <mergeCell ref="Q308:Q310"/>
    <mergeCell ref="H302:H304"/>
    <mergeCell ref="I302:I304"/>
    <mergeCell ref="N302:N304"/>
    <mergeCell ref="O302:O304"/>
    <mergeCell ref="P302:P304"/>
    <mergeCell ref="Q302:Q304"/>
    <mergeCell ref="L303:L304"/>
    <mergeCell ref="M303:M304"/>
    <mergeCell ref="B302:B304"/>
    <mergeCell ref="C302:C304"/>
    <mergeCell ref="D302:D304"/>
    <mergeCell ref="E302:E304"/>
    <mergeCell ref="F302:F304"/>
    <mergeCell ref="G302:G304"/>
    <mergeCell ref="U308:U310"/>
    <mergeCell ref="L309:L310"/>
    <mergeCell ref="M309:M310"/>
    <mergeCell ref="G308:G310"/>
    <mergeCell ref="H308:H310"/>
    <mergeCell ref="I308:I310"/>
    <mergeCell ref="N308:N310"/>
    <mergeCell ref="O308:O310"/>
    <mergeCell ref="P308:P310"/>
    <mergeCell ref="R305:R307"/>
    <mergeCell ref="S305:S307"/>
    <mergeCell ref="U305:U307"/>
    <mergeCell ref="L306:L307"/>
    <mergeCell ref="M306:M307"/>
    <mergeCell ref="T299:T313"/>
    <mergeCell ref="U299:U301"/>
    <mergeCell ref="U302:U304"/>
    <mergeCell ref="R311:R313"/>
    <mergeCell ref="S311:S313"/>
    <mergeCell ref="U311:U313"/>
    <mergeCell ref="L312:L313"/>
    <mergeCell ref="M312:M313"/>
    <mergeCell ref="H305:H307"/>
    <mergeCell ref="I305:I307"/>
    <mergeCell ref="N305:N307"/>
    <mergeCell ref="O305:O307"/>
    <mergeCell ref="P305:P307"/>
    <mergeCell ref="Q305:Q307"/>
    <mergeCell ref="Q299:Q301"/>
    <mergeCell ref="R299:R301"/>
    <mergeCell ref="S299:S301"/>
    <mergeCell ref="L300:L301"/>
    <mergeCell ref="B314:O315"/>
    <mergeCell ref="P314:R314"/>
    <mergeCell ref="T314:T315"/>
    <mergeCell ref="P315:R315"/>
    <mergeCell ref="H311:H313"/>
    <mergeCell ref="I311:I313"/>
    <mergeCell ref="N311:N313"/>
    <mergeCell ref="O311:O313"/>
    <mergeCell ref="P311:P313"/>
    <mergeCell ref="Q311:Q313"/>
    <mergeCell ref="B311:B313"/>
    <mergeCell ref="C311:C313"/>
    <mergeCell ref="D311:D313"/>
    <mergeCell ref="E311:E313"/>
    <mergeCell ref="F311:F313"/>
    <mergeCell ref="G311:G313"/>
    <mergeCell ref="R308:R310"/>
    <mergeCell ref="S308:S310"/>
    <mergeCell ref="B308:B310"/>
    <mergeCell ref="C308:C310"/>
    <mergeCell ref="D308:D310"/>
    <mergeCell ref="E308:E310"/>
    <mergeCell ref="F308:F310"/>
  </mergeCells>
  <conditionalFormatting sqref="K13">
    <cfRule type="expression" dxfId="3730" priority="3438">
      <formula>J13="NO CUMPLE"</formula>
    </cfRule>
    <cfRule type="expression" dxfId="3729" priority="3439">
      <formula>J13="CUMPLE"</formula>
    </cfRule>
  </conditionalFormatting>
  <conditionalFormatting sqref="M13">
    <cfRule type="expression" dxfId="3728" priority="3436">
      <formula>L13="NO CUMPLE"</formula>
    </cfRule>
    <cfRule type="expression" dxfId="3727" priority="3437">
      <formula>L13="CUMPLE"</formula>
    </cfRule>
  </conditionalFormatting>
  <conditionalFormatting sqref="J16:J24">
    <cfRule type="cellIs" dxfId="3726" priority="3434" operator="equal">
      <formula>"NO CUMPLE"</formula>
    </cfRule>
    <cfRule type="cellIs" dxfId="3725" priority="3435" operator="equal">
      <formula>"CUMPLE"</formula>
    </cfRule>
  </conditionalFormatting>
  <conditionalFormatting sqref="L13:L14">
    <cfRule type="cellIs" dxfId="3724" priority="3432" operator="equal">
      <formula>"NO CUMPLE"</formula>
    </cfRule>
    <cfRule type="cellIs" dxfId="3723" priority="3433" operator="equal">
      <formula>"CUMPLE"</formula>
    </cfRule>
  </conditionalFormatting>
  <conditionalFormatting sqref="T28">
    <cfRule type="cellIs" dxfId="3722" priority="3430" operator="equal">
      <formula>"NO CUMPLE"</formula>
    </cfRule>
    <cfRule type="cellIs" dxfId="3721" priority="3431" operator="equal">
      <formula>"CUMPLE"</formula>
    </cfRule>
  </conditionalFormatting>
  <conditionalFormatting sqref="B28">
    <cfRule type="cellIs" dxfId="3720" priority="3428" operator="equal">
      <formula>"NO CUMPLE CON LA EXPERIENCIA REQUERIDA"</formula>
    </cfRule>
    <cfRule type="cellIs" dxfId="3719" priority="3429" operator="equal">
      <formula>"CUMPLE CON LA EXPERIENCIA REQUERIDA"</formula>
    </cfRule>
  </conditionalFormatting>
  <conditionalFormatting sqref="H16 H19 H22 H25">
    <cfRule type="notContainsBlanks" dxfId="3718" priority="3427">
      <formula>LEN(TRIM(H16))&gt;0</formula>
    </cfRule>
  </conditionalFormatting>
  <conditionalFormatting sqref="T13">
    <cfRule type="cellIs" dxfId="3717" priority="3425" operator="equal">
      <formula>"NO"</formula>
    </cfRule>
    <cfRule type="cellIs" dxfId="3716" priority="3426" operator="equal">
      <formula>"SI"</formula>
    </cfRule>
  </conditionalFormatting>
  <conditionalFormatting sqref="K14:K15">
    <cfRule type="expression" dxfId="3715" priority="3423">
      <formula>J14="NO CUMPLE"</formula>
    </cfRule>
    <cfRule type="expression" dxfId="3714" priority="3424">
      <formula>J14="CUMPLE"</formula>
    </cfRule>
  </conditionalFormatting>
  <conditionalFormatting sqref="M14">
    <cfRule type="expression" dxfId="3713" priority="3421">
      <formula>L14="NO CUMPLE"</formula>
    </cfRule>
    <cfRule type="expression" dxfId="3712" priority="3422">
      <formula>L14="CUMPLE"</formula>
    </cfRule>
  </conditionalFormatting>
  <conditionalFormatting sqref="Z12:Z28">
    <cfRule type="cellIs" dxfId="3711" priority="3419" operator="equal">
      <formula>"NH"</formula>
    </cfRule>
    <cfRule type="cellIs" dxfId="3710" priority="3420" operator="equal">
      <formula>"H"</formula>
    </cfRule>
  </conditionalFormatting>
  <conditionalFormatting sqref="L19:L20">
    <cfRule type="cellIs" dxfId="3709" priority="3415" operator="equal">
      <formula>"NO CUMPLE"</formula>
    </cfRule>
    <cfRule type="cellIs" dxfId="3708" priority="3416" operator="equal">
      <formula>"CUMPLE"</formula>
    </cfRule>
  </conditionalFormatting>
  <conditionalFormatting sqref="L22:L23">
    <cfRule type="cellIs" dxfId="3707" priority="3407" operator="equal">
      <formula>"NO CUMPLE"</formula>
    </cfRule>
    <cfRule type="cellIs" dxfId="3706" priority="3408" operator="equal">
      <formula>"CUMPLE"</formula>
    </cfRule>
  </conditionalFormatting>
  <conditionalFormatting sqref="L16:L17">
    <cfRule type="cellIs" dxfId="3705" priority="3417" operator="equal">
      <formula>"NO CUMPLE"</formula>
    </cfRule>
    <cfRule type="cellIs" dxfId="3704" priority="3418" operator="equal">
      <formula>"CUMPLE"</formula>
    </cfRule>
  </conditionalFormatting>
  <conditionalFormatting sqref="G19">
    <cfRule type="notContainsBlanks" dxfId="3703" priority="3414">
      <formula>LEN(TRIM(G19))&gt;0</formula>
    </cfRule>
  </conditionalFormatting>
  <conditionalFormatting sqref="F19">
    <cfRule type="notContainsBlanks" dxfId="3702" priority="3413">
      <formula>LEN(TRIM(F19))&gt;0</formula>
    </cfRule>
  </conditionalFormatting>
  <conditionalFormatting sqref="E19">
    <cfRule type="notContainsBlanks" dxfId="3701" priority="3412">
      <formula>LEN(TRIM(E19))&gt;0</formula>
    </cfRule>
  </conditionalFormatting>
  <conditionalFormatting sqref="D19">
    <cfRule type="notContainsBlanks" dxfId="3700" priority="3411">
      <formula>LEN(TRIM(D19))&gt;0</formula>
    </cfRule>
  </conditionalFormatting>
  <conditionalFormatting sqref="C19">
    <cfRule type="notContainsBlanks" dxfId="3699" priority="3410">
      <formula>LEN(TRIM(C19))&gt;0</formula>
    </cfRule>
  </conditionalFormatting>
  <conditionalFormatting sqref="J25">
    <cfRule type="cellIs" dxfId="3698" priority="3405" operator="equal">
      <formula>"NO CUMPLE"</formula>
    </cfRule>
    <cfRule type="cellIs" dxfId="3697" priority="3406" operator="equal">
      <formula>"CUMPLE"</formula>
    </cfRule>
  </conditionalFormatting>
  <conditionalFormatting sqref="L25:L26">
    <cfRule type="cellIs" dxfId="3696" priority="3403" operator="equal">
      <formula>"NO CUMPLE"</formula>
    </cfRule>
    <cfRule type="cellIs" dxfId="3695" priority="3404" operator="equal">
      <formula>"CUMPLE"</formula>
    </cfRule>
  </conditionalFormatting>
  <conditionalFormatting sqref="G25">
    <cfRule type="notContainsBlanks" dxfId="3694" priority="3402">
      <formula>LEN(TRIM(G25))&gt;0</formula>
    </cfRule>
  </conditionalFormatting>
  <conditionalFormatting sqref="F25">
    <cfRule type="notContainsBlanks" dxfId="3693" priority="3401">
      <formula>LEN(TRIM(F25))&gt;0</formula>
    </cfRule>
  </conditionalFormatting>
  <conditionalFormatting sqref="E25">
    <cfRule type="notContainsBlanks" dxfId="3692" priority="3400">
      <formula>LEN(TRIM(E25))&gt;0</formula>
    </cfRule>
  </conditionalFormatting>
  <conditionalFormatting sqref="D25">
    <cfRule type="notContainsBlanks" dxfId="3691" priority="3399">
      <formula>LEN(TRIM(D25))&gt;0</formula>
    </cfRule>
  </conditionalFormatting>
  <conditionalFormatting sqref="C25">
    <cfRule type="notContainsBlanks" dxfId="3690" priority="3398">
      <formula>LEN(TRIM(C25))&gt;0</formula>
    </cfRule>
  </conditionalFormatting>
  <conditionalFormatting sqref="I25">
    <cfRule type="notContainsBlanks" dxfId="3689" priority="3397">
      <formula>LEN(TRIM(I25))&gt;0</formula>
    </cfRule>
  </conditionalFormatting>
  <conditionalFormatting sqref="J26:J27">
    <cfRule type="cellIs" dxfId="3688" priority="3395" operator="equal">
      <formula>"NO CUMPLE"</formula>
    </cfRule>
    <cfRule type="cellIs" dxfId="3687" priority="3396" operator="equal">
      <formula>"CUMPLE"</formula>
    </cfRule>
  </conditionalFormatting>
  <conditionalFormatting sqref="G16">
    <cfRule type="notContainsBlanks" dxfId="3686" priority="3394">
      <formula>LEN(TRIM(G16))&gt;0</formula>
    </cfRule>
  </conditionalFormatting>
  <conditionalFormatting sqref="E16">
    <cfRule type="notContainsBlanks" dxfId="3685" priority="3392">
      <formula>LEN(TRIM(E16))&gt;0</formula>
    </cfRule>
  </conditionalFormatting>
  <conditionalFormatting sqref="D16">
    <cfRule type="notContainsBlanks" dxfId="3684" priority="3391">
      <formula>LEN(TRIM(D16))&gt;0</formula>
    </cfRule>
  </conditionalFormatting>
  <conditionalFormatting sqref="C16">
    <cfRule type="notContainsBlanks" dxfId="3683" priority="3390">
      <formula>LEN(TRIM(C16))&gt;0</formula>
    </cfRule>
  </conditionalFormatting>
  <conditionalFormatting sqref="G22">
    <cfRule type="notContainsBlanks" dxfId="3682" priority="3389">
      <formula>LEN(TRIM(G22))&gt;0</formula>
    </cfRule>
  </conditionalFormatting>
  <conditionalFormatting sqref="F22">
    <cfRule type="notContainsBlanks" dxfId="3681" priority="3388">
      <formula>LEN(TRIM(F22))&gt;0</formula>
    </cfRule>
  </conditionalFormatting>
  <conditionalFormatting sqref="E22">
    <cfRule type="notContainsBlanks" dxfId="3680" priority="3387">
      <formula>LEN(TRIM(E22))&gt;0</formula>
    </cfRule>
  </conditionalFormatting>
  <conditionalFormatting sqref="D22">
    <cfRule type="notContainsBlanks" dxfId="3679" priority="3386">
      <formula>LEN(TRIM(D22))&gt;0</formula>
    </cfRule>
  </conditionalFormatting>
  <conditionalFormatting sqref="C22">
    <cfRule type="notContainsBlanks" dxfId="3678" priority="3385">
      <formula>LEN(TRIM(C22))&gt;0</formula>
    </cfRule>
  </conditionalFormatting>
  <conditionalFormatting sqref="I16">
    <cfRule type="notContainsBlanks" dxfId="3677" priority="3384">
      <formula>LEN(TRIM(I16))&gt;0</formula>
    </cfRule>
  </conditionalFormatting>
  <conditionalFormatting sqref="I22">
    <cfRule type="notContainsBlanks" dxfId="3676" priority="3383">
      <formula>LEN(TRIM(I22))&gt;0</formula>
    </cfRule>
  </conditionalFormatting>
  <conditionalFormatting sqref="S28">
    <cfRule type="expression" dxfId="3675" priority="3381">
      <formula>$S$28&gt;0</formula>
    </cfRule>
    <cfRule type="cellIs" dxfId="3674" priority="3382" operator="equal">
      <formula>0</formula>
    </cfRule>
  </conditionalFormatting>
  <conditionalFormatting sqref="S29">
    <cfRule type="expression" dxfId="3673" priority="3379">
      <formula>$S$28&gt;0</formula>
    </cfRule>
    <cfRule type="cellIs" dxfId="3672" priority="3380" operator="equal">
      <formula>0</formula>
    </cfRule>
  </conditionalFormatting>
  <conditionalFormatting sqref="U16:U18">
    <cfRule type="cellIs" dxfId="3671" priority="3377" operator="equal">
      <formula>0</formula>
    </cfRule>
    <cfRule type="cellIs" dxfId="3670" priority="3378" operator="equal">
      <formula>1</formula>
    </cfRule>
  </conditionalFormatting>
  <conditionalFormatting sqref="U19:U21">
    <cfRule type="cellIs" dxfId="3669" priority="3375" operator="equal">
      <formula>0</formula>
    </cfRule>
    <cfRule type="cellIs" dxfId="3668" priority="3376" operator="equal">
      <formula>1</formula>
    </cfRule>
  </conditionalFormatting>
  <conditionalFormatting sqref="U22:U24">
    <cfRule type="cellIs" dxfId="3667" priority="3373" operator="equal">
      <formula>0</formula>
    </cfRule>
    <cfRule type="cellIs" dxfId="3666" priority="3374" operator="equal">
      <formula>1</formula>
    </cfRule>
  </conditionalFormatting>
  <conditionalFormatting sqref="U25:U27">
    <cfRule type="cellIs" dxfId="3665" priority="3371" operator="equal">
      <formula>0</formula>
    </cfRule>
    <cfRule type="cellIs" dxfId="3664" priority="3372" operator="equal">
      <formula>1</formula>
    </cfRule>
  </conditionalFormatting>
  <conditionalFormatting sqref="L35:L36">
    <cfRule type="cellIs" dxfId="3663" priority="3369" operator="equal">
      <formula>"NO CUMPLE"</formula>
    </cfRule>
    <cfRule type="cellIs" dxfId="3662" priority="3370" operator="equal">
      <formula>"CUMPLE"</formula>
    </cfRule>
  </conditionalFormatting>
  <conditionalFormatting sqref="T50">
    <cfRule type="cellIs" dxfId="3661" priority="3367" operator="equal">
      <formula>"NO CUMPLE"</formula>
    </cfRule>
    <cfRule type="cellIs" dxfId="3660" priority="3368" operator="equal">
      <formula>"CUMPLE"</formula>
    </cfRule>
  </conditionalFormatting>
  <conditionalFormatting sqref="B50">
    <cfRule type="cellIs" dxfId="3659" priority="3365" operator="equal">
      <formula>"NO CUMPLE CON LA EXPERIENCIA REQUERIDA"</formula>
    </cfRule>
    <cfRule type="cellIs" dxfId="3658" priority="3366" operator="equal">
      <formula>"CUMPLE CON LA EXPERIENCIA REQUERIDA"</formula>
    </cfRule>
  </conditionalFormatting>
  <conditionalFormatting sqref="H44 H47">
    <cfRule type="notContainsBlanks" dxfId="3657" priority="3364">
      <formula>LEN(TRIM(H44))&gt;0</formula>
    </cfRule>
  </conditionalFormatting>
  <conditionalFormatting sqref="T35">
    <cfRule type="cellIs" dxfId="3656" priority="3362" operator="equal">
      <formula>"NO"</formula>
    </cfRule>
    <cfRule type="cellIs" dxfId="3655" priority="3363" operator="equal">
      <formula>"SI"</formula>
    </cfRule>
  </conditionalFormatting>
  <conditionalFormatting sqref="G41">
    <cfRule type="notContainsBlanks" dxfId="3654" priority="3361">
      <formula>LEN(TRIM(G41))&gt;0</formula>
    </cfRule>
  </conditionalFormatting>
  <conditionalFormatting sqref="F41">
    <cfRule type="notContainsBlanks" dxfId="3653" priority="3360">
      <formula>LEN(TRIM(F41))&gt;0</formula>
    </cfRule>
  </conditionalFormatting>
  <conditionalFormatting sqref="E41">
    <cfRule type="notContainsBlanks" dxfId="3652" priority="3359">
      <formula>LEN(TRIM(E41))&gt;0</formula>
    </cfRule>
  </conditionalFormatting>
  <conditionalFormatting sqref="D41">
    <cfRule type="notContainsBlanks" dxfId="3651" priority="3358">
      <formula>LEN(TRIM(D41))&gt;0</formula>
    </cfRule>
  </conditionalFormatting>
  <conditionalFormatting sqref="C41">
    <cfRule type="notContainsBlanks" dxfId="3650" priority="3357">
      <formula>LEN(TRIM(C41))&gt;0</formula>
    </cfRule>
  </conditionalFormatting>
  <conditionalFormatting sqref="G47">
    <cfRule type="notContainsBlanks" dxfId="3649" priority="3355">
      <formula>LEN(TRIM(G47))&gt;0</formula>
    </cfRule>
  </conditionalFormatting>
  <conditionalFormatting sqref="F47">
    <cfRule type="notContainsBlanks" dxfId="3648" priority="3354">
      <formula>LEN(TRIM(F47))&gt;0</formula>
    </cfRule>
  </conditionalFormatting>
  <conditionalFormatting sqref="E47">
    <cfRule type="notContainsBlanks" dxfId="3647" priority="3353">
      <formula>LEN(TRIM(E47))&gt;0</formula>
    </cfRule>
  </conditionalFormatting>
  <conditionalFormatting sqref="D47">
    <cfRule type="notContainsBlanks" dxfId="3646" priority="3352">
      <formula>LEN(TRIM(D47))&gt;0</formula>
    </cfRule>
  </conditionalFormatting>
  <conditionalFormatting sqref="C47">
    <cfRule type="notContainsBlanks" dxfId="3645" priority="3351">
      <formula>LEN(TRIM(C47))&gt;0</formula>
    </cfRule>
  </conditionalFormatting>
  <conditionalFormatting sqref="I47">
    <cfRule type="notContainsBlanks" dxfId="3644" priority="3350">
      <formula>LEN(TRIM(I47))&gt;0</formula>
    </cfRule>
  </conditionalFormatting>
  <conditionalFormatting sqref="G44">
    <cfRule type="notContainsBlanks" dxfId="3643" priority="3349">
      <formula>LEN(TRIM(G44))&gt;0</formula>
    </cfRule>
  </conditionalFormatting>
  <conditionalFormatting sqref="F44">
    <cfRule type="notContainsBlanks" dxfId="3642" priority="3348">
      <formula>LEN(TRIM(F44))&gt;0</formula>
    </cfRule>
  </conditionalFormatting>
  <conditionalFormatting sqref="E44">
    <cfRule type="notContainsBlanks" dxfId="3641" priority="3347">
      <formula>LEN(TRIM(E44))&gt;0</formula>
    </cfRule>
  </conditionalFormatting>
  <conditionalFormatting sqref="D44">
    <cfRule type="notContainsBlanks" dxfId="3640" priority="3346">
      <formula>LEN(TRIM(D44))&gt;0</formula>
    </cfRule>
  </conditionalFormatting>
  <conditionalFormatting sqref="C44">
    <cfRule type="notContainsBlanks" dxfId="3639" priority="3345">
      <formula>LEN(TRIM(C44))&gt;0</formula>
    </cfRule>
  </conditionalFormatting>
  <conditionalFormatting sqref="I44">
    <cfRule type="notContainsBlanks" dxfId="3638" priority="3344">
      <formula>LEN(TRIM(I44))&gt;0</formula>
    </cfRule>
  </conditionalFormatting>
  <conditionalFormatting sqref="S50">
    <cfRule type="expression" dxfId="3637" priority="3342">
      <formula>$S$28&gt;0</formula>
    </cfRule>
    <cfRule type="cellIs" dxfId="3636" priority="3343" operator="equal">
      <formula>0</formula>
    </cfRule>
  </conditionalFormatting>
  <conditionalFormatting sqref="S51">
    <cfRule type="expression" dxfId="3635" priority="3340">
      <formula>$S$28&gt;0</formula>
    </cfRule>
    <cfRule type="cellIs" dxfId="3634" priority="3341" operator="equal">
      <formula>0</formula>
    </cfRule>
  </conditionalFormatting>
  <conditionalFormatting sqref="N16 N22 N25">
    <cfRule type="expression" dxfId="3633" priority="3337">
      <formula>N16=" "</formula>
    </cfRule>
    <cfRule type="expression" dxfId="3632" priority="3338">
      <formula>N16="NO PRESENTÓ CERTIFICADO"</formula>
    </cfRule>
    <cfRule type="expression" dxfId="3631" priority="3339">
      <formula>N16="PRESENTÓ CERTIFICADO"</formula>
    </cfRule>
  </conditionalFormatting>
  <conditionalFormatting sqref="Q22 Q25">
    <cfRule type="containsBlanks" dxfId="3630" priority="3328">
      <formula>LEN(TRIM(Q22))=0</formula>
    </cfRule>
    <cfRule type="cellIs" dxfId="3629" priority="3333" operator="equal">
      <formula>"REQUERIMIENTOS SUBSANADOS"</formula>
    </cfRule>
    <cfRule type="containsText" dxfId="3628" priority="3334" operator="containsText" text="NO SUBSANABLE">
      <formula>NOT(ISERROR(SEARCH("NO SUBSANABLE",Q22)))</formula>
    </cfRule>
    <cfRule type="containsText" dxfId="3627" priority="3335" operator="containsText" text="PENDIENTES POR SUBSANAR">
      <formula>NOT(ISERROR(SEARCH("PENDIENTES POR SUBSANAR",Q22)))</formula>
    </cfRule>
    <cfRule type="containsText" dxfId="3626" priority="3336" operator="containsText" text="SIN OBSERVACIÓN">
      <formula>NOT(ISERROR(SEARCH("SIN OBSERVACIÓN",Q22)))</formula>
    </cfRule>
  </conditionalFormatting>
  <conditionalFormatting sqref="R22 R25">
    <cfRule type="containsBlanks" dxfId="3625" priority="3327">
      <formula>LEN(TRIM(R22))=0</formula>
    </cfRule>
    <cfRule type="cellIs" dxfId="3624" priority="3329" operator="equal">
      <formula>"NO CUMPLEN CON LO SOLICITADO"</formula>
    </cfRule>
    <cfRule type="cellIs" dxfId="3623" priority="3330" operator="equal">
      <formula>"CUMPLEN CON LO SOLICITADO"</formula>
    </cfRule>
    <cfRule type="cellIs" dxfId="3622" priority="3331" operator="equal">
      <formula>"PENDIENTES"</formula>
    </cfRule>
    <cfRule type="cellIs" dxfId="3621" priority="3332" operator="equal">
      <formula>"NINGUNO"</formula>
    </cfRule>
  </conditionalFormatting>
  <conditionalFormatting sqref="P22 P25">
    <cfRule type="expression" dxfId="3620" priority="3322">
      <formula>Q22="NO SUBSANABLE"</formula>
    </cfRule>
    <cfRule type="expression" dxfId="3619" priority="3323">
      <formula>Q22="REQUERIMIENTOS SUBSANADOS"</formula>
    </cfRule>
    <cfRule type="expression" dxfId="3618" priority="3324">
      <formula>Q22="PENDIENTES POR SUBSANAR"</formula>
    </cfRule>
    <cfRule type="expression" dxfId="3617" priority="3325">
      <formula>Q22="SIN OBSERVACIÓN"</formula>
    </cfRule>
    <cfRule type="containsBlanks" dxfId="3616" priority="3326">
      <formula>LEN(TRIM(P22))=0</formula>
    </cfRule>
  </conditionalFormatting>
  <conditionalFormatting sqref="T72">
    <cfRule type="cellIs" dxfId="3615" priority="3320" operator="equal">
      <formula>"NO CUMPLE"</formula>
    </cfRule>
    <cfRule type="cellIs" dxfId="3614" priority="3321" operator="equal">
      <formula>"CUMPLE"</formula>
    </cfRule>
  </conditionalFormatting>
  <conditionalFormatting sqref="B72">
    <cfRule type="cellIs" dxfId="3613" priority="3318" operator="equal">
      <formula>"NO CUMPLE CON LA EXPERIENCIA REQUERIDA"</formula>
    </cfRule>
    <cfRule type="cellIs" dxfId="3612" priority="3319" operator="equal">
      <formula>"CUMPLE CON LA EXPERIENCIA REQUERIDA"</formula>
    </cfRule>
  </conditionalFormatting>
  <conditionalFormatting sqref="T57">
    <cfRule type="cellIs" dxfId="3611" priority="3316" operator="equal">
      <formula>"NO"</formula>
    </cfRule>
    <cfRule type="cellIs" dxfId="3610" priority="3317" operator="equal">
      <formula>"SI"</formula>
    </cfRule>
  </conditionalFormatting>
  <conditionalFormatting sqref="S72">
    <cfRule type="expression" dxfId="3609" priority="3314">
      <formula>$S$28&gt;0</formula>
    </cfRule>
    <cfRule type="cellIs" dxfId="3608" priority="3315" operator="equal">
      <formula>0</formula>
    </cfRule>
  </conditionalFormatting>
  <conditionalFormatting sqref="S73">
    <cfRule type="expression" dxfId="3607" priority="3312">
      <formula>$S$28&gt;0</formula>
    </cfRule>
    <cfRule type="cellIs" dxfId="3606" priority="3313" operator="equal">
      <formula>0</formula>
    </cfRule>
  </conditionalFormatting>
  <conditionalFormatting sqref="B94">
    <cfRule type="cellIs" dxfId="3605" priority="3308" operator="equal">
      <formula>"NO CUMPLE CON LA EXPERIENCIA REQUERIDA"</formula>
    </cfRule>
    <cfRule type="cellIs" dxfId="3604" priority="3309" operator="equal">
      <formula>"CUMPLE CON LA EXPERIENCIA REQUERIDA"</formula>
    </cfRule>
  </conditionalFormatting>
  <conditionalFormatting sqref="H88 H91">
    <cfRule type="notContainsBlanks" dxfId="3603" priority="3307">
      <formula>LEN(TRIM(H88))&gt;0</formula>
    </cfRule>
  </conditionalFormatting>
  <conditionalFormatting sqref="T79">
    <cfRule type="cellIs" dxfId="3602" priority="3299" operator="equal">
      <formula>"NO"</formula>
    </cfRule>
    <cfRule type="cellIs" dxfId="3601" priority="3300" operator="equal">
      <formula>"SI"</formula>
    </cfRule>
  </conditionalFormatting>
  <conditionalFormatting sqref="G91">
    <cfRule type="notContainsBlanks" dxfId="3600" priority="3292">
      <formula>LEN(TRIM(G91))&gt;0</formula>
    </cfRule>
  </conditionalFormatting>
  <conditionalFormatting sqref="F91">
    <cfRule type="notContainsBlanks" dxfId="3599" priority="3291">
      <formula>LEN(TRIM(F91))&gt;0</formula>
    </cfRule>
  </conditionalFormatting>
  <conditionalFormatting sqref="E91">
    <cfRule type="notContainsBlanks" dxfId="3598" priority="3290">
      <formula>LEN(TRIM(E91))&gt;0</formula>
    </cfRule>
  </conditionalFormatting>
  <conditionalFormatting sqref="D91">
    <cfRule type="notContainsBlanks" dxfId="3597" priority="3289">
      <formula>LEN(TRIM(D91))&gt;0</formula>
    </cfRule>
  </conditionalFormatting>
  <conditionalFormatting sqref="C91">
    <cfRule type="notContainsBlanks" dxfId="3596" priority="3288">
      <formula>LEN(TRIM(C91))&gt;0</formula>
    </cfRule>
  </conditionalFormatting>
  <conditionalFormatting sqref="I91">
    <cfRule type="notContainsBlanks" dxfId="3595" priority="3287">
      <formula>LEN(TRIM(I91))&gt;0</formula>
    </cfRule>
  </conditionalFormatting>
  <conditionalFormatting sqref="G88">
    <cfRule type="notContainsBlanks" dxfId="3594" priority="3281">
      <formula>LEN(TRIM(G88))&gt;0</formula>
    </cfRule>
  </conditionalFormatting>
  <conditionalFormatting sqref="F88">
    <cfRule type="notContainsBlanks" dxfId="3593" priority="3280">
      <formula>LEN(TRIM(F88))&gt;0</formula>
    </cfRule>
  </conditionalFormatting>
  <conditionalFormatting sqref="E88">
    <cfRule type="notContainsBlanks" dxfId="3592" priority="3279">
      <formula>LEN(TRIM(E88))&gt;0</formula>
    </cfRule>
  </conditionalFormatting>
  <conditionalFormatting sqref="D88">
    <cfRule type="notContainsBlanks" dxfId="3591" priority="3278">
      <formula>LEN(TRIM(D88))&gt;0</formula>
    </cfRule>
  </conditionalFormatting>
  <conditionalFormatting sqref="C88">
    <cfRule type="notContainsBlanks" dxfId="3590" priority="3277">
      <formula>LEN(TRIM(C88))&gt;0</formula>
    </cfRule>
  </conditionalFormatting>
  <conditionalFormatting sqref="I88">
    <cfRule type="notContainsBlanks" dxfId="3589" priority="3275">
      <formula>LEN(TRIM(I88))&gt;0</formula>
    </cfRule>
  </conditionalFormatting>
  <conditionalFormatting sqref="S94">
    <cfRule type="expression" dxfId="3588" priority="3273">
      <formula>$S$28&gt;0</formula>
    </cfRule>
    <cfRule type="cellIs" dxfId="3587" priority="3274" operator="equal">
      <formula>0</formula>
    </cfRule>
  </conditionalFormatting>
  <conditionalFormatting sqref="S95">
    <cfRule type="expression" dxfId="3586" priority="3271">
      <formula>$S$28&gt;0</formula>
    </cfRule>
    <cfRule type="cellIs" dxfId="3585" priority="3272" operator="equal">
      <formula>0</formula>
    </cfRule>
  </conditionalFormatting>
  <conditionalFormatting sqref="S101">
    <cfRule type="cellIs" dxfId="3584" priority="3269" operator="greaterThan">
      <formula>0</formula>
    </cfRule>
    <cfRule type="top10" dxfId="3583" priority="3270" rank="10"/>
  </conditionalFormatting>
  <conditionalFormatting sqref="B116">
    <cfRule type="cellIs" dxfId="3582" priority="3267" operator="equal">
      <formula>"NO CUMPLE CON LA EXPERIENCIA REQUERIDA"</formula>
    </cfRule>
    <cfRule type="cellIs" dxfId="3581" priority="3268" operator="equal">
      <formula>"CUMPLE CON LA EXPERIENCIA REQUERIDA"</formula>
    </cfRule>
  </conditionalFormatting>
  <conditionalFormatting sqref="H101 H110 H113">
    <cfRule type="notContainsBlanks" dxfId="3580" priority="3266">
      <formula>LEN(TRIM(H101))&gt;0</formula>
    </cfRule>
  </conditionalFormatting>
  <conditionalFormatting sqref="G101">
    <cfRule type="notContainsBlanks" dxfId="3579" priority="3265">
      <formula>LEN(TRIM(G101))&gt;0</formula>
    </cfRule>
  </conditionalFormatting>
  <conditionalFormatting sqref="F101">
    <cfRule type="notContainsBlanks" dxfId="3578" priority="3264">
      <formula>LEN(TRIM(F101))&gt;0</formula>
    </cfRule>
  </conditionalFormatting>
  <conditionalFormatting sqref="E101">
    <cfRule type="notContainsBlanks" dxfId="3577" priority="3263">
      <formula>LEN(TRIM(E101))&gt;0</formula>
    </cfRule>
  </conditionalFormatting>
  <conditionalFormatting sqref="D101">
    <cfRule type="notContainsBlanks" dxfId="3576" priority="3262">
      <formula>LEN(TRIM(D101))&gt;0</formula>
    </cfRule>
  </conditionalFormatting>
  <conditionalFormatting sqref="C101">
    <cfRule type="notContainsBlanks" dxfId="3575" priority="3261">
      <formula>LEN(TRIM(C101))&gt;0</formula>
    </cfRule>
  </conditionalFormatting>
  <conditionalFormatting sqref="I101">
    <cfRule type="notContainsBlanks" dxfId="3574" priority="3260">
      <formula>LEN(TRIM(I101))&gt;0</formula>
    </cfRule>
  </conditionalFormatting>
  <conditionalFormatting sqref="S104">
    <cfRule type="cellIs" dxfId="3573" priority="3258" operator="greaterThan">
      <formula>0</formula>
    </cfRule>
    <cfRule type="top10" dxfId="3572" priority="3259" rank="10"/>
  </conditionalFormatting>
  <conditionalFormatting sqref="S107">
    <cfRule type="cellIs" dxfId="3571" priority="3256" operator="greaterThan">
      <formula>0</formula>
    </cfRule>
    <cfRule type="top10" dxfId="3570" priority="3257" rank="10"/>
  </conditionalFormatting>
  <conditionalFormatting sqref="G107">
    <cfRule type="notContainsBlanks" dxfId="3569" priority="3255">
      <formula>LEN(TRIM(G107))&gt;0</formula>
    </cfRule>
  </conditionalFormatting>
  <conditionalFormatting sqref="F107">
    <cfRule type="notContainsBlanks" dxfId="3568" priority="3254">
      <formula>LEN(TRIM(F107))&gt;0</formula>
    </cfRule>
  </conditionalFormatting>
  <conditionalFormatting sqref="E107">
    <cfRule type="notContainsBlanks" dxfId="3567" priority="3253">
      <formula>LEN(TRIM(E107))&gt;0</formula>
    </cfRule>
  </conditionalFormatting>
  <conditionalFormatting sqref="D107">
    <cfRule type="notContainsBlanks" dxfId="3566" priority="3252">
      <formula>LEN(TRIM(D107))&gt;0</formula>
    </cfRule>
  </conditionalFormatting>
  <conditionalFormatting sqref="C107">
    <cfRule type="notContainsBlanks" dxfId="3565" priority="3251">
      <formula>LEN(TRIM(C107))&gt;0</formula>
    </cfRule>
  </conditionalFormatting>
  <conditionalFormatting sqref="S110">
    <cfRule type="cellIs" dxfId="3564" priority="3249" operator="greaterThan">
      <formula>0</formula>
    </cfRule>
    <cfRule type="top10" dxfId="3563" priority="3250" rank="10"/>
  </conditionalFormatting>
  <conditionalFormatting sqref="S113">
    <cfRule type="cellIs" dxfId="3562" priority="3247" operator="greaterThan">
      <formula>0</formula>
    </cfRule>
    <cfRule type="top10" dxfId="3561" priority="3248" rank="10"/>
  </conditionalFormatting>
  <conditionalFormatting sqref="G113">
    <cfRule type="notContainsBlanks" dxfId="3560" priority="3246">
      <formula>LEN(TRIM(G113))&gt;0</formula>
    </cfRule>
  </conditionalFormatting>
  <conditionalFormatting sqref="F113">
    <cfRule type="notContainsBlanks" dxfId="3559" priority="3245">
      <formula>LEN(TRIM(F113))&gt;0</formula>
    </cfRule>
  </conditionalFormatting>
  <conditionalFormatting sqref="E113">
    <cfRule type="notContainsBlanks" dxfId="3558" priority="3244">
      <formula>LEN(TRIM(E113))&gt;0</formula>
    </cfRule>
  </conditionalFormatting>
  <conditionalFormatting sqref="D113">
    <cfRule type="notContainsBlanks" dxfId="3557" priority="3243">
      <formula>LEN(TRIM(D113))&gt;0</formula>
    </cfRule>
  </conditionalFormatting>
  <conditionalFormatting sqref="C113">
    <cfRule type="notContainsBlanks" dxfId="3556" priority="3242">
      <formula>LEN(TRIM(C113))&gt;0</formula>
    </cfRule>
  </conditionalFormatting>
  <conditionalFormatting sqref="I113">
    <cfRule type="notContainsBlanks" dxfId="3555" priority="3241">
      <formula>LEN(TRIM(I113))&gt;0</formula>
    </cfRule>
  </conditionalFormatting>
  <conditionalFormatting sqref="G104">
    <cfRule type="notContainsBlanks" dxfId="3554" priority="3240">
      <formula>LEN(TRIM(G104))&gt;0</formula>
    </cfRule>
  </conditionalFormatting>
  <conditionalFormatting sqref="F104">
    <cfRule type="notContainsBlanks" dxfId="3553" priority="3239">
      <formula>LEN(TRIM(F104))&gt;0</formula>
    </cfRule>
  </conditionalFormatting>
  <conditionalFormatting sqref="E104">
    <cfRule type="notContainsBlanks" dxfId="3552" priority="3238">
      <formula>LEN(TRIM(E104))&gt;0</formula>
    </cfRule>
  </conditionalFormatting>
  <conditionalFormatting sqref="D104">
    <cfRule type="notContainsBlanks" dxfId="3551" priority="3237">
      <formula>LEN(TRIM(D104))&gt;0</formula>
    </cfRule>
  </conditionalFormatting>
  <conditionalFormatting sqref="C104">
    <cfRule type="notContainsBlanks" dxfId="3550" priority="3236">
      <formula>LEN(TRIM(C104))&gt;0</formula>
    </cfRule>
  </conditionalFormatting>
  <conditionalFormatting sqref="G110">
    <cfRule type="notContainsBlanks" dxfId="3549" priority="3235">
      <formula>LEN(TRIM(G110))&gt;0</formula>
    </cfRule>
  </conditionalFormatting>
  <conditionalFormatting sqref="F110">
    <cfRule type="notContainsBlanks" dxfId="3548" priority="3234">
      <formula>LEN(TRIM(F110))&gt;0</formula>
    </cfRule>
  </conditionalFormatting>
  <conditionalFormatting sqref="E110">
    <cfRule type="notContainsBlanks" dxfId="3547" priority="3233">
      <formula>LEN(TRIM(E110))&gt;0</formula>
    </cfRule>
  </conditionalFormatting>
  <conditionalFormatting sqref="D110">
    <cfRule type="notContainsBlanks" dxfId="3546" priority="3232">
      <formula>LEN(TRIM(D110))&gt;0</formula>
    </cfRule>
  </conditionalFormatting>
  <conditionalFormatting sqref="C110">
    <cfRule type="notContainsBlanks" dxfId="3545" priority="3231">
      <formula>LEN(TRIM(C110))&gt;0</formula>
    </cfRule>
  </conditionalFormatting>
  <conditionalFormatting sqref="I110">
    <cfRule type="notContainsBlanks" dxfId="3544" priority="3230">
      <formula>LEN(TRIM(I110))&gt;0</formula>
    </cfRule>
  </conditionalFormatting>
  <conditionalFormatting sqref="S116">
    <cfRule type="expression" dxfId="3543" priority="3228">
      <formula>$S$28&gt;0</formula>
    </cfRule>
    <cfRule type="cellIs" dxfId="3542" priority="3229" operator="equal">
      <formula>0</formula>
    </cfRule>
  </conditionalFormatting>
  <conditionalFormatting sqref="S117">
    <cfRule type="expression" dxfId="3541" priority="3226">
      <formula>$S$28&gt;0</formula>
    </cfRule>
    <cfRule type="cellIs" dxfId="3540" priority="3227" operator="equal">
      <formula>0</formula>
    </cfRule>
  </conditionalFormatting>
  <conditionalFormatting sqref="S123">
    <cfRule type="cellIs" dxfId="3539" priority="3224" operator="greaterThan">
      <formula>0</formula>
    </cfRule>
    <cfRule type="top10" dxfId="3538" priority="3225" rank="10"/>
  </conditionalFormatting>
  <conditionalFormatting sqref="B138">
    <cfRule type="cellIs" dxfId="3537" priority="3222" operator="equal">
      <formula>"NO CUMPLE CON LA EXPERIENCIA REQUERIDA"</formula>
    </cfRule>
    <cfRule type="cellIs" dxfId="3536" priority="3223" operator="equal">
      <formula>"CUMPLE CON LA EXPERIENCIA REQUERIDA"</formula>
    </cfRule>
  </conditionalFormatting>
  <conditionalFormatting sqref="H123 H132 H135">
    <cfRule type="notContainsBlanks" dxfId="3535" priority="3221">
      <formula>LEN(TRIM(H123))&gt;0</formula>
    </cfRule>
  </conditionalFormatting>
  <conditionalFormatting sqref="G123">
    <cfRule type="notContainsBlanks" dxfId="3534" priority="3220">
      <formula>LEN(TRIM(G123))&gt;0</formula>
    </cfRule>
  </conditionalFormatting>
  <conditionalFormatting sqref="F123">
    <cfRule type="notContainsBlanks" dxfId="3533" priority="3219">
      <formula>LEN(TRIM(F123))&gt;0</formula>
    </cfRule>
  </conditionalFormatting>
  <conditionalFormatting sqref="E123">
    <cfRule type="notContainsBlanks" dxfId="3532" priority="3218">
      <formula>LEN(TRIM(E123))&gt;0</formula>
    </cfRule>
  </conditionalFormatting>
  <conditionalFormatting sqref="D123">
    <cfRule type="notContainsBlanks" dxfId="3531" priority="3217">
      <formula>LEN(TRIM(D123))&gt;0</formula>
    </cfRule>
  </conditionalFormatting>
  <conditionalFormatting sqref="C123">
    <cfRule type="notContainsBlanks" dxfId="3530" priority="3216">
      <formula>LEN(TRIM(C123))&gt;0</formula>
    </cfRule>
  </conditionalFormatting>
  <conditionalFormatting sqref="I123">
    <cfRule type="notContainsBlanks" dxfId="3529" priority="3215">
      <formula>LEN(TRIM(I123))&gt;0</formula>
    </cfRule>
  </conditionalFormatting>
  <conditionalFormatting sqref="S126">
    <cfRule type="cellIs" dxfId="3528" priority="3213" operator="greaterThan">
      <formula>0</formula>
    </cfRule>
    <cfRule type="top10" dxfId="3527" priority="3214" rank="10"/>
  </conditionalFormatting>
  <conditionalFormatting sqref="S129">
    <cfRule type="cellIs" dxfId="3526" priority="3211" operator="greaterThan">
      <formula>0</formula>
    </cfRule>
    <cfRule type="top10" dxfId="3525" priority="3212" rank="10"/>
  </conditionalFormatting>
  <conditionalFormatting sqref="G129">
    <cfRule type="notContainsBlanks" dxfId="3524" priority="3210">
      <formula>LEN(TRIM(G129))&gt;0</formula>
    </cfRule>
  </conditionalFormatting>
  <conditionalFormatting sqref="F129">
    <cfRule type="notContainsBlanks" dxfId="3523" priority="3209">
      <formula>LEN(TRIM(F129))&gt;0</formula>
    </cfRule>
  </conditionalFormatting>
  <conditionalFormatting sqref="E129">
    <cfRule type="notContainsBlanks" dxfId="3522" priority="3208">
      <formula>LEN(TRIM(E129))&gt;0</formula>
    </cfRule>
  </conditionalFormatting>
  <conditionalFormatting sqref="D129">
    <cfRule type="notContainsBlanks" dxfId="3521" priority="3207">
      <formula>LEN(TRIM(D129))&gt;0</formula>
    </cfRule>
  </conditionalFormatting>
  <conditionalFormatting sqref="C129">
    <cfRule type="notContainsBlanks" dxfId="3520" priority="3206">
      <formula>LEN(TRIM(C129))&gt;0</formula>
    </cfRule>
  </conditionalFormatting>
  <conditionalFormatting sqref="S132">
    <cfRule type="cellIs" dxfId="3519" priority="3204" operator="greaterThan">
      <formula>0</formula>
    </cfRule>
    <cfRule type="top10" dxfId="3518" priority="3205" rank="10"/>
  </conditionalFormatting>
  <conditionalFormatting sqref="S135">
    <cfRule type="cellIs" dxfId="3517" priority="3202" operator="greaterThan">
      <formula>0</formula>
    </cfRule>
    <cfRule type="top10" dxfId="3516" priority="3203" rank="10"/>
  </conditionalFormatting>
  <conditionalFormatting sqref="G135">
    <cfRule type="notContainsBlanks" dxfId="3515" priority="3201">
      <formula>LEN(TRIM(G135))&gt;0</formula>
    </cfRule>
  </conditionalFormatting>
  <conditionalFormatting sqref="F135">
    <cfRule type="notContainsBlanks" dxfId="3514" priority="3200">
      <formula>LEN(TRIM(F135))&gt;0</formula>
    </cfRule>
  </conditionalFormatting>
  <conditionalFormatting sqref="E135">
    <cfRule type="notContainsBlanks" dxfId="3513" priority="3199">
      <formula>LEN(TRIM(E135))&gt;0</formula>
    </cfRule>
  </conditionalFormatting>
  <conditionalFormatting sqref="D135">
    <cfRule type="notContainsBlanks" dxfId="3512" priority="3198">
      <formula>LEN(TRIM(D135))&gt;0</formula>
    </cfRule>
  </conditionalFormatting>
  <conditionalFormatting sqref="C135">
    <cfRule type="notContainsBlanks" dxfId="3511" priority="3197">
      <formula>LEN(TRIM(C135))&gt;0</formula>
    </cfRule>
  </conditionalFormatting>
  <conditionalFormatting sqref="I135">
    <cfRule type="notContainsBlanks" dxfId="3510" priority="3196">
      <formula>LEN(TRIM(I135))&gt;0</formula>
    </cfRule>
  </conditionalFormatting>
  <conditionalFormatting sqref="G126">
    <cfRule type="notContainsBlanks" dxfId="3509" priority="3195">
      <formula>LEN(TRIM(G126))&gt;0</formula>
    </cfRule>
  </conditionalFormatting>
  <conditionalFormatting sqref="F126">
    <cfRule type="notContainsBlanks" dxfId="3508" priority="3194">
      <formula>LEN(TRIM(F126))&gt;0</formula>
    </cfRule>
  </conditionalFormatting>
  <conditionalFormatting sqref="E126">
    <cfRule type="notContainsBlanks" dxfId="3507" priority="3193">
      <formula>LEN(TRIM(E126))&gt;0</formula>
    </cfRule>
  </conditionalFormatting>
  <conditionalFormatting sqref="D126">
    <cfRule type="notContainsBlanks" dxfId="3506" priority="3192">
      <formula>LEN(TRIM(D126))&gt;0</formula>
    </cfRule>
  </conditionalFormatting>
  <conditionalFormatting sqref="C126">
    <cfRule type="notContainsBlanks" dxfId="3505" priority="3191">
      <formula>LEN(TRIM(C126))&gt;0</formula>
    </cfRule>
  </conditionalFormatting>
  <conditionalFormatting sqref="G132">
    <cfRule type="notContainsBlanks" dxfId="3504" priority="3190">
      <formula>LEN(TRIM(G132))&gt;0</formula>
    </cfRule>
  </conditionalFormatting>
  <conditionalFormatting sqref="F132">
    <cfRule type="notContainsBlanks" dxfId="3503" priority="3189">
      <formula>LEN(TRIM(F132))&gt;0</formula>
    </cfRule>
  </conditionalFormatting>
  <conditionalFormatting sqref="E132">
    <cfRule type="notContainsBlanks" dxfId="3502" priority="3188">
      <formula>LEN(TRIM(E132))&gt;0</formula>
    </cfRule>
  </conditionalFormatting>
  <conditionalFormatting sqref="D132">
    <cfRule type="notContainsBlanks" dxfId="3501" priority="3187">
      <formula>LEN(TRIM(D132))&gt;0</formula>
    </cfRule>
  </conditionalFormatting>
  <conditionalFormatting sqref="C132">
    <cfRule type="notContainsBlanks" dxfId="3500" priority="3186">
      <formula>LEN(TRIM(C132))&gt;0</formula>
    </cfRule>
  </conditionalFormatting>
  <conditionalFormatting sqref="I132">
    <cfRule type="notContainsBlanks" dxfId="3499" priority="3185">
      <formula>LEN(TRIM(I132))&gt;0</formula>
    </cfRule>
  </conditionalFormatting>
  <conditionalFormatting sqref="S138">
    <cfRule type="expression" dxfId="3498" priority="3183">
      <formula>$S$28&gt;0</formula>
    </cfRule>
    <cfRule type="cellIs" dxfId="3497" priority="3184" operator="equal">
      <formula>0</formula>
    </cfRule>
  </conditionalFormatting>
  <conditionalFormatting sqref="S139">
    <cfRule type="expression" dxfId="3496" priority="3181">
      <formula>$S$28&gt;0</formula>
    </cfRule>
    <cfRule type="cellIs" dxfId="3495" priority="3182" operator="equal">
      <formula>0</formula>
    </cfRule>
  </conditionalFormatting>
  <conditionalFormatting sqref="S145">
    <cfRule type="cellIs" dxfId="3494" priority="3179" operator="greaterThan">
      <formula>0</formula>
    </cfRule>
    <cfRule type="top10" dxfId="3493" priority="3180" rank="10"/>
  </conditionalFormatting>
  <conditionalFormatting sqref="B160">
    <cfRule type="cellIs" dxfId="3492" priority="3177" operator="equal">
      <formula>"NO CUMPLE CON LA EXPERIENCIA REQUERIDA"</formula>
    </cfRule>
    <cfRule type="cellIs" dxfId="3491" priority="3178" operator="equal">
      <formula>"CUMPLE CON LA EXPERIENCIA REQUERIDA"</formula>
    </cfRule>
  </conditionalFormatting>
  <conditionalFormatting sqref="H145 H148 H151 H154 H157">
    <cfRule type="notContainsBlanks" dxfId="3490" priority="3176">
      <formula>LEN(TRIM(H145))&gt;0</formula>
    </cfRule>
  </conditionalFormatting>
  <conditionalFormatting sqref="G145">
    <cfRule type="notContainsBlanks" dxfId="3489" priority="3175">
      <formula>LEN(TRIM(G145))&gt;0</formula>
    </cfRule>
  </conditionalFormatting>
  <conditionalFormatting sqref="F145">
    <cfRule type="notContainsBlanks" dxfId="3488" priority="3174">
      <formula>LEN(TRIM(F145))&gt;0</formula>
    </cfRule>
  </conditionalFormatting>
  <conditionalFormatting sqref="E145">
    <cfRule type="notContainsBlanks" dxfId="3487" priority="3173">
      <formula>LEN(TRIM(E145))&gt;0</formula>
    </cfRule>
  </conditionalFormatting>
  <conditionalFormatting sqref="D145">
    <cfRule type="notContainsBlanks" dxfId="3486" priority="3172">
      <formula>LEN(TRIM(D145))&gt;0</formula>
    </cfRule>
  </conditionalFormatting>
  <conditionalFormatting sqref="C145">
    <cfRule type="notContainsBlanks" dxfId="3485" priority="3171">
      <formula>LEN(TRIM(C145))&gt;0</formula>
    </cfRule>
  </conditionalFormatting>
  <conditionalFormatting sqref="I145">
    <cfRule type="notContainsBlanks" dxfId="3484" priority="3170">
      <formula>LEN(TRIM(I145))&gt;0</formula>
    </cfRule>
  </conditionalFormatting>
  <conditionalFormatting sqref="S148">
    <cfRule type="cellIs" dxfId="3483" priority="3168" operator="greaterThan">
      <formula>0</formula>
    </cfRule>
    <cfRule type="top10" dxfId="3482" priority="3169" rank="10"/>
  </conditionalFormatting>
  <conditionalFormatting sqref="S151">
    <cfRule type="cellIs" dxfId="3481" priority="3166" operator="greaterThan">
      <formula>0</formula>
    </cfRule>
    <cfRule type="top10" dxfId="3480" priority="3167" rank="10"/>
  </conditionalFormatting>
  <conditionalFormatting sqref="G151">
    <cfRule type="notContainsBlanks" dxfId="3479" priority="3165">
      <formula>LEN(TRIM(G151))&gt;0</formula>
    </cfRule>
  </conditionalFormatting>
  <conditionalFormatting sqref="F151">
    <cfRule type="notContainsBlanks" dxfId="3478" priority="3164">
      <formula>LEN(TRIM(F151))&gt;0</formula>
    </cfRule>
  </conditionalFormatting>
  <conditionalFormatting sqref="E151">
    <cfRule type="notContainsBlanks" dxfId="3477" priority="3163">
      <formula>LEN(TRIM(E151))&gt;0</formula>
    </cfRule>
  </conditionalFormatting>
  <conditionalFormatting sqref="D151">
    <cfRule type="notContainsBlanks" dxfId="3476" priority="3162">
      <formula>LEN(TRIM(D151))&gt;0</formula>
    </cfRule>
  </conditionalFormatting>
  <conditionalFormatting sqref="C151">
    <cfRule type="notContainsBlanks" dxfId="3475" priority="3161">
      <formula>LEN(TRIM(C151))&gt;0</formula>
    </cfRule>
  </conditionalFormatting>
  <conditionalFormatting sqref="I151">
    <cfRule type="notContainsBlanks" dxfId="3474" priority="3160">
      <formula>LEN(TRIM(I151))&gt;0</formula>
    </cfRule>
  </conditionalFormatting>
  <conditionalFormatting sqref="S154">
    <cfRule type="cellIs" dxfId="3473" priority="3158" operator="greaterThan">
      <formula>0</formula>
    </cfRule>
    <cfRule type="top10" dxfId="3472" priority="3159" rank="10"/>
  </conditionalFormatting>
  <conditionalFormatting sqref="S157">
    <cfRule type="cellIs" dxfId="3471" priority="3156" operator="greaterThan">
      <formula>0</formula>
    </cfRule>
    <cfRule type="top10" dxfId="3470" priority="3157" rank="10"/>
  </conditionalFormatting>
  <conditionalFormatting sqref="G157">
    <cfRule type="notContainsBlanks" dxfId="3469" priority="3155">
      <formula>LEN(TRIM(G157))&gt;0</formula>
    </cfRule>
  </conditionalFormatting>
  <conditionalFormatting sqref="F157">
    <cfRule type="notContainsBlanks" dxfId="3468" priority="3154">
      <formula>LEN(TRIM(F157))&gt;0</formula>
    </cfRule>
  </conditionalFormatting>
  <conditionalFormatting sqref="E157">
    <cfRule type="notContainsBlanks" dxfId="3467" priority="3153">
      <formula>LEN(TRIM(E157))&gt;0</formula>
    </cfRule>
  </conditionalFormatting>
  <conditionalFormatting sqref="D157">
    <cfRule type="notContainsBlanks" dxfId="3466" priority="3152">
      <formula>LEN(TRIM(D157))&gt;0</formula>
    </cfRule>
  </conditionalFormatting>
  <conditionalFormatting sqref="C157">
    <cfRule type="notContainsBlanks" dxfId="3465" priority="3151">
      <formula>LEN(TRIM(C157))&gt;0</formula>
    </cfRule>
  </conditionalFormatting>
  <conditionalFormatting sqref="I157">
    <cfRule type="notContainsBlanks" dxfId="3464" priority="3150">
      <formula>LEN(TRIM(I157))&gt;0</formula>
    </cfRule>
  </conditionalFormatting>
  <conditionalFormatting sqref="G148">
    <cfRule type="notContainsBlanks" dxfId="3463" priority="3149">
      <formula>LEN(TRIM(G148))&gt;0</formula>
    </cfRule>
  </conditionalFormatting>
  <conditionalFormatting sqref="E148">
    <cfRule type="notContainsBlanks" dxfId="3462" priority="3148">
      <formula>LEN(TRIM(E148))&gt;0</formula>
    </cfRule>
  </conditionalFormatting>
  <conditionalFormatting sqref="D148">
    <cfRule type="notContainsBlanks" dxfId="3461" priority="3147">
      <formula>LEN(TRIM(D148))&gt;0</formula>
    </cfRule>
  </conditionalFormatting>
  <conditionalFormatting sqref="C148">
    <cfRule type="notContainsBlanks" dxfId="3460" priority="3146">
      <formula>LEN(TRIM(C148))&gt;0</formula>
    </cfRule>
  </conditionalFormatting>
  <conditionalFormatting sqref="G154">
    <cfRule type="notContainsBlanks" dxfId="3459" priority="3145">
      <formula>LEN(TRIM(G154))&gt;0</formula>
    </cfRule>
  </conditionalFormatting>
  <conditionalFormatting sqref="F154">
    <cfRule type="notContainsBlanks" dxfId="3458" priority="3144">
      <formula>LEN(TRIM(F154))&gt;0</formula>
    </cfRule>
  </conditionalFormatting>
  <conditionalFormatting sqref="E154">
    <cfRule type="notContainsBlanks" dxfId="3457" priority="3143">
      <formula>LEN(TRIM(E154))&gt;0</formula>
    </cfRule>
  </conditionalFormatting>
  <conditionalFormatting sqref="D154">
    <cfRule type="notContainsBlanks" dxfId="3456" priority="3142">
      <formula>LEN(TRIM(D154))&gt;0</formula>
    </cfRule>
  </conditionalFormatting>
  <conditionalFormatting sqref="C154">
    <cfRule type="notContainsBlanks" dxfId="3455" priority="3141">
      <formula>LEN(TRIM(C154))&gt;0</formula>
    </cfRule>
  </conditionalFormatting>
  <conditionalFormatting sqref="I148">
    <cfRule type="notContainsBlanks" dxfId="3454" priority="3140">
      <formula>LEN(TRIM(I148))&gt;0</formula>
    </cfRule>
  </conditionalFormatting>
  <conditionalFormatting sqref="I154">
    <cfRule type="notContainsBlanks" dxfId="3453" priority="3139">
      <formula>LEN(TRIM(I154))&gt;0</formula>
    </cfRule>
  </conditionalFormatting>
  <conditionalFormatting sqref="S160">
    <cfRule type="expression" dxfId="3452" priority="3137">
      <formula>$S$28&gt;0</formula>
    </cfRule>
    <cfRule type="cellIs" dxfId="3451" priority="3138" operator="equal">
      <formula>0</formula>
    </cfRule>
  </conditionalFormatting>
  <conditionalFormatting sqref="S161">
    <cfRule type="expression" dxfId="3450" priority="3135">
      <formula>$S$28&gt;0</formula>
    </cfRule>
    <cfRule type="cellIs" dxfId="3449" priority="3136" operator="equal">
      <formula>0</formula>
    </cfRule>
  </conditionalFormatting>
  <conditionalFormatting sqref="N157">
    <cfRule type="expression" dxfId="3448" priority="3132">
      <formula>N157=" "</formula>
    </cfRule>
    <cfRule type="expression" dxfId="3447" priority="3133">
      <formula>N157="NO PRESENTÓ CERTIFICADO"</formula>
    </cfRule>
    <cfRule type="expression" dxfId="3446" priority="3134">
      <formula>N157="PRESENTÓ CERTIFICADO"</formula>
    </cfRule>
  </conditionalFormatting>
  <conditionalFormatting sqref="O157">
    <cfRule type="cellIs" dxfId="3445" priority="3114" operator="equal">
      <formula>"PENDIENTE POR DESCRIPCIÓN"</formula>
    </cfRule>
    <cfRule type="cellIs" dxfId="3444" priority="3115" operator="equal">
      <formula>"DESCRIPCIÓN INSUFICIENTE"</formula>
    </cfRule>
    <cfRule type="cellIs" dxfId="3443" priority="3116" operator="equal">
      <formula>"NO ESTÁ ACORDE A ITEM 5.2.2 (T.R.)"</formula>
    </cfRule>
    <cfRule type="cellIs" dxfId="3442" priority="3117" operator="equal">
      <formula>"ACORDE A ITEM 5.2.2 (T.R.)"</formula>
    </cfRule>
    <cfRule type="cellIs" dxfId="3441" priority="3124" operator="equal">
      <formula>"PENDIENTE POR DESCRIPCIÓN"</formula>
    </cfRule>
    <cfRule type="cellIs" dxfId="3440" priority="3126" operator="equal">
      <formula>"DESCRIPCIÓN INSUFICIENTE"</formula>
    </cfRule>
    <cfRule type="cellIs" dxfId="3439" priority="3127" operator="equal">
      <formula>"NO ESTÁ ACORDE A ITEM 5.2.1 (T.R.)"</formula>
    </cfRule>
    <cfRule type="cellIs" dxfId="3438" priority="3128" operator="equal">
      <formula>"ACORDE A ITEM 5.2.1 (T.R.)"</formula>
    </cfRule>
  </conditionalFormatting>
  <conditionalFormatting sqref="Q157">
    <cfRule type="containsBlanks" dxfId="3437" priority="3119">
      <formula>LEN(TRIM(Q157))=0</formula>
    </cfRule>
    <cfRule type="cellIs" dxfId="3436" priority="3125" operator="equal">
      <formula>"REQUERIMIENTOS SUBSANADOS"</formula>
    </cfRule>
    <cfRule type="containsText" dxfId="3435" priority="3129" operator="containsText" text="NO SUBSANABLE">
      <formula>NOT(ISERROR(SEARCH("NO SUBSANABLE",Q157)))</formula>
    </cfRule>
    <cfRule type="containsText" dxfId="3434" priority="3130" operator="containsText" text="PENDIENTES POR SUBSANAR">
      <formula>NOT(ISERROR(SEARCH("PENDIENTES POR SUBSANAR",Q157)))</formula>
    </cfRule>
    <cfRule type="containsText" dxfId="3433" priority="3131" operator="containsText" text="SIN OBSERVACIÓN">
      <formula>NOT(ISERROR(SEARCH("SIN OBSERVACIÓN",Q157)))</formula>
    </cfRule>
  </conditionalFormatting>
  <conditionalFormatting sqref="R157">
    <cfRule type="containsBlanks" dxfId="3432" priority="3118">
      <formula>LEN(TRIM(R157))=0</formula>
    </cfRule>
    <cfRule type="cellIs" dxfId="3431" priority="3120" operator="equal">
      <formula>"NO CUMPLEN CON LO SOLICITADO"</formula>
    </cfRule>
    <cfRule type="cellIs" dxfId="3430" priority="3121" operator="equal">
      <formula>"CUMPLEN CON LO SOLICITADO"</formula>
    </cfRule>
    <cfRule type="cellIs" dxfId="3429" priority="3122" operator="equal">
      <formula>"PENDIENTES"</formula>
    </cfRule>
    <cfRule type="cellIs" dxfId="3428" priority="3123" operator="equal">
      <formula>"NINGUNO"</formula>
    </cfRule>
  </conditionalFormatting>
  <conditionalFormatting sqref="P157">
    <cfRule type="expression" dxfId="3427" priority="3109">
      <formula>Q157="NO SUBSANABLE"</formula>
    </cfRule>
    <cfRule type="expression" dxfId="3426" priority="3110">
      <formula>Q157="REQUERIMIENTOS SUBSANADOS"</formula>
    </cfRule>
    <cfRule type="expression" dxfId="3425" priority="3111">
      <formula>Q157="PENDIENTES POR SUBSANAR"</formula>
    </cfRule>
    <cfRule type="expression" dxfId="3424" priority="3112">
      <formula>Q157="SIN OBSERVACIÓN"</formula>
    </cfRule>
    <cfRule type="containsBlanks" dxfId="3423" priority="3113">
      <formula>LEN(TRIM(P157))=0</formula>
    </cfRule>
  </conditionalFormatting>
  <conditionalFormatting sqref="S167">
    <cfRule type="cellIs" dxfId="3422" priority="3107" operator="greaterThan">
      <formula>0</formula>
    </cfRule>
    <cfRule type="top10" dxfId="3421" priority="3108" rank="10"/>
  </conditionalFormatting>
  <conditionalFormatting sqref="B182">
    <cfRule type="cellIs" dxfId="3420" priority="3105" operator="equal">
      <formula>"NO CUMPLE CON LA EXPERIENCIA REQUERIDA"</formula>
    </cfRule>
    <cfRule type="cellIs" dxfId="3419" priority="3106" operator="equal">
      <formula>"CUMPLE CON LA EXPERIENCIA REQUERIDA"</formula>
    </cfRule>
  </conditionalFormatting>
  <conditionalFormatting sqref="H167 H176 H179">
    <cfRule type="notContainsBlanks" dxfId="3418" priority="3104">
      <formula>LEN(TRIM(H167))&gt;0</formula>
    </cfRule>
  </conditionalFormatting>
  <conditionalFormatting sqref="G167">
    <cfRule type="notContainsBlanks" dxfId="3417" priority="3103">
      <formula>LEN(TRIM(G167))&gt;0</formula>
    </cfRule>
  </conditionalFormatting>
  <conditionalFormatting sqref="F167">
    <cfRule type="notContainsBlanks" dxfId="3416" priority="3102">
      <formula>LEN(TRIM(F167))&gt;0</formula>
    </cfRule>
  </conditionalFormatting>
  <conditionalFormatting sqref="E167">
    <cfRule type="notContainsBlanks" dxfId="3415" priority="3101">
      <formula>LEN(TRIM(E167))&gt;0</formula>
    </cfRule>
  </conditionalFormatting>
  <conditionalFormatting sqref="D167">
    <cfRule type="notContainsBlanks" dxfId="3414" priority="3100">
      <formula>LEN(TRIM(D167))&gt;0</formula>
    </cfRule>
  </conditionalFormatting>
  <conditionalFormatting sqref="C167">
    <cfRule type="notContainsBlanks" dxfId="3413" priority="3099">
      <formula>LEN(TRIM(C167))&gt;0</formula>
    </cfRule>
  </conditionalFormatting>
  <conditionalFormatting sqref="I167">
    <cfRule type="notContainsBlanks" dxfId="3412" priority="3098">
      <formula>LEN(TRIM(I167))&gt;0</formula>
    </cfRule>
  </conditionalFormatting>
  <conditionalFormatting sqref="S170">
    <cfRule type="cellIs" dxfId="3411" priority="3096" operator="greaterThan">
      <formula>0</formula>
    </cfRule>
    <cfRule type="top10" dxfId="3410" priority="3097" rank="10"/>
  </conditionalFormatting>
  <conditionalFormatting sqref="S173">
    <cfRule type="cellIs" dxfId="3409" priority="3094" operator="greaterThan">
      <formula>0</formula>
    </cfRule>
    <cfRule type="top10" dxfId="3408" priority="3095" rank="10"/>
  </conditionalFormatting>
  <conditionalFormatting sqref="G173">
    <cfRule type="notContainsBlanks" dxfId="3407" priority="3093">
      <formula>LEN(TRIM(G173))&gt;0</formula>
    </cfRule>
  </conditionalFormatting>
  <conditionalFormatting sqref="F173">
    <cfRule type="notContainsBlanks" dxfId="3406" priority="3092">
      <formula>LEN(TRIM(F173))&gt;0</formula>
    </cfRule>
  </conditionalFormatting>
  <conditionalFormatting sqref="E173">
    <cfRule type="notContainsBlanks" dxfId="3405" priority="3091">
      <formula>LEN(TRIM(E173))&gt;0</formula>
    </cfRule>
  </conditionalFormatting>
  <conditionalFormatting sqref="D173">
    <cfRule type="notContainsBlanks" dxfId="3404" priority="3090">
      <formula>LEN(TRIM(D173))&gt;0</formula>
    </cfRule>
  </conditionalFormatting>
  <conditionalFormatting sqref="C173">
    <cfRule type="notContainsBlanks" dxfId="3403" priority="3089">
      <formula>LEN(TRIM(C173))&gt;0</formula>
    </cfRule>
  </conditionalFormatting>
  <conditionalFormatting sqref="I173">
    <cfRule type="notContainsBlanks" dxfId="3402" priority="3088">
      <formula>LEN(TRIM(I173))&gt;0</formula>
    </cfRule>
  </conditionalFormatting>
  <conditionalFormatting sqref="S176">
    <cfRule type="cellIs" dxfId="3401" priority="3086" operator="greaterThan">
      <formula>0</formula>
    </cfRule>
    <cfRule type="top10" dxfId="3400" priority="3087" rank="10"/>
  </conditionalFormatting>
  <conditionalFormatting sqref="S179">
    <cfRule type="cellIs" dxfId="3399" priority="3084" operator="greaterThan">
      <formula>0</formula>
    </cfRule>
    <cfRule type="top10" dxfId="3398" priority="3085" rank="10"/>
  </conditionalFormatting>
  <conditionalFormatting sqref="G179">
    <cfRule type="notContainsBlanks" dxfId="3397" priority="3083">
      <formula>LEN(TRIM(G179))&gt;0</formula>
    </cfRule>
  </conditionalFormatting>
  <conditionalFormatting sqref="F179">
    <cfRule type="notContainsBlanks" dxfId="3396" priority="3082">
      <formula>LEN(TRIM(F179))&gt;0</formula>
    </cfRule>
  </conditionalFormatting>
  <conditionalFormatting sqref="E179">
    <cfRule type="notContainsBlanks" dxfId="3395" priority="3081">
      <formula>LEN(TRIM(E179))&gt;0</formula>
    </cfRule>
  </conditionalFormatting>
  <conditionalFormatting sqref="D179">
    <cfRule type="notContainsBlanks" dxfId="3394" priority="3080">
      <formula>LEN(TRIM(D179))&gt;0</formula>
    </cfRule>
  </conditionalFormatting>
  <conditionalFormatting sqref="C179">
    <cfRule type="notContainsBlanks" dxfId="3393" priority="3079">
      <formula>LEN(TRIM(C179))&gt;0</formula>
    </cfRule>
  </conditionalFormatting>
  <conditionalFormatting sqref="I179">
    <cfRule type="notContainsBlanks" dxfId="3392" priority="3078">
      <formula>LEN(TRIM(I179))&gt;0</formula>
    </cfRule>
  </conditionalFormatting>
  <conditionalFormatting sqref="G170">
    <cfRule type="notContainsBlanks" dxfId="3391" priority="3077">
      <formula>LEN(TRIM(G170))&gt;0</formula>
    </cfRule>
  </conditionalFormatting>
  <conditionalFormatting sqref="F170">
    <cfRule type="notContainsBlanks" dxfId="3390" priority="3076">
      <formula>LEN(TRIM(F170))&gt;0</formula>
    </cfRule>
  </conditionalFormatting>
  <conditionalFormatting sqref="E170">
    <cfRule type="notContainsBlanks" dxfId="3389" priority="3075">
      <formula>LEN(TRIM(E170))&gt;0</formula>
    </cfRule>
  </conditionalFormatting>
  <conditionalFormatting sqref="D170">
    <cfRule type="notContainsBlanks" dxfId="3388" priority="3074">
      <formula>LEN(TRIM(D170))&gt;0</formula>
    </cfRule>
  </conditionalFormatting>
  <conditionalFormatting sqref="C170">
    <cfRule type="notContainsBlanks" dxfId="3387" priority="3073">
      <formula>LEN(TRIM(C170))&gt;0</formula>
    </cfRule>
  </conditionalFormatting>
  <conditionalFormatting sqref="G176">
    <cfRule type="notContainsBlanks" dxfId="3386" priority="3072">
      <formula>LEN(TRIM(G176))&gt;0</formula>
    </cfRule>
  </conditionalFormatting>
  <conditionalFormatting sqref="F176">
    <cfRule type="notContainsBlanks" dxfId="3385" priority="3071">
      <formula>LEN(TRIM(F176))&gt;0</formula>
    </cfRule>
  </conditionalFormatting>
  <conditionalFormatting sqref="E176">
    <cfRule type="notContainsBlanks" dxfId="3384" priority="3070">
      <formula>LEN(TRIM(E176))&gt;0</formula>
    </cfRule>
  </conditionalFormatting>
  <conditionalFormatting sqref="D176">
    <cfRule type="notContainsBlanks" dxfId="3383" priority="3069">
      <formula>LEN(TRIM(D176))&gt;0</formula>
    </cfRule>
  </conditionalFormatting>
  <conditionalFormatting sqref="C176">
    <cfRule type="notContainsBlanks" dxfId="3382" priority="3068">
      <formula>LEN(TRIM(C176))&gt;0</formula>
    </cfRule>
  </conditionalFormatting>
  <conditionalFormatting sqref="I170">
    <cfRule type="notContainsBlanks" dxfId="3381" priority="3067">
      <formula>LEN(TRIM(I170))&gt;0</formula>
    </cfRule>
  </conditionalFormatting>
  <conditionalFormatting sqref="I176">
    <cfRule type="notContainsBlanks" dxfId="3380" priority="3066">
      <formula>LEN(TRIM(I176))&gt;0</formula>
    </cfRule>
  </conditionalFormatting>
  <conditionalFormatting sqref="S182">
    <cfRule type="expression" dxfId="3379" priority="3064">
      <formula>$S$28&gt;0</formula>
    </cfRule>
    <cfRule type="cellIs" dxfId="3378" priority="3065" operator="equal">
      <formula>0</formula>
    </cfRule>
  </conditionalFormatting>
  <conditionalFormatting sqref="S183">
    <cfRule type="expression" dxfId="3377" priority="3062">
      <formula>$S$28&gt;0</formula>
    </cfRule>
    <cfRule type="cellIs" dxfId="3376" priority="3063" operator="equal">
      <formula>0</formula>
    </cfRule>
  </conditionalFormatting>
  <conditionalFormatting sqref="B204">
    <cfRule type="cellIs" dxfId="3375" priority="3060" operator="equal">
      <formula>"NO CUMPLE CON LA EXPERIENCIA REQUERIDA"</formula>
    </cfRule>
    <cfRule type="cellIs" dxfId="3374" priority="3061" operator="equal">
      <formula>"CUMPLE CON LA EXPERIENCIA REQUERIDA"</formula>
    </cfRule>
  </conditionalFormatting>
  <conditionalFormatting sqref="H189 H192 H195 H198 H201">
    <cfRule type="notContainsBlanks" dxfId="3373" priority="3059">
      <formula>LEN(TRIM(H189))&gt;0</formula>
    </cfRule>
  </conditionalFormatting>
  <conditionalFormatting sqref="G189">
    <cfRule type="notContainsBlanks" dxfId="3372" priority="3058">
      <formula>LEN(TRIM(G189))&gt;0</formula>
    </cfRule>
  </conditionalFormatting>
  <conditionalFormatting sqref="F189">
    <cfRule type="notContainsBlanks" dxfId="3371" priority="3057">
      <formula>LEN(TRIM(F189))&gt;0</formula>
    </cfRule>
  </conditionalFormatting>
  <conditionalFormatting sqref="E189">
    <cfRule type="notContainsBlanks" dxfId="3370" priority="3056">
      <formula>LEN(TRIM(E189))&gt;0</formula>
    </cfRule>
  </conditionalFormatting>
  <conditionalFormatting sqref="D189">
    <cfRule type="notContainsBlanks" dxfId="3369" priority="3055">
      <formula>LEN(TRIM(D189))&gt;0</formula>
    </cfRule>
  </conditionalFormatting>
  <conditionalFormatting sqref="C189">
    <cfRule type="notContainsBlanks" dxfId="3368" priority="3054">
      <formula>LEN(TRIM(C189))&gt;0</formula>
    </cfRule>
  </conditionalFormatting>
  <conditionalFormatting sqref="I189">
    <cfRule type="notContainsBlanks" dxfId="3367" priority="3053">
      <formula>LEN(TRIM(I189))&gt;0</formula>
    </cfRule>
  </conditionalFormatting>
  <conditionalFormatting sqref="S192">
    <cfRule type="cellIs" dxfId="3366" priority="3051" operator="greaterThan">
      <formula>0</formula>
    </cfRule>
    <cfRule type="top10" dxfId="3365" priority="3052" rank="10"/>
  </conditionalFormatting>
  <conditionalFormatting sqref="S195">
    <cfRule type="cellIs" dxfId="3364" priority="3049" operator="greaterThan">
      <formula>0</formula>
    </cfRule>
    <cfRule type="top10" dxfId="3363" priority="3050" rank="10"/>
  </conditionalFormatting>
  <conditionalFormatting sqref="G195">
    <cfRule type="notContainsBlanks" dxfId="3362" priority="3048">
      <formula>LEN(TRIM(G195))&gt;0</formula>
    </cfRule>
  </conditionalFormatting>
  <conditionalFormatting sqref="F195">
    <cfRule type="notContainsBlanks" dxfId="3361" priority="3047">
      <formula>LEN(TRIM(F195))&gt;0</formula>
    </cfRule>
  </conditionalFormatting>
  <conditionalFormatting sqref="E195">
    <cfRule type="notContainsBlanks" dxfId="3360" priority="3046">
      <formula>LEN(TRIM(E195))&gt;0</formula>
    </cfRule>
  </conditionalFormatting>
  <conditionalFormatting sqref="D195">
    <cfRule type="notContainsBlanks" dxfId="3359" priority="3045">
      <formula>LEN(TRIM(D195))&gt;0</formula>
    </cfRule>
  </conditionalFormatting>
  <conditionalFormatting sqref="C195">
    <cfRule type="notContainsBlanks" dxfId="3358" priority="3044">
      <formula>LEN(TRIM(C195))&gt;0</formula>
    </cfRule>
  </conditionalFormatting>
  <conditionalFormatting sqref="I195">
    <cfRule type="notContainsBlanks" dxfId="3357" priority="3043">
      <formula>LEN(TRIM(I195))&gt;0</formula>
    </cfRule>
  </conditionalFormatting>
  <conditionalFormatting sqref="S198">
    <cfRule type="cellIs" dxfId="3356" priority="3041" operator="greaterThan">
      <formula>0</formula>
    </cfRule>
    <cfRule type="top10" dxfId="3355" priority="3042" rank="10"/>
  </conditionalFormatting>
  <conditionalFormatting sqref="S201">
    <cfRule type="cellIs" dxfId="3354" priority="3039" operator="greaterThan">
      <formula>0</formula>
    </cfRule>
    <cfRule type="top10" dxfId="3353" priority="3040" rank="10"/>
  </conditionalFormatting>
  <conditionalFormatting sqref="G201">
    <cfRule type="notContainsBlanks" dxfId="3352" priority="3038">
      <formula>LEN(TRIM(G201))&gt;0</formula>
    </cfRule>
  </conditionalFormatting>
  <conditionalFormatting sqref="F201">
    <cfRule type="notContainsBlanks" dxfId="3351" priority="3037">
      <formula>LEN(TRIM(F201))&gt;0</formula>
    </cfRule>
  </conditionalFormatting>
  <conditionalFormatting sqref="E201">
    <cfRule type="notContainsBlanks" dxfId="3350" priority="3036">
      <formula>LEN(TRIM(E201))&gt;0</formula>
    </cfRule>
  </conditionalFormatting>
  <conditionalFormatting sqref="D201">
    <cfRule type="notContainsBlanks" dxfId="3349" priority="3035">
      <formula>LEN(TRIM(D201))&gt;0</formula>
    </cfRule>
  </conditionalFormatting>
  <conditionalFormatting sqref="C201">
    <cfRule type="notContainsBlanks" dxfId="3348" priority="3034">
      <formula>LEN(TRIM(C201))&gt;0</formula>
    </cfRule>
  </conditionalFormatting>
  <conditionalFormatting sqref="I201">
    <cfRule type="notContainsBlanks" dxfId="3347" priority="3033">
      <formula>LEN(TRIM(I201))&gt;0</formula>
    </cfRule>
  </conditionalFormatting>
  <conditionalFormatting sqref="G192">
    <cfRule type="notContainsBlanks" dxfId="3346" priority="3032">
      <formula>LEN(TRIM(G192))&gt;0</formula>
    </cfRule>
  </conditionalFormatting>
  <conditionalFormatting sqref="F192">
    <cfRule type="notContainsBlanks" dxfId="3345" priority="3031">
      <formula>LEN(TRIM(F192))&gt;0</formula>
    </cfRule>
  </conditionalFormatting>
  <conditionalFormatting sqref="E192">
    <cfRule type="notContainsBlanks" dxfId="3344" priority="3030">
      <formula>LEN(TRIM(E192))&gt;0</formula>
    </cfRule>
  </conditionalFormatting>
  <conditionalFormatting sqref="D192">
    <cfRule type="notContainsBlanks" dxfId="3343" priority="3029">
      <formula>LEN(TRIM(D192))&gt;0</formula>
    </cfRule>
  </conditionalFormatting>
  <conditionalFormatting sqref="C192">
    <cfRule type="notContainsBlanks" dxfId="3342" priority="3028">
      <formula>LEN(TRIM(C192))&gt;0</formula>
    </cfRule>
  </conditionalFormatting>
  <conditionalFormatting sqref="G198">
    <cfRule type="notContainsBlanks" dxfId="3341" priority="3027">
      <formula>LEN(TRIM(G198))&gt;0</formula>
    </cfRule>
  </conditionalFormatting>
  <conditionalFormatting sqref="F198">
    <cfRule type="notContainsBlanks" dxfId="3340" priority="3026">
      <formula>LEN(TRIM(F198))&gt;0</formula>
    </cfRule>
  </conditionalFormatting>
  <conditionalFormatting sqref="E198">
    <cfRule type="notContainsBlanks" dxfId="3339" priority="3025">
      <formula>LEN(TRIM(E198))&gt;0</formula>
    </cfRule>
  </conditionalFormatting>
  <conditionalFormatting sqref="D198">
    <cfRule type="notContainsBlanks" dxfId="3338" priority="3024">
      <formula>LEN(TRIM(D198))&gt;0</formula>
    </cfRule>
  </conditionalFormatting>
  <conditionalFormatting sqref="C198">
    <cfRule type="notContainsBlanks" dxfId="3337" priority="3023">
      <formula>LEN(TRIM(C198))&gt;0</formula>
    </cfRule>
  </conditionalFormatting>
  <conditionalFormatting sqref="I192">
    <cfRule type="notContainsBlanks" dxfId="3336" priority="3022">
      <formula>LEN(TRIM(I192))&gt;0</formula>
    </cfRule>
  </conditionalFormatting>
  <conditionalFormatting sqref="I198">
    <cfRule type="notContainsBlanks" dxfId="3335" priority="3021">
      <formula>LEN(TRIM(I198))&gt;0</formula>
    </cfRule>
  </conditionalFormatting>
  <conditionalFormatting sqref="S204">
    <cfRule type="expression" dxfId="3334" priority="3019">
      <formula>$S$28&gt;0</formula>
    </cfRule>
    <cfRule type="cellIs" dxfId="3333" priority="3020" operator="equal">
      <formula>0</formula>
    </cfRule>
  </conditionalFormatting>
  <conditionalFormatting sqref="S205">
    <cfRule type="expression" dxfId="3332" priority="3017">
      <formula>$S$28&gt;0</formula>
    </cfRule>
    <cfRule type="cellIs" dxfId="3331" priority="3018" operator="equal">
      <formula>0</formula>
    </cfRule>
  </conditionalFormatting>
  <conditionalFormatting sqref="N201">
    <cfRule type="expression" dxfId="3330" priority="3014">
      <formula>N201=" "</formula>
    </cfRule>
    <cfRule type="expression" dxfId="3329" priority="3015">
      <formula>N201="NO PRESENTÓ CERTIFICADO"</formula>
    </cfRule>
    <cfRule type="expression" dxfId="3328" priority="3016">
      <formula>N201="PRESENTÓ CERTIFICADO"</formula>
    </cfRule>
  </conditionalFormatting>
  <conditionalFormatting sqref="O201">
    <cfRule type="cellIs" dxfId="3327" priority="2996" operator="equal">
      <formula>"PENDIENTE POR DESCRIPCIÓN"</formula>
    </cfRule>
    <cfRule type="cellIs" dxfId="3326" priority="2997" operator="equal">
      <formula>"DESCRIPCIÓN INSUFICIENTE"</formula>
    </cfRule>
    <cfRule type="cellIs" dxfId="3325" priority="2998" operator="equal">
      <formula>"NO ESTÁ ACORDE A ITEM 5.2.2 (T.R.)"</formula>
    </cfRule>
    <cfRule type="cellIs" dxfId="3324" priority="2999" operator="equal">
      <formula>"ACORDE A ITEM 5.2.2 (T.R.)"</formula>
    </cfRule>
    <cfRule type="cellIs" dxfId="3323" priority="3006" operator="equal">
      <formula>"PENDIENTE POR DESCRIPCIÓN"</formula>
    </cfRule>
    <cfRule type="cellIs" dxfId="3322" priority="3008" operator="equal">
      <formula>"DESCRIPCIÓN INSUFICIENTE"</formula>
    </cfRule>
    <cfRule type="cellIs" dxfId="3321" priority="3009" operator="equal">
      <formula>"NO ESTÁ ACORDE A ITEM 5.2.1 (T.R.)"</formula>
    </cfRule>
    <cfRule type="cellIs" dxfId="3320" priority="3010" operator="equal">
      <formula>"ACORDE A ITEM 5.2.1 (T.R.)"</formula>
    </cfRule>
  </conditionalFormatting>
  <conditionalFormatting sqref="Q201">
    <cfRule type="containsBlanks" dxfId="3319" priority="3001">
      <formula>LEN(TRIM(Q201))=0</formula>
    </cfRule>
    <cfRule type="cellIs" dxfId="3318" priority="3007" operator="equal">
      <formula>"REQUERIMIENTOS SUBSANADOS"</formula>
    </cfRule>
    <cfRule type="containsText" dxfId="3317" priority="3011" operator="containsText" text="NO SUBSANABLE">
      <formula>NOT(ISERROR(SEARCH("NO SUBSANABLE",Q201)))</formula>
    </cfRule>
    <cfRule type="containsText" dxfId="3316" priority="3012" operator="containsText" text="PENDIENTES POR SUBSANAR">
      <formula>NOT(ISERROR(SEARCH("PENDIENTES POR SUBSANAR",Q201)))</formula>
    </cfRule>
    <cfRule type="containsText" dxfId="3315" priority="3013" operator="containsText" text="SIN OBSERVACIÓN">
      <formula>NOT(ISERROR(SEARCH("SIN OBSERVACIÓN",Q201)))</formula>
    </cfRule>
  </conditionalFormatting>
  <conditionalFormatting sqref="R201">
    <cfRule type="containsBlanks" dxfId="3314" priority="3000">
      <formula>LEN(TRIM(R201))=0</formula>
    </cfRule>
    <cfRule type="cellIs" dxfId="3313" priority="3002" operator="equal">
      <formula>"NO CUMPLEN CON LO SOLICITADO"</formula>
    </cfRule>
    <cfRule type="cellIs" dxfId="3312" priority="3003" operator="equal">
      <formula>"CUMPLEN CON LO SOLICITADO"</formula>
    </cfRule>
    <cfRule type="cellIs" dxfId="3311" priority="3004" operator="equal">
      <formula>"PENDIENTES"</formula>
    </cfRule>
    <cfRule type="cellIs" dxfId="3310" priority="3005" operator="equal">
      <formula>"NINGUNO"</formula>
    </cfRule>
  </conditionalFormatting>
  <conditionalFormatting sqref="P192 P195 P198 P201">
    <cfRule type="expression" dxfId="3309" priority="2991">
      <formula>Q192="NO SUBSANABLE"</formula>
    </cfRule>
    <cfRule type="expression" dxfId="3308" priority="2992">
      <formula>Q192="REQUERIMIENTOS SUBSANADOS"</formula>
    </cfRule>
    <cfRule type="expression" dxfId="3307" priority="2993">
      <formula>Q192="PENDIENTES POR SUBSANAR"</formula>
    </cfRule>
    <cfRule type="expression" dxfId="3306" priority="2994">
      <formula>Q192="SIN OBSERVACIÓN"</formula>
    </cfRule>
    <cfRule type="containsBlanks" dxfId="3305" priority="2995">
      <formula>LEN(TRIM(P192))=0</formula>
    </cfRule>
  </conditionalFormatting>
  <conditionalFormatting sqref="N192">
    <cfRule type="expression" dxfId="3304" priority="2988">
      <formula>N192=" "</formula>
    </cfRule>
    <cfRule type="expression" dxfId="3303" priority="2989">
      <formula>N192="NO PRESENTÓ CERTIFICADO"</formula>
    </cfRule>
    <cfRule type="expression" dxfId="3302" priority="2990">
      <formula>N192="PRESENTÓ CERTIFICADO"</formula>
    </cfRule>
  </conditionalFormatting>
  <conditionalFormatting sqref="N195">
    <cfRule type="expression" dxfId="3301" priority="2985">
      <formula>N195=" "</formula>
    </cfRule>
    <cfRule type="expression" dxfId="3300" priority="2986">
      <formula>N195="NO PRESENTÓ CERTIFICADO"</formula>
    </cfRule>
    <cfRule type="expression" dxfId="3299" priority="2987">
      <formula>N195="PRESENTÓ CERTIFICADO"</formula>
    </cfRule>
  </conditionalFormatting>
  <conditionalFormatting sqref="N198">
    <cfRule type="expression" dxfId="3298" priority="2982">
      <formula>N198=" "</formula>
    </cfRule>
    <cfRule type="expression" dxfId="3297" priority="2983">
      <formula>N198="NO PRESENTÓ CERTIFICADO"</formula>
    </cfRule>
    <cfRule type="expression" dxfId="3296" priority="2984">
      <formula>N198="PRESENTÓ CERTIFICADO"</formula>
    </cfRule>
  </conditionalFormatting>
  <conditionalFormatting sqref="O192">
    <cfRule type="cellIs" dxfId="3295" priority="2974" operator="equal">
      <formula>"PENDIENTE POR DESCRIPCIÓN"</formula>
    </cfRule>
    <cfRule type="cellIs" dxfId="3294" priority="2975" operator="equal">
      <formula>"DESCRIPCIÓN INSUFICIENTE"</formula>
    </cfRule>
    <cfRule type="cellIs" dxfId="3293" priority="2976" operator="equal">
      <formula>"NO ESTÁ ACORDE A ITEM 5.2.2 (T.R.)"</formula>
    </cfRule>
    <cfRule type="cellIs" dxfId="3292" priority="2977" operator="equal">
      <formula>"ACORDE A ITEM 5.2.2 (T.R.)"</formula>
    </cfRule>
    <cfRule type="cellIs" dxfId="3291" priority="2978" operator="equal">
      <formula>"PENDIENTE POR DESCRIPCIÓN"</formula>
    </cfRule>
    <cfRule type="cellIs" dxfId="3290" priority="2979" operator="equal">
      <formula>"DESCRIPCIÓN INSUFICIENTE"</formula>
    </cfRule>
    <cfRule type="cellIs" dxfId="3289" priority="2980" operator="equal">
      <formula>"NO ESTÁ ACORDE A ITEM 5.2.1 (T.R.)"</formula>
    </cfRule>
    <cfRule type="cellIs" dxfId="3288" priority="2981" operator="equal">
      <formula>"ACORDE A ITEM 5.2.1 (T.R.)"</formula>
    </cfRule>
  </conditionalFormatting>
  <conditionalFormatting sqref="O195">
    <cfRule type="cellIs" dxfId="3287" priority="2966" operator="equal">
      <formula>"PENDIENTE POR DESCRIPCIÓN"</formula>
    </cfRule>
    <cfRule type="cellIs" dxfId="3286" priority="2967" operator="equal">
      <formula>"DESCRIPCIÓN INSUFICIENTE"</formula>
    </cfRule>
    <cfRule type="cellIs" dxfId="3285" priority="2968" operator="equal">
      <formula>"NO ESTÁ ACORDE A ITEM 5.2.2 (T.R.)"</formula>
    </cfRule>
    <cfRule type="cellIs" dxfId="3284" priority="2969" operator="equal">
      <formula>"ACORDE A ITEM 5.2.2 (T.R.)"</formula>
    </cfRule>
    <cfRule type="cellIs" dxfId="3283" priority="2970" operator="equal">
      <formula>"PENDIENTE POR DESCRIPCIÓN"</formula>
    </cfRule>
    <cfRule type="cellIs" dxfId="3282" priority="2971" operator="equal">
      <formula>"DESCRIPCIÓN INSUFICIENTE"</formula>
    </cfRule>
    <cfRule type="cellIs" dxfId="3281" priority="2972" operator="equal">
      <formula>"NO ESTÁ ACORDE A ITEM 5.2.1 (T.R.)"</formula>
    </cfRule>
    <cfRule type="cellIs" dxfId="3280" priority="2973" operator="equal">
      <formula>"ACORDE A ITEM 5.2.1 (T.R.)"</formula>
    </cfRule>
  </conditionalFormatting>
  <conditionalFormatting sqref="O198">
    <cfRule type="cellIs" dxfId="3279" priority="2958" operator="equal">
      <formula>"PENDIENTE POR DESCRIPCIÓN"</formula>
    </cfRule>
    <cfRule type="cellIs" dxfId="3278" priority="2959" operator="equal">
      <formula>"DESCRIPCIÓN INSUFICIENTE"</formula>
    </cfRule>
    <cfRule type="cellIs" dxfId="3277" priority="2960" operator="equal">
      <formula>"NO ESTÁ ACORDE A ITEM 5.2.2 (T.R.)"</formula>
    </cfRule>
    <cfRule type="cellIs" dxfId="3276" priority="2961" operator="equal">
      <formula>"ACORDE A ITEM 5.2.2 (T.R.)"</formula>
    </cfRule>
    <cfRule type="cellIs" dxfId="3275" priority="2962" operator="equal">
      <formula>"PENDIENTE POR DESCRIPCIÓN"</formula>
    </cfRule>
    <cfRule type="cellIs" dxfId="3274" priority="2963" operator="equal">
      <formula>"DESCRIPCIÓN INSUFICIENTE"</formula>
    </cfRule>
    <cfRule type="cellIs" dxfId="3273" priority="2964" operator="equal">
      <formula>"NO ESTÁ ACORDE A ITEM 5.2.1 (T.R.)"</formula>
    </cfRule>
    <cfRule type="cellIs" dxfId="3272" priority="2965" operator="equal">
      <formula>"ACORDE A ITEM 5.2.1 (T.R.)"</formula>
    </cfRule>
  </conditionalFormatting>
  <conditionalFormatting sqref="Q192">
    <cfRule type="containsBlanks" dxfId="3271" priority="2949">
      <formula>LEN(TRIM(Q192))=0</formula>
    </cfRule>
    <cfRule type="cellIs" dxfId="3270" priority="2954" operator="equal">
      <formula>"REQUERIMIENTOS SUBSANADOS"</formula>
    </cfRule>
    <cfRule type="containsText" dxfId="3269" priority="2955" operator="containsText" text="NO SUBSANABLE">
      <formula>NOT(ISERROR(SEARCH("NO SUBSANABLE",Q192)))</formula>
    </cfRule>
    <cfRule type="containsText" dxfId="3268" priority="2956" operator="containsText" text="PENDIENTES POR SUBSANAR">
      <formula>NOT(ISERROR(SEARCH("PENDIENTES POR SUBSANAR",Q192)))</formula>
    </cfRule>
    <cfRule type="containsText" dxfId="3267" priority="2957" operator="containsText" text="SIN OBSERVACIÓN">
      <formula>NOT(ISERROR(SEARCH("SIN OBSERVACIÓN",Q192)))</formula>
    </cfRule>
  </conditionalFormatting>
  <conditionalFormatting sqref="R192">
    <cfRule type="containsBlanks" dxfId="3266" priority="2948">
      <formula>LEN(TRIM(R192))=0</formula>
    </cfRule>
    <cfRule type="cellIs" dxfId="3265" priority="2950" operator="equal">
      <formula>"NO CUMPLEN CON LO SOLICITADO"</formula>
    </cfRule>
    <cfRule type="cellIs" dxfId="3264" priority="2951" operator="equal">
      <formula>"CUMPLEN CON LO SOLICITADO"</formula>
    </cfRule>
    <cfRule type="cellIs" dxfId="3263" priority="2952" operator="equal">
      <formula>"PENDIENTES"</formula>
    </cfRule>
    <cfRule type="cellIs" dxfId="3262" priority="2953" operator="equal">
      <formula>"NINGUNO"</formula>
    </cfRule>
  </conditionalFormatting>
  <conditionalFormatting sqref="Q195">
    <cfRule type="containsBlanks" dxfId="3261" priority="2939">
      <formula>LEN(TRIM(Q195))=0</formula>
    </cfRule>
    <cfRule type="cellIs" dxfId="3260" priority="2944" operator="equal">
      <formula>"REQUERIMIENTOS SUBSANADOS"</formula>
    </cfRule>
    <cfRule type="containsText" dxfId="3259" priority="2945" operator="containsText" text="NO SUBSANABLE">
      <formula>NOT(ISERROR(SEARCH("NO SUBSANABLE",Q195)))</formula>
    </cfRule>
    <cfRule type="containsText" dxfId="3258" priority="2946" operator="containsText" text="PENDIENTES POR SUBSANAR">
      <formula>NOT(ISERROR(SEARCH("PENDIENTES POR SUBSANAR",Q195)))</formula>
    </cfRule>
    <cfRule type="containsText" dxfId="3257" priority="2947" operator="containsText" text="SIN OBSERVACIÓN">
      <formula>NOT(ISERROR(SEARCH("SIN OBSERVACIÓN",Q195)))</formula>
    </cfRule>
  </conditionalFormatting>
  <conditionalFormatting sqref="R195">
    <cfRule type="containsBlanks" dxfId="3256" priority="2938">
      <formula>LEN(TRIM(R195))=0</formula>
    </cfRule>
    <cfRule type="cellIs" dxfId="3255" priority="2940" operator="equal">
      <formula>"NO CUMPLEN CON LO SOLICITADO"</formula>
    </cfRule>
    <cfRule type="cellIs" dxfId="3254" priority="2941" operator="equal">
      <formula>"CUMPLEN CON LO SOLICITADO"</formula>
    </cfRule>
    <cfRule type="cellIs" dxfId="3253" priority="2942" operator="equal">
      <formula>"PENDIENTES"</formula>
    </cfRule>
    <cfRule type="cellIs" dxfId="3252" priority="2943" operator="equal">
      <formula>"NINGUNO"</formula>
    </cfRule>
  </conditionalFormatting>
  <conditionalFormatting sqref="Q198">
    <cfRule type="containsBlanks" dxfId="3251" priority="2929">
      <formula>LEN(TRIM(Q198))=0</formula>
    </cfRule>
    <cfRule type="cellIs" dxfId="3250" priority="2934" operator="equal">
      <formula>"REQUERIMIENTOS SUBSANADOS"</formula>
    </cfRule>
    <cfRule type="containsText" dxfId="3249" priority="2935" operator="containsText" text="NO SUBSANABLE">
      <formula>NOT(ISERROR(SEARCH("NO SUBSANABLE",Q198)))</formula>
    </cfRule>
    <cfRule type="containsText" dxfId="3248" priority="2936" operator="containsText" text="PENDIENTES POR SUBSANAR">
      <formula>NOT(ISERROR(SEARCH("PENDIENTES POR SUBSANAR",Q198)))</formula>
    </cfRule>
    <cfRule type="containsText" dxfId="3247" priority="2937" operator="containsText" text="SIN OBSERVACIÓN">
      <formula>NOT(ISERROR(SEARCH("SIN OBSERVACIÓN",Q198)))</formula>
    </cfRule>
  </conditionalFormatting>
  <conditionalFormatting sqref="R198">
    <cfRule type="containsBlanks" dxfId="3246" priority="2928">
      <formula>LEN(TRIM(R198))=0</formula>
    </cfRule>
    <cfRule type="cellIs" dxfId="3245" priority="2930" operator="equal">
      <formula>"NO CUMPLEN CON LO SOLICITADO"</formula>
    </cfRule>
    <cfRule type="cellIs" dxfId="3244" priority="2931" operator="equal">
      <formula>"CUMPLEN CON LO SOLICITADO"</formula>
    </cfRule>
    <cfRule type="cellIs" dxfId="3243" priority="2932" operator="equal">
      <formula>"PENDIENTES"</formula>
    </cfRule>
    <cfRule type="cellIs" dxfId="3242" priority="2933" operator="equal">
      <formula>"NINGUNO"</formula>
    </cfRule>
  </conditionalFormatting>
  <conditionalFormatting sqref="M198">
    <cfRule type="expression" dxfId="3241" priority="2566">
      <formula>L198="NO CUMPLE"</formula>
    </cfRule>
    <cfRule type="expression" dxfId="3240" priority="2567">
      <formula>L198="CUMPLE"</formula>
    </cfRule>
  </conditionalFormatting>
  <conditionalFormatting sqref="L198:L199">
    <cfRule type="cellIs" dxfId="3239" priority="2564" operator="equal">
      <formula>"NO CUMPLE"</formula>
    </cfRule>
    <cfRule type="cellIs" dxfId="3238" priority="2565" operator="equal">
      <formula>"CUMPLE"</formula>
    </cfRule>
  </conditionalFormatting>
  <conditionalFormatting sqref="M199">
    <cfRule type="expression" dxfId="3237" priority="2562">
      <formula>L199="NO CUMPLE"</formula>
    </cfRule>
    <cfRule type="expression" dxfId="3236" priority="2563">
      <formula>L199="CUMPLE"</formula>
    </cfRule>
  </conditionalFormatting>
  <conditionalFormatting sqref="M127">
    <cfRule type="expression" dxfId="3235" priority="2664">
      <formula>L127="NO CUMPLE"</formula>
    </cfRule>
    <cfRule type="expression" dxfId="3234" priority="2665">
      <formula>L127="CUMPLE"</formula>
    </cfRule>
  </conditionalFormatting>
  <conditionalFormatting sqref="L148:L149">
    <cfRule type="cellIs" dxfId="3233" priority="2636" operator="equal">
      <formula>"NO CUMPLE"</formula>
    </cfRule>
    <cfRule type="cellIs" dxfId="3232" priority="2637" operator="equal">
      <formula>"CUMPLE"</formula>
    </cfRule>
  </conditionalFormatting>
  <conditionalFormatting sqref="M149">
    <cfRule type="expression" dxfId="3231" priority="2634">
      <formula>L149="NO CUMPLE"</formula>
    </cfRule>
    <cfRule type="expression" dxfId="3230" priority="2635">
      <formula>L149="CUMPLE"</formula>
    </cfRule>
  </conditionalFormatting>
  <conditionalFormatting sqref="L151:L152">
    <cfRule type="cellIs" dxfId="3229" priority="2630" operator="equal">
      <formula>"NO CUMPLE"</formula>
    </cfRule>
    <cfRule type="cellIs" dxfId="3228" priority="2631" operator="equal">
      <formula>"CUMPLE"</formula>
    </cfRule>
  </conditionalFormatting>
  <conditionalFormatting sqref="M152">
    <cfRule type="expression" dxfId="3227" priority="2628">
      <formula>L152="NO CUMPLE"</formula>
    </cfRule>
    <cfRule type="expression" dxfId="3226" priority="2629">
      <formula>L152="CUMPLE"</formula>
    </cfRule>
  </conditionalFormatting>
  <conditionalFormatting sqref="M133">
    <cfRule type="expression" dxfId="3225" priority="2652">
      <formula>L133="NO CUMPLE"</formula>
    </cfRule>
    <cfRule type="expression" dxfId="3224" priority="2653">
      <formula>L133="CUMPLE"</formula>
    </cfRule>
  </conditionalFormatting>
  <conditionalFormatting sqref="L154:L155">
    <cfRule type="cellIs" dxfId="3223" priority="2624" operator="equal">
      <formula>"NO CUMPLE"</formula>
    </cfRule>
    <cfRule type="cellIs" dxfId="3222" priority="2625" operator="equal">
      <formula>"CUMPLE"</formula>
    </cfRule>
  </conditionalFormatting>
  <conditionalFormatting sqref="L135:L136">
    <cfRule type="cellIs" dxfId="3221" priority="2648" operator="equal">
      <formula>"NO CUMPLE"</formula>
    </cfRule>
    <cfRule type="cellIs" dxfId="3220" priority="2649" operator="equal">
      <formula>"CUMPLE"</formula>
    </cfRule>
  </conditionalFormatting>
  <conditionalFormatting sqref="M136">
    <cfRule type="expression" dxfId="3219" priority="2646">
      <formula>L136="NO CUMPLE"</formula>
    </cfRule>
    <cfRule type="expression" dxfId="3218" priority="2647">
      <formula>L136="CUMPLE"</formula>
    </cfRule>
  </conditionalFormatting>
  <conditionalFormatting sqref="M145">
    <cfRule type="expression" dxfId="3217" priority="2644">
      <formula>L145="NO CUMPLE"</formula>
    </cfRule>
    <cfRule type="expression" dxfId="3216" priority="2645">
      <formula>L145="CUMPLE"</formula>
    </cfRule>
  </conditionalFormatting>
  <conditionalFormatting sqref="M126">
    <cfRule type="expression" dxfId="3215" priority="2668">
      <formula>L126="NO CUMPLE"</formula>
    </cfRule>
    <cfRule type="expression" dxfId="3214" priority="2669">
      <formula>L126="CUMPLE"</formula>
    </cfRule>
  </conditionalFormatting>
  <conditionalFormatting sqref="L126:L127">
    <cfRule type="cellIs" dxfId="3213" priority="2666" operator="equal">
      <formula>"NO CUMPLE"</formula>
    </cfRule>
    <cfRule type="cellIs" dxfId="3212" priority="2667" operator="equal">
      <formula>"CUMPLE"</formula>
    </cfRule>
  </conditionalFormatting>
  <conditionalFormatting sqref="M148">
    <cfRule type="expression" dxfId="3211" priority="2638">
      <formula>L148="NO CUMPLE"</formula>
    </cfRule>
    <cfRule type="expression" dxfId="3210" priority="2639">
      <formula>L148="CUMPLE"</formula>
    </cfRule>
  </conditionalFormatting>
  <conditionalFormatting sqref="L129:L130">
    <cfRule type="cellIs" dxfId="3209" priority="2660" operator="equal">
      <formula>"NO CUMPLE"</formula>
    </cfRule>
    <cfRule type="cellIs" dxfId="3208" priority="2661" operator="equal">
      <formula>"CUMPLE"</formula>
    </cfRule>
  </conditionalFormatting>
  <conditionalFormatting sqref="M130">
    <cfRule type="expression" dxfId="3207" priority="2658">
      <formula>L130="NO CUMPLE"</formula>
    </cfRule>
    <cfRule type="expression" dxfId="3206" priority="2659">
      <formula>L130="CUMPLE"</formula>
    </cfRule>
  </conditionalFormatting>
  <conditionalFormatting sqref="M132">
    <cfRule type="expression" dxfId="3205" priority="2656">
      <formula>L132="NO CUMPLE"</formula>
    </cfRule>
    <cfRule type="expression" dxfId="3204" priority="2657">
      <formula>L132="CUMPLE"</formula>
    </cfRule>
  </conditionalFormatting>
  <conditionalFormatting sqref="L132:L133">
    <cfRule type="cellIs" dxfId="3203" priority="2654" operator="equal">
      <formula>"NO CUMPLE"</formula>
    </cfRule>
    <cfRule type="cellIs" dxfId="3202" priority="2655" operator="equal">
      <formula>"CUMPLE"</formula>
    </cfRule>
  </conditionalFormatting>
  <conditionalFormatting sqref="M135">
    <cfRule type="expression" dxfId="3201" priority="2650">
      <formula>L135="NO CUMPLE"</formula>
    </cfRule>
    <cfRule type="expression" dxfId="3200" priority="2651">
      <formula>L135="CUMPLE"</formula>
    </cfRule>
  </conditionalFormatting>
  <conditionalFormatting sqref="M155">
    <cfRule type="expression" dxfId="3199" priority="2622">
      <formula>L155="NO CUMPLE"</formula>
    </cfRule>
    <cfRule type="expression" dxfId="3198" priority="2623">
      <formula>L155="CUMPLE"</formula>
    </cfRule>
  </conditionalFormatting>
  <conditionalFormatting sqref="M129">
    <cfRule type="expression" dxfId="3197" priority="2662">
      <formula>L129="NO CUMPLE"</formula>
    </cfRule>
    <cfRule type="expression" dxfId="3196" priority="2663">
      <formula>L129="CUMPLE"</formula>
    </cfRule>
  </conditionalFormatting>
  <conditionalFormatting sqref="M154">
    <cfRule type="expression" dxfId="3195" priority="2626">
      <formula>L154="NO CUMPLE"</formula>
    </cfRule>
    <cfRule type="expression" dxfId="3194" priority="2627">
      <formula>L154="CUMPLE"</formula>
    </cfRule>
  </conditionalFormatting>
  <conditionalFormatting sqref="M114">
    <cfRule type="expression" dxfId="3193" priority="2676">
      <formula>L114="NO CUMPLE"</formula>
    </cfRule>
    <cfRule type="expression" dxfId="3192" priority="2677">
      <formula>L114="CUMPLE"</formula>
    </cfRule>
  </conditionalFormatting>
  <conditionalFormatting sqref="L145:L146">
    <cfRule type="cellIs" dxfId="3191" priority="2642" operator="equal">
      <formula>"NO CUMPLE"</formula>
    </cfRule>
    <cfRule type="cellIs" dxfId="3190" priority="2643" operator="equal">
      <formula>"CUMPLE"</formula>
    </cfRule>
  </conditionalFormatting>
  <conditionalFormatting sqref="M146">
    <cfRule type="expression" dxfId="3189" priority="2640">
      <formula>L146="NO CUMPLE"</formula>
    </cfRule>
    <cfRule type="expression" dxfId="3188" priority="2641">
      <formula>L146="CUMPLE"</formula>
    </cfRule>
  </conditionalFormatting>
  <conditionalFormatting sqref="M151">
    <cfRule type="expression" dxfId="3187" priority="2632">
      <formula>L151="NO CUMPLE"</formula>
    </cfRule>
    <cfRule type="expression" dxfId="3186" priority="2633">
      <formula>L151="CUMPLE"</formula>
    </cfRule>
  </conditionalFormatting>
  <conditionalFormatting sqref="M113">
    <cfRule type="expression" dxfId="3185" priority="2680">
      <formula>L113="NO CUMPLE"</formula>
    </cfRule>
    <cfRule type="expression" dxfId="3184" priority="2681">
      <formula>L113="CUMPLE"</formula>
    </cfRule>
  </conditionalFormatting>
  <conditionalFormatting sqref="L113:L114">
    <cfRule type="cellIs" dxfId="3183" priority="2678" operator="equal">
      <formula>"NO CUMPLE"</formula>
    </cfRule>
    <cfRule type="cellIs" dxfId="3182" priority="2679" operator="equal">
      <formula>"CUMPLE"</formula>
    </cfRule>
  </conditionalFormatting>
  <conditionalFormatting sqref="L123:L124">
    <cfRule type="cellIs" dxfId="3181" priority="2672" operator="equal">
      <formula>"NO CUMPLE"</formula>
    </cfRule>
    <cfRule type="cellIs" dxfId="3180" priority="2673" operator="equal">
      <formula>"CUMPLE"</formula>
    </cfRule>
  </conditionalFormatting>
  <conditionalFormatting sqref="M124">
    <cfRule type="expression" dxfId="3179" priority="2670">
      <formula>L124="NO CUMPLE"</formula>
    </cfRule>
    <cfRule type="expression" dxfId="3178" priority="2671">
      <formula>L124="CUMPLE"</formula>
    </cfRule>
  </conditionalFormatting>
  <conditionalFormatting sqref="J44:J46">
    <cfRule type="cellIs" dxfId="3177" priority="2926" operator="equal">
      <formula>"NO CUMPLE"</formula>
    </cfRule>
    <cfRule type="cellIs" dxfId="3176" priority="2927" operator="equal">
      <formula>"CUMPLE"</formula>
    </cfRule>
  </conditionalFormatting>
  <conditionalFormatting sqref="J47">
    <cfRule type="cellIs" dxfId="3175" priority="2920" operator="equal">
      <formula>"NO CUMPLE"</formula>
    </cfRule>
    <cfRule type="cellIs" dxfId="3174" priority="2921" operator="equal">
      <formula>"CUMPLE"</formula>
    </cfRule>
  </conditionalFormatting>
  <conditionalFormatting sqref="J48:J49">
    <cfRule type="cellIs" dxfId="3173" priority="2918" operator="equal">
      <formula>"NO CUMPLE"</formula>
    </cfRule>
    <cfRule type="cellIs" dxfId="3172" priority="2919" operator="equal">
      <formula>"CUMPLE"</formula>
    </cfRule>
  </conditionalFormatting>
  <conditionalFormatting sqref="K44">
    <cfRule type="expression" dxfId="3171" priority="2912">
      <formula>J44="NO CUMPLE"</formula>
    </cfRule>
    <cfRule type="expression" dxfId="3170" priority="2913">
      <formula>J44="CUMPLE"</formula>
    </cfRule>
  </conditionalFormatting>
  <conditionalFormatting sqref="K45:K46">
    <cfRule type="expression" dxfId="3169" priority="2910">
      <formula>J45="NO CUMPLE"</formula>
    </cfRule>
    <cfRule type="expression" dxfId="3168" priority="2911">
      <formula>J45="CUMPLE"</formula>
    </cfRule>
  </conditionalFormatting>
  <conditionalFormatting sqref="K47">
    <cfRule type="expression" dxfId="3167" priority="2908">
      <formula>J47="NO CUMPLE"</formula>
    </cfRule>
    <cfRule type="expression" dxfId="3166" priority="2909">
      <formula>J47="CUMPLE"</formula>
    </cfRule>
  </conditionalFormatting>
  <conditionalFormatting sqref="K48:K49">
    <cfRule type="expression" dxfId="3165" priority="2906">
      <formula>J48="NO CUMPLE"</formula>
    </cfRule>
    <cfRule type="expression" dxfId="3164" priority="2907">
      <formula>J48="CUMPLE"</formula>
    </cfRule>
  </conditionalFormatting>
  <conditionalFormatting sqref="K104">
    <cfRule type="expression" dxfId="3163" priority="2864">
      <formula>J104="NO CUMPLE"</formula>
    </cfRule>
    <cfRule type="expression" dxfId="3162" priority="2865">
      <formula>J104="CUMPLE"</formula>
    </cfRule>
  </conditionalFormatting>
  <conditionalFormatting sqref="K105:K106">
    <cfRule type="expression" dxfId="3161" priority="2862">
      <formula>J105="NO CUMPLE"</formula>
    </cfRule>
    <cfRule type="expression" dxfId="3160" priority="2863">
      <formula>J105="CUMPLE"</formula>
    </cfRule>
  </conditionalFormatting>
  <conditionalFormatting sqref="K110">
    <cfRule type="expression" dxfId="3159" priority="2856">
      <formula>J110="NO CUMPLE"</formula>
    </cfRule>
    <cfRule type="expression" dxfId="3158" priority="2857">
      <formula>J110="CUMPLE"</formula>
    </cfRule>
  </conditionalFormatting>
  <conditionalFormatting sqref="K111:K112">
    <cfRule type="expression" dxfId="3157" priority="2854">
      <formula>J111="NO CUMPLE"</formula>
    </cfRule>
    <cfRule type="expression" dxfId="3156" priority="2855">
      <formula>J111="CUMPLE"</formula>
    </cfRule>
  </conditionalFormatting>
  <conditionalFormatting sqref="K66">
    <cfRule type="expression" dxfId="3155" priority="2896">
      <formula>J66="NO CUMPLE"</formula>
    </cfRule>
    <cfRule type="expression" dxfId="3154" priority="2897">
      <formula>J66="CUMPLE"</formula>
    </cfRule>
  </conditionalFormatting>
  <conditionalFormatting sqref="K67:K68">
    <cfRule type="expression" dxfId="3153" priority="2894">
      <formula>J67="NO CUMPLE"</formula>
    </cfRule>
    <cfRule type="expression" dxfId="3152" priority="2895">
      <formula>J67="CUMPLE"</formula>
    </cfRule>
  </conditionalFormatting>
  <conditionalFormatting sqref="K69">
    <cfRule type="expression" dxfId="3151" priority="2892">
      <formula>J69="NO CUMPLE"</formula>
    </cfRule>
    <cfRule type="expression" dxfId="3150" priority="2893">
      <formula>J69="CUMPLE"</formula>
    </cfRule>
  </conditionalFormatting>
  <conditionalFormatting sqref="K70:K71">
    <cfRule type="expression" dxfId="3149" priority="2890">
      <formula>J70="NO CUMPLE"</formula>
    </cfRule>
    <cfRule type="expression" dxfId="3148" priority="2891">
      <formula>J70="CUMPLE"</formula>
    </cfRule>
  </conditionalFormatting>
  <conditionalFormatting sqref="J88:J90">
    <cfRule type="cellIs" dxfId="3147" priority="2888" operator="equal">
      <formula>"NO CUMPLE"</formula>
    </cfRule>
    <cfRule type="cellIs" dxfId="3146" priority="2889" operator="equal">
      <formula>"CUMPLE"</formula>
    </cfRule>
  </conditionalFormatting>
  <conditionalFormatting sqref="K82">
    <cfRule type="expression" dxfId="3145" priority="2886">
      <formula>J82="NO CUMPLE"</formula>
    </cfRule>
    <cfRule type="expression" dxfId="3144" priority="2887">
      <formula>J82="CUMPLE"</formula>
    </cfRule>
  </conditionalFormatting>
  <conditionalFormatting sqref="K83:K84">
    <cfRule type="expression" dxfId="3143" priority="2884">
      <formula>J83="NO CUMPLE"</formula>
    </cfRule>
    <cfRule type="expression" dxfId="3142" priority="2885">
      <formula>J83="CUMPLE"</formula>
    </cfRule>
  </conditionalFormatting>
  <conditionalFormatting sqref="J91">
    <cfRule type="cellIs" dxfId="3141" priority="2882" operator="equal">
      <formula>"NO CUMPLE"</formula>
    </cfRule>
    <cfRule type="cellIs" dxfId="3140" priority="2883" operator="equal">
      <formula>"CUMPLE"</formula>
    </cfRule>
  </conditionalFormatting>
  <conditionalFormatting sqref="J92:J93">
    <cfRule type="cellIs" dxfId="3139" priority="2880" operator="equal">
      <formula>"NO CUMPLE"</formula>
    </cfRule>
    <cfRule type="cellIs" dxfId="3138" priority="2881" operator="equal">
      <formula>"CUMPLE"</formula>
    </cfRule>
  </conditionalFormatting>
  <conditionalFormatting sqref="K85">
    <cfRule type="expression" dxfId="3137" priority="2878">
      <formula>J85="NO CUMPLE"</formula>
    </cfRule>
    <cfRule type="expression" dxfId="3136" priority="2879">
      <formula>J85="CUMPLE"</formula>
    </cfRule>
  </conditionalFormatting>
  <conditionalFormatting sqref="K86:K87">
    <cfRule type="expression" dxfId="3135" priority="2876">
      <formula>J86="NO CUMPLE"</formula>
    </cfRule>
    <cfRule type="expression" dxfId="3134" priority="2877">
      <formula>J86="CUMPLE"</formula>
    </cfRule>
  </conditionalFormatting>
  <conditionalFormatting sqref="K88">
    <cfRule type="expression" dxfId="3133" priority="2874">
      <formula>J88="NO CUMPLE"</formula>
    </cfRule>
    <cfRule type="expression" dxfId="3132" priority="2875">
      <formula>J88="CUMPLE"</formula>
    </cfRule>
  </conditionalFormatting>
  <conditionalFormatting sqref="K89:K90">
    <cfRule type="expression" dxfId="3131" priority="2872">
      <formula>J89="NO CUMPLE"</formula>
    </cfRule>
    <cfRule type="expression" dxfId="3130" priority="2873">
      <formula>J89="CUMPLE"</formula>
    </cfRule>
  </conditionalFormatting>
  <conditionalFormatting sqref="K91">
    <cfRule type="expression" dxfId="3129" priority="2870">
      <formula>J91="NO CUMPLE"</formula>
    </cfRule>
    <cfRule type="expression" dxfId="3128" priority="2871">
      <formula>J91="CUMPLE"</formula>
    </cfRule>
  </conditionalFormatting>
  <conditionalFormatting sqref="K92:K93">
    <cfRule type="expression" dxfId="3127" priority="2868">
      <formula>J92="NO CUMPLE"</formula>
    </cfRule>
    <cfRule type="expression" dxfId="3126" priority="2869">
      <formula>J92="CUMPLE"</formula>
    </cfRule>
  </conditionalFormatting>
  <conditionalFormatting sqref="J101:J112">
    <cfRule type="cellIs" dxfId="3125" priority="2866" operator="equal">
      <formula>"NO CUMPLE"</formula>
    </cfRule>
    <cfRule type="cellIs" dxfId="3124" priority="2867" operator="equal">
      <formula>"CUMPLE"</formula>
    </cfRule>
  </conditionalFormatting>
  <conditionalFormatting sqref="K107">
    <cfRule type="expression" dxfId="3123" priority="2860">
      <formula>J107="NO CUMPLE"</formula>
    </cfRule>
    <cfRule type="expression" dxfId="3122" priority="2861">
      <formula>J107="CUMPLE"</formula>
    </cfRule>
  </conditionalFormatting>
  <conditionalFormatting sqref="K108:K109">
    <cfRule type="expression" dxfId="3121" priority="2858">
      <formula>J108="NO CUMPLE"</formula>
    </cfRule>
    <cfRule type="expression" dxfId="3120" priority="2859">
      <formula>J108="CUMPLE"</formula>
    </cfRule>
  </conditionalFormatting>
  <conditionalFormatting sqref="K113">
    <cfRule type="expression" dxfId="3119" priority="2852">
      <formula>J113="NO CUMPLE"</formula>
    </cfRule>
    <cfRule type="expression" dxfId="3118" priority="2853">
      <formula>J113="CUMPLE"</formula>
    </cfRule>
  </conditionalFormatting>
  <conditionalFormatting sqref="K114:K115">
    <cfRule type="expression" dxfId="3117" priority="2850">
      <formula>J114="NO CUMPLE"</formula>
    </cfRule>
    <cfRule type="expression" dxfId="3116" priority="2851">
      <formula>J114="CUMPLE"</formula>
    </cfRule>
  </conditionalFormatting>
  <conditionalFormatting sqref="J123:J134">
    <cfRule type="cellIs" dxfId="3115" priority="2848" operator="equal">
      <formula>"NO CUMPLE"</formula>
    </cfRule>
    <cfRule type="cellIs" dxfId="3114" priority="2849" operator="equal">
      <formula>"CUMPLE"</formula>
    </cfRule>
  </conditionalFormatting>
  <conditionalFormatting sqref="K126">
    <cfRule type="expression" dxfId="3113" priority="2846">
      <formula>J126="NO CUMPLE"</formula>
    </cfRule>
    <cfRule type="expression" dxfId="3112" priority="2847">
      <formula>J126="CUMPLE"</formula>
    </cfRule>
  </conditionalFormatting>
  <conditionalFormatting sqref="K127:K128">
    <cfRule type="expression" dxfId="3111" priority="2844">
      <formula>J127="NO CUMPLE"</formula>
    </cfRule>
    <cfRule type="expression" dxfId="3110" priority="2845">
      <formula>J127="CUMPLE"</formula>
    </cfRule>
  </conditionalFormatting>
  <conditionalFormatting sqref="J135">
    <cfRule type="cellIs" dxfId="3109" priority="2842" operator="equal">
      <formula>"NO CUMPLE"</formula>
    </cfRule>
    <cfRule type="cellIs" dxfId="3108" priority="2843" operator="equal">
      <formula>"CUMPLE"</formula>
    </cfRule>
  </conditionalFormatting>
  <conditionalFormatting sqref="J136:J137">
    <cfRule type="cellIs" dxfId="3107" priority="2840" operator="equal">
      <formula>"NO CUMPLE"</formula>
    </cfRule>
    <cfRule type="cellIs" dxfId="3106" priority="2841" operator="equal">
      <formula>"CUMPLE"</formula>
    </cfRule>
  </conditionalFormatting>
  <conditionalFormatting sqref="K129">
    <cfRule type="expression" dxfId="3105" priority="2838">
      <formula>J129="NO CUMPLE"</formula>
    </cfRule>
    <cfRule type="expression" dxfId="3104" priority="2839">
      <formula>J129="CUMPLE"</formula>
    </cfRule>
  </conditionalFormatting>
  <conditionalFormatting sqref="K130:K131">
    <cfRule type="expression" dxfId="3103" priority="2836">
      <formula>J130="NO CUMPLE"</formula>
    </cfRule>
    <cfRule type="expression" dxfId="3102" priority="2837">
      <formula>J130="CUMPLE"</formula>
    </cfRule>
  </conditionalFormatting>
  <conditionalFormatting sqref="K132">
    <cfRule type="expression" dxfId="3101" priority="2834">
      <formula>J132="NO CUMPLE"</formula>
    </cfRule>
    <cfRule type="expression" dxfId="3100" priority="2835">
      <formula>J132="CUMPLE"</formula>
    </cfRule>
  </conditionalFormatting>
  <conditionalFormatting sqref="K133:K134">
    <cfRule type="expression" dxfId="3099" priority="2832">
      <formula>J133="NO CUMPLE"</formula>
    </cfRule>
    <cfRule type="expression" dxfId="3098" priority="2833">
      <formula>J133="CUMPLE"</formula>
    </cfRule>
  </conditionalFormatting>
  <conditionalFormatting sqref="K135">
    <cfRule type="expression" dxfId="3097" priority="2830">
      <formula>J135="NO CUMPLE"</formula>
    </cfRule>
    <cfRule type="expression" dxfId="3096" priority="2831">
      <formula>J135="CUMPLE"</formula>
    </cfRule>
  </conditionalFormatting>
  <conditionalFormatting sqref="K136:K137">
    <cfRule type="expression" dxfId="3095" priority="2828">
      <formula>J136="NO CUMPLE"</formula>
    </cfRule>
    <cfRule type="expression" dxfId="3094" priority="2829">
      <formula>J136="CUMPLE"</formula>
    </cfRule>
  </conditionalFormatting>
  <conditionalFormatting sqref="J145:J156">
    <cfRule type="cellIs" dxfId="3093" priority="2826" operator="equal">
      <formula>"NO CUMPLE"</formula>
    </cfRule>
    <cfRule type="cellIs" dxfId="3092" priority="2827" operator="equal">
      <formula>"CUMPLE"</formula>
    </cfRule>
  </conditionalFormatting>
  <conditionalFormatting sqref="K148">
    <cfRule type="expression" dxfId="3091" priority="2824">
      <formula>J148="NO CUMPLE"</formula>
    </cfRule>
    <cfRule type="expression" dxfId="3090" priority="2825">
      <formula>J148="CUMPLE"</formula>
    </cfRule>
  </conditionalFormatting>
  <conditionalFormatting sqref="K149:K150">
    <cfRule type="expression" dxfId="3089" priority="2822">
      <formula>J149="NO CUMPLE"</formula>
    </cfRule>
    <cfRule type="expression" dxfId="3088" priority="2823">
      <formula>J149="CUMPLE"</formula>
    </cfRule>
  </conditionalFormatting>
  <conditionalFormatting sqref="J157">
    <cfRule type="cellIs" dxfId="3087" priority="2820" operator="equal">
      <formula>"NO CUMPLE"</formula>
    </cfRule>
    <cfRule type="cellIs" dxfId="3086" priority="2821" operator="equal">
      <formula>"CUMPLE"</formula>
    </cfRule>
  </conditionalFormatting>
  <conditionalFormatting sqref="J158:J159">
    <cfRule type="cellIs" dxfId="3085" priority="2818" operator="equal">
      <formula>"NO CUMPLE"</formula>
    </cfRule>
    <cfRule type="cellIs" dxfId="3084" priority="2819" operator="equal">
      <formula>"CUMPLE"</formula>
    </cfRule>
  </conditionalFormatting>
  <conditionalFormatting sqref="K151">
    <cfRule type="expression" dxfId="3083" priority="2816">
      <formula>J151="NO CUMPLE"</formula>
    </cfRule>
    <cfRule type="expression" dxfId="3082" priority="2817">
      <formula>J151="CUMPLE"</formula>
    </cfRule>
  </conditionalFormatting>
  <conditionalFormatting sqref="K152:K153">
    <cfRule type="expression" dxfId="3081" priority="2814">
      <formula>J152="NO CUMPLE"</formula>
    </cfRule>
    <cfRule type="expression" dxfId="3080" priority="2815">
      <formula>J152="CUMPLE"</formula>
    </cfRule>
  </conditionalFormatting>
  <conditionalFormatting sqref="K154">
    <cfRule type="expression" dxfId="3079" priority="2812">
      <formula>J154="NO CUMPLE"</formula>
    </cfRule>
    <cfRule type="expression" dxfId="3078" priority="2813">
      <formula>J154="CUMPLE"</formula>
    </cfRule>
  </conditionalFormatting>
  <conditionalFormatting sqref="K155:K156">
    <cfRule type="expression" dxfId="3077" priority="2810">
      <formula>J155="NO CUMPLE"</formula>
    </cfRule>
    <cfRule type="expression" dxfId="3076" priority="2811">
      <formula>J155="CUMPLE"</formula>
    </cfRule>
  </conditionalFormatting>
  <conditionalFormatting sqref="K157">
    <cfRule type="expression" dxfId="3075" priority="2808">
      <formula>J157="NO CUMPLE"</formula>
    </cfRule>
    <cfRule type="expression" dxfId="3074" priority="2809">
      <formula>J157="CUMPLE"</formula>
    </cfRule>
  </conditionalFormatting>
  <conditionalFormatting sqref="K158:K159">
    <cfRule type="expression" dxfId="3073" priority="2806">
      <formula>J158="NO CUMPLE"</formula>
    </cfRule>
    <cfRule type="expression" dxfId="3072" priority="2807">
      <formula>J158="CUMPLE"</formula>
    </cfRule>
  </conditionalFormatting>
  <conditionalFormatting sqref="K170">
    <cfRule type="expression" dxfId="3071" priority="2804">
      <formula>J170="NO CUMPLE"</formula>
    </cfRule>
    <cfRule type="expression" dxfId="3070" priority="2805">
      <formula>J170="CUMPLE"</formula>
    </cfRule>
  </conditionalFormatting>
  <conditionalFormatting sqref="K171:K172">
    <cfRule type="expression" dxfId="3069" priority="2802">
      <formula>J171="NO CUMPLE"</formula>
    </cfRule>
    <cfRule type="expression" dxfId="3068" priority="2803">
      <formula>J171="CUMPLE"</formula>
    </cfRule>
  </conditionalFormatting>
  <conditionalFormatting sqref="J181">
    <cfRule type="cellIs" dxfId="3067" priority="2800" operator="equal">
      <formula>"NO CUMPLE"</formula>
    </cfRule>
    <cfRule type="cellIs" dxfId="3066" priority="2801" operator="equal">
      <formula>"CUMPLE"</formula>
    </cfRule>
  </conditionalFormatting>
  <conditionalFormatting sqref="K173">
    <cfRule type="expression" dxfId="3065" priority="2798">
      <formula>J173="NO CUMPLE"</formula>
    </cfRule>
    <cfRule type="expression" dxfId="3064" priority="2799">
      <formula>J173="CUMPLE"</formula>
    </cfRule>
  </conditionalFormatting>
  <conditionalFormatting sqref="K174:K175">
    <cfRule type="expression" dxfId="3063" priority="2796">
      <formula>J174="NO CUMPLE"</formula>
    </cfRule>
    <cfRule type="expression" dxfId="3062" priority="2797">
      <formula>J174="CUMPLE"</formula>
    </cfRule>
  </conditionalFormatting>
  <conditionalFormatting sqref="K176">
    <cfRule type="expression" dxfId="3061" priority="2794">
      <formula>J176="NO CUMPLE"</formula>
    </cfRule>
    <cfRule type="expression" dxfId="3060" priority="2795">
      <formula>J176="CUMPLE"</formula>
    </cfRule>
  </conditionalFormatting>
  <conditionalFormatting sqref="K177:K178">
    <cfRule type="expression" dxfId="3059" priority="2792">
      <formula>J177="NO CUMPLE"</formula>
    </cfRule>
    <cfRule type="expression" dxfId="3058" priority="2793">
      <formula>J177="CUMPLE"</formula>
    </cfRule>
  </conditionalFormatting>
  <conditionalFormatting sqref="K179">
    <cfRule type="expression" dxfId="3057" priority="2790">
      <formula>J179="NO CUMPLE"</formula>
    </cfRule>
    <cfRule type="expression" dxfId="3056" priority="2791">
      <formula>J179="CUMPLE"</formula>
    </cfRule>
  </conditionalFormatting>
  <conditionalFormatting sqref="K180:K181">
    <cfRule type="expression" dxfId="3055" priority="2788">
      <formula>J180="NO CUMPLE"</formula>
    </cfRule>
    <cfRule type="expression" dxfId="3054" priority="2789">
      <formula>J180="CUMPLE"</formula>
    </cfRule>
  </conditionalFormatting>
  <conditionalFormatting sqref="J192:J200">
    <cfRule type="cellIs" dxfId="3053" priority="2786" operator="equal">
      <formula>"NO CUMPLE"</formula>
    </cfRule>
    <cfRule type="cellIs" dxfId="3052" priority="2787" operator="equal">
      <formula>"CUMPLE"</formula>
    </cfRule>
  </conditionalFormatting>
  <conditionalFormatting sqref="K192">
    <cfRule type="expression" dxfId="3051" priority="2784">
      <formula>J192="NO CUMPLE"</formula>
    </cfRule>
    <cfRule type="expression" dxfId="3050" priority="2785">
      <formula>J192="CUMPLE"</formula>
    </cfRule>
  </conditionalFormatting>
  <conditionalFormatting sqref="K193:K194">
    <cfRule type="expression" dxfId="3049" priority="2782">
      <formula>J193="NO CUMPLE"</formula>
    </cfRule>
    <cfRule type="expression" dxfId="3048" priority="2783">
      <formula>J193="CUMPLE"</formula>
    </cfRule>
  </conditionalFormatting>
  <conditionalFormatting sqref="J201">
    <cfRule type="cellIs" dxfId="3047" priority="2780" operator="equal">
      <formula>"NO CUMPLE"</formula>
    </cfRule>
    <cfRule type="cellIs" dxfId="3046" priority="2781" operator="equal">
      <formula>"CUMPLE"</formula>
    </cfRule>
  </conditionalFormatting>
  <conditionalFormatting sqref="J202:J203">
    <cfRule type="cellIs" dxfId="3045" priority="2778" operator="equal">
      <formula>"NO CUMPLE"</formula>
    </cfRule>
    <cfRule type="cellIs" dxfId="3044" priority="2779" operator="equal">
      <formula>"CUMPLE"</formula>
    </cfRule>
  </conditionalFormatting>
  <conditionalFormatting sqref="K195">
    <cfRule type="expression" dxfId="3043" priority="2776">
      <formula>J195="NO CUMPLE"</formula>
    </cfRule>
    <cfRule type="expression" dxfId="3042" priority="2777">
      <formula>J195="CUMPLE"</formula>
    </cfRule>
  </conditionalFormatting>
  <conditionalFormatting sqref="K196:K197">
    <cfRule type="expression" dxfId="3041" priority="2774">
      <formula>J196="NO CUMPLE"</formula>
    </cfRule>
    <cfRule type="expression" dxfId="3040" priority="2775">
      <formula>J196="CUMPLE"</formula>
    </cfRule>
  </conditionalFormatting>
  <conditionalFormatting sqref="K198">
    <cfRule type="expression" dxfId="3039" priority="2772">
      <formula>J198="NO CUMPLE"</formula>
    </cfRule>
    <cfRule type="expression" dxfId="3038" priority="2773">
      <formula>J198="CUMPLE"</formula>
    </cfRule>
  </conditionalFormatting>
  <conditionalFormatting sqref="K199:K200">
    <cfRule type="expression" dxfId="3037" priority="2770">
      <formula>J199="NO CUMPLE"</formula>
    </cfRule>
    <cfRule type="expression" dxfId="3036" priority="2771">
      <formula>J199="CUMPLE"</formula>
    </cfRule>
  </conditionalFormatting>
  <conditionalFormatting sqref="K201">
    <cfRule type="expression" dxfId="3035" priority="2768">
      <formula>J201="NO CUMPLE"</formula>
    </cfRule>
    <cfRule type="expression" dxfId="3034" priority="2769">
      <formula>J201="CUMPLE"</formula>
    </cfRule>
  </conditionalFormatting>
  <conditionalFormatting sqref="K202:K203">
    <cfRule type="expression" dxfId="3033" priority="2766">
      <formula>J202="NO CUMPLE"</formula>
    </cfRule>
    <cfRule type="expression" dxfId="3032" priority="2767">
      <formula>J202="CUMPLE"</formula>
    </cfRule>
  </conditionalFormatting>
  <conditionalFormatting sqref="M193">
    <cfRule type="expression" dxfId="3031" priority="2574">
      <formula>L193="NO CUMPLE"</formula>
    </cfRule>
    <cfRule type="expression" dxfId="3030" priority="2575">
      <formula>L193="CUMPLE"</formula>
    </cfRule>
  </conditionalFormatting>
  <conditionalFormatting sqref="L192:L193">
    <cfRule type="cellIs" dxfId="3029" priority="2576" operator="equal">
      <formula>"NO CUMPLE"</formula>
    </cfRule>
    <cfRule type="cellIs" dxfId="3028" priority="2577" operator="equal">
      <formula>"CUMPLE"</formula>
    </cfRule>
  </conditionalFormatting>
  <conditionalFormatting sqref="M58">
    <cfRule type="expression" dxfId="3027" priority="2760">
      <formula>L58="NO CUMPLE"</formula>
    </cfRule>
    <cfRule type="expression" dxfId="3026" priority="2761">
      <formula>L58="CUMPLE"</formula>
    </cfRule>
  </conditionalFormatting>
  <conditionalFormatting sqref="M57">
    <cfRule type="expression" dxfId="3025" priority="2764">
      <formula>L57="NO CUMPLE"</formula>
    </cfRule>
    <cfRule type="expression" dxfId="3024" priority="2765">
      <formula>L57="CUMPLE"</formula>
    </cfRule>
  </conditionalFormatting>
  <conditionalFormatting sqref="L57:L58">
    <cfRule type="cellIs" dxfId="3023" priority="2762" operator="equal">
      <formula>"NO CUMPLE"</formula>
    </cfRule>
    <cfRule type="cellIs" dxfId="3022" priority="2763" operator="equal">
      <formula>"CUMPLE"</formula>
    </cfRule>
  </conditionalFormatting>
  <conditionalFormatting sqref="M192">
    <cfRule type="expression" dxfId="3021" priority="2578">
      <formula>L192="NO CUMPLE"</formula>
    </cfRule>
    <cfRule type="expression" dxfId="3020" priority="2579">
      <formula>L192="CUMPLE"</formula>
    </cfRule>
  </conditionalFormatting>
  <conditionalFormatting sqref="M86">
    <cfRule type="expression" dxfId="3019" priority="2718">
      <formula>L86="NO CUMPLE"</formula>
    </cfRule>
    <cfRule type="expression" dxfId="3018" priority="2719">
      <formula>L86="CUMPLE"</formula>
    </cfRule>
  </conditionalFormatting>
  <conditionalFormatting sqref="M101">
    <cfRule type="expression" dxfId="3017" priority="2704">
      <formula>L101="NO CUMPLE"</formula>
    </cfRule>
    <cfRule type="expression" dxfId="3016" priority="2705">
      <formula>L101="CUMPLE"</formula>
    </cfRule>
  </conditionalFormatting>
  <conditionalFormatting sqref="M67">
    <cfRule type="expression" dxfId="3015" priority="2742">
      <formula>L67="NO CUMPLE"</formula>
    </cfRule>
    <cfRule type="expression" dxfId="3014" priority="2743">
      <formula>L67="CUMPLE"</formula>
    </cfRule>
  </conditionalFormatting>
  <conditionalFormatting sqref="M66">
    <cfRule type="expression" dxfId="3013" priority="2746">
      <formula>L66="NO CUMPLE"</formula>
    </cfRule>
    <cfRule type="expression" dxfId="3012" priority="2747">
      <formula>L66="CUMPLE"</formula>
    </cfRule>
  </conditionalFormatting>
  <conditionalFormatting sqref="L66:L67">
    <cfRule type="cellIs" dxfId="3011" priority="2744" operator="equal">
      <formula>"NO CUMPLE"</formula>
    </cfRule>
    <cfRule type="cellIs" dxfId="3010" priority="2745" operator="equal">
      <formula>"CUMPLE"</formula>
    </cfRule>
  </conditionalFormatting>
  <conditionalFormatting sqref="M70">
    <cfRule type="expression" dxfId="3009" priority="2736">
      <formula>L70="NO CUMPLE"</formula>
    </cfRule>
    <cfRule type="expression" dxfId="3008" priority="2737">
      <formula>L70="CUMPLE"</formula>
    </cfRule>
  </conditionalFormatting>
  <conditionalFormatting sqref="M69">
    <cfRule type="expression" dxfId="3007" priority="2740">
      <formula>L69="NO CUMPLE"</formula>
    </cfRule>
    <cfRule type="expression" dxfId="3006" priority="2741">
      <formula>L69="CUMPLE"</formula>
    </cfRule>
  </conditionalFormatting>
  <conditionalFormatting sqref="L69:L70">
    <cfRule type="cellIs" dxfId="3005" priority="2738" operator="equal">
      <formula>"NO CUMPLE"</formula>
    </cfRule>
    <cfRule type="cellIs" dxfId="3004" priority="2739" operator="equal">
      <formula>"CUMPLE"</formula>
    </cfRule>
  </conditionalFormatting>
  <conditionalFormatting sqref="M80">
    <cfRule type="expression" dxfId="3003" priority="2730">
      <formula>L80="NO CUMPLE"</formula>
    </cfRule>
    <cfRule type="expression" dxfId="3002" priority="2731">
      <formula>L80="CUMPLE"</formula>
    </cfRule>
  </conditionalFormatting>
  <conditionalFormatting sqref="M79">
    <cfRule type="expression" dxfId="3001" priority="2734">
      <formula>L79="NO CUMPLE"</formula>
    </cfRule>
    <cfRule type="expression" dxfId="3000" priority="2735">
      <formula>L79="CUMPLE"</formula>
    </cfRule>
  </conditionalFormatting>
  <conditionalFormatting sqref="L79:L80">
    <cfRule type="cellIs" dxfId="2999" priority="2732" operator="equal">
      <formula>"NO CUMPLE"</formula>
    </cfRule>
    <cfRule type="cellIs" dxfId="2998" priority="2733" operator="equal">
      <formula>"CUMPLE"</formula>
    </cfRule>
  </conditionalFormatting>
  <conditionalFormatting sqref="M83">
    <cfRule type="expression" dxfId="2997" priority="2724">
      <formula>L83="NO CUMPLE"</formula>
    </cfRule>
    <cfRule type="expression" dxfId="2996" priority="2725">
      <formula>L83="CUMPLE"</formula>
    </cfRule>
  </conditionalFormatting>
  <conditionalFormatting sqref="M82">
    <cfRule type="expression" dxfId="2995" priority="2728">
      <formula>L82="NO CUMPLE"</formula>
    </cfRule>
    <cfRule type="expression" dxfId="2994" priority="2729">
      <formula>L82="CUMPLE"</formula>
    </cfRule>
  </conditionalFormatting>
  <conditionalFormatting sqref="L82:L83">
    <cfRule type="cellIs" dxfId="2993" priority="2726" operator="equal">
      <formula>"NO CUMPLE"</formula>
    </cfRule>
    <cfRule type="cellIs" dxfId="2992" priority="2727" operator="equal">
      <formula>"CUMPLE"</formula>
    </cfRule>
  </conditionalFormatting>
  <conditionalFormatting sqref="M85">
    <cfRule type="expression" dxfId="2991" priority="2722">
      <formula>L85="NO CUMPLE"</formula>
    </cfRule>
    <cfRule type="expression" dxfId="2990" priority="2723">
      <formula>L85="CUMPLE"</formula>
    </cfRule>
  </conditionalFormatting>
  <conditionalFormatting sqref="L85:L86">
    <cfRule type="cellIs" dxfId="2989" priority="2720" operator="equal">
      <formula>"NO CUMPLE"</formula>
    </cfRule>
    <cfRule type="cellIs" dxfId="2988" priority="2721" operator="equal">
      <formula>"CUMPLE"</formula>
    </cfRule>
  </conditionalFormatting>
  <conditionalFormatting sqref="M89">
    <cfRule type="expression" dxfId="2987" priority="2712">
      <formula>L89="NO CUMPLE"</formula>
    </cfRule>
    <cfRule type="expression" dxfId="2986" priority="2713">
      <formula>L89="CUMPLE"</formula>
    </cfRule>
  </conditionalFormatting>
  <conditionalFormatting sqref="M88">
    <cfRule type="expression" dxfId="2985" priority="2716">
      <formula>L88="NO CUMPLE"</formula>
    </cfRule>
    <cfRule type="expression" dxfId="2984" priority="2717">
      <formula>L88="CUMPLE"</formula>
    </cfRule>
  </conditionalFormatting>
  <conditionalFormatting sqref="L88:L89">
    <cfRule type="cellIs" dxfId="2983" priority="2714" operator="equal">
      <formula>"NO CUMPLE"</formula>
    </cfRule>
    <cfRule type="cellIs" dxfId="2982" priority="2715" operator="equal">
      <formula>"CUMPLE"</formula>
    </cfRule>
  </conditionalFormatting>
  <conditionalFormatting sqref="M92">
    <cfRule type="expression" dxfId="2981" priority="2706">
      <formula>L92="NO CUMPLE"</formula>
    </cfRule>
    <cfRule type="expression" dxfId="2980" priority="2707">
      <formula>L92="CUMPLE"</formula>
    </cfRule>
  </conditionalFormatting>
  <conditionalFormatting sqref="M91">
    <cfRule type="expression" dxfId="2979" priority="2710">
      <formula>L91="NO CUMPLE"</formula>
    </cfRule>
    <cfRule type="expression" dxfId="2978" priority="2711">
      <formula>L91="CUMPLE"</formula>
    </cfRule>
  </conditionalFormatting>
  <conditionalFormatting sqref="L91:L92">
    <cfRule type="cellIs" dxfId="2977" priority="2708" operator="equal">
      <formula>"NO CUMPLE"</formula>
    </cfRule>
    <cfRule type="cellIs" dxfId="2976" priority="2709" operator="equal">
      <formula>"CUMPLE"</formula>
    </cfRule>
  </conditionalFormatting>
  <conditionalFormatting sqref="M102">
    <cfRule type="expression" dxfId="2975" priority="2700">
      <formula>L102="NO CUMPLE"</formula>
    </cfRule>
    <cfRule type="expression" dxfId="2974" priority="2701">
      <formula>L102="CUMPLE"</formula>
    </cfRule>
  </conditionalFormatting>
  <conditionalFormatting sqref="L101:L102">
    <cfRule type="cellIs" dxfId="2973" priority="2702" operator="equal">
      <formula>"NO CUMPLE"</formula>
    </cfRule>
    <cfRule type="cellIs" dxfId="2972" priority="2703" operator="equal">
      <formula>"CUMPLE"</formula>
    </cfRule>
  </conditionalFormatting>
  <conditionalFormatting sqref="M105">
    <cfRule type="expression" dxfId="2971" priority="2694">
      <formula>L105="NO CUMPLE"</formula>
    </cfRule>
    <cfRule type="expression" dxfId="2970" priority="2695">
      <formula>L105="CUMPLE"</formula>
    </cfRule>
  </conditionalFormatting>
  <conditionalFormatting sqref="M104">
    <cfRule type="expression" dxfId="2969" priority="2698">
      <formula>L104="NO CUMPLE"</formula>
    </cfRule>
    <cfRule type="expression" dxfId="2968" priority="2699">
      <formula>L104="CUMPLE"</formula>
    </cfRule>
  </conditionalFormatting>
  <conditionalFormatting sqref="L104:L105">
    <cfRule type="cellIs" dxfId="2967" priority="2696" operator="equal">
      <formula>"NO CUMPLE"</formula>
    </cfRule>
    <cfRule type="cellIs" dxfId="2966" priority="2697" operator="equal">
      <formula>"CUMPLE"</formula>
    </cfRule>
  </conditionalFormatting>
  <conditionalFormatting sqref="M108">
    <cfRule type="expression" dxfId="2965" priority="2688">
      <formula>L108="NO CUMPLE"</formula>
    </cfRule>
    <cfRule type="expression" dxfId="2964" priority="2689">
      <formula>L108="CUMPLE"</formula>
    </cfRule>
  </conditionalFormatting>
  <conditionalFormatting sqref="M107">
    <cfRule type="expression" dxfId="2963" priority="2692">
      <formula>L107="NO CUMPLE"</formula>
    </cfRule>
    <cfRule type="expression" dxfId="2962" priority="2693">
      <formula>L107="CUMPLE"</formula>
    </cfRule>
  </conditionalFormatting>
  <conditionalFormatting sqref="L107:L108">
    <cfRule type="cellIs" dxfId="2961" priority="2690" operator="equal">
      <formula>"NO CUMPLE"</formula>
    </cfRule>
    <cfRule type="cellIs" dxfId="2960" priority="2691" operator="equal">
      <formula>"CUMPLE"</formula>
    </cfRule>
  </conditionalFormatting>
  <conditionalFormatting sqref="M111">
    <cfRule type="expression" dxfId="2959" priority="2682">
      <formula>L111="NO CUMPLE"</formula>
    </cfRule>
    <cfRule type="expression" dxfId="2958" priority="2683">
      <formula>L111="CUMPLE"</formula>
    </cfRule>
  </conditionalFormatting>
  <conditionalFormatting sqref="M110">
    <cfRule type="expression" dxfId="2957" priority="2686">
      <formula>L110="NO CUMPLE"</formula>
    </cfRule>
    <cfRule type="expression" dxfId="2956" priority="2687">
      <formula>L110="CUMPLE"</formula>
    </cfRule>
  </conditionalFormatting>
  <conditionalFormatting sqref="L110:L111">
    <cfRule type="cellIs" dxfId="2955" priority="2684" operator="equal">
      <formula>"NO CUMPLE"</formula>
    </cfRule>
    <cfRule type="cellIs" dxfId="2954" priority="2685" operator="equal">
      <formula>"CUMPLE"</formula>
    </cfRule>
  </conditionalFormatting>
  <conditionalFormatting sqref="M123">
    <cfRule type="expression" dxfId="2953" priority="2674">
      <formula>L123="NO CUMPLE"</formula>
    </cfRule>
    <cfRule type="expression" dxfId="2952" priority="2675">
      <formula>L123="CUMPLE"</formula>
    </cfRule>
  </conditionalFormatting>
  <conditionalFormatting sqref="M157">
    <cfRule type="expression" dxfId="2951" priority="2620">
      <formula>L157="NO CUMPLE"</formula>
    </cfRule>
    <cfRule type="expression" dxfId="2950" priority="2621">
      <formula>L157="CUMPLE"</formula>
    </cfRule>
  </conditionalFormatting>
  <conditionalFormatting sqref="M158">
    <cfRule type="expression" dxfId="2949" priority="2616">
      <formula>L158="NO CUMPLE"</formula>
    </cfRule>
    <cfRule type="expression" dxfId="2948" priority="2617">
      <formula>L158="CUMPLE"</formula>
    </cfRule>
  </conditionalFormatting>
  <conditionalFormatting sqref="L157:L158">
    <cfRule type="cellIs" dxfId="2947" priority="2618" operator="equal">
      <formula>"NO CUMPLE"</formula>
    </cfRule>
    <cfRule type="cellIs" dxfId="2946" priority="2619" operator="equal">
      <formula>"CUMPLE"</formula>
    </cfRule>
  </conditionalFormatting>
  <conditionalFormatting sqref="M168">
    <cfRule type="expression" dxfId="2945" priority="2610">
      <formula>L168="NO CUMPLE"</formula>
    </cfRule>
    <cfRule type="expression" dxfId="2944" priority="2611">
      <formula>L168="CUMPLE"</formula>
    </cfRule>
  </conditionalFormatting>
  <conditionalFormatting sqref="M167">
    <cfRule type="expression" dxfId="2943" priority="2614">
      <formula>L167="NO CUMPLE"</formula>
    </cfRule>
    <cfRule type="expression" dxfId="2942" priority="2615">
      <formula>L167="CUMPLE"</formula>
    </cfRule>
  </conditionalFormatting>
  <conditionalFormatting sqref="L167:L168">
    <cfRule type="cellIs" dxfId="2941" priority="2612" operator="equal">
      <formula>"NO CUMPLE"</formula>
    </cfRule>
    <cfRule type="cellIs" dxfId="2940" priority="2613" operator="equal">
      <formula>"CUMPLE"</formula>
    </cfRule>
  </conditionalFormatting>
  <conditionalFormatting sqref="M171">
    <cfRule type="expression" dxfId="2939" priority="2604">
      <formula>L171="NO CUMPLE"</formula>
    </cfRule>
    <cfRule type="expression" dxfId="2938" priority="2605">
      <formula>L171="CUMPLE"</formula>
    </cfRule>
  </conditionalFormatting>
  <conditionalFormatting sqref="M170">
    <cfRule type="expression" dxfId="2937" priority="2608">
      <formula>L170="NO CUMPLE"</formula>
    </cfRule>
    <cfRule type="expression" dxfId="2936" priority="2609">
      <formula>L170="CUMPLE"</formula>
    </cfRule>
  </conditionalFormatting>
  <conditionalFormatting sqref="L170:L171">
    <cfRule type="cellIs" dxfId="2935" priority="2606" operator="equal">
      <formula>"NO CUMPLE"</formula>
    </cfRule>
    <cfRule type="cellIs" dxfId="2934" priority="2607" operator="equal">
      <formula>"CUMPLE"</formula>
    </cfRule>
  </conditionalFormatting>
  <conditionalFormatting sqref="M174">
    <cfRule type="expression" dxfId="2933" priority="2598">
      <formula>L174="NO CUMPLE"</formula>
    </cfRule>
    <cfRule type="expression" dxfId="2932" priority="2599">
      <formula>L174="CUMPLE"</formula>
    </cfRule>
  </conditionalFormatting>
  <conditionalFormatting sqref="M173">
    <cfRule type="expression" dxfId="2931" priority="2602">
      <formula>L173="NO CUMPLE"</formula>
    </cfRule>
    <cfRule type="expression" dxfId="2930" priority="2603">
      <formula>L173="CUMPLE"</formula>
    </cfRule>
  </conditionalFormatting>
  <conditionalFormatting sqref="L173:L174">
    <cfRule type="cellIs" dxfId="2929" priority="2600" operator="equal">
      <formula>"NO CUMPLE"</formula>
    </cfRule>
    <cfRule type="cellIs" dxfId="2928" priority="2601" operator="equal">
      <formula>"CUMPLE"</formula>
    </cfRule>
  </conditionalFormatting>
  <conditionalFormatting sqref="M177">
    <cfRule type="expression" dxfId="2927" priority="2592">
      <formula>L177="NO CUMPLE"</formula>
    </cfRule>
    <cfRule type="expression" dxfId="2926" priority="2593">
      <formula>L177="CUMPLE"</formula>
    </cfRule>
  </conditionalFormatting>
  <conditionalFormatting sqref="M176">
    <cfRule type="expression" dxfId="2925" priority="2596">
      <formula>L176="NO CUMPLE"</formula>
    </cfRule>
    <cfRule type="expression" dxfId="2924" priority="2597">
      <formula>L176="CUMPLE"</formula>
    </cfRule>
  </conditionalFormatting>
  <conditionalFormatting sqref="L176:L177">
    <cfRule type="cellIs" dxfId="2923" priority="2594" operator="equal">
      <formula>"NO CUMPLE"</formula>
    </cfRule>
    <cfRule type="cellIs" dxfId="2922" priority="2595" operator="equal">
      <formula>"CUMPLE"</formula>
    </cfRule>
  </conditionalFormatting>
  <conditionalFormatting sqref="M180">
    <cfRule type="expression" dxfId="2921" priority="2586">
      <formula>L180="NO CUMPLE"</formula>
    </cfRule>
    <cfRule type="expression" dxfId="2920" priority="2587">
      <formula>L180="CUMPLE"</formula>
    </cfRule>
  </conditionalFormatting>
  <conditionalFormatting sqref="M179">
    <cfRule type="expression" dxfId="2919" priority="2590">
      <formula>L179="NO CUMPLE"</formula>
    </cfRule>
    <cfRule type="expression" dxfId="2918" priority="2591">
      <formula>L179="CUMPLE"</formula>
    </cfRule>
  </conditionalFormatting>
  <conditionalFormatting sqref="L179:L180">
    <cfRule type="cellIs" dxfId="2917" priority="2588" operator="equal">
      <formula>"NO CUMPLE"</formula>
    </cfRule>
    <cfRule type="cellIs" dxfId="2916" priority="2589" operator="equal">
      <formula>"CUMPLE"</formula>
    </cfRule>
  </conditionalFormatting>
  <conditionalFormatting sqref="M190">
    <cfRule type="expression" dxfId="2915" priority="2580">
      <formula>L190="NO CUMPLE"</formula>
    </cfRule>
    <cfRule type="expression" dxfId="2914" priority="2581">
      <formula>L190="CUMPLE"</formula>
    </cfRule>
  </conditionalFormatting>
  <conditionalFormatting sqref="M189">
    <cfRule type="expression" dxfId="2913" priority="2584">
      <formula>L189="NO CUMPLE"</formula>
    </cfRule>
    <cfRule type="expression" dxfId="2912" priority="2585">
      <formula>L189="CUMPLE"</formula>
    </cfRule>
  </conditionalFormatting>
  <conditionalFormatting sqref="L189:L190">
    <cfRule type="cellIs" dxfId="2911" priority="2582" operator="equal">
      <formula>"NO CUMPLE"</formula>
    </cfRule>
    <cfRule type="cellIs" dxfId="2910" priority="2583" operator="equal">
      <formula>"CUMPLE"</formula>
    </cfRule>
  </conditionalFormatting>
  <conditionalFormatting sqref="M196">
    <cfRule type="expression" dxfId="2909" priority="2568">
      <formula>L196="NO CUMPLE"</formula>
    </cfRule>
    <cfRule type="expression" dxfId="2908" priority="2569">
      <formula>L196="CUMPLE"</formula>
    </cfRule>
  </conditionalFormatting>
  <conditionalFormatting sqref="M195">
    <cfRule type="expression" dxfId="2907" priority="2572">
      <formula>L195="NO CUMPLE"</formula>
    </cfRule>
    <cfRule type="expression" dxfId="2906" priority="2573">
      <formula>L195="CUMPLE"</formula>
    </cfRule>
  </conditionalFormatting>
  <conditionalFormatting sqref="L195:L196">
    <cfRule type="cellIs" dxfId="2905" priority="2570" operator="equal">
      <formula>"NO CUMPLE"</formula>
    </cfRule>
    <cfRule type="cellIs" dxfId="2904" priority="2571" operator="equal">
      <formula>"CUMPLE"</formula>
    </cfRule>
  </conditionalFormatting>
  <conditionalFormatting sqref="L44:L45">
    <cfRule type="cellIs" dxfId="2903" priority="2548" operator="equal">
      <formula>"NO CUMPLE"</formula>
    </cfRule>
    <cfRule type="cellIs" dxfId="2902" priority="2549" operator="equal">
      <formula>"CUMPLE"</formula>
    </cfRule>
  </conditionalFormatting>
  <conditionalFormatting sqref="M202">
    <cfRule type="expression" dxfId="2901" priority="2556">
      <formula>L202="NO CUMPLE"</formula>
    </cfRule>
    <cfRule type="expression" dxfId="2900" priority="2557">
      <formula>L202="CUMPLE"</formula>
    </cfRule>
  </conditionalFormatting>
  <conditionalFormatting sqref="M201">
    <cfRule type="expression" dxfId="2899" priority="2560">
      <formula>L201="NO CUMPLE"</formula>
    </cfRule>
    <cfRule type="expression" dxfId="2898" priority="2561">
      <formula>L201="CUMPLE"</formula>
    </cfRule>
  </conditionalFormatting>
  <conditionalFormatting sqref="L201:L202">
    <cfRule type="cellIs" dxfId="2897" priority="2558" operator="equal">
      <formula>"NO CUMPLE"</formula>
    </cfRule>
    <cfRule type="cellIs" dxfId="2896" priority="2559" operator="equal">
      <formula>"CUMPLE"</formula>
    </cfRule>
  </conditionalFormatting>
  <conditionalFormatting sqref="S13">
    <cfRule type="cellIs" dxfId="2895" priority="2554" operator="greaterThan">
      <formula>0</formula>
    </cfRule>
    <cfRule type="top10" dxfId="2894" priority="2555" rank="10"/>
  </conditionalFormatting>
  <conditionalFormatting sqref="L47:L48">
    <cfRule type="cellIs" dxfId="2893" priority="2546" operator="equal">
      <formula>"NO CUMPLE"</formula>
    </cfRule>
    <cfRule type="cellIs" dxfId="2892" priority="2547" operator="equal">
      <formula>"CUMPLE"</formula>
    </cfRule>
  </conditionalFormatting>
  <conditionalFormatting sqref="M20 M23 M26">
    <cfRule type="expression" dxfId="2891" priority="2542">
      <formula>L20="NO CUMPLE"</formula>
    </cfRule>
    <cfRule type="expression" dxfId="2890" priority="2543">
      <formula>L20="CUMPLE"</formula>
    </cfRule>
  </conditionalFormatting>
  <conditionalFormatting sqref="M19 M22 M25">
    <cfRule type="expression" dxfId="2889" priority="2544">
      <formula>L19="NO CUMPLE"</formula>
    </cfRule>
    <cfRule type="expression" dxfId="2888" priority="2545">
      <formula>L19="CUMPLE"</formula>
    </cfRule>
  </conditionalFormatting>
  <conditionalFormatting sqref="N44">
    <cfRule type="expression" dxfId="2887" priority="2511">
      <formula>N44=" "</formula>
    </cfRule>
    <cfRule type="expression" dxfId="2886" priority="2512">
      <formula>N44="NO PRESENTÓ CERTIFICADO"</formula>
    </cfRule>
    <cfRule type="expression" dxfId="2885" priority="2513">
      <formula>N44="PRESENTÓ CERTIFICADO"</formula>
    </cfRule>
  </conditionalFormatting>
  <conditionalFormatting sqref="Q44">
    <cfRule type="containsBlanks" dxfId="2884" priority="2502">
      <formula>LEN(TRIM(Q44))=0</formula>
    </cfRule>
    <cfRule type="cellIs" dxfId="2883" priority="2507" operator="equal">
      <formula>"REQUERIMIENTOS SUBSANADOS"</formula>
    </cfRule>
    <cfRule type="containsText" dxfId="2882" priority="2508" operator="containsText" text="NO SUBSANABLE">
      <formula>NOT(ISERROR(SEARCH("NO SUBSANABLE",Q44)))</formula>
    </cfRule>
    <cfRule type="containsText" dxfId="2881" priority="2509" operator="containsText" text="PENDIENTES POR SUBSANAR">
      <formula>NOT(ISERROR(SEARCH("PENDIENTES POR SUBSANAR",Q44)))</formula>
    </cfRule>
    <cfRule type="containsText" dxfId="2880" priority="2510" operator="containsText" text="SIN OBSERVACIÓN">
      <formula>NOT(ISERROR(SEARCH("SIN OBSERVACIÓN",Q44)))</formula>
    </cfRule>
  </conditionalFormatting>
  <conditionalFormatting sqref="R44">
    <cfRule type="containsBlanks" dxfId="2879" priority="2501">
      <formula>LEN(TRIM(R44))=0</formula>
    </cfRule>
    <cfRule type="cellIs" dxfId="2878" priority="2503" operator="equal">
      <formula>"NO CUMPLEN CON LO SOLICITADO"</formula>
    </cfRule>
    <cfRule type="cellIs" dxfId="2877" priority="2504" operator="equal">
      <formula>"CUMPLEN CON LO SOLICITADO"</formula>
    </cfRule>
    <cfRule type="cellIs" dxfId="2876" priority="2505" operator="equal">
      <formula>"PENDIENTES"</formula>
    </cfRule>
    <cfRule type="cellIs" dxfId="2875" priority="2506" operator="equal">
      <formula>"NINGUNO"</formula>
    </cfRule>
  </conditionalFormatting>
  <conditionalFormatting sqref="P44">
    <cfRule type="expression" dxfId="2874" priority="2496">
      <formula>Q44="NO SUBSANABLE"</formula>
    </cfRule>
    <cfRule type="expression" dxfId="2873" priority="2497">
      <formula>Q44="REQUERIMIENTOS SUBSANADOS"</formula>
    </cfRule>
    <cfRule type="expression" dxfId="2872" priority="2498">
      <formula>Q44="PENDIENTES POR SUBSANAR"</formula>
    </cfRule>
    <cfRule type="expression" dxfId="2871" priority="2499">
      <formula>Q44="SIN OBSERVACIÓN"</formula>
    </cfRule>
    <cfRule type="containsBlanks" dxfId="2870" priority="2500">
      <formula>LEN(TRIM(P44))=0</formula>
    </cfRule>
  </conditionalFormatting>
  <conditionalFormatting sqref="N47">
    <cfRule type="expression" dxfId="2869" priority="2493">
      <formula>N47=" "</formula>
    </cfRule>
    <cfRule type="expression" dxfId="2868" priority="2494">
      <formula>N47="NO PRESENTÓ CERTIFICADO"</formula>
    </cfRule>
    <cfRule type="expression" dxfId="2867" priority="2495">
      <formula>N47="PRESENTÓ CERTIFICADO"</formula>
    </cfRule>
  </conditionalFormatting>
  <conditionalFormatting sqref="Q47">
    <cfRule type="containsBlanks" dxfId="2866" priority="2484">
      <formula>LEN(TRIM(Q47))=0</formula>
    </cfRule>
    <cfRule type="cellIs" dxfId="2865" priority="2489" operator="equal">
      <formula>"REQUERIMIENTOS SUBSANADOS"</formula>
    </cfRule>
    <cfRule type="containsText" dxfId="2864" priority="2490" operator="containsText" text="NO SUBSANABLE">
      <formula>NOT(ISERROR(SEARCH("NO SUBSANABLE",Q47)))</formula>
    </cfRule>
    <cfRule type="containsText" dxfId="2863" priority="2491" operator="containsText" text="PENDIENTES POR SUBSANAR">
      <formula>NOT(ISERROR(SEARCH("PENDIENTES POR SUBSANAR",Q47)))</formula>
    </cfRule>
    <cfRule type="containsText" dxfId="2862" priority="2492" operator="containsText" text="SIN OBSERVACIÓN">
      <formula>NOT(ISERROR(SEARCH("SIN OBSERVACIÓN",Q47)))</formula>
    </cfRule>
  </conditionalFormatting>
  <conditionalFormatting sqref="R47">
    <cfRule type="containsBlanks" dxfId="2861" priority="2483">
      <formula>LEN(TRIM(R47))=0</formula>
    </cfRule>
    <cfRule type="cellIs" dxfId="2860" priority="2485" operator="equal">
      <formula>"NO CUMPLEN CON LO SOLICITADO"</formula>
    </cfRule>
    <cfRule type="cellIs" dxfId="2859" priority="2486" operator="equal">
      <formula>"CUMPLEN CON LO SOLICITADO"</formula>
    </cfRule>
    <cfRule type="cellIs" dxfId="2858" priority="2487" operator="equal">
      <formula>"PENDIENTES"</formula>
    </cfRule>
    <cfRule type="cellIs" dxfId="2857" priority="2488" operator="equal">
      <formula>"NINGUNO"</formula>
    </cfRule>
  </conditionalFormatting>
  <conditionalFormatting sqref="P47">
    <cfRule type="expression" dxfId="2856" priority="2478">
      <formula>Q47="NO SUBSANABLE"</formula>
    </cfRule>
    <cfRule type="expression" dxfId="2855" priority="2479">
      <formula>Q47="REQUERIMIENTOS SUBSANADOS"</formula>
    </cfRule>
    <cfRule type="expression" dxfId="2854" priority="2480">
      <formula>Q47="PENDIENTES POR SUBSANAR"</formula>
    </cfRule>
    <cfRule type="expression" dxfId="2853" priority="2481">
      <formula>Q47="SIN OBSERVACIÓN"</formula>
    </cfRule>
    <cfRule type="containsBlanks" dxfId="2852" priority="2482">
      <formula>LEN(TRIM(P47))=0</formula>
    </cfRule>
  </conditionalFormatting>
  <conditionalFormatting sqref="N88">
    <cfRule type="expression" dxfId="2851" priority="2475">
      <formula>N88=" "</formula>
    </cfRule>
    <cfRule type="expression" dxfId="2850" priority="2476">
      <formula>N88="NO PRESENTÓ CERTIFICADO"</formula>
    </cfRule>
    <cfRule type="expression" dxfId="2849" priority="2477">
      <formula>N88="PRESENTÓ CERTIFICADO"</formula>
    </cfRule>
  </conditionalFormatting>
  <conditionalFormatting sqref="Q88">
    <cfRule type="containsBlanks" dxfId="2848" priority="2466">
      <formula>LEN(TRIM(Q88))=0</formula>
    </cfRule>
    <cfRule type="cellIs" dxfId="2847" priority="2471" operator="equal">
      <formula>"REQUERIMIENTOS SUBSANADOS"</formula>
    </cfRule>
    <cfRule type="containsText" dxfId="2846" priority="2472" operator="containsText" text="NO SUBSANABLE">
      <formula>NOT(ISERROR(SEARCH("NO SUBSANABLE",Q88)))</formula>
    </cfRule>
    <cfRule type="containsText" dxfId="2845" priority="2473" operator="containsText" text="PENDIENTES POR SUBSANAR">
      <formula>NOT(ISERROR(SEARCH("PENDIENTES POR SUBSANAR",Q88)))</formula>
    </cfRule>
    <cfRule type="containsText" dxfId="2844" priority="2474" operator="containsText" text="SIN OBSERVACIÓN">
      <formula>NOT(ISERROR(SEARCH("SIN OBSERVACIÓN",Q88)))</formula>
    </cfRule>
  </conditionalFormatting>
  <conditionalFormatting sqref="R88">
    <cfRule type="containsBlanks" dxfId="2843" priority="2465">
      <formula>LEN(TRIM(R88))=0</formula>
    </cfRule>
    <cfRule type="cellIs" dxfId="2842" priority="2467" operator="equal">
      <formula>"NO CUMPLEN CON LO SOLICITADO"</formula>
    </cfRule>
    <cfRule type="cellIs" dxfId="2841" priority="2468" operator="equal">
      <formula>"CUMPLEN CON LO SOLICITADO"</formula>
    </cfRule>
    <cfRule type="cellIs" dxfId="2840" priority="2469" operator="equal">
      <formula>"PENDIENTES"</formula>
    </cfRule>
    <cfRule type="cellIs" dxfId="2839" priority="2470" operator="equal">
      <formula>"NINGUNO"</formula>
    </cfRule>
  </conditionalFormatting>
  <conditionalFormatting sqref="P88">
    <cfRule type="expression" dxfId="2838" priority="2460">
      <formula>Q88="NO SUBSANABLE"</formula>
    </cfRule>
    <cfRule type="expression" dxfId="2837" priority="2461">
      <formula>Q88="REQUERIMIENTOS SUBSANADOS"</formula>
    </cfRule>
    <cfRule type="expression" dxfId="2836" priority="2462">
      <formula>Q88="PENDIENTES POR SUBSANAR"</formula>
    </cfRule>
    <cfRule type="expression" dxfId="2835" priority="2463">
      <formula>Q88="SIN OBSERVACIÓN"</formula>
    </cfRule>
    <cfRule type="containsBlanks" dxfId="2834" priority="2464">
      <formula>LEN(TRIM(P88))=0</formula>
    </cfRule>
  </conditionalFormatting>
  <conditionalFormatting sqref="N91">
    <cfRule type="expression" dxfId="2833" priority="2457">
      <formula>N91=" "</formula>
    </cfRule>
    <cfRule type="expression" dxfId="2832" priority="2458">
      <formula>N91="NO PRESENTÓ CERTIFICADO"</formula>
    </cfRule>
    <cfRule type="expression" dxfId="2831" priority="2459">
      <formula>N91="PRESENTÓ CERTIFICADO"</formula>
    </cfRule>
  </conditionalFormatting>
  <conditionalFormatting sqref="Q91">
    <cfRule type="containsBlanks" dxfId="2830" priority="2448">
      <formula>LEN(TRIM(Q91))=0</formula>
    </cfRule>
    <cfRule type="cellIs" dxfId="2829" priority="2453" operator="equal">
      <formula>"REQUERIMIENTOS SUBSANADOS"</formula>
    </cfRule>
    <cfRule type="containsText" dxfId="2828" priority="2454" operator="containsText" text="NO SUBSANABLE">
      <formula>NOT(ISERROR(SEARCH("NO SUBSANABLE",Q91)))</formula>
    </cfRule>
    <cfRule type="containsText" dxfId="2827" priority="2455" operator="containsText" text="PENDIENTES POR SUBSANAR">
      <formula>NOT(ISERROR(SEARCH("PENDIENTES POR SUBSANAR",Q91)))</formula>
    </cfRule>
    <cfRule type="containsText" dxfId="2826" priority="2456" operator="containsText" text="SIN OBSERVACIÓN">
      <formula>NOT(ISERROR(SEARCH("SIN OBSERVACIÓN",Q91)))</formula>
    </cfRule>
  </conditionalFormatting>
  <conditionalFormatting sqref="R91">
    <cfRule type="containsBlanks" dxfId="2825" priority="2447">
      <formula>LEN(TRIM(R91))=0</formula>
    </cfRule>
    <cfRule type="cellIs" dxfId="2824" priority="2449" operator="equal">
      <formula>"NO CUMPLEN CON LO SOLICITADO"</formula>
    </cfRule>
    <cfRule type="cellIs" dxfId="2823" priority="2450" operator="equal">
      <formula>"CUMPLEN CON LO SOLICITADO"</formula>
    </cfRule>
    <cfRule type="cellIs" dxfId="2822" priority="2451" operator="equal">
      <formula>"PENDIENTES"</formula>
    </cfRule>
    <cfRule type="cellIs" dxfId="2821" priority="2452" operator="equal">
      <formula>"NINGUNO"</formula>
    </cfRule>
  </conditionalFormatting>
  <conditionalFormatting sqref="P91">
    <cfRule type="expression" dxfId="2820" priority="2442">
      <formula>Q91="NO SUBSANABLE"</formula>
    </cfRule>
    <cfRule type="expression" dxfId="2819" priority="2443">
      <formula>Q91="REQUERIMIENTOS SUBSANADOS"</formula>
    </cfRule>
    <cfRule type="expression" dxfId="2818" priority="2444">
      <formula>Q91="PENDIENTES POR SUBSANAR"</formula>
    </cfRule>
    <cfRule type="expression" dxfId="2817" priority="2445">
      <formula>Q91="SIN OBSERVACIÓN"</formula>
    </cfRule>
    <cfRule type="containsBlanks" dxfId="2816" priority="2446">
      <formula>LEN(TRIM(P91))=0</formula>
    </cfRule>
  </conditionalFormatting>
  <conditionalFormatting sqref="P107">
    <cfRule type="expression" dxfId="2815" priority="2437">
      <formula>Q107="NO SUBSANABLE"</formula>
    </cfRule>
    <cfRule type="expression" dxfId="2814" priority="2438">
      <formula>Q107="REQUERIMIENTOS SUBSANADOS"</formula>
    </cfRule>
    <cfRule type="expression" dxfId="2813" priority="2439">
      <formula>Q107="PENDIENTES POR SUBSANAR"</formula>
    </cfRule>
    <cfRule type="expression" dxfId="2812" priority="2440">
      <formula>Q107="SIN OBSERVACIÓN"</formula>
    </cfRule>
    <cfRule type="containsBlanks" dxfId="2811" priority="2441">
      <formula>LEN(TRIM(P107))=0</formula>
    </cfRule>
  </conditionalFormatting>
  <conditionalFormatting sqref="N135">
    <cfRule type="expression" dxfId="2810" priority="2434">
      <formula>N135=" "</formula>
    </cfRule>
    <cfRule type="expression" dxfId="2809" priority="2435">
      <formula>N135="NO PRESENTÓ CERTIFICADO"</formula>
    </cfRule>
    <cfRule type="expression" dxfId="2808" priority="2436">
      <formula>N135="PRESENTÓ CERTIFICADO"</formula>
    </cfRule>
  </conditionalFormatting>
  <conditionalFormatting sqref="O135">
    <cfRule type="cellIs" dxfId="2807" priority="2416" operator="equal">
      <formula>"PENDIENTE POR DESCRIPCIÓN"</formula>
    </cfRule>
    <cfRule type="cellIs" dxfId="2806" priority="2417" operator="equal">
      <formula>"DESCRIPCIÓN INSUFICIENTE"</formula>
    </cfRule>
    <cfRule type="cellIs" dxfId="2805" priority="2418" operator="equal">
      <formula>"NO ESTÁ ACORDE A ITEM 5.2.2 (T.R.)"</formula>
    </cfRule>
    <cfRule type="cellIs" dxfId="2804" priority="2419" operator="equal">
      <formula>"ACORDE A ITEM 5.2.2 (T.R.)"</formula>
    </cfRule>
    <cfRule type="cellIs" dxfId="2803" priority="2426" operator="equal">
      <formula>"PENDIENTE POR DESCRIPCIÓN"</formula>
    </cfRule>
    <cfRule type="cellIs" dxfId="2802" priority="2428" operator="equal">
      <formula>"DESCRIPCIÓN INSUFICIENTE"</formula>
    </cfRule>
    <cfRule type="cellIs" dxfId="2801" priority="2429" operator="equal">
      <formula>"NO ESTÁ ACORDE A ITEM 5.2.1 (T.R.)"</formula>
    </cfRule>
    <cfRule type="cellIs" dxfId="2800" priority="2430" operator="equal">
      <formula>"ACORDE A ITEM 5.2.1 (T.R.)"</formula>
    </cfRule>
  </conditionalFormatting>
  <conditionalFormatting sqref="Q135">
    <cfRule type="containsBlanks" dxfId="2799" priority="2421">
      <formula>LEN(TRIM(Q135))=0</formula>
    </cfRule>
    <cfRule type="cellIs" dxfId="2798" priority="2427" operator="equal">
      <formula>"REQUERIMIENTOS SUBSANADOS"</formula>
    </cfRule>
    <cfRule type="containsText" dxfId="2797" priority="2431" operator="containsText" text="NO SUBSANABLE">
      <formula>NOT(ISERROR(SEARCH("NO SUBSANABLE",Q135)))</formula>
    </cfRule>
    <cfRule type="containsText" dxfId="2796" priority="2432" operator="containsText" text="PENDIENTES POR SUBSANAR">
      <formula>NOT(ISERROR(SEARCH("PENDIENTES POR SUBSANAR",Q135)))</formula>
    </cfRule>
    <cfRule type="containsText" dxfId="2795" priority="2433" operator="containsText" text="SIN OBSERVACIÓN">
      <formula>NOT(ISERROR(SEARCH("SIN OBSERVACIÓN",Q135)))</formula>
    </cfRule>
  </conditionalFormatting>
  <conditionalFormatting sqref="R135">
    <cfRule type="containsBlanks" dxfId="2794" priority="2420">
      <formula>LEN(TRIM(R135))=0</formula>
    </cfRule>
    <cfRule type="cellIs" dxfId="2793" priority="2422" operator="equal">
      <formula>"NO CUMPLEN CON LO SOLICITADO"</formula>
    </cfRule>
    <cfRule type="cellIs" dxfId="2792" priority="2423" operator="equal">
      <formula>"CUMPLEN CON LO SOLICITADO"</formula>
    </cfRule>
    <cfRule type="cellIs" dxfId="2791" priority="2424" operator="equal">
      <formula>"PENDIENTES"</formula>
    </cfRule>
    <cfRule type="cellIs" dxfId="2790" priority="2425" operator="equal">
      <formula>"NINGUNO"</formula>
    </cfRule>
  </conditionalFormatting>
  <conditionalFormatting sqref="P135">
    <cfRule type="expression" dxfId="2789" priority="2411">
      <formula>Q135="NO SUBSANABLE"</formula>
    </cfRule>
    <cfRule type="expression" dxfId="2788" priority="2412">
      <formula>Q135="REQUERIMIENTOS SUBSANADOS"</formula>
    </cfRule>
    <cfRule type="expression" dxfId="2787" priority="2413">
      <formula>Q135="PENDIENTES POR SUBSANAR"</formula>
    </cfRule>
    <cfRule type="expression" dxfId="2786" priority="2414">
      <formula>Q135="SIN OBSERVACIÓN"</formula>
    </cfRule>
    <cfRule type="containsBlanks" dxfId="2785" priority="2415">
      <formula>LEN(TRIM(P135))=0</formula>
    </cfRule>
  </conditionalFormatting>
  <conditionalFormatting sqref="N151">
    <cfRule type="expression" dxfId="2784" priority="2408">
      <formula>N151=" "</formula>
    </cfRule>
    <cfRule type="expression" dxfId="2783" priority="2409">
      <formula>N151="NO PRESENTÓ CERTIFICADO"</formula>
    </cfRule>
    <cfRule type="expression" dxfId="2782" priority="2410">
      <formula>N151="PRESENTÓ CERTIFICADO"</formula>
    </cfRule>
  </conditionalFormatting>
  <conditionalFormatting sqref="O151">
    <cfRule type="cellIs" dxfId="2781" priority="2390" operator="equal">
      <formula>"PENDIENTE POR DESCRIPCIÓN"</formula>
    </cfRule>
    <cfRule type="cellIs" dxfId="2780" priority="2391" operator="equal">
      <formula>"DESCRIPCIÓN INSUFICIENTE"</formula>
    </cfRule>
    <cfRule type="cellIs" dxfId="2779" priority="2392" operator="equal">
      <formula>"NO ESTÁ ACORDE A ITEM 5.2.2 (T.R.)"</formula>
    </cfRule>
    <cfRule type="cellIs" dxfId="2778" priority="2393" operator="equal">
      <formula>"ACORDE A ITEM 5.2.2 (T.R.)"</formula>
    </cfRule>
    <cfRule type="cellIs" dxfId="2777" priority="2400" operator="equal">
      <formula>"PENDIENTE POR DESCRIPCIÓN"</formula>
    </cfRule>
    <cfRule type="cellIs" dxfId="2776" priority="2402" operator="equal">
      <formula>"DESCRIPCIÓN INSUFICIENTE"</formula>
    </cfRule>
    <cfRule type="cellIs" dxfId="2775" priority="2403" operator="equal">
      <formula>"NO ESTÁ ACORDE A ITEM 5.2.1 (T.R.)"</formula>
    </cfRule>
    <cfRule type="cellIs" dxfId="2774" priority="2404" operator="equal">
      <formula>"ACORDE A ITEM 5.2.1 (T.R.)"</formula>
    </cfRule>
  </conditionalFormatting>
  <conditionalFormatting sqref="Q151">
    <cfRule type="containsBlanks" dxfId="2773" priority="2395">
      <formula>LEN(TRIM(Q151))=0</formula>
    </cfRule>
    <cfRule type="cellIs" dxfId="2772" priority="2401" operator="equal">
      <formula>"REQUERIMIENTOS SUBSANADOS"</formula>
    </cfRule>
    <cfRule type="containsText" dxfId="2771" priority="2405" operator="containsText" text="NO SUBSANABLE">
      <formula>NOT(ISERROR(SEARCH("NO SUBSANABLE",Q151)))</formula>
    </cfRule>
    <cfRule type="containsText" dxfId="2770" priority="2406" operator="containsText" text="PENDIENTES POR SUBSANAR">
      <formula>NOT(ISERROR(SEARCH("PENDIENTES POR SUBSANAR",Q151)))</formula>
    </cfRule>
    <cfRule type="containsText" dxfId="2769" priority="2407" operator="containsText" text="SIN OBSERVACIÓN">
      <formula>NOT(ISERROR(SEARCH("SIN OBSERVACIÓN",Q151)))</formula>
    </cfRule>
  </conditionalFormatting>
  <conditionalFormatting sqref="R151">
    <cfRule type="containsBlanks" dxfId="2768" priority="2394">
      <formula>LEN(TRIM(R151))=0</formula>
    </cfRule>
    <cfRule type="cellIs" dxfId="2767" priority="2396" operator="equal">
      <formula>"NO CUMPLEN CON LO SOLICITADO"</formula>
    </cfRule>
    <cfRule type="cellIs" dxfId="2766" priority="2397" operator="equal">
      <formula>"CUMPLEN CON LO SOLICITADO"</formula>
    </cfRule>
    <cfRule type="cellIs" dxfId="2765" priority="2398" operator="equal">
      <formula>"PENDIENTES"</formula>
    </cfRule>
    <cfRule type="cellIs" dxfId="2764" priority="2399" operator="equal">
      <formula>"NINGUNO"</formula>
    </cfRule>
  </conditionalFormatting>
  <conditionalFormatting sqref="P151">
    <cfRule type="expression" dxfId="2763" priority="2385">
      <formula>Q151="NO SUBSANABLE"</formula>
    </cfRule>
    <cfRule type="expression" dxfId="2762" priority="2386">
      <formula>Q151="REQUERIMIENTOS SUBSANADOS"</formula>
    </cfRule>
    <cfRule type="expression" dxfId="2761" priority="2387">
      <formula>Q151="PENDIENTES POR SUBSANAR"</formula>
    </cfRule>
    <cfRule type="expression" dxfId="2760" priority="2388">
      <formula>Q151="SIN OBSERVACIÓN"</formula>
    </cfRule>
    <cfRule type="containsBlanks" dxfId="2759" priority="2389">
      <formula>LEN(TRIM(P151))=0</formula>
    </cfRule>
  </conditionalFormatting>
  <conditionalFormatting sqref="N154">
    <cfRule type="expression" dxfId="2758" priority="2382">
      <formula>N154=" "</formula>
    </cfRule>
    <cfRule type="expression" dxfId="2757" priority="2383">
      <formula>N154="NO PRESENTÓ CERTIFICADO"</formula>
    </cfRule>
    <cfRule type="expression" dxfId="2756" priority="2384">
      <formula>N154="PRESENTÓ CERTIFICADO"</formula>
    </cfRule>
  </conditionalFormatting>
  <conditionalFormatting sqref="O154">
    <cfRule type="cellIs" dxfId="2755" priority="2364" operator="equal">
      <formula>"PENDIENTE POR DESCRIPCIÓN"</formula>
    </cfRule>
    <cfRule type="cellIs" dxfId="2754" priority="2365" operator="equal">
      <formula>"DESCRIPCIÓN INSUFICIENTE"</formula>
    </cfRule>
    <cfRule type="cellIs" dxfId="2753" priority="2366" operator="equal">
      <formula>"NO ESTÁ ACORDE A ITEM 5.2.2 (T.R.)"</formula>
    </cfRule>
    <cfRule type="cellIs" dxfId="2752" priority="2367" operator="equal">
      <formula>"ACORDE A ITEM 5.2.2 (T.R.)"</formula>
    </cfRule>
    <cfRule type="cellIs" dxfId="2751" priority="2374" operator="equal">
      <formula>"PENDIENTE POR DESCRIPCIÓN"</formula>
    </cfRule>
    <cfRule type="cellIs" dxfId="2750" priority="2376" operator="equal">
      <formula>"DESCRIPCIÓN INSUFICIENTE"</formula>
    </cfRule>
    <cfRule type="cellIs" dxfId="2749" priority="2377" operator="equal">
      <formula>"NO ESTÁ ACORDE A ITEM 5.2.1 (T.R.)"</formula>
    </cfRule>
    <cfRule type="cellIs" dxfId="2748" priority="2378" operator="equal">
      <formula>"ACORDE A ITEM 5.2.1 (T.R.)"</formula>
    </cfRule>
  </conditionalFormatting>
  <conditionalFormatting sqref="Q154">
    <cfRule type="containsBlanks" dxfId="2747" priority="2369">
      <formula>LEN(TRIM(Q154))=0</formula>
    </cfRule>
    <cfRule type="cellIs" dxfId="2746" priority="2375" operator="equal">
      <formula>"REQUERIMIENTOS SUBSANADOS"</formula>
    </cfRule>
    <cfRule type="containsText" dxfId="2745" priority="2379" operator="containsText" text="NO SUBSANABLE">
      <formula>NOT(ISERROR(SEARCH("NO SUBSANABLE",Q154)))</formula>
    </cfRule>
    <cfRule type="containsText" dxfId="2744" priority="2380" operator="containsText" text="PENDIENTES POR SUBSANAR">
      <formula>NOT(ISERROR(SEARCH("PENDIENTES POR SUBSANAR",Q154)))</formula>
    </cfRule>
    <cfRule type="containsText" dxfId="2743" priority="2381" operator="containsText" text="SIN OBSERVACIÓN">
      <formula>NOT(ISERROR(SEARCH("SIN OBSERVACIÓN",Q154)))</formula>
    </cfRule>
  </conditionalFormatting>
  <conditionalFormatting sqref="R154">
    <cfRule type="containsBlanks" dxfId="2742" priority="2368">
      <formula>LEN(TRIM(R154))=0</formula>
    </cfRule>
    <cfRule type="cellIs" dxfId="2741" priority="2370" operator="equal">
      <formula>"NO CUMPLEN CON LO SOLICITADO"</formula>
    </cfRule>
    <cfRule type="cellIs" dxfId="2740" priority="2371" operator="equal">
      <formula>"CUMPLEN CON LO SOLICITADO"</formula>
    </cfRule>
    <cfRule type="cellIs" dxfId="2739" priority="2372" operator="equal">
      <formula>"PENDIENTES"</formula>
    </cfRule>
    <cfRule type="cellIs" dxfId="2738" priority="2373" operator="equal">
      <formula>"NINGUNO"</formula>
    </cfRule>
  </conditionalFormatting>
  <conditionalFormatting sqref="P154">
    <cfRule type="expression" dxfId="2737" priority="2359">
      <formula>Q154="NO SUBSANABLE"</formula>
    </cfRule>
    <cfRule type="expression" dxfId="2736" priority="2360">
      <formula>Q154="REQUERIMIENTOS SUBSANADOS"</formula>
    </cfRule>
    <cfRule type="expression" dxfId="2735" priority="2361">
      <formula>Q154="PENDIENTES POR SUBSANAR"</formula>
    </cfRule>
    <cfRule type="expression" dxfId="2734" priority="2362">
      <formula>Q154="SIN OBSERVACIÓN"</formula>
    </cfRule>
    <cfRule type="containsBlanks" dxfId="2733" priority="2363">
      <formula>LEN(TRIM(P154))=0</formula>
    </cfRule>
  </conditionalFormatting>
  <conditionalFormatting sqref="K35">
    <cfRule type="expression" dxfId="2732" priority="2357">
      <formula>J35="NO CUMPLE"</formula>
    </cfRule>
    <cfRule type="expression" dxfId="2731" priority="2358">
      <formula>J35="CUMPLE"</formula>
    </cfRule>
  </conditionalFormatting>
  <conditionalFormatting sqref="K36:K37">
    <cfRule type="expression" dxfId="2730" priority="2355">
      <formula>J36="NO CUMPLE"</formula>
    </cfRule>
    <cfRule type="expression" dxfId="2729" priority="2356">
      <formula>J36="CUMPLE"</formula>
    </cfRule>
  </conditionalFormatting>
  <conditionalFormatting sqref="K57">
    <cfRule type="expression" dxfId="2728" priority="2353">
      <formula>J57="NO CUMPLE"</formula>
    </cfRule>
    <cfRule type="expression" dxfId="2727" priority="2354">
      <formula>J57="CUMPLE"</formula>
    </cfRule>
  </conditionalFormatting>
  <conditionalFormatting sqref="K58:K59">
    <cfRule type="expression" dxfId="2726" priority="2351">
      <formula>J58="NO CUMPLE"</formula>
    </cfRule>
    <cfRule type="expression" dxfId="2725" priority="2352">
      <formula>J58="CUMPLE"</formula>
    </cfRule>
  </conditionalFormatting>
  <conditionalFormatting sqref="K79">
    <cfRule type="expression" dxfId="2724" priority="2349">
      <formula>J79="NO CUMPLE"</formula>
    </cfRule>
    <cfRule type="expression" dxfId="2723" priority="2350">
      <formula>J79="CUMPLE"</formula>
    </cfRule>
  </conditionalFormatting>
  <conditionalFormatting sqref="K80:K81">
    <cfRule type="expression" dxfId="2722" priority="2347">
      <formula>J80="NO CUMPLE"</formula>
    </cfRule>
    <cfRule type="expression" dxfId="2721" priority="2348">
      <formula>J80="CUMPLE"</formula>
    </cfRule>
  </conditionalFormatting>
  <conditionalFormatting sqref="K101">
    <cfRule type="expression" dxfId="2720" priority="2345">
      <formula>J101="NO CUMPLE"</formula>
    </cfRule>
    <cfRule type="expression" dxfId="2719" priority="2346">
      <formula>J101="CUMPLE"</formula>
    </cfRule>
  </conditionalFormatting>
  <conditionalFormatting sqref="K102:K103">
    <cfRule type="expression" dxfId="2718" priority="2343">
      <formula>J102="NO CUMPLE"</formula>
    </cfRule>
    <cfRule type="expression" dxfId="2717" priority="2344">
      <formula>J102="CUMPLE"</formula>
    </cfRule>
  </conditionalFormatting>
  <conditionalFormatting sqref="K123">
    <cfRule type="expression" dxfId="2716" priority="2341">
      <formula>J123="NO CUMPLE"</formula>
    </cfRule>
    <cfRule type="expression" dxfId="2715" priority="2342">
      <formula>J123="CUMPLE"</formula>
    </cfRule>
  </conditionalFormatting>
  <conditionalFormatting sqref="K124:K125">
    <cfRule type="expression" dxfId="2714" priority="2339">
      <formula>J124="NO CUMPLE"</formula>
    </cfRule>
    <cfRule type="expression" dxfId="2713" priority="2340">
      <formula>J124="CUMPLE"</formula>
    </cfRule>
  </conditionalFormatting>
  <conditionalFormatting sqref="K145">
    <cfRule type="expression" dxfId="2712" priority="2337">
      <formula>J145="NO CUMPLE"</formula>
    </cfRule>
    <cfRule type="expression" dxfId="2711" priority="2338">
      <formula>J145="CUMPLE"</formula>
    </cfRule>
  </conditionalFormatting>
  <conditionalFormatting sqref="K146:K147">
    <cfRule type="expression" dxfId="2710" priority="2335">
      <formula>J146="NO CUMPLE"</formula>
    </cfRule>
    <cfRule type="expression" dxfId="2709" priority="2336">
      <formula>J146="CUMPLE"</formula>
    </cfRule>
  </conditionalFormatting>
  <conditionalFormatting sqref="J167">
    <cfRule type="cellIs" dxfId="2708" priority="2333" operator="equal">
      <formula>"NO CUMPLE"</formula>
    </cfRule>
    <cfRule type="cellIs" dxfId="2707" priority="2334" operator="equal">
      <formula>"CUMPLE"</formula>
    </cfRule>
  </conditionalFormatting>
  <conditionalFormatting sqref="K167">
    <cfRule type="expression" dxfId="2706" priority="2331">
      <formula>J167="NO CUMPLE"</formula>
    </cfRule>
    <cfRule type="expression" dxfId="2705" priority="2332">
      <formula>J167="CUMPLE"</formula>
    </cfRule>
  </conditionalFormatting>
  <conditionalFormatting sqref="K168:K169">
    <cfRule type="expression" dxfId="2704" priority="2329">
      <formula>J168="NO CUMPLE"</formula>
    </cfRule>
    <cfRule type="expression" dxfId="2703" priority="2330">
      <formula>J168="CUMPLE"</formula>
    </cfRule>
  </conditionalFormatting>
  <conditionalFormatting sqref="J189">
    <cfRule type="cellIs" dxfId="2702" priority="2327" operator="equal">
      <formula>"NO CUMPLE"</formula>
    </cfRule>
    <cfRule type="cellIs" dxfId="2701" priority="2328" operator="equal">
      <formula>"CUMPLE"</formula>
    </cfRule>
  </conditionalFormatting>
  <conditionalFormatting sqref="J190:J191">
    <cfRule type="cellIs" dxfId="2700" priority="2325" operator="equal">
      <formula>"NO CUMPLE"</formula>
    </cfRule>
    <cfRule type="cellIs" dxfId="2699" priority="2326" operator="equal">
      <formula>"CUMPLE"</formula>
    </cfRule>
  </conditionalFormatting>
  <conditionalFormatting sqref="K189">
    <cfRule type="expression" dxfId="2698" priority="2323">
      <formula>J189="NO CUMPLE"</formula>
    </cfRule>
    <cfRule type="expression" dxfId="2697" priority="2324">
      <formula>J189="CUMPLE"</formula>
    </cfRule>
  </conditionalFormatting>
  <conditionalFormatting sqref="K190:K191">
    <cfRule type="expression" dxfId="2696" priority="2321">
      <formula>J190="NO CUMPLE"</formula>
    </cfRule>
    <cfRule type="expression" dxfId="2695" priority="2322">
      <formula>J190="CUMPLE"</formula>
    </cfRule>
  </conditionalFormatting>
  <conditionalFormatting sqref="S211">
    <cfRule type="cellIs" dxfId="2694" priority="2319" operator="greaterThan">
      <formula>0</formula>
    </cfRule>
    <cfRule type="top10" dxfId="2693" priority="2320" rank="10"/>
  </conditionalFormatting>
  <conditionalFormatting sqref="B226">
    <cfRule type="cellIs" dxfId="2692" priority="2317" operator="equal">
      <formula>"NO CUMPLE CON LA EXPERIENCIA REQUERIDA"</formula>
    </cfRule>
    <cfRule type="cellIs" dxfId="2691" priority="2318" operator="equal">
      <formula>"CUMPLE CON LA EXPERIENCIA REQUERIDA"</formula>
    </cfRule>
  </conditionalFormatting>
  <conditionalFormatting sqref="H211 H214 H217 H220 H223">
    <cfRule type="notContainsBlanks" dxfId="2690" priority="2316">
      <formula>LEN(TRIM(H211))&gt;0</formula>
    </cfRule>
  </conditionalFormatting>
  <conditionalFormatting sqref="G211">
    <cfRule type="notContainsBlanks" dxfId="2689" priority="2315">
      <formula>LEN(TRIM(G211))&gt;0</formula>
    </cfRule>
  </conditionalFormatting>
  <conditionalFormatting sqref="F211">
    <cfRule type="notContainsBlanks" dxfId="2688" priority="2314">
      <formula>LEN(TRIM(F211))&gt;0</formula>
    </cfRule>
  </conditionalFormatting>
  <conditionalFormatting sqref="E211">
    <cfRule type="notContainsBlanks" dxfId="2687" priority="2313">
      <formula>LEN(TRIM(E211))&gt;0</formula>
    </cfRule>
  </conditionalFormatting>
  <conditionalFormatting sqref="D211">
    <cfRule type="notContainsBlanks" dxfId="2686" priority="2312">
      <formula>LEN(TRIM(D211))&gt;0</formula>
    </cfRule>
  </conditionalFormatting>
  <conditionalFormatting sqref="C211">
    <cfRule type="notContainsBlanks" dxfId="2685" priority="2311">
      <formula>LEN(TRIM(C211))&gt;0</formula>
    </cfRule>
  </conditionalFormatting>
  <conditionalFormatting sqref="I211">
    <cfRule type="notContainsBlanks" dxfId="2684" priority="2310">
      <formula>LEN(TRIM(I211))&gt;0</formula>
    </cfRule>
  </conditionalFormatting>
  <conditionalFormatting sqref="S214">
    <cfRule type="cellIs" dxfId="2683" priority="2308" operator="greaterThan">
      <formula>0</formula>
    </cfRule>
    <cfRule type="top10" dxfId="2682" priority="2309" rank="10"/>
  </conditionalFormatting>
  <conditionalFormatting sqref="S217">
    <cfRule type="cellIs" dxfId="2681" priority="2306" operator="greaterThan">
      <formula>0</formula>
    </cfRule>
    <cfRule type="top10" dxfId="2680" priority="2307" rank="10"/>
  </conditionalFormatting>
  <conditionalFormatting sqref="G217">
    <cfRule type="notContainsBlanks" dxfId="2679" priority="2305">
      <formula>LEN(TRIM(G217))&gt;0</formula>
    </cfRule>
  </conditionalFormatting>
  <conditionalFormatting sqref="F217">
    <cfRule type="notContainsBlanks" dxfId="2678" priority="2304">
      <formula>LEN(TRIM(F217))&gt;0</formula>
    </cfRule>
  </conditionalFormatting>
  <conditionalFormatting sqref="E217">
    <cfRule type="notContainsBlanks" dxfId="2677" priority="2303">
      <formula>LEN(TRIM(E217))&gt;0</formula>
    </cfRule>
  </conditionalFormatting>
  <conditionalFormatting sqref="D217">
    <cfRule type="notContainsBlanks" dxfId="2676" priority="2302">
      <formula>LEN(TRIM(D217))&gt;0</formula>
    </cfRule>
  </conditionalFormatting>
  <conditionalFormatting sqref="C217">
    <cfRule type="notContainsBlanks" dxfId="2675" priority="2301">
      <formula>LEN(TRIM(C217))&gt;0</formula>
    </cfRule>
  </conditionalFormatting>
  <conditionalFormatting sqref="I217">
    <cfRule type="notContainsBlanks" dxfId="2674" priority="2300">
      <formula>LEN(TRIM(I217))&gt;0</formula>
    </cfRule>
  </conditionalFormatting>
  <conditionalFormatting sqref="S220">
    <cfRule type="cellIs" dxfId="2673" priority="2298" operator="greaterThan">
      <formula>0</formula>
    </cfRule>
    <cfRule type="top10" dxfId="2672" priority="2299" rank="10"/>
  </conditionalFormatting>
  <conditionalFormatting sqref="S223">
    <cfRule type="cellIs" dxfId="2671" priority="2296" operator="greaterThan">
      <formula>0</formula>
    </cfRule>
    <cfRule type="top10" dxfId="2670" priority="2297" rank="10"/>
  </conditionalFormatting>
  <conditionalFormatting sqref="G223">
    <cfRule type="notContainsBlanks" dxfId="2669" priority="2295">
      <formula>LEN(TRIM(G223))&gt;0</formula>
    </cfRule>
  </conditionalFormatting>
  <conditionalFormatting sqref="F223">
    <cfRule type="notContainsBlanks" dxfId="2668" priority="2294">
      <formula>LEN(TRIM(F223))&gt;0</formula>
    </cfRule>
  </conditionalFormatting>
  <conditionalFormatting sqref="E223">
    <cfRule type="notContainsBlanks" dxfId="2667" priority="2293">
      <formula>LEN(TRIM(E223))&gt;0</formula>
    </cfRule>
  </conditionalFormatting>
  <conditionalFormatting sqref="D223">
    <cfRule type="notContainsBlanks" dxfId="2666" priority="2292">
      <formula>LEN(TRIM(D223))&gt;0</formula>
    </cfRule>
  </conditionalFormatting>
  <conditionalFormatting sqref="C223">
    <cfRule type="notContainsBlanks" dxfId="2665" priority="2291">
      <formula>LEN(TRIM(C223))&gt;0</formula>
    </cfRule>
  </conditionalFormatting>
  <conditionalFormatting sqref="I223">
    <cfRule type="notContainsBlanks" dxfId="2664" priority="2290">
      <formula>LEN(TRIM(I223))&gt;0</formula>
    </cfRule>
  </conditionalFormatting>
  <conditionalFormatting sqref="G214">
    <cfRule type="notContainsBlanks" dxfId="2663" priority="2289">
      <formula>LEN(TRIM(G214))&gt;0</formula>
    </cfRule>
  </conditionalFormatting>
  <conditionalFormatting sqref="F214">
    <cfRule type="notContainsBlanks" dxfId="2662" priority="2288">
      <formula>LEN(TRIM(F214))&gt;0</formula>
    </cfRule>
  </conditionalFormatting>
  <conditionalFormatting sqref="E214">
    <cfRule type="notContainsBlanks" dxfId="2661" priority="2287">
      <formula>LEN(TRIM(E214))&gt;0</formula>
    </cfRule>
  </conditionalFormatting>
  <conditionalFormatting sqref="D214">
    <cfRule type="notContainsBlanks" dxfId="2660" priority="2286">
      <formula>LEN(TRIM(D214))&gt;0</formula>
    </cfRule>
  </conditionalFormatting>
  <conditionalFormatting sqref="C214">
    <cfRule type="notContainsBlanks" dxfId="2659" priority="2285">
      <formula>LEN(TRIM(C214))&gt;0</formula>
    </cfRule>
  </conditionalFormatting>
  <conditionalFormatting sqref="G220">
    <cfRule type="notContainsBlanks" dxfId="2658" priority="2284">
      <formula>LEN(TRIM(G220))&gt;0</formula>
    </cfRule>
  </conditionalFormatting>
  <conditionalFormatting sqref="F220">
    <cfRule type="notContainsBlanks" dxfId="2657" priority="2283">
      <formula>LEN(TRIM(F220))&gt;0</formula>
    </cfRule>
  </conditionalFormatting>
  <conditionalFormatting sqref="E220">
    <cfRule type="notContainsBlanks" dxfId="2656" priority="2282">
      <formula>LEN(TRIM(E220))&gt;0</formula>
    </cfRule>
  </conditionalFormatting>
  <conditionalFormatting sqref="D220">
    <cfRule type="notContainsBlanks" dxfId="2655" priority="2281">
      <formula>LEN(TRIM(D220))&gt;0</formula>
    </cfRule>
  </conditionalFormatting>
  <conditionalFormatting sqref="C220">
    <cfRule type="notContainsBlanks" dxfId="2654" priority="2280">
      <formula>LEN(TRIM(C220))&gt;0</formula>
    </cfRule>
  </conditionalFormatting>
  <conditionalFormatting sqref="I214">
    <cfRule type="notContainsBlanks" dxfId="2653" priority="2279">
      <formula>LEN(TRIM(I214))&gt;0</formula>
    </cfRule>
  </conditionalFormatting>
  <conditionalFormatting sqref="I220">
    <cfRule type="notContainsBlanks" dxfId="2652" priority="2278">
      <formula>LEN(TRIM(I220))&gt;0</formula>
    </cfRule>
  </conditionalFormatting>
  <conditionalFormatting sqref="S226">
    <cfRule type="expression" dxfId="2651" priority="2276">
      <formula>$S$28&gt;0</formula>
    </cfRule>
    <cfRule type="cellIs" dxfId="2650" priority="2277" operator="equal">
      <formula>0</formula>
    </cfRule>
  </conditionalFormatting>
  <conditionalFormatting sqref="S227">
    <cfRule type="expression" dxfId="2649" priority="2274">
      <formula>$S$28&gt;0</formula>
    </cfRule>
    <cfRule type="cellIs" dxfId="2648" priority="2275" operator="equal">
      <formula>0</formula>
    </cfRule>
  </conditionalFormatting>
  <conditionalFormatting sqref="N223">
    <cfRule type="expression" dxfId="2647" priority="2271">
      <formula>N223=" "</formula>
    </cfRule>
    <cfRule type="expression" dxfId="2646" priority="2272">
      <formula>N223="NO PRESENTÓ CERTIFICADO"</formula>
    </cfRule>
    <cfRule type="expression" dxfId="2645" priority="2273">
      <formula>N223="PRESENTÓ CERTIFICADO"</formula>
    </cfRule>
  </conditionalFormatting>
  <conditionalFormatting sqref="O223">
    <cfRule type="cellIs" dxfId="2644" priority="2253" operator="equal">
      <formula>"PENDIENTE POR DESCRIPCIÓN"</formula>
    </cfRule>
    <cfRule type="cellIs" dxfId="2643" priority="2254" operator="equal">
      <formula>"DESCRIPCIÓN INSUFICIENTE"</formula>
    </cfRule>
    <cfRule type="cellIs" dxfId="2642" priority="2255" operator="equal">
      <formula>"NO ESTÁ ACORDE A ITEM 5.2.2 (T.R.)"</formula>
    </cfRule>
    <cfRule type="cellIs" dxfId="2641" priority="2256" operator="equal">
      <formula>"ACORDE A ITEM 5.2.2 (T.R.)"</formula>
    </cfRule>
    <cfRule type="cellIs" dxfId="2640" priority="2263" operator="equal">
      <formula>"PENDIENTE POR DESCRIPCIÓN"</formula>
    </cfRule>
    <cfRule type="cellIs" dxfId="2639" priority="2265" operator="equal">
      <formula>"DESCRIPCIÓN INSUFICIENTE"</formula>
    </cfRule>
    <cfRule type="cellIs" dxfId="2638" priority="2266" operator="equal">
      <formula>"NO ESTÁ ACORDE A ITEM 5.2.1 (T.R.)"</formula>
    </cfRule>
    <cfRule type="cellIs" dxfId="2637" priority="2267" operator="equal">
      <formula>"ACORDE A ITEM 5.2.1 (T.R.)"</formula>
    </cfRule>
  </conditionalFormatting>
  <conditionalFormatting sqref="Q223">
    <cfRule type="containsBlanks" dxfId="2636" priority="2258">
      <formula>LEN(TRIM(Q223))=0</formula>
    </cfRule>
    <cfRule type="cellIs" dxfId="2635" priority="2264" operator="equal">
      <formula>"REQUERIMIENTOS SUBSANADOS"</formula>
    </cfRule>
    <cfRule type="containsText" dxfId="2634" priority="2268" operator="containsText" text="NO SUBSANABLE">
      <formula>NOT(ISERROR(SEARCH("NO SUBSANABLE",Q223)))</formula>
    </cfRule>
    <cfRule type="containsText" dxfId="2633" priority="2269" operator="containsText" text="PENDIENTES POR SUBSANAR">
      <formula>NOT(ISERROR(SEARCH("PENDIENTES POR SUBSANAR",Q223)))</formula>
    </cfRule>
    <cfRule type="containsText" dxfId="2632" priority="2270" operator="containsText" text="SIN OBSERVACIÓN">
      <formula>NOT(ISERROR(SEARCH("SIN OBSERVACIÓN",Q223)))</formula>
    </cfRule>
  </conditionalFormatting>
  <conditionalFormatting sqref="R223">
    <cfRule type="containsBlanks" dxfId="2631" priority="2257">
      <formula>LEN(TRIM(R223))=0</formula>
    </cfRule>
    <cfRule type="cellIs" dxfId="2630" priority="2259" operator="equal">
      <formula>"NO CUMPLEN CON LO SOLICITADO"</formula>
    </cfRule>
    <cfRule type="cellIs" dxfId="2629" priority="2260" operator="equal">
      <formula>"CUMPLEN CON LO SOLICITADO"</formula>
    </cfRule>
    <cfRule type="cellIs" dxfId="2628" priority="2261" operator="equal">
      <formula>"PENDIENTES"</formula>
    </cfRule>
    <cfRule type="cellIs" dxfId="2627" priority="2262" operator="equal">
      <formula>"NINGUNO"</formula>
    </cfRule>
  </conditionalFormatting>
  <conditionalFormatting sqref="P214 P217 P220 P223">
    <cfRule type="expression" dxfId="2626" priority="2248">
      <formula>Q214="NO SUBSANABLE"</formula>
    </cfRule>
    <cfRule type="expression" dxfId="2625" priority="2249">
      <formula>Q214="REQUERIMIENTOS SUBSANADOS"</formula>
    </cfRule>
    <cfRule type="expression" dxfId="2624" priority="2250">
      <formula>Q214="PENDIENTES POR SUBSANAR"</formula>
    </cfRule>
    <cfRule type="expression" dxfId="2623" priority="2251">
      <formula>Q214="SIN OBSERVACIÓN"</formula>
    </cfRule>
    <cfRule type="containsBlanks" dxfId="2622" priority="2252">
      <formula>LEN(TRIM(P214))=0</formula>
    </cfRule>
  </conditionalFormatting>
  <conditionalFormatting sqref="N214">
    <cfRule type="expression" dxfId="2621" priority="2245">
      <formula>N214=" "</formula>
    </cfRule>
    <cfRule type="expression" dxfId="2620" priority="2246">
      <formula>N214="NO PRESENTÓ CERTIFICADO"</formula>
    </cfRule>
    <cfRule type="expression" dxfId="2619" priority="2247">
      <formula>N214="PRESENTÓ CERTIFICADO"</formula>
    </cfRule>
  </conditionalFormatting>
  <conditionalFormatting sqref="N217">
    <cfRule type="expression" dxfId="2618" priority="2242">
      <formula>N217=" "</formula>
    </cfRule>
    <cfRule type="expression" dxfId="2617" priority="2243">
      <formula>N217="NO PRESENTÓ CERTIFICADO"</formula>
    </cfRule>
    <cfRule type="expression" dxfId="2616" priority="2244">
      <formula>N217="PRESENTÓ CERTIFICADO"</formula>
    </cfRule>
  </conditionalFormatting>
  <conditionalFormatting sqref="N220">
    <cfRule type="expression" dxfId="2615" priority="2239">
      <formula>N220=" "</formula>
    </cfRule>
    <cfRule type="expression" dxfId="2614" priority="2240">
      <formula>N220="NO PRESENTÓ CERTIFICADO"</formula>
    </cfRule>
    <cfRule type="expression" dxfId="2613" priority="2241">
      <formula>N220="PRESENTÓ CERTIFICADO"</formula>
    </cfRule>
  </conditionalFormatting>
  <conditionalFormatting sqref="O214">
    <cfRule type="cellIs" dxfId="2612" priority="2231" operator="equal">
      <formula>"PENDIENTE POR DESCRIPCIÓN"</formula>
    </cfRule>
    <cfRule type="cellIs" dxfId="2611" priority="2232" operator="equal">
      <formula>"DESCRIPCIÓN INSUFICIENTE"</formula>
    </cfRule>
    <cfRule type="cellIs" dxfId="2610" priority="2233" operator="equal">
      <formula>"NO ESTÁ ACORDE A ITEM 5.2.2 (T.R.)"</formula>
    </cfRule>
    <cfRule type="cellIs" dxfId="2609" priority="2234" operator="equal">
      <formula>"ACORDE A ITEM 5.2.2 (T.R.)"</formula>
    </cfRule>
    <cfRule type="cellIs" dxfId="2608" priority="2235" operator="equal">
      <formula>"PENDIENTE POR DESCRIPCIÓN"</formula>
    </cfRule>
    <cfRule type="cellIs" dxfId="2607" priority="2236" operator="equal">
      <formula>"DESCRIPCIÓN INSUFICIENTE"</formula>
    </cfRule>
    <cfRule type="cellIs" dxfId="2606" priority="2237" operator="equal">
      <formula>"NO ESTÁ ACORDE A ITEM 5.2.1 (T.R.)"</formula>
    </cfRule>
    <cfRule type="cellIs" dxfId="2605" priority="2238" operator="equal">
      <formula>"ACORDE A ITEM 5.2.1 (T.R.)"</formula>
    </cfRule>
  </conditionalFormatting>
  <conditionalFormatting sqref="O217">
    <cfRule type="cellIs" dxfId="2604" priority="2223" operator="equal">
      <formula>"PENDIENTE POR DESCRIPCIÓN"</formula>
    </cfRule>
    <cfRule type="cellIs" dxfId="2603" priority="2224" operator="equal">
      <formula>"DESCRIPCIÓN INSUFICIENTE"</formula>
    </cfRule>
    <cfRule type="cellIs" dxfId="2602" priority="2225" operator="equal">
      <formula>"NO ESTÁ ACORDE A ITEM 5.2.2 (T.R.)"</formula>
    </cfRule>
    <cfRule type="cellIs" dxfId="2601" priority="2226" operator="equal">
      <formula>"ACORDE A ITEM 5.2.2 (T.R.)"</formula>
    </cfRule>
    <cfRule type="cellIs" dxfId="2600" priority="2227" operator="equal">
      <formula>"PENDIENTE POR DESCRIPCIÓN"</formula>
    </cfRule>
    <cfRule type="cellIs" dxfId="2599" priority="2228" operator="equal">
      <formula>"DESCRIPCIÓN INSUFICIENTE"</formula>
    </cfRule>
    <cfRule type="cellIs" dxfId="2598" priority="2229" operator="equal">
      <formula>"NO ESTÁ ACORDE A ITEM 5.2.1 (T.R.)"</formula>
    </cfRule>
    <cfRule type="cellIs" dxfId="2597" priority="2230" operator="equal">
      <formula>"ACORDE A ITEM 5.2.1 (T.R.)"</formula>
    </cfRule>
  </conditionalFormatting>
  <conditionalFormatting sqref="O220">
    <cfRule type="cellIs" dxfId="2596" priority="2215" operator="equal">
      <formula>"PENDIENTE POR DESCRIPCIÓN"</formula>
    </cfRule>
    <cfRule type="cellIs" dxfId="2595" priority="2216" operator="equal">
      <formula>"DESCRIPCIÓN INSUFICIENTE"</formula>
    </cfRule>
    <cfRule type="cellIs" dxfId="2594" priority="2217" operator="equal">
      <formula>"NO ESTÁ ACORDE A ITEM 5.2.2 (T.R.)"</formula>
    </cfRule>
    <cfRule type="cellIs" dxfId="2593" priority="2218" operator="equal">
      <formula>"ACORDE A ITEM 5.2.2 (T.R.)"</formula>
    </cfRule>
    <cfRule type="cellIs" dxfId="2592" priority="2219" operator="equal">
      <formula>"PENDIENTE POR DESCRIPCIÓN"</formula>
    </cfRule>
    <cfRule type="cellIs" dxfId="2591" priority="2220" operator="equal">
      <formula>"DESCRIPCIÓN INSUFICIENTE"</formula>
    </cfRule>
    <cfRule type="cellIs" dxfId="2590" priority="2221" operator="equal">
      <formula>"NO ESTÁ ACORDE A ITEM 5.2.1 (T.R.)"</formula>
    </cfRule>
    <cfRule type="cellIs" dxfId="2589" priority="2222" operator="equal">
      <formula>"ACORDE A ITEM 5.2.1 (T.R.)"</formula>
    </cfRule>
  </conditionalFormatting>
  <conditionalFormatting sqref="Q214">
    <cfRule type="containsBlanks" dxfId="2588" priority="2206">
      <formula>LEN(TRIM(Q214))=0</formula>
    </cfRule>
    <cfRule type="cellIs" dxfId="2587" priority="2211" operator="equal">
      <formula>"REQUERIMIENTOS SUBSANADOS"</formula>
    </cfRule>
    <cfRule type="containsText" dxfId="2586" priority="2212" operator="containsText" text="NO SUBSANABLE">
      <formula>NOT(ISERROR(SEARCH("NO SUBSANABLE",Q214)))</formula>
    </cfRule>
    <cfRule type="containsText" dxfId="2585" priority="2213" operator="containsText" text="PENDIENTES POR SUBSANAR">
      <formula>NOT(ISERROR(SEARCH("PENDIENTES POR SUBSANAR",Q214)))</formula>
    </cfRule>
    <cfRule type="containsText" dxfId="2584" priority="2214" operator="containsText" text="SIN OBSERVACIÓN">
      <formula>NOT(ISERROR(SEARCH("SIN OBSERVACIÓN",Q214)))</formula>
    </cfRule>
  </conditionalFormatting>
  <conditionalFormatting sqref="R214">
    <cfRule type="containsBlanks" dxfId="2583" priority="2205">
      <formula>LEN(TRIM(R214))=0</formula>
    </cfRule>
    <cfRule type="cellIs" dxfId="2582" priority="2207" operator="equal">
      <formula>"NO CUMPLEN CON LO SOLICITADO"</formula>
    </cfRule>
    <cfRule type="cellIs" dxfId="2581" priority="2208" operator="equal">
      <formula>"CUMPLEN CON LO SOLICITADO"</formula>
    </cfRule>
    <cfRule type="cellIs" dxfId="2580" priority="2209" operator="equal">
      <formula>"PENDIENTES"</formula>
    </cfRule>
    <cfRule type="cellIs" dxfId="2579" priority="2210" operator="equal">
      <formula>"NINGUNO"</formula>
    </cfRule>
  </conditionalFormatting>
  <conditionalFormatting sqref="Q217">
    <cfRule type="containsBlanks" dxfId="2578" priority="2196">
      <formula>LEN(TRIM(Q217))=0</formula>
    </cfRule>
    <cfRule type="cellIs" dxfId="2577" priority="2201" operator="equal">
      <formula>"REQUERIMIENTOS SUBSANADOS"</formula>
    </cfRule>
    <cfRule type="containsText" dxfId="2576" priority="2202" operator="containsText" text="NO SUBSANABLE">
      <formula>NOT(ISERROR(SEARCH("NO SUBSANABLE",Q217)))</formula>
    </cfRule>
    <cfRule type="containsText" dxfId="2575" priority="2203" operator="containsText" text="PENDIENTES POR SUBSANAR">
      <formula>NOT(ISERROR(SEARCH("PENDIENTES POR SUBSANAR",Q217)))</formula>
    </cfRule>
    <cfRule type="containsText" dxfId="2574" priority="2204" operator="containsText" text="SIN OBSERVACIÓN">
      <formula>NOT(ISERROR(SEARCH("SIN OBSERVACIÓN",Q217)))</formula>
    </cfRule>
  </conditionalFormatting>
  <conditionalFormatting sqref="R217">
    <cfRule type="containsBlanks" dxfId="2573" priority="2195">
      <formula>LEN(TRIM(R217))=0</formula>
    </cfRule>
    <cfRule type="cellIs" dxfId="2572" priority="2197" operator="equal">
      <formula>"NO CUMPLEN CON LO SOLICITADO"</formula>
    </cfRule>
    <cfRule type="cellIs" dxfId="2571" priority="2198" operator="equal">
      <formula>"CUMPLEN CON LO SOLICITADO"</formula>
    </cfRule>
    <cfRule type="cellIs" dxfId="2570" priority="2199" operator="equal">
      <formula>"PENDIENTES"</formula>
    </cfRule>
    <cfRule type="cellIs" dxfId="2569" priority="2200" operator="equal">
      <formula>"NINGUNO"</formula>
    </cfRule>
  </conditionalFormatting>
  <conditionalFormatting sqref="Q220">
    <cfRule type="containsBlanks" dxfId="2568" priority="2186">
      <formula>LEN(TRIM(Q220))=0</formula>
    </cfRule>
    <cfRule type="cellIs" dxfId="2567" priority="2191" operator="equal">
      <formula>"REQUERIMIENTOS SUBSANADOS"</formula>
    </cfRule>
    <cfRule type="containsText" dxfId="2566" priority="2192" operator="containsText" text="NO SUBSANABLE">
      <formula>NOT(ISERROR(SEARCH("NO SUBSANABLE",Q220)))</formula>
    </cfRule>
    <cfRule type="containsText" dxfId="2565" priority="2193" operator="containsText" text="PENDIENTES POR SUBSANAR">
      <formula>NOT(ISERROR(SEARCH("PENDIENTES POR SUBSANAR",Q220)))</formula>
    </cfRule>
    <cfRule type="containsText" dxfId="2564" priority="2194" operator="containsText" text="SIN OBSERVACIÓN">
      <formula>NOT(ISERROR(SEARCH("SIN OBSERVACIÓN",Q220)))</formula>
    </cfRule>
  </conditionalFormatting>
  <conditionalFormatting sqref="R220">
    <cfRule type="containsBlanks" dxfId="2563" priority="2185">
      <formula>LEN(TRIM(R220))=0</formula>
    </cfRule>
    <cfRule type="cellIs" dxfId="2562" priority="2187" operator="equal">
      <formula>"NO CUMPLEN CON LO SOLICITADO"</formula>
    </cfRule>
    <cfRule type="cellIs" dxfId="2561" priority="2188" operator="equal">
      <formula>"CUMPLEN CON LO SOLICITADO"</formula>
    </cfRule>
    <cfRule type="cellIs" dxfId="2560" priority="2189" operator="equal">
      <formula>"PENDIENTES"</formula>
    </cfRule>
    <cfRule type="cellIs" dxfId="2559" priority="2190" operator="equal">
      <formula>"NINGUNO"</formula>
    </cfRule>
  </conditionalFormatting>
  <conditionalFormatting sqref="M220">
    <cfRule type="expression" dxfId="2558" priority="2143">
      <formula>L220="NO CUMPLE"</formula>
    </cfRule>
    <cfRule type="expression" dxfId="2557" priority="2144">
      <formula>L220="CUMPLE"</formula>
    </cfRule>
  </conditionalFormatting>
  <conditionalFormatting sqref="L220:L221">
    <cfRule type="cellIs" dxfId="2556" priority="2141" operator="equal">
      <formula>"NO CUMPLE"</formula>
    </cfRule>
    <cfRule type="cellIs" dxfId="2555" priority="2142" operator="equal">
      <formula>"CUMPLE"</formula>
    </cfRule>
  </conditionalFormatting>
  <conditionalFormatting sqref="M221">
    <cfRule type="expression" dxfId="2554" priority="2139">
      <formula>L221="NO CUMPLE"</formula>
    </cfRule>
    <cfRule type="expression" dxfId="2553" priority="2140">
      <formula>L221="CUMPLE"</formula>
    </cfRule>
  </conditionalFormatting>
  <conditionalFormatting sqref="J214:J222">
    <cfRule type="cellIs" dxfId="2552" priority="2183" operator="equal">
      <formula>"NO CUMPLE"</formula>
    </cfRule>
    <cfRule type="cellIs" dxfId="2551" priority="2184" operator="equal">
      <formula>"CUMPLE"</formula>
    </cfRule>
  </conditionalFormatting>
  <conditionalFormatting sqref="K214">
    <cfRule type="expression" dxfId="2550" priority="2181">
      <formula>J214="NO CUMPLE"</formula>
    </cfRule>
    <cfRule type="expression" dxfId="2549" priority="2182">
      <formula>J214="CUMPLE"</formula>
    </cfRule>
  </conditionalFormatting>
  <conditionalFormatting sqref="K215:K216">
    <cfRule type="expression" dxfId="2548" priority="2179">
      <formula>J215="NO CUMPLE"</formula>
    </cfRule>
    <cfRule type="expression" dxfId="2547" priority="2180">
      <formula>J215="CUMPLE"</formula>
    </cfRule>
  </conditionalFormatting>
  <conditionalFormatting sqref="J223">
    <cfRule type="cellIs" dxfId="2546" priority="2177" operator="equal">
      <formula>"NO CUMPLE"</formula>
    </cfRule>
    <cfRule type="cellIs" dxfId="2545" priority="2178" operator="equal">
      <formula>"CUMPLE"</formula>
    </cfRule>
  </conditionalFormatting>
  <conditionalFormatting sqref="J224:J225">
    <cfRule type="cellIs" dxfId="2544" priority="2175" operator="equal">
      <formula>"NO CUMPLE"</formula>
    </cfRule>
    <cfRule type="cellIs" dxfId="2543" priority="2176" operator="equal">
      <formula>"CUMPLE"</formula>
    </cfRule>
  </conditionalFormatting>
  <conditionalFormatting sqref="K217">
    <cfRule type="expression" dxfId="2542" priority="2173">
      <formula>J217="NO CUMPLE"</formula>
    </cfRule>
    <cfRule type="expression" dxfId="2541" priority="2174">
      <formula>J217="CUMPLE"</formula>
    </cfRule>
  </conditionalFormatting>
  <conditionalFormatting sqref="K218:K219">
    <cfRule type="expression" dxfId="2540" priority="2171">
      <formula>J218="NO CUMPLE"</formula>
    </cfRule>
    <cfRule type="expression" dxfId="2539" priority="2172">
      <formula>J218="CUMPLE"</formula>
    </cfRule>
  </conditionalFormatting>
  <conditionalFormatting sqref="K220">
    <cfRule type="expression" dxfId="2538" priority="2169">
      <formula>J220="NO CUMPLE"</formula>
    </cfRule>
    <cfRule type="expression" dxfId="2537" priority="2170">
      <formula>J220="CUMPLE"</formula>
    </cfRule>
  </conditionalFormatting>
  <conditionalFormatting sqref="K221:K222">
    <cfRule type="expression" dxfId="2536" priority="2167">
      <formula>J221="NO CUMPLE"</formula>
    </cfRule>
    <cfRule type="expression" dxfId="2535" priority="2168">
      <formula>J221="CUMPLE"</formula>
    </cfRule>
  </conditionalFormatting>
  <conditionalFormatting sqref="K223">
    <cfRule type="expression" dxfId="2534" priority="2165">
      <formula>J223="NO CUMPLE"</formula>
    </cfRule>
    <cfRule type="expression" dxfId="2533" priority="2166">
      <formula>J223="CUMPLE"</formula>
    </cfRule>
  </conditionalFormatting>
  <conditionalFormatting sqref="K224:K225">
    <cfRule type="expression" dxfId="2532" priority="2163">
      <formula>J224="NO CUMPLE"</formula>
    </cfRule>
    <cfRule type="expression" dxfId="2531" priority="2164">
      <formula>J224="CUMPLE"</formula>
    </cfRule>
  </conditionalFormatting>
  <conditionalFormatting sqref="M215">
    <cfRule type="expression" dxfId="2530" priority="2151">
      <formula>L215="NO CUMPLE"</formula>
    </cfRule>
    <cfRule type="expression" dxfId="2529" priority="2152">
      <formula>L215="CUMPLE"</formula>
    </cfRule>
  </conditionalFormatting>
  <conditionalFormatting sqref="L214:L215">
    <cfRule type="cellIs" dxfId="2528" priority="2153" operator="equal">
      <formula>"NO CUMPLE"</formula>
    </cfRule>
    <cfRule type="cellIs" dxfId="2527" priority="2154" operator="equal">
      <formula>"CUMPLE"</formula>
    </cfRule>
  </conditionalFormatting>
  <conditionalFormatting sqref="M214">
    <cfRule type="expression" dxfId="2526" priority="2155">
      <formula>L214="NO CUMPLE"</formula>
    </cfRule>
    <cfRule type="expression" dxfId="2525" priority="2156">
      <formula>L214="CUMPLE"</formula>
    </cfRule>
  </conditionalFormatting>
  <conditionalFormatting sqref="M212">
    <cfRule type="expression" dxfId="2524" priority="2157">
      <formula>L212="NO CUMPLE"</formula>
    </cfRule>
    <cfRule type="expression" dxfId="2523" priority="2158">
      <formula>L212="CUMPLE"</formula>
    </cfRule>
  </conditionalFormatting>
  <conditionalFormatting sqref="M211">
    <cfRule type="expression" dxfId="2522" priority="2161">
      <formula>L211="NO CUMPLE"</formula>
    </cfRule>
    <cfRule type="expression" dxfId="2521" priority="2162">
      <formula>L211="CUMPLE"</formula>
    </cfRule>
  </conditionalFormatting>
  <conditionalFormatting sqref="L211:L212">
    <cfRule type="cellIs" dxfId="2520" priority="2159" operator="equal">
      <formula>"NO CUMPLE"</formula>
    </cfRule>
    <cfRule type="cellIs" dxfId="2519" priority="2160" operator="equal">
      <formula>"CUMPLE"</formula>
    </cfRule>
  </conditionalFormatting>
  <conditionalFormatting sqref="M218">
    <cfRule type="expression" dxfId="2518" priority="2145">
      <formula>L218="NO CUMPLE"</formula>
    </cfRule>
    <cfRule type="expression" dxfId="2517" priority="2146">
      <formula>L218="CUMPLE"</formula>
    </cfRule>
  </conditionalFormatting>
  <conditionalFormatting sqref="M217">
    <cfRule type="expression" dxfId="2516" priority="2149">
      <formula>L217="NO CUMPLE"</formula>
    </cfRule>
    <cfRule type="expression" dxfId="2515" priority="2150">
      <formula>L217="CUMPLE"</formula>
    </cfRule>
  </conditionalFormatting>
  <conditionalFormatting sqref="L217:L218">
    <cfRule type="cellIs" dxfId="2514" priority="2147" operator="equal">
      <formula>"NO CUMPLE"</formula>
    </cfRule>
    <cfRule type="cellIs" dxfId="2513" priority="2148" operator="equal">
      <formula>"CUMPLE"</formula>
    </cfRule>
  </conditionalFormatting>
  <conditionalFormatting sqref="M224">
    <cfRule type="expression" dxfId="2512" priority="2133">
      <formula>L224="NO CUMPLE"</formula>
    </cfRule>
    <cfRule type="expression" dxfId="2511" priority="2134">
      <formula>L224="CUMPLE"</formula>
    </cfRule>
  </conditionalFormatting>
  <conditionalFormatting sqref="M223">
    <cfRule type="expression" dxfId="2510" priority="2137">
      <formula>L223="NO CUMPLE"</formula>
    </cfRule>
    <cfRule type="expression" dxfId="2509" priority="2138">
      <formula>L223="CUMPLE"</formula>
    </cfRule>
  </conditionalFormatting>
  <conditionalFormatting sqref="L223:L224">
    <cfRule type="cellIs" dxfId="2508" priority="2135" operator="equal">
      <formula>"NO CUMPLE"</formula>
    </cfRule>
    <cfRule type="cellIs" dxfId="2507" priority="2136" operator="equal">
      <formula>"CUMPLE"</formula>
    </cfRule>
  </conditionalFormatting>
  <conditionalFormatting sqref="J211">
    <cfRule type="cellIs" dxfId="2506" priority="2131" operator="equal">
      <formula>"NO CUMPLE"</formula>
    </cfRule>
    <cfRule type="cellIs" dxfId="2505" priority="2132" operator="equal">
      <formula>"CUMPLE"</formula>
    </cfRule>
  </conditionalFormatting>
  <conditionalFormatting sqref="J212:J213">
    <cfRule type="cellIs" dxfId="2504" priority="2129" operator="equal">
      <formula>"NO CUMPLE"</formula>
    </cfRule>
    <cfRule type="cellIs" dxfId="2503" priority="2130" operator="equal">
      <formula>"CUMPLE"</formula>
    </cfRule>
  </conditionalFormatting>
  <conditionalFormatting sqref="K211">
    <cfRule type="expression" dxfId="2502" priority="2127">
      <formula>J211="NO CUMPLE"</formula>
    </cfRule>
    <cfRule type="expression" dxfId="2501" priority="2128">
      <formula>J211="CUMPLE"</formula>
    </cfRule>
  </conditionalFormatting>
  <conditionalFormatting sqref="K212:K213">
    <cfRule type="expression" dxfId="2500" priority="2125">
      <formula>J212="NO CUMPLE"</formula>
    </cfRule>
    <cfRule type="expression" dxfId="2499" priority="2126">
      <formula>J212="CUMPLE"</formula>
    </cfRule>
  </conditionalFormatting>
  <conditionalFormatting sqref="M17">
    <cfRule type="expression" dxfId="2498" priority="2121">
      <formula>L17="NO CUMPLE"</formula>
    </cfRule>
    <cfRule type="expression" dxfId="2497" priority="2122">
      <formula>L17="CUMPLE"</formula>
    </cfRule>
  </conditionalFormatting>
  <conditionalFormatting sqref="M16">
    <cfRule type="expression" dxfId="2496" priority="2123">
      <formula>L16="NO CUMPLE"</formula>
    </cfRule>
    <cfRule type="expression" dxfId="2495" priority="2124">
      <formula>L16="CUMPLE"</formula>
    </cfRule>
  </conditionalFormatting>
  <conditionalFormatting sqref="M36">
    <cfRule type="expression" dxfId="2494" priority="2117">
      <formula>L36="NO CUMPLE"</formula>
    </cfRule>
    <cfRule type="expression" dxfId="2493" priority="2118">
      <formula>L36="CUMPLE"</formula>
    </cfRule>
  </conditionalFormatting>
  <conditionalFormatting sqref="M35">
    <cfRule type="expression" dxfId="2492" priority="2119">
      <formula>L35="NO CUMPLE"</formula>
    </cfRule>
    <cfRule type="expression" dxfId="2491" priority="2120">
      <formula>L35="CUMPLE"</formula>
    </cfRule>
  </conditionalFormatting>
  <conditionalFormatting sqref="M45">
    <cfRule type="expression" dxfId="2490" priority="2105">
      <formula>L45="NO CUMPLE"</formula>
    </cfRule>
    <cfRule type="expression" dxfId="2489" priority="2106">
      <formula>L45="CUMPLE"</formula>
    </cfRule>
  </conditionalFormatting>
  <conditionalFormatting sqref="M44">
    <cfRule type="expression" dxfId="2488" priority="2107">
      <formula>L44="NO CUMPLE"</formula>
    </cfRule>
    <cfRule type="expression" dxfId="2487" priority="2108">
      <formula>L44="CUMPLE"</formula>
    </cfRule>
  </conditionalFormatting>
  <conditionalFormatting sqref="M48">
    <cfRule type="expression" dxfId="2486" priority="2101">
      <formula>L48="NO CUMPLE"</formula>
    </cfRule>
    <cfRule type="expression" dxfId="2485" priority="2102">
      <formula>L48="CUMPLE"</formula>
    </cfRule>
  </conditionalFormatting>
  <conditionalFormatting sqref="M47">
    <cfRule type="expression" dxfId="2484" priority="2103">
      <formula>L47="NO CUMPLE"</formula>
    </cfRule>
    <cfRule type="expression" dxfId="2483" priority="2104">
      <formula>L47="CUMPLE"</formula>
    </cfRule>
  </conditionalFormatting>
  <conditionalFormatting sqref="B248">
    <cfRule type="cellIs" dxfId="2482" priority="2099" operator="equal">
      <formula>"NO CUMPLE CON LA EXPERIENCIA REQUERIDA"</formula>
    </cfRule>
    <cfRule type="cellIs" dxfId="2481" priority="2100" operator="equal">
      <formula>"CUMPLE CON LA EXPERIENCIA REQUERIDA"</formula>
    </cfRule>
  </conditionalFormatting>
  <conditionalFormatting sqref="H233 H236 H239 H242 H245">
    <cfRule type="notContainsBlanks" dxfId="2480" priority="2098">
      <formula>LEN(TRIM(H233))&gt;0</formula>
    </cfRule>
  </conditionalFormatting>
  <conditionalFormatting sqref="G233">
    <cfRule type="notContainsBlanks" dxfId="2479" priority="2097">
      <formula>LEN(TRIM(G233))&gt;0</formula>
    </cfRule>
  </conditionalFormatting>
  <conditionalFormatting sqref="F233">
    <cfRule type="notContainsBlanks" dxfId="2478" priority="2096">
      <formula>LEN(TRIM(F233))&gt;0</formula>
    </cfRule>
  </conditionalFormatting>
  <conditionalFormatting sqref="E233">
    <cfRule type="notContainsBlanks" dxfId="2477" priority="2095">
      <formula>LEN(TRIM(E233))&gt;0</formula>
    </cfRule>
  </conditionalFormatting>
  <conditionalFormatting sqref="D233">
    <cfRule type="notContainsBlanks" dxfId="2476" priority="2094">
      <formula>LEN(TRIM(D233))&gt;0</formula>
    </cfRule>
  </conditionalFormatting>
  <conditionalFormatting sqref="C233">
    <cfRule type="notContainsBlanks" dxfId="2475" priority="2093">
      <formula>LEN(TRIM(C233))&gt;0</formula>
    </cfRule>
  </conditionalFormatting>
  <conditionalFormatting sqref="I233">
    <cfRule type="notContainsBlanks" dxfId="2474" priority="2092">
      <formula>LEN(TRIM(I233))&gt;0</formula>
    </cfRule>
  </conditionalFormatting>
  <conditionalFormatting sqref="S236">
    <cfRule type="cellIs" dxfId="2473" priority="2090" operator="greaterThan">
      <formula>0</formula>
    </cfRule>
    <cfRule type="top10" dxfId="2472" priority="2091" rank="10"/>
  </conditionalFormatting>
  <conditionalFormatting sqref="S239">
    <cfRule type="cellIs" dxfId="2471" priority="2088" operator="greaterThan">
      <formula>0</formula>
    </cfRule>
    <cfRule type="top10" dxfId="2470" priority="2089" rank="10"/>
  </conditionalFormatting>
  <conditionalFormatting sqref="G239">
    <cfRule type="notContainsBlanks" dxfId="2469" priority="2087">
      <formula>LEN(TRIM(G239))&gt;0</formula>
    </cfRule>
  </conditionalFormatting>
  <conditionalFormatting sqref="F239">
    <cfRule type="notContainsBlanks" dxfId="2468" priority="2086">
      <formula>LEN(TRIM(F239))&gt;0</formula>
    </cfRule>
  </conditionalFormatting>
  <conditionalFormatting sqref="E239">
    <cfRule type="notContainsBlanks" dxfId="2467" priority="2085">
      <formula>LEN(TRIM(E239))&gt;0</formula>
    </cfRule>
  </conditionalFormatting>
  <conditionalFormatting sqref="D239">
    <cfRule type="notContainsBlanks" dxfId="2466" priority="2084">
      <formula>LEN(TRIM(D239))&gt;0</formula>
    </cfRule>
  </conditionalFormatting>
  <conditionalFormatting sqref="C239">
    <cfRule type="notContainsBlanks" dxfId="2465" priority="2083">
      <formula>LEN(TRIM(C239))&gt;0</formula>
    </cfRule>
  </conditionalFormatting>
  <conditionalFormatting sqref="I239">
    <cfRule type="notContainsBlanks" dxfId="2464" priority="2082">
      <formula>LEN(TRIM(I239))&gt;0</formula>
    </cfRule>
  </conditionalFormatting>
  <conditionalFormatting sqref="S242">
    <cfRule type="cellIs" dxfId="2463" priority="2080" operator="greaterThan">
      <formula>0</formula>
    </cfRule>
    <cfRule type="top10" dxfId="2462" priority="2081" rank="10"/>
  </conditionalFormatting>
  <conditionalFormatting sqref="S245">
    <cfRule type="cellIs" dxfId="2461" priority="2078" operator="greaterThan">
      <formula>0</formula>
    </cfRule>
    <cfRule type="top10" dxfId="2460" priority="2079" rank="10"/>
  </conditionalFormatting>
  <conditionalFormatting sqref="G245">
    <cfRule type="notContainsBlanks" dxfId="2459" priority="2077">
      <formula>LEN(TRIM(G245))&gt;0</formula>
    </cfRule>
  </conditionalFormatting>
  <conditionalFormatting sqref="F245">
    <cfRule type="notContainsBlanks" dxfId="2458" priority="2076">
      <formula>LEN(TRIM(F245))&gt;0</formula>
    </cfRule>
  </conditionalFormatting>
  <conditionalFormatting sqref="E245">
    <cfRule type="notContainsBlanks" dxfId="2457" priority="2075">
      <formula>LEN(TRIM(E245))&gt;0</formula>
    </cfRule>
  </conditionalFormatting>
  <conditionalFormatting sqref="D245">
    <cfRule type="notContainsBlanks" dxfId="2456" priority="2074">
      <formula>LEN(TRIM(D245))&gt;0</formula>
    </cfRule>
  </conditionalFormatting>
  <conditionalFormatting sqref="C245">
    <cfRule type="notContainsBlanks" dxfId="2455" priority="2073">
      <formula>LEN(TRIM(C245))&gt;0</formula>
    </cfRule>
  </conditionalFormatting>
  <conditionalFormatting sqref="I245">
    <cfRule type="notContainsBlanks" dxfId="2454" priority="2072">
      <formula>LEN(TRIM(I245))&gt;0</formula>
    </cfRule>
  </conditionalFormatting>
  <conditionalFormatting sqref="G236">
    <cfRule type="notContainsBlanks" dxfId="2453" priority="2071">
      <formula>LEN(TRIM(G236))&gt;0</formula>
    </cfRule>
  </conditionalFormatting>
  <conditionalFormatting sqref="F236">
    <cfRule type="notContainsBlanks" dxfId="2452" priority="2070">
      <formula>LEN(TRIM(F236))&gt;0</formula>
    </cfRule>
  </conditionalFormatting>
  <conditionalFormatting sqref="E236">
    <cfRule type="notContainsBlanks" dxfId="2451" priority="2069">
      <formula>LEN(TRIM(E236))&gt;0</formula>
    </cfRule>
  </conditionalFormatting>
  <conditionalFormatting sqref="D236">
    <cfRule type="notContainsBlanks" dxfId="2450" priority="2068">
      <formula>LEN(TRIM(D236))&gt;0</formula>
    </cfRule>
  </conditionalFormatting>
  <conditionalFormatting sqref="C236">
    <cfRule type="notContainsBlanks" dxfId="2449" priority="2067">
      <formula>LEN(TRIM(C236))&gt;0</formula>
    </cfRule>
  </conditionalFormatting>
  <conditionalFormatting sqref="G242">
    <cfRule type="notContainsBlanks" dxfId="2448" priority="2066">
      <formula>LEN(TRIM(G242))&gt;0</formula>
    </cfRule>
  </conditionalFormatting>
  <conditionalFormatting sqref="F242">
    <cfRule type="notContainsBlanks" dxfId="2447" priority="2065">
      <formula>LEN(TRIM(F242))&gt;0</formula>
    </cfRule>
  </conditionalFormatting>
  <conditionalFormatting sqref="E242">
    <cfRule type="notContainsBlanks" dxfId="2446" priority="2064">
      <formula>LEN(TRIM(E242))&gt;0</formula>
    </cfRule>
  </conditionalFormatting>
  <conditionalFormatting sqref="D242">
    <cfRule type="notContainsBlanks" dxfId="2445" priority="2063">
      <formula>LEN(TRIM(D242))&gt;0</formula>
    </cfRule>
  </conditionalFormatting>
  <conditionalFormatting sqref="C242">
    <cfRule type="notContainsBlanks" dxfId="2444" priority="2062">
      <formula>LEN(TRIM(C242))&gt;0</formula>
    </cfRule>
  </conditionalFormatting>
  <conditionalFormatting sqref="I242">
    <cfRule type="notContainsBlanks" dxfId="2443" priority="2061">
      <formula>LEN(TRIM(I242))&gt;0</formula>
    </cfRule>
  </conditionalFormatting>
  <conditionalFormatting sqref="S248">
    <cfRule type="expression" dxfId="2442" priority="2059">
      <formula>$S$28&gt;0</formula>
    </cfRule>
    <cfRule type="cellIs" dxfId="2441" priority="2060" operator="equal">
      <formula>0</formula>
    </cfRule>
  </conditionalFormatting>
  <conditionalFormatting sqref="S249">
    <cfRule type="expression" dxfId="2440" priority="2057">
      <formula>$S$28&gt;0</formula>
    </cfRule>
    <cfRule type="cellIs" dxfId="2439" priority="2058" operator="equal">
      <formula>0</formula>
    </cfRule>
  </conditionalFormatting>
  <conditionalFormatting sqref="N245">
    <cfRule type="expression" dxfId="2438" priority="2054">
      <formula>N245=" "</formula>
    </cfRule>
    <cfRule type="expression" dxfId="2437" priority="2055">
      <formula>N245="NO PRESENTÓ CERTIFICADO"</formula>
    </cfRule>
    <cfRule type="expression" dxfId="2436" priority="2056">
      <formula>N245="PRESENTÓ CERTIFICADO"</formula>
    </cfRule>
  </conditionalFormatting>
  <conditionalFormatting sqref="O245">
    <cfRule type="cellIs" dxfId="2435" priority="2036" operator="equal">
      <formula>"PENDIENTE POR DESCRIPCIÓN"</formula>
    </cfRule>
    <cfRule type="cellIs" dxfId="2434" priority="2037" operator="equal">
      <formula>"DESCRIPCIÓN INSUFICIENTE"</formula>
    </cfRule>
    <cfRule type="cellIs" dxfId="2433" priority="2038" operator="equal">
      <formula>"NO ESTÁ ACORDE A ITEM 5.2.2 (T.R.)"</formula>
    </cfRule>
    <cfRule type="cellIs" dxfId="2432" priority="2039" operator="equal">
      <formula>"ACORDE A ITEM 5.2.2 (T.R.)"</formula>
    </cfRule>
    <cfRule type="cellIs" dxfId="2431" priority="2046" operator="equal">
      <formula>"PENDIENTE POR DESCRIPCIÓN"</formula>
    </cfRule>
    <cfRule type="cellIs" dxfId="2430" priority="2048" operator="equal">
      <formula>"DESCRIPCIÓN INSUFICIENTE"</formula>
    </cfRule>
    <cfRule type="cellIs" dxfId="2429" priority="2049" operator="equal">
      <formula>"NO ESTÁ ACORDE A ITEM 5.2.1 (T.R.)"</formula>
    </cfRule>
    <cfRule type="cellIs" dxfId="2428" priority="2050" operator="equal">
      <formula>"ACORDE A ITEM 5.2.1 (T.R.)"</formula>
    </cfRule>
  </conditionalFormatting>
  <conditionalFormatting sqref="Q245">
    <cfRule type="containsBlanks" dxfId="2427" priority="2041">
      <formula>LEN(TRIM(Q245))=0</formula>
    </cfRule>
    <cfRule type="cellIs" dxfId="2426" priority="2047" operator="equal">
      <formula>"REQUERIMIENTOS SUBSANADOS"</formula>
    </cfRule>
    <cfRule type="containsText" dxfId="2425" priority="2051" operator="containsText" text="NO SUBSANABLE">
      <formula>NOT(ISERROR(SEARCH("NO SUBSANABLE",Q245)))</formula>
    </cfRule>
    <cfRule type="containsText" dxfId="2424" priority="2052" operator="containsText" text="PENDIENTES POR SUBSANAR">
      <formula>NOT(ISERROR(SEARCH("PENDIENTES POR SUBSANAR",Q245)))</formula>
    </cfRule>
    <cfRule type="containsText" dxfId="2423" priority="2053" operator="containsText" text="SIN OBSERVACIÓN">
      <formula>NOT(ISERROR(SEARCH("SIN OBSERVACIÓN",Q245)))</formula>
    </cfRule>
  </conditionalFormatting>
  <conditionalFormatting sqref="R245">
    <cfRule type="containsBlanks" dxfId="2422" priority="2040">
      <formula>LEN(TRIM(R245))=0</formula>
    </cfRule>
    <cfRule type="cellIs" dxfId="2421" priority="2042" operator="equal">
      <formula>"NO CUMPLEN CON LO SOLICITADO"</formula>
    </cfRule>
    <cfRule type="cellIs" dxfId="2420" priority="2043" operator="equal">
      <formula>"CUMPLEN CON LO SOLICITADO"</formula>
    </cfRule>
    <cfRule type="cellIs" dxfId="2419" priority="2044" operator="equal">
      <formula>"PENDIENTES"</formula>
    </cfRule>
    <cfRule type="cellIs" dxfId="2418" priority="2045" operator="equal">
      <formula>"NINGUNO"</formula>
    </cfRule>
  </conditionalFormatting>
  <conditionalFormatting sqref="P242 P245">
    <cfRule type="expression" dxfId="2417" priority="2031">
      <formula>Q242="NO SUBSANABLE"</formula>
    </cfRule>
    <cfRule type="expression" dxfId="2416" priority="2032">
      <formula>Q242="REQUERIMIENTOS SUBSANADOS"</formula>
    </cfRule>
    <cfRule type="expression" dxfId="2415" priority="2033">
      <formula>Q242="PENDIENTES POR SUBSANAR"</formula>
    </cfRule>
    <cfRule type="expression" dxfId="2414" priority="2034">
      <formula>Q242="SIN OBSERVACIÓN"</formula>
    </cfRule>
    <cfRule type="containsBlanks" dxfId="2413" priority="2035">
      <formula>LEN(TRIM(P242))=0</formula>
    </cfRule>
  </conditionalFormatting>
  <conditionalFormatting sqref="N242">
    <cfRule type="expression" dxfId="2412" priority="2028">
      <formula>N242=" "</formula>
    </cfRule>
    <cfRule type="expression" dxfId="2411" priority="2029">
      <formula>N242="NO PRESENTÓ CERTIFICADO"</formula>
    </cfRule>
    <cfRule type="expression" dxfId="2410" priority="2030">
      <formula>N242="PRESENTÓ CERTIFICADO"</formula>
    </cfRule>
  </conditionalFormatting>
  <conditionalFormatting sqref="O242">
    <cfRule type="cellIs" dxfId="2409" priority="2020" operator="equal">
      <formula>"PENDIENTE POR DESCRIPCIÓN"</formula>
    </cfRule>
    <cfRule type="cellIs" dxfId="2408" priority="2021" operator="equal">
      <formula>"DESCRIPCIÓN INSUFICIENTE"</formula>
    </cfRule>
    <cfRule type="cellIs" dxfId="2407" priority="2022" operator="equal">
      <formula>"NO ESTÁ ACORDE A ITEM 5.2.2 (T.R.)"</formula>
    </cfRule>
    <cfRule type="cellIs" dxfId="2406" priority="2023" operator="equal">
      <formula>"ACORDE A ITEM 5.2.2 (T.R.)"</formula>
    </cfRule>
    <cfRule type="cellIs" dxfId="2405" priority="2024" operator="equal">
      <formula>"PENDIENTE POR DESCRIPCIÓN"</formula>
    </cfRule>
    <cfRule type="cellIs" dxfId="2404" priority="2025" operator="equal">
      <formula>"DESCRIPCIÓN INSUFICIENTE"</formula>
    </cfRule>
    <cfRule type="cellIs" dxfId="2403" priority="2026" operator="equal">
      <formula>"NO ESTÁ ACORDE A ITEM 5.2.1 (T.R.)"</formula>
    </cfRule>
    <cfRule type="cellIs" dxfId="2402" priority="2027" operator="equal">
      <formula>"ACORDE A ITEM 5.2.1 (T.R.)"</formula>
    </cfRule>
  </conditionalFormatting>
  <conditionalFormatting sqref="Q242">
    <cfRule type="containsBlanks" dxfId="2401" priority="2011">
      <formula>LEN(TRIM(Q242))=0</formula>
    </cfRule>
    <cfRule type="cellIs" dxfId="2400" priority="2016" operator="equal">
      <formula>"REQUERIMIENTOS SUBSANADOS"</formula>
    </cfRule>
    <cfRule type="containsText" dxfId="2399" priority="2017" operator="containsText" text="NO SUBSANABLE">
      <formula>NOT(ISERROR(SEARCH("NO SUBSANABLE",Q242)))</formula>
    </cfRule>
    <cfRule type="containsText" dxfId="2398" priority="2018" operator="containsText" text="PENDIENTES POR SUBSANAR">
      <formula>NOT(ISERROR(SEARCH("PENDIENTES POR SUBSANAR",Q242)))</formula>
    </cfRule>
    <cfRule type="containsText" dxfId="2397" priority="2019" operator="containsText" text="SIN OBSERVACIÓN">
      <formula>NOT(ISERROR(SEARCH("SIN OBSERVACIÓN",Q242)))</formula>
    </cfRule>
  </conditionalFormatting>
  <conditionalFormatting sqref="R242">
    <cfRule type="containsBlanks" dxfId="2396" priority="2010">
      <formula>LEN(TRIM(R242))=0</formula>
    </cfRule>
    <cfRule type="cellIs" dxfId="2395" priority="2012" operator="equal">
      <formula>"NO CUMPLEN CON LO SOLICITADO"</formula>
    </cfRule>
    <cfRule type="cellIs" dxfId="2394" priority="2013" operator="equal">
      <formula>"CUMPLEN CON LO SOLICITADO"</formula>
    </cfRule>
    <cfRule type="cellIs" dxfId="2393" priority="2014" operator="equal">
      <formula>"PENDIENTES"</formula>
    </cfRule>
    <cfRule type="cellIs" dxfId="2392" priority="2015" operator="equal">
      <formula>"NINGUNO"</formula>
    </cfRule>
  </conditionalFormatting>
  <conditionalFormatting sqref="M242">
    <cfRule type="expression" dxfId="2391" priority="1968">
      <formula>L242="NO CUMPLE"</formula>
    </cfRule>
    <cfRule type="expression" dxfId="2390" priority="1969">
      <formula>L242="CUMPLE"</formula>
    </cfRule>
  </conditionalFormatting>
  <conditionalFormatting sqref="L242:L243">
    <cfRule type="cellIs" dxfId="2389" priority="1966" operator="equal">
      <formula>"NO CUMPLE"</formula>
    </cfRule>
    <cfRule type="cellIs" dxfId="2388" priority="1967" operator="equal">
      <formula>"CUMPLE"</formula>
    </cfRule>
  </conditionalFormatting>
  <conditionalFormatting sqref="M243">
    <cfRule type="expression" dxfId="2387" priority="1964">
      <formula>L243="NO CUMPLE"</formula>
    </cfRule>
    <cfRule type="expression" dxfId="2386" priority="1965">
      <formula>L243="CUMPLE"</formula>
    </cfRule>
  </conditionalFormatting>
  <conditionalFormatting sqref="J242:J244">
    <cfRule type="cellIs" dxfId="2385" priority="2008" operator="equal">
      <formula>"NO CUMPLE"</formula>
    </cfRule>
    <cfRule type="cellIs" dxfId="2384" priority="2009" operator="equal">
      <formula>"CUMPLE"</formula>
    </cfRule>
  </conditionalFormatting>
  <conditionalFormatting sqref="K236">
    <cfRule type="expression" dxfId="2383" priority="2006">
      <formula>J236="NO CUMPLE"</formula>
    </cfRule>
    <cfRule type="expression" dxfId="2382" priority="2007">
      <formula>J236="CUMPLE"</formula>
    </cfRule>
  </conditionalFormatting>
  <conditionalFormatting sqref="K237:K238">
    <cfRule type="expression" dxfId="2381" priority="2004">
      <formula>J237="NO CUMPLE"</formula>
    </cfRule>
    <cfRule type="expression" dxfId="2380" priority="2005">
      <formula>J237="CUMPLE"</formula>
    </cfRule>
  </conditionalFormatting>
  <conditionalFormatting sqref="J245">
    <cfRule type="cellIs" dxfId="2379" priority="2002" operator="equal">
      <formula>"NO CUMPLE"</formula>
    </cfRule>
    <cfRule type="cellIs" dxfId="2378" priority="2003" operator="equal">
      <formula>"CUMPLE"</formula>
    </cfRule>
  </conditionalFormatting>
  <conditionalFormatting sqref="J246:J247">
    <cfRule type="cellIs" dxfId="2377" priority="2000" operator="equal">
      <formula>"NO CUMPLE"</formula>
    </cfRule>
    <cfRule type="cellIs" dxfId="2376" priority="2001" operator="equal">
      <formula>"CUMPLE"</formula>
    </cfRule>
  </conditionalFormatting>
  <conditionalFormatting sqref="K239">
    <cfRule type="expression" dxfId="2375" priority="1998">
      <formula>J239="NO CUMPLE"</formula>
    </cfRule>
    <cfRule type="expression" dxfId="2374" priority="1999">
      <formula>J239="CUMPLE"</formula>
    </cfRule>
  </conditionalFormatting>
  <conditionalFormatting sqref="K240:K241">
    <cfRule type="expression" dxfId="2373" priority="1996">
      <formula>J240="NO CUMPLE"</formula>
    </cfRule>
    <cfRule type="expression" dxfId="2372" priority="1997">
      <formula>J240="CUMPLE"</formula>
    </cfRule>
  </conditionalFormatting>
  <conditionalFormatting sqref="K242">
    <cfRule type="expression" dxfId="2371" priority="1994">
      <formula>J242="NO CUMPLE"</formula>
    </cfRule>
    <cfRule type="expression" dxfId="2370" priority="1995">
      <formula>J242="CUMPLE"</formula>
    </cfRule>
  </conditionalFormatting>
  <conditionalFormatting sqref="K243:K244">
    <cfRule type="expression" dxfId="2369" priority="1992">
      <formula>J243="NO CUMPLE"</formula>
    </cfRule>
    <cfRule type="expression" dxfId="2368" priority="1993">
      <formula>J243="CUMPLE"</formula>
    </cfRule>
  </conditionalFormatting>
  <conditionalFormatting sqref="K245">
    <cfRule type="expression" dxfId="2367" priority="1990">
      <formula>J245="NO CUMPLE"</formula>
    </cfRule>
    <cfRule type="expression" dxfId="2366" priority="1991">
      <formula>J245="CUMPLE"</formula>
    </cfRule>
  </conditionalFormatting>
  <conditionalFormatting sqref="K246:K247">
    <cfRule type="expression" dxfId="2365" priority="1988">
      <formula>J246="NO CUMPLE"</formula>
    </cfRule>
    <cfRule type="expression" dxfId="2364" priority="1989">
      <formula>J246="CUMPLE"</formula>
    </cfRule>
  </conditionalFormatting>
  <conditionalFormatting sqref="M237">
    <cfRule type="expression" dxfId="2363" priority="1976">
      <formula>L237="NO CUMPLE"</formula>
    </cfRule>
    <cfRule type="expression" dxfId="2362" priority="1977">
      <formula>L237="CUMPLE"</formula>
    </cfRule>
  </conditionalFormatting>
  <conditionalFormatting sqref="L236:L237">
    <cfRule type="cellIs" dxfId="2361" priority="1978" operator="equal">
      <formula>"NO CUMPLE"</formula>
    </cfRule>
    <cfRule type="cellIs" dxfId="2360" priority="1979" operator="equal">
      <formula>"CUMPLE"</formula>
    </cfRule>
  </conditionalFormatting>
  <conditionalFormatting sqref="M236">
    <cfRule type="expression" dxfId="2359" priority="1980">
      <formula>L236="NO CUMPLE"</formula>
    </cfRule>
    <cfRule type="expression" dxfId="2358" priority="1981">
      <formula>L236="CUMPLE"</formula>
    </cfRule>
  </conditionalFormatting>
  <conditionalFormatting sqref="M234">
    <cfRule type="expression" dxfId="2357" priority="1982">
      <formula>L234="NO CUMPLE"</formula>
    </cfRule>
    <cfRule type="expression" dxfId="2356" priority="1983">
      <formula>L234="CUMPLE"</formula>
    </cfRule>
  </conditionalFormatting>
  <conditionalFormatting sqref="M233">
    <cfRule type="expression" dxfId="2355" priority="1986">
      <formula>L233="NO CUMPLE"</formula>
    </cfRule>
    <cfRule type="expression" dxfId="2354" priority="1987">
      <formula>L233="CUMPLE"</formula>
    </cfRule>
  </conditionalFormatting>
  <conditionalFormatting sqref="L233:L234">
    <cfRule type="cellIs" dxfId="2353" priority="1984" operator="equal">
      <formula>"NO CUMPLE"</formula>
    </cfRule>
    <cfRule type="cellIs" dxfId="2352" priority="1985" operator="equal">
      <formula>"CUMPLE"</formula>
    </cfRule>
  </conditionalFormatting>
  <conditionalFormatting sqref="M240">
    <cfRule type="expression" dxfId="2351" priority="1970">
      <formula>L240="NO CUMPLE"</formula>
    </cfRule>
    <cfRule type="expression" dxfId="2350" priority="1971">
      <formula>L240="CUMPLE"</formula>
    </cfRule>
  </conditionalFormatting>
  <conditionalFormatting sqref="M239">
    <cfRule type="expression" dxfId="2349" priority="1974">
      <formula>L239="NO CUMPLE"</formula>
    </cfRule>
    <cfRule type="expression" dxfId="2348" priority="1975">
      <formula>L239="CUMPLE"</formula>
    </cfRule>
  </conditionalFormatting>
  <conditionalFormatting sqref="L239:L240">
    <cfRule type="cellIs" dxfId="2347" priority="1972" operator="equal">
      <formula>"NO CUMPLE"</formula>
    </cfRule>
    <cfRule type="cellIs" dxfId="2346" priority="1973" operator="equal">
      <formula>"CUMPLE"</formula>
    </cfRule>
  </conditionalFormatting>
  <conditionalFormatting sqref="M246">
    <cfRule type="expression" dxfId="2345" priority="1958">
      <formula>L246="NO CUMPLE"</formula>
    </cfRule>
    <cfRule type="expression" dxfId="2344" priority="1959">
      <formula>L246="CUMPLE"</formula>
    </cfRule>
  </conditionalFormatting>
  <conditionalFormatting sqref="M245">
    <cfRule type="expression" dxfId="2343" priority="1962">
      <formula>L245="NO CUMPLE"</formula>
    </cfRule>
    <cfRule type="expression" dxfId="2342" priority="1963">
      <formula>L245="CUMPLE"</formula>
    </cfRule>
  </conditionalFormatting>
  <conditionalFormatting sqref="L245:L246">
    <cfRule type="cellIs" dxfId="2341" priority="1960" operator="equal">
      <formula>"NO CUMPLE"</formula>
    </cfRule>
    <cfRule type="cellIs" dxfId="2340" priority="1961" operator="equal">
      <formula>"CUMPLE"</formula>
    </cfRule>
  </conditionalFormatting>
  <conditionalFormatting sqref="J233">
    <cfRule type="cellIs" dxfId="2339" priority="1956" operator="equal">
      <formula>"NO CUMPLE"</formula>
    </cfRule>
    <cfRule type="cellIs" dxfId="2338" priority="1957" operator="equal">
      <formula>"CUMPLE"</formula>
    </cfRule>
  </conditionalFormatting>
  <conditionalFormatting sqref="J234:J235">
    <cfRule type="cellIs" dxfId="2337" priority="1954" operator="equal">
      <formula>"NO CUMPLE"</formula>
    </cfRule>
    <cfRule type="cellIs" dxfId="2336" priority="1955" operator="equal">
      <formula>"CUMPLE"</formula>
    </cfRule>
  </conditionalFormatting>
  <conditionalFormatting sqref="K233">
    <cfRule type="expression" dxfId="2335" priority="1952">
      <formula>J233="NO CUMPLE"</formula>
    </cfRule>
    <cfRule type="expression" dxfId="2334" priority="1953">
      <formula>J233="CUMPLE"</formula>
    </cfRule>
  </conditionalFormatting>
  <conditionalFormatting sqref="K234:K235">
    <cfRule type="expression" dxfId="2333" priority="1950">
      <formula>J234="NO CUMPLE"</formula>
    </cfRule>
    <cfRule type="expression" dxfId="2332" priority="1951">
      <formula>J234="CUMPLE"</formula>
    </cfRule>
  </conditionalFormatting>
  <conditionalFormatting sqref="S255">
    <cfRule type="cellIs" dxfId="2331" priority="1948" operator="greaterThan">
      <formula>0</formula>
    </cfRule>
    <cfRule type="top10" dxfId="2330" priority="1949" rank="10"/>
  </conditionalFormatting>
  <conditionalFormatting sqref="B270">
    <cfRule type="cellIs" dxfId="2329" priority="1946" operator="equal">
      <formula>"NO CUMPLE CON LA EXPERIENCIA REQUERIDA"</formula>
    </cfRule>
    <cfRule type="cellIs" dxfId="2328" priority="1947" operator="equal">
      <formula>"CUMPLE CON LA EXPERIENCIA REQUERIDA"</formula>
    </cfRule>
  </conditionalFormatting>
  <conditionalFormatting sqref="H255">
    <cfRule type="notContainsBlanks" dxfId="2327" priority="1945">
      <formula>LEN(TRIM(H255))&gt;0</formula>
    </cfRule>
  </conditionalFormatting>
  <conditionalFormatting sqref="G255">
    <cfRule type="notContainsBlanks" dxfId="2326" priority="1944">
      <formula>LEN(TRIM(G255))&gt;0</formula>
    </cfRule>
  </conditionalFormatting>
  <conditionalFormatting sqref="F255">
    <cfRule type="notContainsBlanks" dxfId="2325" priority="1943">
      <formula>LEN(TRIM(F255))&gt;0</formula>
    </cfRule>
  </conditionalFormatting>
  <conditionalFormatting sqref="E255">
    <cfRule type="notContainsBlanks" dxfId="2324" priority="1942">
      <formula>LEN(TRIM(E255))&gt;0</formula>
    </cfRule>
  </conditionalFormatting>
  <conditionalFormatting sqref="D255">
    <cfRule type="notContainsBlanks" dxfId="2323" priority="1941">
      <formula>LEN(TRIM(D255))&gt;0</formula>
    </cfRule>
  </conditionalFormatting>
  <conditionalFormatting sqref="C255">
    <cfRule type="notContainsBlanks" dxfId="2322" priority="1940">
      <formula>LEN(TRIM(C255))&gt;0</formula>
    </cfRule>
  </conditionalFormatting>
  <conditionalFormatting sqref="I255">
    <cfRule type="notContainsBlanks" dxfId="2321" priority="1939">
      <formula>LEN(TRIM(I255))&gt;0</formula>
    </cfRule>
  </conditionalFormatting>
  <conditionalFormatting sqref="S258">
    <cfRule type="cellIs" dxfId="2320" priority="1937" operator="greaterThan">
      <formula>0</formula>
    </cfRule>
    <cfRule type="top10" dxfId="2319" priority="1938" rank="10"/>
  </conditionalFormatting>
  <conditionalFormatting sqref="S261">
    <cfRule type="cellIs" dxfId="2318" priority="1935" operator="greaterThan">
      <formula>0</formula>
    </cfRule>
    <cfRule type="top10" dxfId="2317" priority="1936" rank="10"/>
  </conditionalFormatting>
  <conditionalFormatting sqref="G261">
    <cfRule type="notContainsBlanks" dxfId="2316" priority="1934">
      <formula>LEN(TRIM(G261))&gt;0</formula>
    </cfRule>
  </conditionalFormatting>
  <conditionalFormatting sqref="F261">
    <cfRule type="notContainsBlanks" dxfId="2315" priority="1933">
      <formula>LEN(TRIM(F261))&gt;0</formula>
    </cfRule>
  </conditionalFormatting>
  <conditionalFormatting sqref="E261">
    <cfRule type="notContainsBlanks" dxfId="2314" priority="1932">
      <formula>LEN(TRIM(E261))&gt;0</formula>
    </cfRule>
  </conditionalFormatting>
  <conditionalFormatting sqref="D261">
    <cfRule type="notContainsBlanks" dxfId="2313" priority="1931">
      <formula>LEN(TRIM(D261))&gt;0</formula>
    </cfRule>
  </conditionalFormatting>
  <conditionalFormatting sqref="C261">
    <cfRule type="notContainsBlanks" dxfId="2312" priority="1930">
      <formula>LEN(TRIM(C261))&gt;0</formula>
    </cfRule>
  </conditionalFormatting>
  <conditionalFormatting sqref="S264">
    <cfRule type="cellIs" dxfId="2311" priority="1928" operator="greaterThan">
      <formula>0</formula>
    </cfRule>
    <cfRule type="top10" dxfId="2310" priority="1929" rank="10"/>
  </conditionalFormatting>
  <conditionalFormatting sqref="S267">
    <cfRule type="cellIs" dxfId="2309" priority="1926" operator="greaterThan">
      <formula>0</formula>
    </cfRule>
    <cfRule type="top10" dxfId="2308" priority="1927" rank="10"/>
  </conditionalFormatting>
  <conditionalFormatting sqref="G267">
    <cfRule type="notContainsBlanks" dxfId="2307" priority="1925">
      <formula>LEN(TRIM(G267))&gt;0</formula>
    </cfRule>
  </conditionalFormatting>
  <conditionalFormatting sqref="F267">
    <cfRule type="notContainsBlanks" dxfId="2306" priority="1924">
      <formula>LEN(TRIM(F267))&gt;0</formula>
    </cfRule>
  </conditionalFormatting>
  <conditionalFormatting sqref="E267">
    <cfRule type="notContainsBlanks" dxfId="2305" priority="1923">
      <formula>LEN(TRIM(E267))&gt;0</formula>
    </cfRule>
  </conditionalFormatting>
  <conditionalFormatting sqref="D267">
    <cfRule type="notContainsBlanks" dxfId="2304" priority="1922">
      <formula>LEN(TRIM(D267))&gt;0</formula>
    </cfRule>
  </conditionalFormatting>
  <conditionalFormatting sqref="C267">
    <cfRule type="notContainsBlanks" dxfId="2303" priority="1921">
      <formula>LEN(TRIM(C267))&gt;0</formula>
    </cfRule>
  </conditionalFormatting>
  <conditionalFormatting sqref="G258">
    <cfRule type="notContainsBlanks" dxfId="2302" priority="1920">
      <formula>LEN(TRIM(G258))&gt;0</formula>
    </cfRule>
  </conditionalFormatting>
  <conditionalFormatting sqref="F258">
    <cfRule type="notContainsBlanks" dxfId="2301" priority="1919">
      <formula>LEN(TRIM(F258))&gt;0</formula>
    </cfRule>
  </conditionalFormatting>
  <conditionalFormatting sqref="E258">
    <cfRule type="notContainsBlanks" dxfId="2300" priority="1918">
      <formula>LEN(TRIM(E258))&gt;0</formula>
    </cfRule>
  </conditionalFormatting>
  <conditionalFormatting sqref="D258">
    <cfRule type="notContainsBlanks" dxfId="2299" priority="1917">
      <formula>LEN(TRIM(D258))&gt;0</formula>
    </cfRule>
  </conditionalFormatting>
  <conditionalFormatting sqref="C258">
    <cfRule type="notContainsBlanks" dxfId="2298" priority="1916">
      <formula>LEN(TRIM(C258))&gt;0</formula>
    </cfRule>
  </conditionalFormatting>
  <conditionalFormatting sqref="G264">
    <cfRule type="notContainsBlanks" dxfId="2297" priority="1915">
      <formula>LEN(TRIM(G264))&gt;0</formula>
    </cfRule>
  </conditionalFormatting>
  <conditionalFormatting sqref="F264">
    <cfRule type="notContainsBlanks" dxfId="2296" priority="1914">
      <formula>LEN(TRIM(F264))&gt;0</formula>
    </cfRule>
  </conditionalFormatting>
  <conditionalFormatting sqref="E264">
    <cfRule type="notContainsBlanks" dxfId="2295" priority="1913">
      <formula>LEN(TRIM(E264))&gt;0</formula>
    </cfRule>
  </conditionalFormatting>
  <conditionalFormatting sqref="D264">
    <cfRule type="notContainsBlanks" dxfId="2294" priority="1912">
      <formula>LEN(TRIM(D264))&gt;0</formula>
    </cfRule>
  </conditionalFormatting>
  <conditionalFormatting sqref="C264">
    <cfRule type="notContainsBlanks" dxfId="2293" priority="1911">
      <formula>LEN(TRIM(C264))&gt;0</formula>
    </cfRule>
  </conditionalFormatting>
  <conditionalFormatting sqref="S270">
    <cfRule type="expression" dxfId="2292" priority="1909">
      <formula>$S$28&gt;0</formula>
    </cfRule>
    <cfRule type="cellIs" dxfId="2291" priority="1910" operator="equal">
      <formula>0</formula>
    </cfRule>
  </conditionalFormatting>
  <conditionalFormatting sqref="S271">
    <cfRule type="expression" dxfId="2290" priority="1907">
      <formula>$S$28&gt;0</formula>
    </cfRule>
    <cfRule type="cellIs" dxfId="2289" priority="1908" operator="equal">
      <formula>0</formula>
    </cfRule>
  </conditionalFormatting>
  <conditionalFormatting sqref="N255">
    <cfRule type="expression" dxfId="2288" priority="1904">
      <formula>N255=" "</formula>
    </cfRule>
    <cfRule type="expression" dxfId="2287" priority="1905">
      <formula>N255="NO PRESENTÓ CERTIFICADO"</formula>
    </cfRule>
    <cfRule type="expression" dxfId="2286" priority="1906">
      <formula>N255="PRESENTÓ CERTIFICADO"</formula>
    </cfRule>
  </conditionalFormatting>
  <conditionalFormatting sqref="O255">
    <cfRule type="cellIs" dxfId="2285" priority="1886" operator="equal">
      <formula>"PENDIENTE POR DESCRIPCIÓN"</formula>
    </cfRule>
    <cfRule type="cellIs" dxfId="2284" priority="1887" operator="equal">
      <formula>"DESCRIPCIÓN INSUFICIENTE"</formula>
    </cfRule>
    <cfRule type="cellIs" dxfId="2283" priority="1888" operator="equal">
      <formula>"NO ESTÁ ACORDE A ITEM 5.2.2 (T.R.)"</formula>
    </cfRule>
    <cfRule type="cellIs" dxfId="2282" priority="1889" operator="equal">
      <formula>"ACORDE A ITEM 5.2.2 (T.R.)"</formula>
    </cfRule>
    <cfRule type="cellIs" dxfId="2281" priority="1896" operator="equal">
      <formula>"PENDIENTE POR DESCRIPCIÓN"</formula>
    </cfRule>
    <cfRule type="cellIs" dxfId="2280" priority="1898" operator="equal">
      <formula>"DESCRIPCIÓN INSUFICIENTE"</formula>
    </cfRule>
    <cfRule type="cellIs" dxfId="2279" priority="1899" operator="equal">
      <formula>"NO ESTÁ ACORDE A ITEM 5.2.1 (T.R.)"</formula>
    </cfRule>
    <cfRule type="cellIs" dxfId="2278" priority="1900" operator="equal">
      <formula>"ACORDE A ITEM 5.2.1 (T.R.)"</formula>
    </cfRule>
  </conditionalFormatting>
  <conditionalFormatting sqref="Q255">
    <cfRule type="containsBlanks" dxfId="2277" priority="1891">
      <formula>LEN(TRIM(Q255))=0</formula>
    </cfRule>
    <cfRule type="cellIs" dxfId="2276" priority="1897" operator="equal">
      <formula>"REQUERIMIENTOS SUBSANADOS"</formula>
    </cfRule>
    <cfRule type="containsText" dxfId="2275" priority="1901" operator="containsText" text="NO SUBSANABLE">
      <formula>NOT(ISERROR(SEARCH("NO SUBSANABLE",Q255)))</formula>
    </cfRule>
    <cfRule type="containsText" dxfId="2274" priority="1902" operator="containsText" text="PENDIENTES POR SUBSANAR">
      <formula>NOT(ISERROR(SEARCH("PENDIENTES POR SUBSANAR",Q255)))</formula>
    </cfRule>
    <cfRule type="containsText" dxfId="2273" priority="1903" operator="containsText" text="SIN OBSERVACIÓN">
      <formula>NOT(ISERROR(SEARCH("SIN OBSERVACIÓN",Q255)))</formula>
    </cfRule>
  </conditionalFormatting>
  <conditionalFormatting sqref="R255">
    <cfRule type="containsBlanks" dxfId="2272" priority="1890">
      <formula>LEN(TRIM(R255))=0</formula>
    </cfRule>
    <cfRule type="cellIs" dxfId="2271" priority="1892" operator="equal">
      <formula>"NO CUMPLEN CON LO SOLICITADO"</formula>
    </cfRule>
    <cfRule type="cellIs" dxfId="2270" priority="1893" operator="equal">
      <formula>"CUMPLEN CON LO SOLICITADO"</formula>
    </cfRule>
    <cfRule type="cellIs" dxfId="2269" priority="1894" operator="equal">
      <formula>"PENDIENTES"</formula>
    </cfRule>
    <cfRule type="cellIs" dxfId="2268" priority="1895" operator="equal">
      <formula>"NINGUNO"</formula>
    </cfRule>
  </conditionalFormatting>
  <conditionalFormatting sqref="P255">
    <cfRule type="expression" dxfId="2267" priority="1881">
      <formula>Q255="NO SUBSANABLE"</formula>
    </cfRule>
    <cfRule type="expression" dxfId="2266" priority="1882">
      <formula>Q255="REQUERIMIENTOS SUBSANADOS"</formula>
    </cfRule>
    <cfRule type="expression" dxfId="2265" priority="1883">
      <formula>Q255="PENDIENTES POR SUBSANAR"</formula>
    </cfRule>
    <cfRule type="expression" dxfId="2264" priority="1884">
      <formula>Q255="SIN OBSERVACIÓN"</formula>
    </cfRule>
    <cfRule type="containsBlanks" dxfId="2263" priority="1885">
      <formula>LEN(TRIM(P255))=0</formula>
    </cfRule>
  </conditionalFormatting>
  <conditionalFormatting sqref="M264">
    <cfRule type="expression" dxfId="2262" priority="1841">
      <formula>L264="NO CUMPLE"</formula>
    </cfRule>
    <cfRule type="expression" dxfId="2261" priority="1842">
      <formula>L264="CUMPLE"</formula>
    </cfRule>
  </conditionalFormatting>
  <conditionalFormatting sqref="L264:L265">
    <cfRule type="cellIs" dxfId="2260" priority="1839" operator="equal">
      <formula>"NO CUMPLE"</formula>
    </cfRule>
    <cfRule type="cellIs" dxfId="2259" priority="1840" operator="equal">
      <formula>"CUMPLE"</formula>
    </cfRule>
  </conditionalFormatting>
  <conditionalFormatting sqref="M265">
    <cfRule type="expression" dxfId="2258" priority="1837">
      <formula>L265="NO CUMPLE"</formula>
    </cfRule>
    <cfRule type="expression" dxfId="2257" priority="1838">
      <formula>L265="CUMPLE"</formula>
    </cfRule>
  </conditionalFormatting>
  <conditionalFormatting sqref="J258:J266">
    <cfRule type="cellIs" dxfId="2256" priority="1879" operator="equal">
      <formula>"NO CUMPLE"</formula>
    </cfRule>
    <cfRule type="cellIs" dxfId="2255" priority="1880" operator="equal">
      <formula>"CUMPLE"</formula>
    </cfRule>
  </conditionalFormatting>
  <conditionalFormatting sqref="K258">
    <cfRule type="expression" dxfId="2254" priority="1877">
      <formula>J258="NO CUMPLE"</formula>
    </cfRule>
    <cfRule type="expression" dxfId="2253" priority="1878">
      <formula>J258="CUMPLE"</formula>
    </cfRule>
  </conditionalFormatting>
  <conditionalFormatting sqref="K259:K260">
    <cfRule type="expression" dxfId="2252" priority="1875">
      <formula>J259="NO CUMPLE"</formula>
    </cfRule>
    <cfRule type="expression" dxfId="2251" priority="1876">
      <formula>J259="CUMPLE"</formula>
    </cfRule>
  </conditionalFormatting>
  <conditionalFormatting sqref="J268:J269">
    <cfRule type="cellIs" dxfId="2250" priority="1873" operator="equal">
      <formula>"NO CUMPLE"</formula>
    </cfRule>
    <cfRule type="cellIs" dxfId="2249" priority="1874" operator="equal">
      <formula>"CUMPLE"</formula>
    </cfRule>
  </conditionalFormatting>
  <conditionalFormatting sqref="K261">
    <cfRule type="expression" dxfId="2248" priority="1871">
      <formula>J261="NO CUMPLE"</formula>
    </cfRule>
    <cfRule type="expression" dxfId="2247" priority="1872">
      <formula>J261="CUMPLE"</formula>
    </cfRule>
  </conditionalFormatting>
  <conditionalFormatting sqref="K262:K263">
    <cfRule type="expression" dxfId="2246" priority="1869">
      <formula>J262="NO CUMPLE"</formula>
    </cfRule>
    <cfRule type="expression" dxfId="2245" priority="1870">
      <formula>J262="CUMPLE"</formula>
    </cfRule>
  </conditionalFormatting>
  <conditionalFormatting sqref="K264">
    <cfRule type="expression" dxfId="2244" priority="1867">
      <formula>J264="NO CUMPLE"</formula>
    </cfRule>
    <cfRule type="expression" dxfId="2243" priority="1868">
      <formula>J264="CUMPLE"</formula>
    </cfRule>
  </conditionalFormatting>
  <conditionalFormatting sqref="K265:K266">
    <cfRule type="expression" dxfId="2242" priority="1865">
      <formula>J265="NO CUMPLE"</formula>
    </cfRule>
    <cfRule type="expression" dxfId="2241" priority="1866">
      <formula>J265="CUMPLE"</formula>
    </cfRule>
  </conditionalFormatting>
  <conditionalFormatting sqref="K267">
    <cfRule type="expression" dxfId="2240" priority="1863">
      <formula>J267="NO CUMPLE"</formula>
    </cfRule>
    <cfRule type="expression" dxfId="2239" priority="1864">
      <formula>J267="CUMPLE"</formula>
    </cfRule>
  </conditionalFormatting>
  <conditionalFormatting sqref="K268:K269">
    <cfRule type="expression" dxfId="2238" priority="1861">
      <formula>J268="NO CUMPLE"</formula>
    </cfRule>
    <cfRule type="expression" dxfId="2237" priority="1862">
      <formula>J268="CUMPLE"</formula>
    </cfRule>
  </conditionalFormatting>
  <conditionalFormatting sqref="M259">
    <cfRule type="expression" dxfId="2236" priority="1849">
      <formula>L259="NO CUMPLE"</formula>
    </cfRule>
    <cfRule type="expression" dxfId="2235" priority="1850">
      <formula>L259="CUMPLE"</formula>
    </cfRule>
  </conditionalFormatting>
  <conditionalFormatting sqref="L258:L259">
    <cfRule type="cellIs" dxfId="2234" priority="1851" operator="equal">
      <formula>"NO CUMPLE"</formula>
    </cfRule>
    <cfRule type="cellIs" dxfId="2233" priority="1852" operator="equal">
      <formula>"CUMPLE"</formula>
    </cfRule>
  </conditionalFormatting>
  <conditionalFormatting sqref="M258">
    <cfRule type="expression" dxfId="2232" priority="1853">
      <formula>L258="NO CUMPLE"</formula>
    </cfRule>
    <cfRule type="expression" dxfId="2231" priority="1854">
      <formula>L258="CUMPLE"</formula>
    </cfRule>
  </conditionalFormatting>
  <conditionalFormatting sqref="M256">
    <cfRule type="expression" dxfId="2230" priority="1855">
      <formula>L256="NO CUMPLE"</formula>
    </cfRule>
    <cfRule type="expression" dxfId="2229" priority="1856">
      <formula>L256="CUMPLE"</formula>
    </cfRule>
  </conditionalFormatting>
  <conditionalFormatting sqref="M255">
    <cfRule type="expression" dxfId="2228" priority="1859">
      <formula>L255="NO CUMPLE"</formula>
    </cfRule>
    <cfRule type="expression" dxfId="2227" priority="1860">
      <formula>L255="CUMPLE"</formula>
    </cfRule>
  </conditionalFormatting>
  <conditionalFormatting sqref="L255:L256">
    <cfRule type="cellIs" dxfId="2226" priority="1857" operator="equal">
      <formula>"NO CUMPLE"</formula>
    </cfRule>
    <cfRule type="cellIs" dxfId="2225" priority="1858" operator="equal">
      <formula>"CUMPLE"</formula>
    </cfRule>
  </conditionalFormatting>
  <conditionalFormatting sqref="M262">
    <cfRule type="expression" dxfId="2224" priority="1843">
      <formula>L262="NO CUMPLE"</formula>
    </cfRule>
    <cfRule type="expression" dxfId="2223" priority="1844">
      <formula>L262="CUMPLE"</formula>
    </cfRule>
  </conditionalFormatting>
  <conditionalFormatting sqref="M261">
    <cfRule type="expression" dxfId="2222" priority="1847">
      <formula>L261="NO CUMPLE"</formula>
    </cfRule>
    <cfRule type="expression" dxfId="2221" priority="1848">
      <formula>L261="CUMPLE"</formula>
    </cfRule>
  </conditionalFormatting>
  <conditionalFormatting sqref="L261:L262">
    <cfRule type="cellIs" dxfId="2220" priority="1845" operator="equal">
      <formula>"NO CUMPLE"</formula>
    </cfRule>
    <cfRule type="cellIs" dxfId="2219" priority="1846" operator="equal">
      <formula>"CUMPLE"</formula>
    </cfRule>
  </conditionalFormatting>
  <conditionalFormatting sqref="M268">
    <cfRule type="expression" dxfId="2218" priority="1831">
      <formula>L268="NO CUMPLE"</formula>
    </cfRule>
    <cfRule type="expression" dxfId="2217" priority="1832">
      <formula>L268="CUMPLE"</formula>
    </cfRule>
  </conditionalFormatting>
  <conditionalFormatting sqref="M267">
    <cfRule type="expression" dxfId="2216" priority="1835">
      <formula>L267="NO CUMPLE"</formula>
    </cfRule>
    <cfRule type="expression" dxfId="2215" priority="1836">
      <formula>L267="CUMPLE"</formula>
    </cfRule>
  </conditionalFormatting>
  <conditionalFormatting sqref="L267:L268">
    <cfRule type="cellIs" dxfId="2214" priority="1833" operator="equal">
      <formula>"NO CUMPLE"</formula>
    </cfRule>
    <cfRule type="cellIs" dxfId="2213" priority="1834" operator="equal">
      <formula>"CUMPLE"</formula>
    </cfRule>
  </conditionalFormatting>
  <conditionalFormatting sqref="K255">
    <cfRule type="expression" dxfId="2212" priority="1829">
      <formula>J255="NO CUMPLE"</formula>
    </cfRule>
    <cfRule type="expression" dxfId="2211" priority="1830">
      <formula>J255="CUMPLE"</formula>
    </cfRule>
  </conditionalFormatting>
  <conditionalFormatting sqref="K256:K257">
    <cfRule type="expression" dxfId="2210" priority="1827">
      <formula>J256="NO CUMPLE"</formula>
    </cfRule>
    <cfRule type="expression" dxfId="2209" priority="1828">
      <formula>J256="CUMPLE"</formula>
    </cfRule>
  </conditionalFormatting>
  <conditionalFormatting sqref="S277">
    <cfRule type="cellIs" dxfId="2208" priority="1825" operator="greaterThan">
      <formula>0</formula>
    </cfRule>
    <cfRule type="top10" dxfId="2207" priority="1826" rank="10"/>
  </conditionalFormatting>
  <conditionalFormatting sqref="B292">
    <cfRule type="cellIs" dxfId="2206" priority="1823" operator="equal">
      <formula>"NO CUMPLE CON LA EXPERIENCIA REQUERIDA"</formula>
    </cfRule>
    <cfRule type="cellIs" dxfId="2205" priority="1824" operator="equal">
      <formula>"CUMPLE CON LA EXPERIENCIA REQUERIDA"</formula>
    </cfRule>
  </conditionalFormatting>
  <conditionalFormatting sqref="H277 H280 H283 H286 H289">
    <cfRule type="notContainsBlanks" dxfId="2204" priority="1822">
      <formula>LEN(TRIM(H277))&gt;0</formula>
    </cfRule>
  </conditionalFormatting>
  <conditionalFormatting sqref="G277">
    <cfRule type="notContainsBlanks" dxfId="2203" priority="1821">
      <formula>LEN(TRIM(G277))&gt;0</formula>
    </cfRule>
  </conditionalFormatting>
  <conditionalFormatting sqref="F277">
    <cfRule type="notContainsBlanks" dxfId="2202" priority="1820">
      <formula>LEN(TRIM(F277))&gt;0</formula>
    </cfRule>
  </conditionalFormatting>
  <conditionalFormatting sqref="E277">
    <cfRule type="notContainsBlanks" dxfId="2201" priority="1819">
      <formula>LEN(TRIM(E277))&gt;0</formula>
    </cfRule>
  </conditionalFormatting>
  <conditionalFormatting sqref="D277">
    <cfRule type="notContainsBlanks" dxfId="2200" priority="1818">
      <formula>LEN(TRIM(D277))&gt;0</formula>
    </cfRule>
  </conditionalFormatting>
  <conditionalFormatting sqref="C277">
    <cfRule type="notContainsBlanks" dxfId="2199" priority="1817">
      <formula>LEN(TRIM(C277))&gt;0</formula>
    </cfRule>
  </conditionalFormatting>
  <conditionalFormatting sqref="I277">
    <cfRule type="notContainsBlanks" dxfId="2198" priority="1816">
      <formula>LEN(TRIM(I277))&gt;0</formula>
    </cfRule>
  </conditionalFormatting>
  <conditionalFormatting sqref="S280">
    <cfRule type="cellIs" dxfId="2197" priority="1814" operator="greaterThan">
      <formula>0</formula>
    </cfRule>
    <cfRule type="top10" dxfId="2196" priority="1815" rank="10"/>
  </conditionalFormatting>
  <conditionalFormatting sqref="S283">
    <cfRule type="cellIs" dxfId="2195" priority="1812" operator="greaterThan">
      <formula>0</formula>
    </cfRule>
    <cfRule type="top10" dxfId="2194" priority="1813" rank="10"/>
  </conditionalFormatting>
  <conditionalFormatting sqref="G283">
    <cfRule type="notContainsBlanks" dxfId="2193" priority="1811">
      <formula>LEN(TRIM(G283))&gt;0</formula>
    </cfRule>
  </conditionalFormatting>
  <conditionalFormatting sqref="F283">
    <cfRule type="notContainsBlanks" dxfId="2192" priority="1810">
      <formula>LEN(TRIM(F283))&gt;0</formula>
    </cfRule>
  </conditionalFormatting>
  <conditionalFormatting sqref="E283">
    <cfRule type="notContainsBlanks" dxfId="2191" priority="1809">
      <formula>LEN(TRIM(E283))&gt;0</formula>
    </cfRule>
  </conditionalFormatting>
  <conditionalFormatting sqref="D283">
    <cfRule type="notContainsBlanks" dxfId="2190" priority="1808">
      <formula>LEN(TRIM(D283))&gt;0</formula>
    </cfRule>
  </conditionalFormatting>
  <conditionalFormatting sqref="C283">
    <cfRule type="notContainsBlanks" dxfId="2189" priority="1807">
      <formula>LEN(TRIM(C283))&gt;0</formula>
    </cfRule>
  </conditionalFormatting>
  <conditionalFormatting sqref="I283">
    <cfRule type="notContainsBlanks" dxfId="2188" priority="1806">
      <formula>LEN(TRIM(I283))&gt;0</formula>
    </cfRule>
  </conditionalFormatting>
  <conditionalFormatting sqref="S286">
    <cfRule type="cellIs" dxfId="2187" priority="1804" operator="greaterThan">
      <formula>0</formula>
    </cfRule>
    <cfRule type="top10" dxfId="2186" priority="1805" rank="10"/>
  </conditionalFormatting>
  <conditionalFormatting sqref="S289">
    <cfRule type="cellIs" dxfId="2185" priority="1802" operator="greaterThan">
      <formula>0</formula>
    </cfRule>
    <cfRule type="top10" dxfId="2184" priority="1803" rank="10"/>
  </conditionalFormatting>
  <conditionalFormatting sqref="G289">
    <cfRule type="notContainsBlanks" dxfId="2183" priority="1801">
      <formula>LEN(TRIM(G289))&gt;0</formula>
    </cfRule>
  </conditionalFormatting>
  <conditionalFormatting sqref="F289">
    <cfRule type="notContainsBlanks" dxfId="2182" priority="1800">
      <formula>LEN(TRIM(F289))&gt;0</formula>
    </cfRule>
  </conditionalFormatting>
  <conditionalFormatting sqref="E289">
    <cfRule type="notContainsBlanks" dxfId="2181" priority="1799">
      <formula>LEN(TRIM(E289))&gt;0</formula>
    </cfRule>
  </conditionalFormatting>
  <conditionalFormatting sqref="D289">
    <cfRule type="notContainsBlanks" dxfId="2180" priority="1798">
      <formula>LEN(TRIM(D289))&gt;0</formula>
    </cfRule>
  </conditionalFormatting>
  <conditionalFormatting sqref="C289">
    <cfRule type="notContainsBlanks" dxfId="2179" priority="1797">
      <formula>LEN(TRIM(C289))&gt;0</formula>
    </cfRule>
  </conditionalFormatting>
  <conditionalFormatting sqref="I289">
    <cfRule type="notContainsBlanks" dxfId="2178" priority="1796">
      <formula>LEN(TRIM(I289))&gt;0</formula>
    </cfRule>
  </conditionalFormatting>
  <conditionalFormatting sqref="G280">
    <cfRule type="notContainsBlanks" dxfId="2177" priority="1795">
      <formula>LEN(TRIM(G280))&gt;0</formula>
    </cfRule>
  </conditionalFormatting>
  <conditionalFormatting sqref="F280">
    <cfRule type="notContainsBlanks" dxfId="2176" priority="1794">
      <formula>LEN(TRIM(F280))&gt;0</formula>
    </cfRule>
  </conditionalFormatting>
  <conditionalFormatting sqref="E280">
    <cfRule type="notContainsBlanks" dxfId="2175" priority="1793">
      <formula>LEN(TRIM(E280))&gt;0</formula>
    </cfRule>
  </conditionalFormatting>
  <conditionalFormatting sqref="D280">
    <cfRule type="notContainsBlanks" dxfId="2174" priority="1792">
      <formula>LEN(TRIM(D280))&gt;0</formula>
    </cfRule>
  </conditionalFormatting>
  <conditionalFormatting sqref="C280">
    <cfRule type="notContainsBlanks" dxfId="2173" priority="1791">
      <formula>LEN(TRIM(C280))&gt;0</formula>
    </cfRule>
  </conditionalFormatting>
  <conditionalFormatting sqref="G286">
    <cfRule type="notContainsBlanks" dxfId="2172" priority="1790">
      <formula>LEN(TRIM(G286))&gt;0</formula>
    </cfRule>
  </conditionalFormatting>
  <conditionalFormatting sqref="F286">
    <cfRule type="notContainsBlanks" dxfId="2171" priority="1789">
      <formula>LEN(TRIM(F286))&gt;0</formula>
    </cfRule>
  </conditionalFormatting>
  <conditionalFormatting sqref="E286">
    <cfRule type="notContainsBlanks" dxfId="2170" priority="1788">
      <formula>LEN(TRIM(E286))&gt;0</formula>
    </cfRule>
  </conditionalFormatting>
  <conditionalFormatting sqref="D286">
    <cfRule type="notContainsBlanks" dxfId="2169" priority="1787">
      <formula>LEN(TRIM(D286))&gt;0</formula>
    </cfRule>
  </conditionalFormatting>
  <conditionalFormatting sqref="C286">
    <cfRule type="notContainsBlanks" dxfId="2168" priority="1786">
      <formula>LEN(TRIM(C286))&gt;0</formula>
    </cfRule>
  </conditionalFormatting>
  <conditionalFormatting sqref="I280">
    <cfRule type="notContainsBlanks" dxfId="2167" priority="1785">
      <formula>LEN(TRIM(I280))&gt;0</formula>
    </cfRule>
  </conditionalFormatting>
  <conditionalFormatting sqref="I286">
    <cfRule type="notContainsBlanks" dxfId="2166" priority="1784">
      <formula>LEN(TRIM(I286))&gt;0</formula>
    </cfRule>
  </conditionalFormatting>
  <conditionalFormatting sqref="S292">
    <cfRule type="expression" dxfId="2165" priority="1782">
      <formula>$S$28&gt;0</formula>
    </cfRule>
    <cfRule type="cellIs" dxfId="2164" priority="1783" operator="equal">
      <formula>0</formula>
    </cfRule>
  </conditionalFormatting>
  <conditionalFormatting sqref="S293">
    <cfRule type="expression" dxfId="2163" priority="1780">
      <formula>$S$28&gt;0</formula>
    </cfRule>
    <cfRule type="cellIs" dxfId="2162" priority="1781" operator="equal">
      <formula>0</formula>
    </cfRule>
  </conditionalFormatting>
  <conditionalFormatting sqref="N277">
    <cfRule type="expression" dxfId="2161" priority="1777">
      <formula>N277=" "</formula>
    </cfRule>
    <cfRule type="expression" dxfId="2160" priority="1778">
      <formula>N277="NO PRESENTÓ CERTIFICADO"</formula>
    </cfRule>
    <cfRule type="expression" dxfId="2159" priority="1779">
      <formula>N277="PRESENTÓ CERTIFICADO"</formula>
    </cfRule>
  </conditionalFormatting>
  <conditionalFormatting sqref="O277">
    <cfRule type="cellIs" dxfId="2158" priority="1769" operator="equal">
      <formula>"PENDIENTE POR DESCRIPCIÓN"</formula>
    </cfRule>
    <cfRule type="cellIs" dxfId="2157" priority="1770" operator="equal">
      <formula>"DESCRIPCIÓN INSUFICIENTE"</formula>
    </cfRule>
    <cfRule type="cellIs" dxfId="2156" priority="1771" operator="equal">
      <formula>"NO ESTÁ ACORDE A ITEM 5.2.2 (T.R.)"</formula>
    </cfRule>
    <cfRule type="cellIs" dxfId="2155" priority="1772" operator="equal">
      <formula>"ACORDE A ITEM 5.2.2 (T.R.)"</formula>
    </cfRule>
    <cfRule type="cellIs" dxfId="2154" priority="1773" operator="equal">
      <formula>"PENDIENTE POR DESCRIPCIÓN"</formula>
    </cfRule>
    <cfRule type="cellIs" dxfId="2153" priority="1774" operator="equal">
      <formula>"DESCRIPCIÓN INSUFICIENTE"</formula>
    </cfRule>
    <cfRule type="cellIs" dxfId="2152" priority="1775" operator="equal">
      <formula>"NO ESTÁ ACORDE A ITEM 5.2.1 (T.R.)"</formula>
    </cfRule>
    <cfRule type="cellIs" dxfId="2151" priority="1776" operator="equal">
      <formula>"ACORDE A ITEM 5.2.1 (T.R.)"</formula>
    </cfRule>
  </conditionalFormatting>
  <conditionalFormatting sqref="P277">
    <cfRule type="expression" dxfId="2150" priority="1764">
      <formula>Q277="NO SUBSANABLE"</formula>
    </cfRule>
    <cfRule type="expression" dxfId="2149" priority="1765">
      <formula>Q277="REQUERIMIENTOS SUBSANADOS"</formula>
    </cfRule>
    <cfRule type="expression" dxfId="2148" priority="1766">
      <formula>Q277="PENDIENTES POR SUBSANAR"</formula>
    </cfRule>
    <cfRule type="expression" dxfId="2147" priority="1767">
      <formula>Q277="SIN OBSERVACIÓN"</formula>
    </cfRule>
    <cfRule type="containsBlanks" dxfId="2146" priority="1768">
      <formula>LEN(TRIM(P277))=0</formula>
    </cfRule>
  </conditionalFormatting>
  <conditionalFormatting sqref="N289">
    <cfRule type="expression" dxfId="2145" priority="1761">
      <formula>N289=" "</formula>
    </cfRule>
    <cfRule type="expression" dxfId="2144" priority="1762">
      <formula>N289="NO PRESENTÓ CERTIFICADO"</formula>
    </cfRule>
    <cfRule type="expression" dxfId="2143" priority="1763">
      <formula>N289="PRESENTÓ CERTIFICADO"</formula>
    </cfRule>
  </conditionalFormatting>
  <conditionalFormatting sqref="O289">
    <cfRule type="cellIs" dxfId="2142" priority="1743" operator="equal">
      <formula>"PENDIENTE POR DESCRIPCIÓN"</formula>
    </cfRule>
    <cfRule type="cellIs" dxfId="2141" priority="1744" operator="equal">
      <formula>"DESCRIPCIÓN INSUFICIENTE"</formula>
    </cfRule>
    <cfRule type="cellIs" dxfId="2140" priority="1745" operator="equal">
      <formula>"NO ESTÁ ACORDE A ITEM 5.2.2 (T.R.)"</formula>
    </cfRule>
    <cfRule type="cellIs" dxfId="2139" priority="1746" operator="equal">
      <formula>"ACORDE A ITEM 5.2.2 (T.R.)"</formula>
    </cfRule>
    <cfRule type="cellIs" dxfId="2138" priority="1753" operator="equal">
      <formula>"PENDIENTE POR DESCRIPCIÓN"</formula>
    </cfRule>
    <cfRule type="cellIs" dxfId="2137" priority="1755" operator="equal">
      <formula>"DESCRIPCIÓN INSUFICIENTE"</formula>
    </cfRule>
    <cfRule type="cellIs" dxfId="2136" priority="1756" operator="equal">
      <formula>"NO ESTÁ ACORDE A ITEM 5.2.1 (T.R.)"</formula>
    </cfRule>
    <cfRule type="cellIs" dxfId="2135" priority="1757" operator="equal">
      <formula>"ACORDE A ITEM 5.2.1 (T.R.)"</formula>
    </cfRule>
  </conditionalFormatting>
  <conditionalFormatting sqref="Q289">
    <cfRule type="containsBlanks" dxfId="2134" priority="1748">
      <formula>LEN(TRIM(Q289))=0</formula>
    </cfRule>
    <cfRule type="cellIs" dxfId="2133" priority="1754" operator="equal">
      <formula>"REQUERIMIENTOS SUBSANADOS"</formula>
    </cfRule>
    <cfRule type="containsText" dxfId="2132" priority="1758" operator="containsText" text="NO SUBSANABLE">
      <formula>NOT(ISERROR(SEARCH("NO SUBSANABLE",Q289)))</formula>
    </cfRule>
    <cfRule type="containsText" dxfId="2131" priority="1759" operator="containsText" text="PENDIENTES POR SUBSANAR">
      <formula>NOT(ISERROR(SEARCH("PENDIENTES POR SUBSANAR",Q289)))</formula>
    </cfRule>
    <cfRule type="containsText" dxfId="2130" priority="1760" operator="containsText" text="SIN OBSERVACIÓN">
      <formula>NOT(ISERROR(SEARCH("SIN OBSERVACIÓN",Q289)))</formula>
    </cfRule>
  </conditionalFormatting>
  <conditionalFormatting sqref="R289">
    <cfRule type="containsBlanks" dxfId="2129" priority="1747">
      <formula>LEN(TRIM(R289))=0</formula>
    </cfRule>
    <cfRule type="cellIs" dxfId="2128" priority="1749" operator="equal">
      <formula>"NO CUMPLEN CON LO SOLICITADO"</formula>
    </cfRule>
    <cfRule type="cellIs" dxfId="2127" priority="1750" operator="equal">
      <formula>"CUMPLEN CON LO SOLICITADO"</formula>
    </cfRule>
    <cfRule type="cellIs" dxfId="2126" priority="1751" operator="equal">
      <formula>"PENDIENTES"</formula>
    </cfRule>
    <cfRule type="cellIs" dxfId="2125" priority="1752" operator="equal">
      <formula>"NINGUNO"</formula>
    </cfRule>
  </conditionalFormatting>
  <conditionalFormatting sqref="P280 P283 P286 P289">
    <cfRule type="expression" dxfId="2124" priority="1738">
      <formula>Q280="NO SUBSANABLE"</formula>
    </cfRule>
    <cfRule type="expression" dxfId="2123" priority="1739">
      <formula>Q280="REQUERIMIENTOS SUBSANADOS"</formula>
    </cfRule>
    <cfRule type="expression" dxfId="2122" priority="1740">
      <formula>Q280="PENDIENTES POR SUBSANAR"</formula>
    </cfRule>
    <cfRule type="expression" dxfId="2121" priority="1741">
      <formula>Q280="SIN OBSERVACIÓN"</formula>
    </cfRule>
    <cfRule type="containsBlanks" dxfId="2120" priority="1742">
      <formula>LEN(TRIM(P280))=0</formula>
    </cfRule>
  </conditionalFormatting>
  <conditionalFormatting sqref="N286">
    <cfRule type="expression" dxfId="2119" priority="1735">
      <formula>N286=" "</formula>
    </cfRule>
    <cfRule type="expression" dxfId="2118" priority="1736">
      <formula>N286="NO PRESENTÓ CERTIFICADO"</formula>
    </cfRule>
    <cfRule type="expression" dxfId="2117" priority="1737">
      <formula>N286="PRESENTÓ CERTIFICADO"</formula>
    </cfRule>
  </conditionalFormatting>
  <conditionalFormatting sqref="O286">
    <cfRule type="cellIs" dxfId="2116" priority="1727" operator="equal">
      <formula>"PENDIENTE POR DESCRIPCIÓN"</formula>
    </cfRule>
    <cfRule type="cellIs" dxfId="2115" priority="1728" operator="equal">
      <formula>"DESCRIPCIÓN INSUFICIENTE"</formula>
    </cfRule>
    <cfRule type="cellIs" dxfId="2114" priority="1729" operator="equal">
      <formula>"NO ESTÁ ACORDE A ITEM 5.2.2 (T.R.)"</formula>
    </cfRule>
    <cfRule type="cellIs" dxfId="2113" priority="1730" operator="equal">
      <formula>"ACORDE A ITEM 5.2.2 (T.R.)"</formula>
    </cfRule>
    <cfRule type="cellIs" dxfId="2112" priority="1731" operator="equal">
      <formula>"PENDIENTE POR DESCRIPCIÓN"</formula>
    </cfRule>
    <cfRule type="cellIs" dxfId="2111" priority="1732" operator="equal">
      <formula>"DESCRIPCIÓN INSUFICIENTE"</formula>
    </cfRule>
    <cfRule type="cellIs" dxfId="2110" priority="1733" operator="equal">
      <formula>"NO ESTÁ ACORDE A ITEM 5.2.1 (T.R.)"</formula>
    </cfRule>
    <cfRule type="cellIs" dxfId="2109" priority="1734" operator="equal">
      <formula>"ACORDE A ITEM 5.2.1 (T.R.)"</formula>
    </cfRule>
  </conditionalFormatting>
  <conditionalFormatting sqref="Q283">
    <cfRule type="containsBlanks" dxfId="2108" priority="1718">
      <formula>LEN(TRIM(Q283))=0</formula>
    </cfRule>
    <cfRule type="cellIs" dxfId="2107" priority="1723" operator="equal">
      <formula>"REQUERIMIENTOS SUBSANADOS"</formula>
    </cfRule>
    <cfRule type="containsText" dxfId="2106" priority="1724" operator="containsText" text="NO SUBSANABLE">
      <formula>NOT(ISERROR(SEARCH("NO SUBSANABLE",Q283)))</formula>
    </cfRule>
    <cfRule type="containsText" dxfId="2105" priority="1725" operator="containsText" text="PENDIENTES POR SUBSANAR">
      <formula>NOT(ISERROR(SEARCH("PENDIENTES POR SUBSANAR",Q283)))</formula>
    </cfRule>
    <cfRule type="containsText" dxfId="2104" priority="1726" operator="containsText" text="SIN OBSERVACIÓN">
      <formula>NOT(ISERROR(SEARCH("SIN OBSERVACIÓN",Q283)))</formula>
    </cfRule>
  </conditionalFormatting>
  <conditionalFormatting sqref="R283">
    <cfRule type="containsBlanks" dxfId="2103" priority="1717">
      <formula>LEN(TRIM(R283))=0</formula>
    </cfRule>
    <cfRule type="cellIs" dxfId="2102" priority="1719" operator="equal">
      <formula>"NO CUMPLEN CON LO SOLICITADO"</formula>
    </cfRule>
    <cfRule type="cellIs" dxfId="2101" priority="1720" operator="equal">
      <formula>"CUMPLEN CON LO SOLICITADO"</formula>
    </cfRule>
    <cfRule type="cellIs" dxfId="2100" priority="1721" operator="equal">
      <formula>"PENDIENTES"</formula>
    </cfRule>
    <cfRule type="cellIs" dxfId="2099" priority="1722" operator="equal">
      <formula>"NINGUNO"</formula>
    </cfRule>
  </conditionalFormatting>
  <conditionalFormatting sqref="Q286">
    <cfRule type="containsBlanks" dxfId="2098" priority="1708">
      <formula>LEN(TRIM(Q286))=0</formula>
    </cfRule>
    <cfRule type="cellIs" dxfId="2097" priority="1713" operator="equal">
      <formula>"REQUERIMIENTOS SUBSANADOS"</formula>
    </cfRule>
    <cfRule type="containsText" dxfId="2096" priority="1714" operator="containsText" text="NO SUBSANABLE">
      <formula>NOT(ISERROR(SEARCH("NO SUBSANABLE",Q286)))</formula>
    </cfRule>
    <cfRule type="containsText" dxfId="2095" priority="1715" operator="containsText" text="PENDIENTES POR SUBSANAR">
      <formula>NOT(ISERROR(SEARCH("PENDIENTES POR SUBSANAR",Q286)))</formula>
    </cfRule>
    <cfRule type="containsText" dxfId="2094" priority="1716" operator="containsText" text="SIN OBSERVACIÓN">
      <formula>NOT(ISERROR(SEARCH("SIN OBSERVACIÓN",Q286)))</formula>
    </cfRule>
  </conditionalFormatting>
  <conditionalFormatting sqref="R286">
    <cfRule type="containsBlanks" dxfId="2093" priority="1707">
      <formula>LEN(TRIM(R286))=0</formula>
    </cfRule>
    <cfRule type="cellIs" dxfId="2092" priority="1709" operator="equal">
      <formula>"NO CUMPLEN CON LO SOLICITADO"</formula>
    </cfRule>
    <cfRule type="cellIs" dxfId="2091" priority="1710" operator="equal">
      <formula>"CUMPLEN CON LO SOLICITADO"</formula>
    </cfRule>
    <cfRule type="cellIs" dxfId="2090" priority="1711" operator="equal">
      <formula>"PENDIENTES"</formula>
    </cfRule>
    <cfRule type="cellIs" dxfId="2089" priority="1712" operator="equal">
      <formula>"NINGUNO"</formula>
    </cfRule>
  </conditionalFormatting>
  <conditionalFormatting sqref="M286">
    <cfRule type="expression" dxfId="2088" priority="1665">
      <formula>L286="NO CUMPLE"</formula>
    </cfRule>
    <cfRule type="expression" dxfId="2087" priority="1666">
      <formula>L286="CUMPLE"</formula>
    </cfRule>
  </conditionalFormatting>
  <conditionalFormatting sqref="L286:L287">
    <cfRule type="cellIs" dxfId="2086" priority="1663" operator="equal">
      <formula>"NO CUMPLE"</formula>
    </cfRule>
    <cfRule type="cellIs" dxfId="2085" priority="1664" operator="equal">
      <formula>"CUMPLE"</formula>
    </cfRule>
  </conditionalFormatting>
  <conditionalFormatting sqref="M287">
    <cfRule type="expression" dxfId="2084" priority="1661">
      <formula>L287="NO CUMPLE"</formula>
    </cfRule>
    <cfRule type="expression" dxfId="2083" priority="1662">
      <formula>L287="CUMPLE"</formula>
    </cfRule>
  </conditionalFormatting>
  <conditionalFormatting sqref="J280:J288">
    <cfRule type="cellIs" dxfId="2082" priority="1705" operator="equal">
      <formula>"NO CUMPLE"</formula>
    </cfRule>
    <cfRule type="cellIs" dxfId="2081" priority="1706" operator="equal">
      <formula>"CUMPLE"</formula>
    </cfRule>
  </conditionalFormatting>
  <conditionalFormatting sqref="K280">
    <cfRule type="expression" dxfId="2080" priority="1703">
      <formula>J280="NO CUMPLE"</formula>
    </cfRule>
    <cfRule type="expression" dxfId="2079" priority="1704">
      <formula>J280="CUMPLE"</formula>
    </cfRule>
  </conditionalFormatting>
  <conditionalFormatting sqref="K281:K282">
    <cfRule type="expression" dxfId="2078" priority="1701">
      <formula>J281="NO CUMPLE"</formula>
    </cfRule>
    <cfRule type="expression" dxfId="2077" priority="1702">
      <formula>J281="CUMPLE"</formula>
    </cfRule>
  </conditionalFormatting>
  <conditionalFormatting sqref="J289">
    <cfRule type="cellIs" dxfId="2076" priority="1699" operator="equal">
      <formula>"NO CUMPLE"</formula>
    </cfRule>
    <cfRule type="cellIs" dxfId="2075" priority="1700" operator="equal">
      <formula>"CUMPLE"</formula>
    </cfRule>
  </conditionalFormatting>
  <conditionalFormatting sqref="J290:J291">
    <cfRule type="cellIs" dxfId="2074" priority="1697" operator="equal">
      <formula>"NO CUMPLE"</formula>
    </cfRule>
    <cfRule type="cellIs" dxfId="2073" priority="1698" operator="equal">
      <formula>"CUMPLE"</formula>
    </cfRule>
  </conditionalFormatting>
  <conditionalFormatting sqref="K283">
    <cfRule type="expression" dxfId="2072" priority="1695">
      <formula>J283="NO CUMPLE"</formula>
    </cfRule>
    <cfRule type="expression" dxfId="2071" priority="1696">
      <formula>J283="CUMPLE"</formula>
    </cfRule>
  </conditionalFormatting>
  <conditionalFormatting sqref="K284:K285">
    <cfRule type="expression" dxfId="2070" priority="1693">
      <formula>J284="NO CUMPLE"</formula>
    </cfRule>
    <cfRule type="expression" dxfId="2069" priority="1694">
      <formula>J284="CUMPLE"</formula>
    </cfRule>
  </conditionalFormatting>
  <conditionalFormatting sqref="K286">
    <cfRule type="expression" dxfId="2068" priority="1691">
      <formula>J286="NO CUMPLE"</formula>
    </cfRule>
    <cfRule type="expression" dxfId="2067" priority="1692">
      <formula>J286="CUMPLE"</formula>
    </cfRule>
  </conditionalFormatting>
  <conditionalFormatting sqref="K287:K288">
    <cfRule type="expression" dxfId="2066" priority="1689">
      <formula>J287="NO CUMPLE"</formula>
    </cfRule>
    <cfRule type="expression" dxfId="2065" priority="1690">
      <formula>J287="CUMPLE"</formula>
    </cfRule>
  </conditionalFormatting>
  <conditionalFormatting sqref="K289">
    <cfRule type="expression" dxfId="2064" priority="1687">
      <formula>J289="NO CUMPLE"</formula>
    </cfRule>
    <cfRule type="expression" dxfId="2063" priority="1688">
      <formula>J289="CUMPLE"</formula>
    </cfRule>
  </conditionalFormatting>
  <conditionalFormatting sqref="K290:K291">
    <cfRule type="expression" dxfId="2062" priority="1685">
      <formula>J290="NO CUMPLE"</formula>
    </cfRule>
    <cfRule type="expression" dxfId="2061" priority="1686">
      <formula>J290="CUMPLE"</formula>
    </cfRule>
  </conditionalFormatting>
  <conditionalFormatting sqref="M281">
    <cfRule type="expression" dxfId="2060" priority="1673">
      <formula>L281="NO CUMPLE"</formula>
    </cfRule>
    <cfRule type="expression" dxfId="2059" priority="1674">
      <formula>L281="CUMPLE"</formula>
    </cfRule>
  </conditionalFormatting>
  <conditionalFormatting sqref="L280:L281">
    <cfRule type="cellIs" dxfId="2058" priority="1675" operator="equal">
      <formula>"NO CUMPLE"</formula>
    </cfRule>
    <cfRule type="cellIs" dxfId="2057" priority="1676" operator="equal">
      <formula>"CUMPLE"</formula>
    </cfRule>
  </conditionalFormatting>
  <conditionalFormatting sqref="M280">
    <cfRule type="expression" dxfId="2056" priority="1677">
      <formula>L280="NO CUMPLE"</formula>
    </cfRule>
    <cfRule type="expression" dxfId="2055" priority="1678">
      <formula>L280="CUMPLE"</formula>
    </cfRule>
  </conditionalFormatting>
  <conditionalFormatting sqref="M278">
    <cfRule type="expression" dxfId="2054" priority="1679">
      <formula>L278="NO CUMPLE"</formula>
    </cfRule>
    <cfRule type="expression" dxfId="2053" priority="1680">
      <formula>L278="CUMPLE"</formula>
    </cfRule>
  </conditionalFormatting>
  <conditionalFormatting sqref="M277">
    <cfRule type="expression" dxfId="2052" priority="1683">
      <formula>L277="NO CUMPLE"</formula>
    </cfRule>
    <cfRule type="expression" dxfId="2051" priority="1684">
      <formula>L277="CUMPLE"</formula>
    </cfRule>
  </conditionalFormatting>
  <conditionalFormatting sqref="L277:L278">
    <cfRule type="cellIs" dxfId="2050" priority="1681" operator="equal">
      <formula>"NO CUMPLE"</formula>
    </cfRule>
    <cfRule type="cellIs" dxfId="2049" priority="1682" operator="equal">
      <formula>"CUMPLE"</formula>
    </cfRule>
  </conditionalFormatting>
  <conditionalFormatting sqref="M284">
    <cfRule type="expression" dxfId="2048" priority="1667">
      <formula>L284="NO CUMPLE"</formula>
    </cfRule>
    <cfRule type="expression" dxfId="2047" priority="1668">
      <formula>L284="CUMPLE"</formula>
    </cfRule>
  </conditionalFormatting>
  <conditionalFormatting sqref="M283">
    <cfRule type="expression" dxfId="2046" priority="1671">
      <formula>L283="NO CUMPLE"</formula>
    </cfRule>
    <cfRule type="expression" dxfId="2045" priority="1672">
      <formula>L283="CUMPLE"</formula>
    </cfRule>
  </conditionalFormatting>
  <conditionalFormatting sqref="L283:L284">
    <cfRule type="cellIs" dxfId="2044" priority="1669" operator="equal">
      <formula>"NO CUMPLE"</formula>
    </cfRule>
    <cfRule type="cellIs" dxfId="2043" priority="1670" operator="equal">
      <formula>"CUMPLE"</formula>
    </cfRule>
  </conditionalFormatting>
  <conditionalFormatting sqref="M290">
    <cfRule type="expression" dxfId="2042" priority="1655">
      <formula>L290="NO CUMPLE"</formula>
    </cfRule>
    <cfRule type="expression" dxfId="2041" priority="1656">
      <formula>L290="CUMPLE"</formula>
    </cfRule>
  </conditionalFormatting>
  <conditionalFormatting sqref="M289">
    <cfRule type="expression" dxfId="2040" priority="1659">
      <formula>L289="NO CUMPLE"</formula>
    </cfRule>
    <cfRule type="expression" dxfId="2039" priority="1660">
      <formula>L289="CUMPLE"</formula>
    </cfRule>
  </conditionalFormatting>
  <conditionalFormatting sqref="L289:L290">
    <cfRule type="cellIs" dxfId="2038" priority="1657" operator="equal">
      <formula>"NO CUMPLE"</formula>
    </cfRule>
    <cfRule type="cellIs" dxfId="2037" priority="1658" operator="equal">
      <formula>"CUMPLE"</formula>
    </cfRule>
  </conditionalFormatting>
  <conditionalFormatting sqref="J277">
    <cfRule type="cellIs" dxfId="2036" priority="1653" operator="equal">
      <formula>"NO CUMPLE"</formula>
    </cfRule>
    <cfRule type="cellIs" dxfId="2035" priority="1654" operator="equal">
      <formula>"CUMPLE"</formula>
    </cfRule>
  </conditionalFormatting>
  <conditionalFormatting sqref="J278:J279">
    <cfRule type="cellIs" dxfId="2034" priority="1651" operator="equal">
      <formula>"NO CUMPLE"</formula>
    </cfRule>
    <cfRule type="cellIs" dxfId="2033" priority="1652" operator="equal">
      <formula>"CUMPLE"</formula>
    </cfRule>
  </conditionalFormatting>
  <conditionalFormatting sqref="K277">
    <cfRule type="expression" dxfId="2032" priority="1649">
      <formula>J277="NO CUMPLE"</formula>
    </cfRule>
    <cfRule type="expression" dxfId="2031" priority="1650">
      <formula>J277="CUMPLE"</formula>
    </cfRule>
  </conditionalFormatting>
  <conditionalFormatting sqref="K278:K279">
    <cfRule type="expression" dxfId="2030" priority="1647">
      <formula>J278="NO CUMPLE"</formula>
    </cfRule>
    <cfRule type="expression" dxfId="2029" priority="1648">
      <formula>J278="CUMPLE"</formula>
    </cfRule>
  </conditionalFormatting>
  <conditionalFormatting sqref="S299">
    <cfRule type="cellIs" dxfId="2028" priority="1645" operator="greaterThan">
      <formula>0</formula>
    </cfRule>
    <cfRule type="top10" dxfId="2027" priority="1646" rank="10"/>
  </conditionalFormatting>
  <conditionalFormatting sqref="B314">
    <cfRule type="cellIs" dxfId="2026" priority="1643" operator="equal">
      <formula>"NO CUMPLE CON LA EXPERIENCIA REQUERIDA"</formula>
    </cfRule>
    <cfRule type="cellIs" dxfId="2025" priority="1644" operator="equal">
      <formula>"CUMPLE CON LA EXPERIENCIA REQUERIDA"</formula>
    </cfRule>
  </conditionalFormatting>
  <conditionalFormatting sqref="H299 H302 H305 H308 H311">
    <cfRule type="notContainsBlanks" dxfId="2024" priority="1642">
      <formula>LEN(TRIM(H299))&gt;0</formula>
    </cfRule>
  </conditionalFormatting>
  <conditionalFormatting sqref="G299">
    <cfRule type="notContainsBlanks" dxfId="2023" priority="1641">
      <formula>LEN(TRIM(G299))&gt;0</formula>
    </cfRule>
  </conditionalFormatting>
  <conditionalFormatting sqref="F299">
    <cfRule type="notContainsBlanks" dxfId="2022" priority="1640">
      <formula>LEN(TRIM(F299))&gt;0</formula>
    </cfRule>
  </conditionalFormatting>
  <conditionalFormatting sqref="E299">
    <cfRule type="notContainsBlanks" dxfId="2021" priority="1639">
      <formula>LEN(TRIM(E299))&gt;0</formula>
    </cfRule>
  </conditionalFormatting>
  <conditionalFormatting sqref="D299">
    <cfRule type="notContainsBlanks" dxfId="2020" priority="1638">
      <formula>LEN(TRIM(D299))&gt;0</formula>
    </cfRule>
  </conditionalFormatting>
  <conditionalFormatting sqref="C299">
    <cfRule type="notContainsBlanks" dxfId="2019" priority="1637">
      <formula>LEN(TRIM(C299))&gt;0</formula>
    </cfRule>
  </conditionalFormatting>
  <conditionalFormatting sqref="I299">
    <cfRule type="notContainsBlanks" dxfId="2018" priority="1636">
      <formula>LEN(TRIM(I299))&gt;0</formula>
    </cfRule>
  </conditionalFormatting>
  <conditionalFormatting sqref="S302">
    <cfRule type="cellIs" dxfId="2017" priority="1634" operator="greaterThan">
      <formula>0</formula>
    </cfRule>
    <cfRule type="top10" dxfId="2016" priority="1635" rank="10"/>
  </conditionalFormatting>
  <conditionalFormatting sqref="S305">
    <cfRule type="cellIs" dxfId="2015" priority="1632" operator="greaterThan">
      <formula>0</formula>
    </cfRule>
    <cfRule type="top10" dxfId="2014" priority="1633" rank="10"/>
  </conditionalFormatting>
  <conditionalFormatting sqref="G305">
    <cfRule type="notContainsBlanks" dxfId="2013" priority="1631">
      <formula>LEN(TRIM(G305))&gt;0</formula>
    </cfRule>
  </conditionalFormatting>
  <conditionalFormatting sqref="F305">
    <cfRule type="notContainsBlanks" dxfId="2012" priority="1630">
      <formula>LEN(TRIM(F305))&gt;0</formula>
    </cfRule>
  </conditionalFormatting>
  <conditionalFormatting sqref="E305">
    <cfRule type="notContainsBlanks" dxfId="2011" priority="1629">
      <formula>LEN(TRIM(E305))&gt;0</formula>
    </cfRule>
  </conditionalFormatting>
  <conditionalFormatting sqref="D305">
    <cfRule type="notContainsBlanks" dxfId="2010" priority="1628">
      <formula>LEN(TRIM(D305))&gt;0</formula>
    </cfRule>
  </conditionalFormatting>
  <conditionalFormatting sqref="C305">
    <cfRule type="notContainsBlanks" dxfId="2009" priority="1627">
      <formula>LEN(TRIM(C305))&gt;0</formula>
    </cfRule>
  </conditionalFormatting>
  <conditionalFormatting sqref="I305">
    <cfRule type="notContainsBlanks" dxfId="2008" priority="1626">
      <formula>LEN(TRIM(I305))&gt;0</formula>
    </cfRule>
  </conditionalFormatting>
  <conditionalFormatting sqref="S308">
    <cfRule type="cellIs" dxfId="2007" priority="1624" operator="greaterThan">
      <formula>0</formula>
    </cfRule>
    <cfRule type="top10" dxfId="2006" priority="1625" rank="10"/>
  </conditionalFormatting>
  <conditionalFormatting sqref="S311">
    <cfRule type="cellIs" dxfId="2005" priority="1622" operator="greaterThan">
      <formula>0</formula>
    </cfRule>
    <cfRule type="top10" dxfId="2004" priority="1623" rank="10"/>
  </conditionalFormatting>
  <conditionalFormatting sqref="G311">
    <cfRule type="notContainsBlanks" dxfId="2003" priority="1621">
      <formula>LEN(TRIM(G311))&gt;0</formula>
    </cfRule>
  </conditionalFormatting>
  <conditionalFormatting sqref="F311">
    <cfRule type="notContainsBlanks" dxfId="2002" priority="1620">
      <formula>LEN(TRIM(F311))&gt;0</formula>
    </cfRule>
  </conditionalFormatting>
  <conditionalFormatting sqref="E311">
    <cfRule type="notContainsBlanks" dxfId="2001" priority="1619">
      <formula>LEN(TRIM(E311))&gt;0</formula>
    </cfRule>
  </conditionalFormatting>
  <conditionalFormatting sqref="D311">
    <cfRule type="notContainsBlanks" dxfId="2000" priority="1618">
      <formula>LEN(TRIM(D311))&gt;0</formula>
    </cfRule>
  </conditionalFormatting>
  <conditionalFormatting sqref="C311">
    <cfRule type="notContainsBlanks" dxfId="1999" priority="1617">
      <formula>LEN(TRIM(C311))&gt;0</formula>
    </cfRule>
  </conditionalFormatting>
  <conditionalFormatting sqref="I311">
    <cfRule type="notContainsBlanks" dxfId="1998" priority="1616">
      <formula>LEN(TRIM(I311))&gt;0</formula>
    </cfRule>
  </conditionalFormatting>
  <conditionalFormatting sqref="G302">
    <cfRule type="notContainsBlanks" dxfId="1997" priority="1615">
      <formula>LEN(TRIM(G302))&gt;0</formula>
    </cfRule>
  </conditionalFormatting>
  <conditionalFormatting sqref="F302">
    <cfRule type="notContainsBlanks" dxfId="1996" priority="1614">
      <formula>LEN(TRIM(F302))&gt;0</formula>
    </cfRule>
  </conditionalFormatting>
  <conditionalFormatting sqref="E302">
    <cfRule type="notContainsBlanks" dxfId="1995" priority="1613">
      <formula>LEN(TRIM(E302))&gt;0</formula>
    </cfRule>
  </conditionalFormatting>
  <conditionalFormatting sqref="D302">
    <cfRule type="notContainsBlanks" dxfId="1994" priority="1612">
      <formula>LEN(TRIM(D302))&gt;0</formula>
    </cfRule>
  </conditionalFormatting>
  <conditionalFormatting sqref="C302">
    <cfRule type="notContainsBlanks" dxfId="1993" priority="1611">
      <formula>LEN(TRIM(C302))&gt;0</formula>
    </cfRule>
  </conditionalFormatting>
  <conditionalFormatting sqref="G308">
    <cfRule type="notContainsBlanks" dxfId="1992" priority="1610">
      <formula>LEN(TRIM(G308))&gt;0</formula>
    </cfRule>
  </conditionalFormatting>
  <conditionalFormatting sqref="F308">
    <cfRule type="notContainsBlanks" dxfId="1991" priority="1609">
      <formula>LEN(TRIM(F308))&gt;0</formula>
    </cfRule>
  </conditionalFormatting>
  <conditionalFormatting sqref="E308">
    <cfRule type="notContainsBlanks" dxfId="1990" priority="1608">
      <formula>LEN(TRIM(E308))&gt;0</formula>
    </cfRule>
  </conditionalFormatting>
  <conditionalFormatting sqref="D308">
    <cfRule type="notContainsBlanks" dxfId="1989" priority="1607">
      <formula>LEN(TRIM(D308))&gt;0</formula>
    </cfRule>
  </conditionalFormatting>
  <conditionalFormatting sqref="C308">
    <cfRule type="notContainsBlanks" dxfId="1988" priority="1606">
      <formula>LEN(TRIM(C308))&gt;0</formula>
    </cfRule>
  </conditionalFormatting>
  <conditionalFormatting sqref="I302">
    <cfRule type="notContainsBlanks" dxfId="1987" priority="1605">
      <formula>LEN(TRIM(I302))&gt;0</formula>
    </cfRule>
  </conditionalFormatting>
  <conditionalFormatting sqref="I308">
    <cfRule type="notContainsBlanks" dxfId="1986" priority="1604">
      <formula>LEN(TRIM(I308))&gt;0</formula>
    </cfRule>
  </conditionalFormatting>
  <conditionalFormatting sqref="S314">
    <cfRule type="expression" dxfId="1985" priority="1602">
      <formula>$S$28&gt;0</formula>
    </cfRule>
    <cfRule type="cellIs" dxfId="1984" priority="1603" operator="equal">
      <formula>0</formula>
    </cfRule>
  </conditionalFormatting>
  <conditionalFormatting sqref="S315">
    <cfRule type="expression" dxfId="1983" priority="1600">
      <formula>$S$28&gt;0</formula>
    </cfRule>
    <cfRule type="cellIs" dxfId="1982" priority="1601" operator="equal">
      <formula>0</formula>
    </cfRule>
  </conditionalFormatting>
  <conditionalFormatting sqref="N299">
    <cfRule type="expression" dxfId="1981" priority="1597">
      <formula>N299=" "</formula>
    </cfRule>
    <cfRule type="expression" dxfId="1980" priority="1598">
      <formula>N299="NO PRESENTÓ CERTIFICADO"</formula>
    </cfRule>
    <cfRule type="expression" dxfId="1979" priority="1599">
      <formula>N299="PRESENTÓ CERTIFICADO"</formula>
    </cfRule>
  </conditionalFormatting>
  <conditionalFormatting sqref="O299">
    <cfRule type="cellIs" dxfId="1978" priority="1579" operator="equal">
      <formula>"PENDIENTE POR DESCRIPCIÓN"</formula>
    </cfRule>
    <cfRule type="cellIs" dxfId="1977" priority="1580" operator="equal">
      <formula>"DESCRIPCIÓN INSUFICIENTE"</formula>
    </cfRule>
    <cfRule type="cellIs" dxfId="1976" priority="1581" operator="equal">
      <formula>"NO ESTÁ ACORDE A ITEM 5.2.2 (T.R.)"</formula>
    </cfRule>
    <cfRule type="cellIs" dxfId="1975" priority="1582" operator="equal">
      <formula>"ACORDE A ITEM 5.2.2 (T.R.)"</formula>
    </cfRule>
    <cfRule type="cellIs" dxfId="1974" priority="1589" operator="equal">
      <formula>"PENDIENTE POR DESCRIPCIÓN"</formula>
    </cfRule>
    <cfRule type="cellIs" dxfId="1973" priority="1591" operator="equal">
      <formula>"DESCRIPCIÓN INSUFICIENTE"</formula>
    </cfRule>
    <cfRule type="cellIs" dxfId="1972" priority="1592" operator="equal">
      <formula>"NO ESTÁ ACORDE A ITEM 5.2.1 (T.R.)"</formula>
    </cfRule>
    <cfRule type="cellIs" dxfId="1971" priority="1593" operator="equal">
      <formula>"ACORDE A ITEM 5.2.1 (T.R.)"</formula>
    </cfRule>
  </conditionalFormatting>
  <conditionalFormatting sqref="Q299">
    <cfRule type="containsBlanks" dxfId="1970" priority="1584">
      <formula>LEN(TRIM(Q299))=0</formula>
    </cfRule>
    <cfRule type="cellIs" dxfId="1969" priority="1590" operator="equal">
      <formula>"REQUERIMIENTOS SUBSANADOS"</formula>
    </cfRule>
    <cfRule type="containsText" dxfId="1968" priority="1594" operator="containsText" text="NO SUBSANABLE">
      <formula>NOT(ISERROR(SEARCH("NO SUBSANABLE",Q299)))</formula>
    </cfRule>
    <cfRule type="containsText" dxfId="1967" priority="1595" operator="containsText" text="PENDIENTES POR SUBSANAR">
      <formula>NOT(ISERROR(SEARCH("PENDIENTES POR SUBSANAR",Q299)))</formula>
    </cfRule>
    <cfRule type="containsText" dxfId="1966" priority="1596" operator="containsText" text="SIN OBSERVACIÓN">
      <formula>NOT(ISERROR(SEARCH("SIN OBSERVACIÓN",Q299)))</formula>
    </cfRule>
  </conditionalFormatting>
  <conditionalFormatting sqref="R299">
    <cfRule type="containsBlanks" dxfId="1965" priority="1583">
      <formula>LEN(TRIM(R299))=0</formula>
    </cfRule>
    <cfRule type="cellIs" dxfId="1964" priority="1585" operator="equal">
      <formula>"NO CUMPLEN CON LO SOLICITADO"</formula>
    </cfRule>
    <cfRule type="cellIs" dxfId="1963" priority="1586" operator="equal">
      <formula>"CUMPLEN CON LO SOLICITADO"</formula>
    </cfRule>
    <cfRule type="cellIs" dxfId="1962" priority="1587" operator="equal">
      <formula>"PENDIENTES"</formula>
    </cfRule>
    <cfRule type="cellIs" dxfId="1961" priority="1588" operator="equal">
      <formula>"NINGUNO"</formula>
    </cfRule>
  </conditionalFormatting>
  <conditionalFormatting sqref="P299">
    <cfRule type="expression" dxfId="1960" priority="1574">
      <formula>Q299="NO SUBSANABLE"</formula>
    </cfRule>
    <cfRule type="expression" dxfId="1959" priority="1575">
      <formula>Q299="REQUERIMIENTOS SUBSANADOS"</formula>
    </cfRule>
    <cfRule type="expression" dxfId="1958" priority="1576">
      <formula>Q299="PENDIENTES POR SUBSANAR"</formula>
    </cfRule>
    <cfRule type="expression" dxfId="1957" priority="1577">
      <formula>Q299="SIN OBSERVACIÓN"</formula>
    </cfRule>
    <cfRule type="containsBlanks" dxfId="1956" priority="1578">
      <formula>LEN(TRIM(P299))=0</formula>
    </cfRule>
  </conditionalFormatting>
  <conditionalFormatting sqref="N311">
    <cfRule type="expression" dxfId="1955" priority="1571">
      <formula>N311=" "</formula>
    </cfRule>
    <cfRule type="expression" dxfId="1954" priority="1572">
      <formula>N311="NO PRESENTÓ CERTIFICADO"</formula>
    </cfRule>
    <cfRule type="expression" dxfId="1953" priority="1573">
      <formula>N311="PRESENTÓ CERTIFICADO"</formula>
    </cfRule>
  </conditionalFormatting>
  <conditionalFormatting sqref="O311">
    <cfRule type="cellIs" dxfId="1952" priority="1553" operator="equal">
      <formula>"PENDIENTE POR DESCRIPCIÓN"</formula>
    </cfRule>
    <cfRule type="cellIs" dxfId="1951" priority="1554" operator="equal">
      <formula>"DESCRIPCIÓN INSUFICIENTE"</formula>
    </cfRule>
    <cfRule type="cellIs" dxfId="1950" priority="1555" operator="equal">
      <formula>"NO ESTÁ ACORDE A ITEM 5.2.2 (T.R.)"</formula>
    </cfRule>
    <cfRule type="cellIs" dxfId="1949" priority="1556" operator="equal">
      <formula>"ACORDE A ITEM 5.2.2 (T.R.)"</formula>
    </cfRule>
    <cfRule type="cellIs" dxfId="1948" priority="1563" operator="equal">
      <formula>"PENDIENTE POR DESCRIPCIÓN"</formula>
    </cfRule>
    <cfRule type="cellIs" dxfId="1947" priority="1565" operator="equal">
      <formula>"DESCRIPCIÓN INSUFICIENTE"</formula>
    </cfRule>
    <cfRule type="cellIs" dxfId="1946" priority="1566" operator="equal">
      <formula>"NO ESTÁ ACORDE A ITEM 5.2.1 (T.R.)"</formula>
    </cfRule>
    <cfRule type="cellIs" dxfId="1945" priority="1567" operator="equal">
      <formula>"ACORDE A ITEM 5.2.1 (T.R.)"</formula>
    </cfRule>
  </conditionalFormatting>
  <conditionalFormatting sqref="Q311">
    <cfRule type="containsBlanks" dxfId="1944" priority="1558">
      <formula>LEN(TRIM(Q311))=0</formula>
    </cfRule>
    <cfRule type="cellIs" dxfId="1943" priority="1564" operator="equal">
      <formula>"REQUERIMIENTOS SUBSANADOS"</formula>
    </cfRule>
    <cfRule type="containsText" dxfId="1942" priority="1568" operator="containsText" text="NO SUBSANABLE">
      <formula>NOT(ISERROR(SEARCH("NO SUBSANABLE",Q311)))</formula>
    </cfRule>
    <cfRule type="containsText" dxfId="1941" priority="1569" operator="containsText" text="PENDIENTES POR SUBSANAR">
      <formula>NOT(ISERROR(SEARCH("PENDIENTES POR SUBSANAR",Q311)))</formula>
    </cfRule>
    <cfRule type="containsText" dxfId="1940" priority="1570" operator="containsText" text="SIN OBSERVACIÓN">
      <formula>NOT(ISERROR(SEARCH("SIN OBSERVACIÓN",Q311)))</formula>
    </cfRule>
  </conditionalFormatting>
  <conditionalFormatting sqref="R311">
    <cfRule type="containsBlanks" dxfId="1939" priority="1557">
      <formula>LEN(TRIM(R311))=0</formula>
    </cfRule>
    <cfRule type="cellIs" dxfId="1938" priority="1559" operator="equal">
      <formula>"NO CUMPLEN CON LO SOLICITADO"</formula>
    </cfRule>
    <cfRule type="cellIs" dxfId="1937" priority="1560" operator="equal">
      <formula>"CUMPLEN CON LO SOLICITADO"</formula>
    </cfRule>
    <cfRule type="cellIs" dxfId="1936" priority="1561" operator="equal">
      <formula>"PENDIENTES"</formula>
    </cfRule>
    <cfRule type="cellIs" dxfId="1935" priority="1562" operator="equal">
      <formula>"NINGUNO"</formula>
    </cfRule>
  </conditionalFormatting>
  <conditionalFormatting sqref="P302 P305 P308 P311">
    <cfRule type="expression" dxfId="1934" priority="1548">
      <formula>Q302="NO SUBSANABLE"</formula>
    </cfRule>
    <cfRule type="expression" dxfId="1933" priority="1549">
      <formula>Q302="REQUERIMIENTOS SUBSANADOS"</formula>
    </cfRule>
    <cfRule type="expression" dxfId="1932" priority="1550">
      <formula>Q302="PENDIENTES POR SUBSANAR"</formula>
    </cfRule>
    <cfRule type="expression" dxfId="1931" priority="1551">
      <formula>Q302="SIN OBSERVACIÓN"</formula>
    </cfRule>
    <cfRule type="containsBlanks" dxfId="1930" priority="1552">
      <formula>LEN(TRIM(P302))=0</formula>
    </cfRule>
  </conditionalFormatting>
  <conditionalFormatting sqref="N302">
    <cfRule type="expression" dxfId="1929" priority="1545">
      <formula>N302=" "</formula>
    </cfRule>
    <cfRule type="expression" dxfId="1928" priority="1546">
      <formula>N302="NO PRESENTÓ CERTIFICADO"</formula>
    </cfRule>
    <cfRule type="expression" dxfId="1927" priority="1547">
      <formula>N302="PRESENTÓ CERTIFICADO"</formula>
    </cfRule>
  </conditionalFormatting>
  <conditionalFormatting sqref="N305">
    <cfRule type="expression" dxfId="1926" priority="1542">
      <formula>N305=" "</formula>
    </cfRule>
    <cfRule type="expression" dxfId="1925" priority="1543">
      <formula>N305="NO PRESENTÓ CERTIFICADO"</formula>
    </cfRule>
    <cfRule type="expression" dxfId="1924" priority="1544">
      <formula>N305="PRESENTÓ CERTIFICADO"</formula>
    </cfRule>
  </conditionalFormatting>
  <conditionalFormatting sqref="N308">
    <cfRule type="expression" dxfId="1923" priority="1539">
      <formula>N308=" "</formula>
    </cfRule>
    <cfRule type="expression" dxfId="1922" priority="1540">
      <formula>N308="NO PRESENTÓ CERTIFICADO"</formula>
    </cfRule>
    <cfRule type="expression" dxfId="1921" priority="1541">
      <formula>N308="PRESENTÓ CERTIFICADO"</formula>
    </cfRule>
  </conditionalFormatting>
  <conditionalFormatting sqref="O302">
    <cfRule type="cellIs" dxfId="1920" priority="1531" operator="equal">
      <formula>"PENDIENTE POR DESCRIPCIÓN"</formula>
    </cfRule>
    <cfRule type="cellIs" dxfId="1919" priority="1532" operator="equal">
      <formula>"DESCRIPCIÓN INSUFICIENTE"</formula>
    </cfRule>
    <cfRule type="cellIs" dxfId="1918" priority="1533" operator="equal">
      <formula>"NO ESTÁ ACORDE A ITEM 5.2.2 (T.R.)"</formula>
    </cfRule>
    <cfRule type="cellIs" dxfId="1917" priority="1534" operator="equal">
      <formula>"ACORDE A ITEM 5.2.2 (T.R.)"</formula>
    </cfRule>
    <cfRule type="cellIs" dxfId="1916" priority="1535" operator="equal">
      <formula>"PENDIENTE POR DESCRIPCIÓN"</formula>
    </cfRule>
    <cfRule type="cellIs" dxfId="1915" priority="1536" operator="equal">
      <formula>"DESCRIPCIÓN INSUFICIENTE"</formula>
    </cfRule>
    <cfRule type="cellIs" dxfId="1914" priority="1537" operator="equal">
      <formula>"NO ESTÁ ACORDE A ITEM 5.2.1 (T.R.)"</formula>
    </cfRule>
    <cfRule type="cellIs" dxfId="1913" priority="1538" operator="equal">
      <formula>"ACORDE A ITEM 5.2.1 (T.R.)"</formula>
    </cfRule>
  </conditionalFormatting>
  <conditionalFormatting sqref="O305">
    <cfRule type="cellIs" dxfId="1912" priority="1523" operator="equal">
      <formula>"PENDIENTE POR DESCRIPCIÓN"</formula>
    </cfRule>
    <cfRule type="cellIs" dxfId="1911" priority="1524" operator="equal">
      <formula>"DESCRIPCIÓN INSUFICIENTE"</formula>
    </cfRule>
    <cfRule type="cellIs" dxfId="1910" priority="1525" operator="equal">
      <formula>"NO ESTÁ ACORDE A ITEM 5.2.2 (T.R.)"</formula>
    </cfRule>
    <cfRule type="cellIs" dxfId="1909" priority="1526" operator="equal">
      <formula>"ACORDE A ITEM 5.2.2 (T.R.)"</formula>
    </cfRule>
    <cfRule type="cellIs" dxfId="1908" priority="1527" operator="equal">
      <formula>"PENDIENTE POR DESCRIPCIÓN"</formula>
    </cfRule>
    <cfRule type="cellIs" dxfId="1907" priority="1528" operator="equal">
      <formula>"DESCRIPCIÓN INSUFICIENTE"</formula>
    </cfRule>
    <cfRule type="cellIs" dxfId="1906" priority="1529" operator="equal">
      <formula>"NO ESTÁ ACORDE A ITEM 5.2.1 (T.R.)"</formula>
    </cfRule>
    <cfRule type="cellIs" dxfId="1905" priority="1530" operator="equal">
      <formula>"ACORDE A ITEM 5.2.1 (T.R.)"</formula>
    </cfRule>
  </conditionalFormatting>
  <conditionalFormatting sqref="O308">
    <cfRule type="cellIs" dxfId="1904" priority="1515" operator="equal">
      <formula>"PENDIENTE POR DESCRIPCIÓN"</formula>
    </cfRule>
    <cfRule type="cellIs" dxfId="1903" priority="1516" operator="equal">
      <formula>"DESCRIPCIÓN INSUFICIENTE"</formula>
    </cfRule>
    <cfRule type="cellIs" dxfId="1902" priority="1517" operator="equal">
      <formula>"NO ESTÁ ACORDE A ITEM 5.2.2 (T.R.)"</formula>
    </cfRule>
    <cfRule type="cellIs" dxfId="1901" priority="1518" operator="equal">
      <formula>"ACORDE A ITEM 5.2.2 (T.R.)"</formula>
    </cfRule>
    <cfRule type="cellIs" dxfId="1900" priority="1519" operator="equal">
      <formula>"PENDIENTE POR DESCRIPCIÓN"</formula>
    </cfRule>
    <cfRule type="cellIs" dxfId="1899" priority="1520" operator="equal">
      <formula>"DESCRIPCIÓN INSUFICIENTE"</formula>
    </cfRule>
    <cfRule type="cellIs" dxfId="1898" priority="1521" operator="equal">
      <formula>"NO ESTÁ ACORDE A ITEM 5.2.1 (T.R.)"</formula>
    </cfRule>
    <cfRule type="cellIs" dxfId="1897" priority="1522" operator="equal">
      <formula>"ACORDE A ITEM 5.2.1 (T.R.)"</formula>
    </cfRule>
  </conditionalFormatting>
  <conditionalFormatting sqref="Q302">
    <cfRule type="containsBlanks" dxfId="1896" priority="1506">
      <formula>LEN(TRIM(Q302))=0</formula>
    </cfRule>
    <cfRule type="cellIs" dxfId="1895" priority="1511" operator="equal">
      <formula>"REQUERIMIENTOS SUBSANADOS"</formula>
    </cfRule>
    <cfRule type="containsText" dxfId="1894" priority="1512" operator="containsText" text="NO SUBSANABLE">
      <formula>NOT(ISERROR(SEARCH("NO SUBSANABLE",Q302)))</formula>
    </cfRule>
    <cfRule type="containsText" dxfId="1893" priority="1513" operator="containsText" text="PENDIENTES POR SUBSANAR">
      <formula>NOT(ISERROR(SEARCH("PENDIENTES POR SUBSANAR",Q302)))</formula>
    </cfRule>
    <cfRule type="containsText" dxfId="1892" priority="1514" operator="containsText" text="SIN OBSERVACIÓN">
      <formula>NOT(ISERROR(SEARCH("SIN OBSERVACIÓN",Q302)))</formula>
    </cfRule>
  </conditionalFormatting>
  <conditionalFormatting sqref="R302">
    <cfRule type="containsBlanks" dxfId="1891" priority="1505">
      <formula>LEN(TRIM(R302))=0</formula>
    </cfRule>
    <cfRule type="cellIs" dxfId="1890" priority="1507" operator="equal">
      <formula>"NO CUMPLEN CON LO SOLICITADO"</formula>
    </cfRule>
    <cfRule type="cellIs" dxfId="1889" priority="1508" operator="equal">
      <formula>"CUMPLEN CON LO SOLICITADO"</formula>
    </cfRule>
    <cfRule type="cellIs" dxfId="1888" priority="1509" operator="equal">
      <formula>"PENDIENTES"</formula>
    </cfRule>
    <cfRule type="cellIs" dxfId="1887" priority="1510" operator="equal">
      <formula>"NINGUNO"</formula>
    </cfRule>
  </conditionalFormatting>
  <conditionalFormatting sqref="Q305">
    <cfRule type="containsBlanks" dxfId="1886" priority="1496">
      <formula>LEN(TRIM(Q305))=0</formula>
    </cfRule>
    <cfRule type="cellIs" dxfId="1885" priority="1501" operator="equal">
      <formula>"REQUERIMIENTOS SUBSANADOS"</formula>
    </cfRule>
    <cfRule type="containsText" dxfId="1884" priority="1502" operator="containsText" text="NO SUBSANABLE">
      <formula>NOT(ISERROR(SEARCH("NO SUBSANABLE",Q305)))</formula>
    </cfRule>
    <cfRule type="containsText" dxfId="1883" priority="1503" operator="containsText" text="PENDIENTES POR SUBSANAR">
      <formula>NOT(ISERROR(SEARCH("PENDIENTES POR SUBSANAR",Q305)))</formula>
    </cfRule>
    <cfRule type="containsText" dxfId="1882" priority="1504" operator="containsText" text="SIN OBSERVACIÓN">
      <formula>NOT(ISERROR(SEARCH("SIN OBSERVACIÓN",Q305)))</formula>
    </cfRule>
  </conditionalFormatting>
  <conditionalFormatting sqref="R305">
    <cfRule type="containsBlanks" dxfId="1881" priority="1495">
      <formula>LEN(TRIM(R305))=0</formula>
    </cfRule>
    <cfRule type="cellIs" dxfId="1880" priority="1497" operator="equal">
      <formula>"NO CUMPLEN CON LO SOLICITADO"</formula>
    </cfRule>
    <cfRule type="cellIs" dxfId="1879" priority="1498" operator="equal">
      <formula>"CUMPLEN CON LO SOLICITADO"</formula>
    </cfRule>
    <cfRule type="cellIs" dxfId="1878" priority="1499" operator="equal">
      <formula>"PENDIENTES"</formula>
    </cfRule>
    <cfRule type="cellIs" dxfId="1877" priority="1500" operator="equal">
      <formula>"NINGUNO"</formula>
    </cfRule>
  </conditionalFormatting>
  <conditionalFormatting sqref="Q308">
    <cfRule type="containsBlanks" dxfId="1876" priority="1486">
      <formula>LEN(TRIM(Q308))=0</formula>
    </cfRule>
    <cfRule type="cellIs" dxfId="1875" priority="1491" operator="equal">
      <formula>"REQUERIMIENTOS SUBSANADOS"</formula>
    </cfRule>
    <cfRule type="containsText" dxfId="1874" priority="1492" operator="containsText" text="NO SUBSANABLE">
      <formula>NOT(ISERROR(SEARCH("NO SUBSANABLE",Q308)))</formula>
    </cfRule>
    <cfRule type="containsText" dxfId="1873" priority="1493" operator="containsText" text="PENDIENTES POR SUBSANAR">
      <formula>NOT(ISERROR(SEARCH("PENDIENTES POR SUBSANAR",Q308)))</formula>
    </cfRule>
    <cfRule type="containsText" dxfId="1872" priority="1494" operator="containsText" text="SIN OBSERVACIÓN">
      <formula>NOT(ISERROR(SEARCH("SIN OBSERVACIÓN",Q308)))</formula>
    </cfRule>
  </conditionalFormatting>
  <conditionalFormatting sqref="R308">
    <cfRule type="containsBlanks" dxfId="1871" priority="1485">
      <formula>LEN(TRIM(R308))=0</formula>
    </cfRule>
    <cfRule type="cellIs" dxfId="1870" priority="1487" operator="equal">
      <formula>"NO CUMPLEN CON LO SOLICITADO"</formula>
    </cfRule>
    <cfRule type="cellIs" dxfId="1869" priority="1488" operator="equal">
      <formula>"CUMPLEN CON LO SOLICITADO"</formula>
    </cfRule>
    <cfRule type="cellIs" dxfId="1868" priority="1489" operator="equal">
      <formula>"PENDIENTES"</formula>
    </cfRule>
    <cfRule type="cellIs" dxfId="1867" priority="1490" operator="equal">
      <formula>"NINGUNO"</formula>
    </cfRule>
  </conditionalFormatting>
  <conditionalFormatting sqref="M308">
    <cfRule type="expression" dxfId="1866" priority="1443">
      <formula>L308="NO CUMPLE"</formula>
    </cfRule>
    <cfRule type="expression" dxfId="1865" priority="1444">
      <formula>L308="CUMPLE"</formula>
    </cfRule>
  </conditionalFormatting>
  <conditionalFormatting sqref="L308:L309">
    <cfRule type="cellIs" dxfId="1864" priority="1441" operator="equal">
      <formula>"NO CUMPLE"</formula>
    </cfRule>
    <cfRule type="cellIs" dxfId="1863" priority="1442" operator="equal">
      <formula>"CUMPLE"</formula>
    </cfRule>
  </conditionalFormatting>
  <conditionalFormatting sqref="M309">
    <cfRule type="expression" dxfId="1862" priority="1439">
      <formula>L309="NO CUMPLE"</formula>
    </cfRule>
    <cfRule type="expression" dxfId="1861" priority="1440">
      <formula>L309="CUMPLE"</formula>
    </cfRule>
  </conditionalFormatting>
  <conditionalFormatting sqref="J302:J310">
    <cfRule type="cellIs" dxfId="1860" priority="1483" operator="equal">
      <formula>"NO CUMPLE"</formula>
    </cfRule>
    <cfRule type="cellIs" dxfId="1859" priority="1484" operator="equal">
      <formula>"CUMPLE"</formula>
    </cfRule>
  </conditionalFormatting>
  <conditionalFormatting sqref="K302">
    <cfRule type="expression" dxfId="1858" priority="1481">
      <formula>J302="NO CUMPLE"</formula>
    </cfRule>
    <cfRule type="expression" dxfId="1857" priority="1482">
      <formula>J302="CUMPLE"</formula>
    </cfRule>
  </conditionalFormatting>
  <conditionalFormatting sqref="K303:K304">
    <cfRule type="expression" dxfId="1856" priority="1479">
      <formula>J303="NO CUMPLE"</formula>
    </cfRule>
    <cfRule type="expression" dxfId="1855" priority="1480">
      <formula>J303="CUMPLE"</formula>
    </cfRule>
  </conditionalFormatting>
  <conditionalFormatting sqref="J311">
    <cfRule type="cellIs" dxfId="1854" priority="1477" operator="equal">
      <formula>"NO CUMPLE"</formula>
    </cfRule>
    <cfRule type="cellIs" dxfId="1853" priority="1478" operator="equal">
      <formula>"CUMPLE"</formula>
    </cfRule>
  </conditionalFormatting>
  <conditionalFormatting sqref="J312:J313">
    <cfRule type="cellIs" dxfId="1852" priority="1475" operator="equal">
      <formula>"NO CUMPLE"</formula>
    </cfRule>
    <cfRule type="cellIs" dxfId="1851" priority="1476" operator="equal">
      <formula>"CUMPLE"</formula>
    </cfRule>
  </conditionalFormatting>
  <conditionalFormatting sqref="K305">
    <cfRule type="expression" dxfId="1850" priority="1473">
      <formula>J305="NO CUMPLE"</formula>
    </cfRule>
    <cfRule type="expression" dxfId="1849" priority="1474">
      <formula>J305="CUMPLE"</formula>
    </cfRule>
  </conditionalFormatting>
  <conditionalFormatting sqref="K306:K307">
    <cfRule type="expression" dxfId="1848" priority="1471">
      <formula>J306="NO CUMPLE"</formula>
    </cfRule>
    <cfRule type="expression" dxfId="1847" priority="1472">
      <formula>J306="CUMPLE"</formula>
    </cfRule>
  </conditionalFormatting>
  <conditionalFormatting sqref="K308">
    <cfRule type="expression" dxfId="1846" priority="1469">
      <formula>J308="NO CUMPLE"</formula>
    </cfRule>
    <cfRule type="expression" dxfId="1845" priority="1470">
      <formula>J308="CUMPLE"</formula>
    </cfRule>
  </conditionalFormatting>
  <conditionalFormatting sqref="K309:K310">
    <cfRule type="expression" dxfId="1844" priority="1467">
      <formula>J309="NO CUMPLE"</formula>
    </cfRule>
    <cfRule type="expression" dxfId="1843" priority="1468">
      <formula>J309="CUMPLE"</formula>
    </cfRule>
  </conditionalFormatting>
  <conditionalFormatting sqref="K311">
    <cfRule type="expression" dxfId="1842" priority="1465">
      <formula>J311="NO CUMPLE"</formula>
    </cfRule>
    <cfRule type="expression" dxfId="1841" priority="1466">
      <formula>J311="CUMPLE"</formula>
    </cfRule>
  </conditionalFormatting>
  <conditionalFormatting sqref="K312:K313">
    <cfRule type="expression" dxfId="1840" priority="1463">
      <formula>J312="NO CUMPLE"</formula>
    </cfRule>
    <cfRule type="expression" dxfId="1839" priority="1464">
      <formula>J312="CUMPLE"</formula>
    </cfRule>
  </conditionalFormatting>
  <conditionalFormatting sqref="M303">
    <cfRule type="expression" dxfId="1838" priority="1451">
      <formula>L303="NO CUMPLE"</formula>
    </cfRule>
    <cfRule type="expression" dxfId="1837" priority="1452">
      <formula>L303="CUMPLE"</formula>
    </cfRule>
  </conditionalFormatting>
  <conditionalFormatting sqref="L302:L303">
    <cfRule type="cellIs" dxfId="1836" priority="1453" operator="equal">
      <formula>"NO CUMPLE"</formula>
    </cfRule>
    <cfRule type="cellIs" dxfId="1835" priority="1454" operator="equal">
      <formula>"CUMPLE"</formula>
    </cfRule>
  </conditionalFormatting>
  <conditionalFormatting sqref="M302">
    <cfRule type="expression" dxfId="1834" priority="1455">
      <formula>L302="NO CUMPLE"</formula>
    </cfRule>
    <cfRule type="expression" dxfId="1833" priority="1456">
      <formula>L302="CUMPLE"</formula>
    </cfRule>
  </conditionalFormatting>
  <conditionalFormatting sqref="M300">
    <cfRule type="expression" dxfId="1832" priority="1457">
      <formula>L300="NO CUMPLE"</formula>
    </cfRule>
    <cfRule type="expression" dxfId="1831" priority="1458">
      <formula>L300="CUMPLE"</formula>
    </cfRule>
  </conditionalFormatting>
  <conditionalFormatting sqref="M299">
    <cfRule type="expression" dxfId="1830" priority="1461">
      <formula>L299="NO CUMPLE"</formula>
    </cfRule>
    <cfRule type="expression" dxfId="1829" priority="1462">
      <formula>L299="CUMPLE"</formula>
    </cfRule>
  </conditionalFormatting>
  <conditionalFormatting sqref="L299:L300">
    <cfRule type="cellIs" dxfId="1828" priority="1459" operator="equal">
      <formula>"NO CUMPLE"</formula>
    </cfRule>
    <cfRule type="cellIs" dxfId="1827" priority="1460" operator="equal">
      <formula>"CUMPLE"</formula>
    </cfRule>
  </conditionalFormatting>
  <conditionalFormatting sqref="M306">
    <cfRule type="expression" dxfId="1826" priority="1445">
      <formula>L306="NO CUMPLE"</formula>
    </cfRule>
    <cfRule type="expression" dxfId="1825" priority="1446">
      <formula>L306="CUMPLE"</formula>
    </cfRule>
  </conditionalFormatting>
  <conditionalFormatting sqref="M305">
    <cfRule type="expression" dxfId="1824" priority="1449">
      <formula>L305="NO CUMPLE"</formula>
    </cfRule>
    <cfRule type="expression" dxfId="1823" priority="1450">
      <formula>L305="CUMPLE"</formula>
    </cfRule>
  </conditionalFormatting>
  <conditionalFormatting sqref="L305:L306">
    <cfRule type="cellIs" dxfId="1822" priority="1447" operator="equal">
      <formula>"NO CUMPLE"</formula>
    </cfRule>
    <cfRule type="cellIs" dxfId="1821" priority="1448" operator="equal">
      <formula>"CUMPLE"</formula>
    </cfRule>
  </conditionalFormatting>
  <conditionalFormatting sqref="M312">
    <cfRule type="expression" dxfId="1820" priority="1433">
      <formula>L312="NO CUMPLE"</formula>
    </cfRule>
    <cfRule type="expression" dxfId="1819" priority="1434">
      <formula>L312="CUMPLE"</formula>
    </cfRule>
  </conditionalFormatting>
  <conditionalFormatting sqref="M311">
    <cfRule type="expression" dxfId="1818" priority="1437">
      <formula>L311="NO CUMPLE"</formula>
    </cfRule>
    <cfRule type="expression" dxfId="1817" priority="1438">
      <formula>L311="CUMPLE"</formula>
    </cfRule>
  </conditionalFormatting>
  <conditionalFormatting sqref="L311:L312">
    <cfRule type="cellIs" dxfId="1816" priority="1435" operator="equal">
      <formula>"NO CUMPLE"</formula>
    </cfRule>
    <cfRule type="cellIs" dxfId="1815" priority="1436" operator="equal">
      <formula>"CUMPLE"</formula>
    </cfRule>
  </conditionalFormatting>
  <conditionalFormatting sqref="J299">
    <cfRule type="cellIs" dxfId="1814" priority="1431" operator="equal">
      <formula>"NO CUMPLE"</formula>
    </cfRule>
    <cfRule type="cellIs" dxfId="1813" priority="1432" operator="equal">
      <formula>"CUMPLE"</formula>
    </cfRule>
  </conditionalFormatting>
  <conditionalFormatting sqref="J300:J301">
    <cfRule type="cellIs" dxfId="1812" priority="1429" operator="equal">
      <formula>"NO CUMPLE"</formula>
    </cfRule>
    <cfRule type="cellIs" dxfId="1811" priority="1430" operator="equal">
      <formula>"CUMPLE"</formula>
    </cfRule>
  </conditionalFormatting>
  <conditionalFormatting sqref="K299">
    <cfRule type="expression" dxfId="1810" priority="1427">
      <formula>J299="NO CUMPLE"</formula>
    </cfRule>
    <cfRule type="expression" dxfId="1809" priority="1428">
      <formula>J299="CUMPLE"</formula>
    </cfRule>
  </conditionalFormatting>
  <conditionalFormatting sqref="K300:K301">
    <cfRule type="expression" dxfId="1808" priority="1425">
      <formula>J300="NO CUMPLE"</formula>
    </cfRule>
    <cfRule type="expression" dxfId="1807" priority="1426">
      <formula>J300="CUMPLE"</formula>
    </cfRule>
  </conditionalFormatting>
  <conditionalFormatting sqref="T116">
    <cfRule type="cellIs" dxfId="1806" priority="1423" operator="equal">
      <formula>"NO CUMPLE"</formula>
    </cfRule>
    <cfRule type="cellIs" dxfId="1805" priority="1424" operator="equal">
      <formula>"CUMPLE"</formula>
    </cfRule>
  </conditionalFormatting>
  <conditionalFormatting sqref="T101">
    <cfRule type="cellIs" dxfId="1804" priority="1421" operator="equal">
      <formula>"NO"</formula>
    </cfRule>
    <cfRule type="cellIs" dxfId="1803" priority="1422" operator="equal">
      <formula>"SI"</formula>
    </cfRule>
  </conditionalFormatting>
  <conditionalFormatting sqref="T138">
    <cfRule type="cellIs" dxfId="1802" priority="1419" operator="equal">
      <formula>"NO CUMPLE"</formula>
    </cfRule>
    <cfRule type="cellIs" dxfId="1801" priority="1420" operator="equal">
      <formula>"CUMPLE"</formula>
    </cfRule>
  </conditionalFormatting>
  <conditionalFormatting sqref="T123">
    <cfRule type="cellIs" dxfId="1800" priority="1417" operator="equal">
      <formula>"NO"</formula>
    </cfRule>
    <cfRule type="cellIs" dxfId="1799" priority="1418" operator="equal">
      <formula>"SI"</formula>
    </cfRule>
  </conditionalFormatting>
  <conditionalFormatting sqref="T160">
    <cfRule type="cellIs" dxfId="1798" priority="1415" operator="equal">
      <formula>"NO CUMPLE"</formula>
    </cfRule>
    <cfRule type="cellIs" dxfId="1797" priority="1416" operator="equal">
      <formula>"CUMPLE"</formula>
    </cfRule>
  </conditionalFormatting>
  <conditionalFormatting sqref="T145">
    <cfRule type="cellIs" dxfId="1796" priority="1413" operator="equal">
      <formula>"NO"</formula>
    </cfRule>
    <cfRule type="cellIs" dxfId="1795" priority="1414" operator="equal">
      <formula>"SI"</formula>
    </cfRule>
  </conditionalFormatting>
  <conditionalFormatting sqref="U151:U153">
    <cfRule type="cellIs" dxfId="1794" priority="1411" operator="equal">
      <formula>0</formula>
    </cfRule>
    <cfRule type="cellIs" dxfId="1793" priority="1412" operator="equal">
      <formula>1</formula>
    </cfRule>
  </conditionalFormatting>
  <conditionalFormatting sqref="U154:U156">
    <cfRule type="cellIs" dxfId="1792" priority="1409" operator="equal">
      <formula>0</formula>
    </cfRule>
    <cfRule type="cellIs" dxfId="1791" priority="1410" operator="equal">
      <formula>1</formula>
    </cfRule>
  </conditionalFormatting>
  <conditionalFormatting sqref="U157:U159">
    <cfRule type="cellIs" dxfId="1790" priority="1407" operator="equal">
      <formula>0</formula>
    </cfRule>
    <cfRule type="cellIs" dxfId="1789" priority="1408" operator="equal">
      <formula>1</formula>
    </cfRule>
  </conditionalFormatting>
  <conditionalFormatting sqref="T182">
    <cfRule type="cellIs" dxfId="1788" priority="1405" operator="equal">
      <formula>"NO CUMPLE"</formula>
    </cfRule>
    <cfRule type="cellIs" dxfId="1787" priority="1406" operator="equal">
      <formula>"CUMPLE"</formula>
    </cfRule>
  </conditionalFormatting>
  <conditionalFormatting sqref="T167">
    <cfRule type="cellIs" dxfId="1786" priority="1403" operator="equal">
      <formula>"NO"</formula>
    </cfRule>
    <cfRule type="cellIs" dxfId="1785" priority="1404" operator="equal">
      <formula>"SI"</formula>
    </cfRule>
  </conditionalFormatting>
  <conditionalFormatting sqref="T204">
    <cfRule type="cellIs" dxfId="1784" priority="1401" operator="equal">
      <formula>"NO CUMPLE"</formula>
    </cfRule>
    <cfRule type="cellIs" dxfId="1783" priority="1402" operator="equal">
      <formula>"CUMPLE"</formula>
    </cfRule>
  </conditionalFormatting>
  <conditionalFormatting sqref="T189">
    <cfRule type="cellIs" dxfId="1782" priority="1399" operator="equal">
      <formula>"NO"</formula>
    </cfRule>
    <cfRule type="cellIs" dxfId="1781" priority="1400" operator="equal">
      <formula>"SI"</formula>
    </cfRule>
  </conditionalFormatting>
  <conditionalFormatting sqref="U192:U194">
    <cfRule type="cellIs" dxfId="1780" priority="1397" operator="equal">
      <formula>0</formula>
    </cfRule>
    <cfRule type="cellIs" dxfId="1779" priority="1398" operator="equal">
      <formula>1</formula>
    </cfRule>
  </conditionalFormatting>
  <conditionalFormatting sqref="U195:U197">
    <cfRule type="cellIs" dxfId="1778" priority="1395" operator="equal">
      <formula>0</formula>
    </cfRule>
    <cfRule type="cellIs" dxfId="1777" priority="1396" operator="equal">
      <formula>1</formula>
    </cfRule>
  </conditionalFormatting>
  <conditionalFormatting sqref="U198:U200">
    <cfRule type="cellIs" dxfId="1776" priority="1393" operator="equal">
      <formula>0</formula>
    </cfRule>
    <cfRule type="cellIs" dxfId="1775" priority="1394" operator="equal">
      <formula>1</formula>
    </cfRule>
  </conditionalFormatting>
  <conditionalFormatting sqref="U201:U203">
    <cfRule type="cellIs" dxfId="1774" priority="1391" operator="equal">
      <formula>0</formula>
    </cfRule>
    <cfRule type="cellIs" dxfId="1773" priority="1392" operator="equal">
      <formula>1</formula>
    </cfRule>
  </conditionalFormatting>
  <conditionalFormatting sqref="T226">
    <cfRule type="cellIs" dxfId="1772" priority="1389" operator="equal">
      <formula>"NO CUMPLE"</formula>
    </cfRule>
    <cfRule type="cellIs" dxfId="1771" priority="1390" operator="equal">
      <formula>"CUMPLE"</formula>
    </cfRule>
  </conditionalFormatting>
  <conditionalFormatting sqref="T211">
    <cfRule type="cellIs" dxfId="1770" priority="1387" operator="equal">
      <formula>"NO"</formula>
    </cfRule>
    <cfRule type="cellIs" dxfId="1769" priority="1388" operator="equal">
      <formula>"SI"</formula>
    </cfRule>
  </conditionalFormatting>
  <conditionalFormatting sqref="U214:U216">
    <cfRule type="cellIs" dxfId="1768" priority="1385" operator="equal">
      <formula>0</formula>
    </cfRule>
    <cfRule type="cellIs" dxfId="1767" priority="1386" operator="equal">
      <formula>1</formula>
    </cfRule>
  </conditionalFormatting>
  <conditionalFormatting sqref="U217:U219">
    <cfRule type="cellIs" dxfId="1766" priority="1383" operator="equal">
      <formula>0</formula>
    </cfRule>
    <cfRule type="cellIs" dxfId="1765" priority="1384" operator="equal">
      <formula>1</formula>
    </cfRule>
  </conditionalFormatting>
  <conditionalFormatting sqref="U220:U222">
    <cfRule type="cellIs" dxfId="1764" priority="1381" operator="equal">
      <formula>0</formula>
    </cfRule>
    <cfRule type="cellIs" dxfId="1763" priority="1382" operator="equal">
      <formula>1</formula>
    </cfRule>
  </conditionalFormatting>
  <conditionalFormatting sqref="U223:U225">
    <cfRule type="cellIs" dxfId="1762" priority="1379" operator="equal">
      <formula>0</formula>
    </cfRule>
    <cfRule type="cellIs" dxfId="1761" priority="1380" operator="equal">
      <formula>1</formula>
    </cfRule>
  </conditionalFormatting>
  <conditionalFormatting sqref="T248">
    <cfRule type="cellIs" dxfId="1760" priority="1377" operator="equal">
      <formula>"NO CUMPLE"</formula>
    </cfRule>
    <cfRule type="cellIs" dxfId="1759" priority="1378" operator="equal">
      <formula>"CUMPLE"</formula>
    </cfRule>
  </conditionalFormatting>
  <conditionalFormatting sqref="T233">
    <cfRule type="cellIs" dxfId="1758" priority="1375" operator="equal">
      <formula>"NO"</formula>
    </cfRule>
    <cfRule type="cellIs" dxfId="1757" priority="1376" operator="equal">
      <formula>"SI"</formula>
    </cfRule>
  </conditionalFormatting>
  <conditionalFormatting sqref="U242:U244">
    <cfRule type="cellIs" dxfId="1756" priority="1373" operator="equal">
      <formula>0</formula>
    </cfRule>
    <cfRule type="cellIs" dxfId="1755" priority="1374" operator="equal">
      <formula>1</formula>
    </cfRule>
  </conditionalFormatting>
  <conditionalFormatting sqref="U245:U247">
    <cfRule type="cellIs" dxfId="1754" priority="1371" operator="equal">
      <formula>0</formula>
    </cfRule>
    <cfRule type="cellIs" dxfId="1753" priority="1372" operator="equal">
      <formula>1</formula>
    </cfRule>
  </conditionalFormatting>
  <conditionalFormatting sqref="T270">
    <cfRule type="cellIs" dxfId="1752" priority="1369" operator="equal">
      <formula>"NO CUMPLE"</formula>
    </cfRule>
    <cfRule type="cellIs" dxfId="1751" priority="1370" operator="equal">
      <formula>"CUMPLE"</formula>
    </cfRule>
  </conditionalFormatting>
  <conditionalFormatting sqref="T255">
    <cfRule type="cellIs" dxfId="1750" priority="1367" operator="equal">
      <formula>"NO"</formula>
    </cfRule>
    <cfRule type="cellIs" dxfId="1749" priority="1368" operator="equal">
      <formula>"SI"</formula>
    </cfRule>
  </conditionalFormatting>
  <conditionalFormatting sqref="U255:U257">
    <cfRule type="cellIs" dxfId="1748" priority="1365" operator="equal">
      <formula>0</formula>
    </cfRule>
    <cfRule type="cellIs" dxfId="1747" priority="1366" operator="equal">
      <formula>1</formula>
    </cfRule>
  </conditionalFormatting>
  <conditionalFormatting sqref="T292">
    <cfRule type="cellIs" dxfId="1746" priority="1363" operator="equal">
      <formula>"NO CUMPLE"</formula>
    </cfRule>
    <cfRule type="cellIs" dxfId="1745" priority="1364" operator="equal">
      <formula>"CUMPLE"</formula>
    </cfRule>
  </conditionalFormatting>
  <conditionalFormatting sqref="T277">
    <cfRule type="cellIs" dxfId="1744" priority="1361" operator="equal">
      <formula>"NO"</formula>
    </cfRule>
    <cfRule type="cellIs" dxfId="1743" priority="1362" operator="equal">
      <formula>"SI"</formula>
    </cfRule>
  </conditionalFormatting>
  <conditionalFormatting sqref="U277:U279">
    <cfRule type="cellIs" dxfId="1742" priority="1359" operator="equal">
      <formula>0</formula>
    </cfRule>
    <cfRule type="cellIs" dxfId="1741" priority="1360" operator="equal">
      <formula>1</formula>
    </cfRule>
  </conditionalFormatting>
  <conditionalFormatting sqref="U286:U288">
    <cfRule type="cellIs" dxfId="1740" priority="1357" operator="equal">
      <formula>0</formula>
    </cfRule>
    <cfRule type="cellIs" dxfId="1739" priority="1358" operator="equal">
      <formula>1</formula>
    </cfRule>
  </conditionalFormatting>
  <conditionalFormatting sqref="U289:U291">
    <cfRule type="cellIs" dxfId="1738" priority="1355" operator="equal">
      <formula>0</formula>
    </cfRule>
    <cfRule type="cellIs" dxfId="1737" priority="1356" operator="equal">
      <formula>1</formula>
    </cfRule>
  </conditionalFormatting>
  <conditionalFormatting sqref="T314">
    <cfRule type="cellIs" dxfId="1736" priority="1353" operator="equal">
      <formula>"NO CUMPLE"</formula>
    </cfRule>
    <cfRule type="cellIs" dxfId="1735" priority="1354" operator="equal">
      <formula>"CUMPLE"</formula>
    </cfRule>
  </conditionalFormatting>
  <conditionalFormatting sqref="T299">
    <cfRule type="cellIs" dxfId="1734" priority="1351" operator="equal">
      <formula>"NO"</formula>
    </cfRule>
    <cfRule type="cellIs" dxfId="1733" priority="1352" operator="equal">
      <formula>"SI"</formula>
    </cfRule>
  </conditionalFormatting>
  <conditionalFormatting sqref="U299:U301">
    <cfRule type="cellIs" dxfId="1732" priority="1349" operator="equal">
      <formula>0</formula>
    </cfRule>
    <cfRule type="cellIs" dxfId="1731" priority="1350" operator="equal">
      <formula>1</formula>
    </cfRule>
  </conditionalFormatting>
  <conditionalFormatting sqref="U302:U304">
    <cfRule type="cellIs" dxfId="1730" priority="1347" operator="equal">
      <formula>0</formula>
    </cfRule>
    <cfRule type="cellIs" dxfId="1729" priority="1348" operator="equal">
      <formula>1</formula>
    </cfRule>
  </conditionalFormatting>
  <conditionalFormatting sqref="U305:U307">
    <cfRule type="cellIs" dxfId="1728" priority="1345" operator="equal">
      <formula>0</formula>
    </cfRule>
    <cfRule type="cellIs" dxfId="1727" priority="1346" operator="equal">
      <formula>1</formula>
    </cfRule>
  </conditionalFormatting>
  <conditionalFormatting sqref="U308:U310">
    <cfRule type="cellIs" dxfId="1726" priority="1343" operator="equal">
      <formula>0</formula>
    </cfRule>
    <cfRule type="cellIs" dxfId="1725" priority="1344" operator="equal">
      <formula>1</formula>
    </cfRule>
  </conditionalFormatting>
  <conditionalFormatting sqref="U311:U313">
    <cfRule type="cellIs" dxfId="1724" priority="1341" operator="equal">
      <formula>0</formula>
    </cfRule>
    <cfRule type="cellIs" dxfId="1723" priority="1342" operator="equal">
      <formula>1</formula>
    </cfRule>
  </conditionalFormatting>
  <conditionalFormatting sqref="K16">
    <cfRule type="expression" dxfId="1722" priority="1339">
      <formula>J16="NO CUMPLE"</formula>
    </cfRule>
    <cfRule type="expression" dxfId="1721" priority="1340">
      <formula>J16="CUMPLE"</formula>
    </cfRule>
  </conditionalFormatting>
  <conditionalFormatting sqref="K17:K18">
    <cfRule type="expression" dxfId="1720" priority="1337">
      <formula>J17="NO CUMPLE"</formula>
    </cfRule>
    <cfRule type="expression" dxfId="1719" priority="1338">
      <formula>J17="CUMPLE"</formula>
    </cfRule>
  </conditionalFormatting>
  <conditionalFormatting sqref="K19">
    <cfRule type="expression" dxfId="1718" priority="1335">
      <formula>J19="NO CUMPLE"</formula>
    </cfRule>
    <cfRule type="expression" dxfId="1717" priority="1336">
      <formula>J19="CUMPLE"</formula>
    </cfRule>
  </conditionalFormatting>
  <conditionalFormatting sqref="K20:K21">
    <cfRule type="expression" dxfId="1716" priority="1333">
      <formula>J20="NO CUMPLE"</formula>
    </cfRule>
    <cfRule type="expression" dxfId="1715" priority="1334">
      <formula>J20="CUMPLE"</formula>
    </cfRule>
  </conditionalFormatting>
  <conditionalFormatting sqref="K22">
    <cfRule type="expression" dxfId="1714" priority="1331">
      <formula>J22="NO CUMPLE"</formula>
    </cfRule>
    <cfRule type="expression" dxfId="1713" priority="1332">
      <formula>J22="CUMPLE"</formula>
    </cfRule>
  </conditionalFormatting>
  <conditionalFormatting sqref="K23:K24">
    <cfRule type="expression" dxfId="1712" priority="1329">
      <formula>J23="NO CUMPLE"</formula>
    </cfRule>
    <cfRule type="expression" dxfId="1711" priority="1330">
      <formula>J23="CUMPLE"</formula>
    </cfRule>
  </conditionalFormatting>
  <conditionalFormatting sqref="K25">
    <cfRule type="expression" dxfId="1710" priority="1327">
      <formula>J25="NO CUMPLE"</formula>
    </cfRule>
    <cfRule type="expression" dxfId="1709" priority="1328">
      <formula>J25="CUMPLE"</formula>
    </cfRule>
  </conditionalFormatting>
  <conditionalFormatting sqref="K26:K27">
    <cfRule type="expression" dxfId="1708" priority="1325">
      <formula>J26="NO CUMPLE"</formula>
    </cfRule>
    <cfRule type="expression" dxfId="1707" priority="1326">
      <formula>J26="CUMPLE"</formula>
    </cfRule>
  </conditionalFormatting>
  <conditionalFormatting sqref="N280">
    <cfRule type="expression" dxfId="1706" priority="1322">
      <formula>N280=" "</formula>
    </cfRule>
    <cfRule type="expression" dxfId="1705" priority="1323">
      <formula>N280="NO PRESENTÓ CERTIFICADO"</formula>
    </cfRule>
    <cfRule type="expression" dxfId="1704" priority="1324">
      <formula>N280="PRESENTÓ CERTIFICADO"</formula>
    </cfRule>
  </conditionalFormatting>
  <conditionalFormatting sqref="O280">
    <cfRule type="cellIs" dxfId="1703" priority="1314" operator="equal">
      <formula>"PENDIENTE POR DESCRIPCIÓN"</formula>
    </cfRule>
    <cfRule type="cellIs" dxfId="1702" priority="1315" operator="equal">
      <formula>"DESCRIPCIÓN INSUFICIENTE"</formula>
    </cfRule>
    <cfRule type="cellIs" dxfId="1701" priority="1316" operator="equal">
      <formula>"NO ESTÁ ACORDE A ITEM 5.2.2 (T.R.)"</formula>
    </cfRule>
    <cfRule type="cellIs" dxfId="1700" priority="1317" operator="equal">
      <formula>"ACORDE A ITEM 5.2.2 (T.R.)"</formula>
    </cfRule>
    <cfRule type="cellIs" dxfId="1699" priority="1318" operator="equal">
      <formula>"PENDIENTE POR DESCRIPCIÓN"</formula>
    </cfRule>
    <cfRule type="cellIs" dxfId="1698" priority="1319" operator="equal">
      <formula>"DESCRIPCIÓN INSUFICIENTE"</formula>
    </cfRule>
    <cfRule type="cellIs" dxfId="1697" priority="1320" operator="equal">
      <formula>"NO ESTÁ ACORDE A ITEM 5.2.1 (T.R.)"</formula>
    </cfRule>
    <cfRule type="cellIs" dxfId="1696" priority="1321" operator="equal">
      <formula>"ACORDE A ITEM 5.2.1 (T.R.)"</formula>
    </cfRule>
  </conditionalFormatting>
  <conditionalFormatting sqref="N283">
    <cfRule type="expression" dxfId="1695" priority="1311">
      <formula>N283=" "</formula>
    </cfRule>
    <cfRule type="expression" dxfId="1694" priority="1312">
      <formula>N283="NO PRESENTÓ CERTIFICADO"</formula>
    </cfRule>
    <cfRule type="expression" dxfId="1693" priority="1313">
      <formula>N283="PRESENTÓ CERTIFICADO"</formula>
    </cfRule>
  </conditionalFormatting>
  <conditionalFormatting sqref="O283">
    <cfRule type="cellIs" dxfId="1692" priority="1303" operator="equal">
      <formula>"PENDIENTE POR DESCRIPCIÓN"</formula>
    </cfRule>
    <cfRule type="cellIs" dxfId="1691" priority="1304" operator="equal">
      <formula>"DESCRIPCIÓN INSUFICIENTE"</formula>
    </cfRule>
    <cfRule type="cellIs" dxfId="1690" priority="1305" operator="equal">
      <formula>"NO ESTÁ ACORDE A ITEM 5.2.2 (T.R.)"</formula>
    </cfRule>
    <cfRule type="cellIs" dxfId="1689" priority="1306" operator="equal">
      <formula>"ACORDE A ITEM 5.2.2 (T.R.)"</formula>
    </cfRule>
    <cfRule type="cellIs" dxfId="1688" priority="1307" operator="equal">
      <formula>"PENDIENTE POR DESCRIPCIÓN"</formula>
    </cfRule>
    <cfRule type="cellIs" dxfId="1687" priority="1308" operator="equal">
      <formula>"DESCRIPCIÓN INSUFICIENTE"</formula>
    </cfRule>
    <cfRule type="cellIs" dxfId="1686" priority="1309" operator="equal">
      <formula>"NO ESTÁ ACORDE A ITEM 5.2.1 (T.R.)"</formula>
    </cfRule>
    <cfRule type="cellIs" dxfId="1685" priority="1310" operator="equal">
      <formula>"ACORDE A ITEM 5.2.1 (T.R.)"</formula>
    </cfRule>
  </conditionalFormatting>
  <conditionalFormatting sqref="Q277">
    <cfRule type="containsBlanks" dxfId="1684" priority="1294">
      <formula>LEN(TRIM(Q277))=0</formula>
    </cfRule>
    <cfRule type="cellIs" dxfId="1683" priority="1299" operator="equal">
      <formula>"REQUERIMIENTOS SUBSANADOS"</formula>
    </cfRule>
    <cfRule type="containsText" dxfId="1682" priority="1300" operator="containsText" text="NO SUBSANABLE">
      <formula>NOT(ISERROR(SEARCH("NO SUBSANABLE",Q277)))</formula>
    </cfRule>
    <cfRule type="containsText" dxfId="1681" priority="1301" operator="containsText" text="PENDIENTES POR SUBSANAR">
      <formula>NOT(ISERROR(SEARCH("PENDIENTES POR SUBSANAR",Q277)))</formula>
    </cfRule>
    <cfRule type="containsText" dxfId="1680" priority="1302" operator="containsText" text="SIN OBSERVACIÓN">
      <formula>NOT(ISERROR(SEARCH("SIN OBSERVACIÓN",Q277)))</formula>
    </cfRule>
  </conditionalFormatting>
  <conditionalFormatting sqref="R277">
    <cfRule type="containsBlanks" dxfId="1679" priority="1293">
      <formula>LEN(TRIM(R277))=0</formula>
    </cfRule>
    <cfRule type="cellIs" dxfId="1678" priority="1295" operator="equal">
      <formula>"NO CUMPLEN CON LO SOLICITADO"</formula>
    </cfRule>
    <cfRule type="cellIs" dxfId="1677" priority="1296" operator="equal">
      <formula>"CUMPLEN CON LO SOLICITADO"</formula>
    </cfRule>
    <cfRule type="cellIs" dxfId="1676" priority="1297" operator="equal">
      <formula>"PENDIENTES"</formula>
    </cfRule>
    <cfRule type="cellIs" dxfId="1675" priority="1298" operator="equal">
      <formula>"NINGUNO"</formula>
    </cfRule>
  </conditionalFormatting>
  <conditionalFormatting sqref="Q280">
    <cfRule type="containsBlanks" dxfId="1674" priority="1284">
      <formula>LEN(TRIM(Q280))=0</formula>
    </cfRule>
    <cfRule type="cellIs" dxfId="1673" priority="1289" operator="equal">
      <formula>"REQUERIMIENTOS SUBSANADOS"</formula>
    </cfRule>
    <cfRule type="containsText" dxfId="1672" priority="1290" operator="containsText" text="NO SUBSANABLE">
      <formula>NOT(ISERROR(SEARCH("NO SUBSANABLE",Q280)))</formula>
    </cfRule>
    <cfRule type="containsText" dxfId="1671" priority="1291" operator="containsText" text="PENDIENTES POR SUBSANAR">
      <formula>NOT(ISERROR(SEARCH("PENDIENTES POR SUBSANAR",Q280)))</formula>
    </cfRule>
    <cfRule type="containsText" dxfId="1670" priority="1292" operator="containsText" text="SIN OBSERVACIÓN">
      <formula>NOT(ISERROR(SEARCH("SIN OBSERVACIÓN",Q280)))</formula>
    </cfRule>
  </conditionalFormatting>
  <conditionalFormatting sqref="R280">
    <cfRule type="containsBlanks" dxfId="1669" priority="1283">
      <formula>LEN(TRIM(R280))=0</formula>
    </cfRule>
    <cfRule type="cellIs" dxfId="1668" priority="1285" operator="equal">
      <formula>"NO CUMPLEN CON LO SOLICITADO"</formula>
    </cfRule>
    <cfRule type="cellIs" dxfId="1667" priority="1286" operator="equal">
      <formula>"CUMPLEN CON LO SOLICITADO"</formula>
    </cfRule>
    <cfRule type="cellIs" dxfId="1666" priority="1287" operator="equal">
      <formula>"PENDIENTES"</formula>
    </cfRule>
    <cfRule type="cellIs" dxfId="1665" priority="1288" operator="equal">
      <formula>"NINGUNO"</formula>
    </cfRule>
  </conditionalFormatting>
  <conditionalFormatting sqref="U280:U285">
    <cfRule type="cellIs" dxfId="1664" priority="1281" operator="equal">
      <formula>0</formula>
    </cfRule>
    <cfRule type="cellIs" dxfId="1663" priority="1282" operator="equal">
      <formula>1</formula>
    </cfRule>
  </conditionalFormatting>
  <conditionalFormatting sqref="H258 H261 H264 H267">
    <cfRule type="notContainsBlanks" dxfId="1662" priority="1280">
      <formula>LEN(TRIM(H258))&gt;0</formula>
    </cfRule>
  </conditionalFormatting>
  <conditionalFormatting sqref="I258 I261 I264 I267">
    <cfRule type="notContainsBlanks" dxfId="1661" priority="1279">
      <formula>LEN(TRIM(I258))&gt;0</formula>
    </cfRule>
  </conditionalFormatting>
  <conditionalFormatting sqref="N258">
    <cfRule type="expression" dxfId="1660" priority="1276">
      <formula>N258=" "</formula>
    </cfRule>
    <cfRule type="expression" dxfId="1659" priority="1277">
      <formula>N258="NO PRESENTÓ CERTIFICADO"</formula>
    </cfRule>
    <cfRule type="expression" dxfId="1658" priority="1278">
      <formula>N258="PRESENTÓ CERTIFICADO"</formula>
    </cfRule>
  </conditionalFormatting>
  <conditionalFormatting sqref="O258">
    <cfRule type="cellIs" dxfId="1657" priority="1258" operator="equal">
      <formula>"PENDIENTE POR DESCRIPCIÓN"</formula>
    </cfRule>
    <cfRule type="cellIs" dxfId="1656" priority="1259" operator="equal">
      <formula>"DESCRIPCIÓN INSUFICIENTE"</formula>
    </cfRule>
    <cfRule type="cellIs" dxfId="1655" priority="1260" operator="equal">
      <formula>"NO ESTÁ ACORDE A ITEM 5.2.2 (T.R.)"</formula>
    </cfRule>
    <cfRule type="cellIs" dxfId="1654" priority="1261" operator="equal">
      <formula>"ACORDE A ITEM 5.2.2 (T.R.)"</formula>
    </cfRule>
    <cfRule type="cellIs" dxfId="1653" priority="1268" operator="equal">
      <formula>"PENDIENTE POR DESCRIPCIÓN"</formula>
    </cfRule>
    <cfRule type="cellIs" dxfId="1652" priority="1270" operator="equal">
      <formula>"DESCRIPCIÓN INSUFICIENTE"</formula>
    </cfRule>
    <cfRule type="cellIs" dxfId="1651" priority="1271" operator="equal">
      <formula>"NO ESTÁ ACORDE A ITEM 5.2.1 (T.R.)"</formula>
    </cfRule>
    <cfRule type="cellIs" dxfId="1650" priority="1272" operator="equal">
      <formula>"ACORDE A ITEM 5.2.1 (T.R.)"</formula>
    </cfRule>
  </conditionalFormatting>
  <conditionalFormatting sqref="Q258">
    <cfRule type="containsBlanks" dxfId="1649" priority="1263">
      <formula>LEN(TRIM(Q258))=0</formula>
    </cfRule>
    <cfRule type="cellIs" dxfId="1648" priority="1269" operator="equal">
      <formula>"REQUERIMIENTOS SUBSANADOS"</formula>
    </cfRule>
    <cfRule type="containsText" dxfId="1647" priority="1273" operator="containsText" text="NO SUBSANABLE">
      <formula>NOT(ISERROR(SEARCH("NO SUBSANABLE",Q258)))</formula>
    </cfRule>
    <cfRule type="containsText" dxfId="1646" priority="1274" operator="containsText" text="PENDIENTES POR SUBSANAR">
      <formula>NOT(ISERROR(SEARCH("PENDIENTES POR SUBSANAR",Q258)))</formula>
    </cfRule>
    <cfRule type="containsText" dxfId="1645" priority="1275" operator="containsText" text="SIN OBSERVACIÓN">
      <formula>NOT(ISERROR(SEARCH("SIN OBSERVACIÓN",Q258)))</formula>
    </cfRule>
  </conditionalFormatting>
  <conditionalFormatting sqref="R258">
    <cfRule type="containsBlanks" dxfId="1644" priority="1262">
      <formula>LEN(TRIM(R258))=0</formula>
    </cfRule>
    <cfRule type="cellIs" dxfId="1643" priority="1264" operator="equal">
      <formula>"NO CUMPLEN CON LO SOLICITADO"</formula>
    </cfRule>
    <cfRule type="cellIs" dxfId="1642" priority="1265" operator="equal">
      <formula>"CUMPLEN CON LO SOLICITADO"</formula>
    </cfRule>
    <cfRule type="cellIs" dxfId="1641" priority="1266" operator="equal">
      <formula>"PENDIENTES"</formula>
    </cfRule>
    <cfRule type="cellIs" dxfId="1640" priority="1267" operator="equal">
      <formula>"NINGUNO"</formula>
    </cfRule>
  </conditionalFormatting>
  <conditionalFormatting sqref="P258">
    <cfRule type="expression" dxfId="1639" priority="1253">
      <formula>Q258="NO SUBSANABLE"</formula>
    </cfRule>
    <cfRule type="expression" dxfId="1638" priority="1254">
      <formula>Q258="REQUERIMIENTOS SUBSANADOS"</formula>
    </cfRule>
    <cfRule type="expression" dxfId="1637" priority="1255">
      <formula>Q258="PENDIENTES POR SUBSANAR"</formula>
    </cfRule>
    <cfRule type="expression" dxfId="1636" priority="1256">
      <formula>Q258="SIN OBSERVACIÓN"</formula>
    </cfRule>
    <cfRule type="containsBlanks" dxfId="1635" priority="1257">
      <formula>LEN(TRIM(P258))=0</formula>
    </cfRule>
  </conditionalFormatting>
  <conditionalFormatting sqref="N261">
    <cfRule type="expression" dxfId="1634" priority="1250">
      <formula>N261=" "</formula>
    </cfRule>
    <cfRule type="expression" dxfId="1633" priority="1251">
      <formula>N261="NO PRESENTÓ CERTIFICADO"</formula>
    </cfRule>
    <cfRule type="expression" dxfId="1632" priority="1252">
      <formula>N261="PRESENTÓ CERTIFICADO"</formula>
    </cfRule>
  </conditionalFormatting>
  <conditionalFormatting sqref="O261">
    <cfRule type="cellIs" dxfId="1631" priority="1232" operator="equal">
      <formula>"PENDIENTE POR DESCRIPCIÓN"</formula>
    </cfRule>
    <cfRule type="cellIs" dxfId="1630" priority="1233" operator="equal">
      <formula>"DESCRIPCIÓN INSUFICIENTE"</formula>
    </cfRule>
    <cfRule type="cellIs" dxfId="1629" priority="1234" operator="equal">
      <formula>"NO ESTÁ ACORDE A ITEM 5.2.2 (T.R.)"</formula>
    </cfRule>
    <cfRule type="cellIs" dxfId="1628" priority="1235" operator="equal">
      <formula>"ACORDE A ITEM 5.2.2 (T.R.)"</formula>
    </cfRule>
    <cfRule type="cellIs" dxfId="1627" priority="1242" operator="equal">
      <formula>"PENDIENTE POR DESCRIPCIÓN"</formula>
    </cfRule>
    <cfRule type="cellIs" dxfId="1626" priority="1244" operator="equal">
      <formula>"DESCRIPCIÓN INSUFICIENTE"</formula>
    </cfRule>
    <cfRule type="cellIs" dxfId="1625" priority="1245" operator="equal">
      <formula>"NO ESTÁ ACORDE A ITEM 5.2.1 (T.R.)"</formula>
    </cfRule>
    <cfRule type="cellIs" dxfId="1624" priority="1246" operator="equal">
      <formula>"ACORDE A ITEM 5.2.1 (T.R.)"</formula>
    </cfRule>
  </conditionalFormatting>
  <conditionalFormatting sqref="Q261">
    <cfRule type="containsBlanks" dxfId="1623" priority="1237">
      <formula>LEN(TRIM(Q261))=0</formula>
    </cfRule>
    <cfRule type="cellIs" dxfId="1622" priority="1243" operator="equal">
      <formula>"REQUERIMIENTOS SUBSANADOS"</formula>
    </cfRule>
    <cfRule type="containsText" dxfId="1621" priority="1247" operator="containsText" text="NO SUBSANABLE">
      <formula>NOT(ISERROR(SEARCH("NO SUBSANABLE",Q261)))</formula>
    </cfRule>
    <cfRule type="containsText" dxfId="1620" priority="1248" operator="containsText" text="PENDIENTES POR SUBSANAR">
      <formula>NOT(ISERROR(SEARCH("PENDIENTES POR SUBSANAR",Q261)))</formula>
    </cfRule>
    <cfRule type="containsText" dxfId="1619" priority="1249" operator="containsText" text="SIN OBSERVACIÓN">
      <formula>NOT(ISERROR(SEARCH("SIN OBSERVACIÓN",Q261)))</formula>
    </cfRule>
  </conditionalFormatting>
  <conditionalFormatting sqref="R261">
    <cfRule type="containsBlanks" dxfId="1618" priority="1236">
      <formula>LEN(TRIM(R261))=0</formula>
    </cfRule>
    <cfRule type="cellIs" dxfId="1617" priority="1238" operator="equal">
      <formula>"NO CUMPLEN CON LO SOLICITADO"</formula>
    </cfRule>
    <cfRule type="cellIs" dxfId="1616" priority="1239" operator="equal">
      <formula>"CUMPLEN CON LO SOLICITADO"</formula>
    </cfRule>
    <cfRule type="cellIs" dxfId="1615" priority="1240" operator="equal">
      <formula>"PENDIENTES"</formula>
    </cfRule>
    <cfRule type="cellIs" dxfId="1614" priority="1241" operator="equal">
      <formula>"NINGUNO"</formula>
    </cfRule>
  </conditionalFormatting>
  <conditionalFormatting sqref="P261">
    <cfRule type="expression" dxfId="1613" priority="1227">
      <formula>Q261="NO SUBSANABLE"</formula>
    </cfRule>
    <cfRule type="expression" dxfId="1612" priority="1228">
      <formula>Q261="REQUERIMIENTOS SUBSANADOS"</formula>
    </cfRule>
    <cfRule type="expression" dxfId="1611" priority="1229">
      <formula>Q261="PENDIENTES POR SUBSANAR"</formula>
    </cfRule>
    <cfRule type="expression" dxfId="1610" priority="1230">
      <formula>Q261="SIN OBSERVACIÓN"</formula>
    </cfRule>
    <cfRule type="containsBlanks" dxfId="1609" priority="1231">
      <formula>LEN(TRIM(P261))=0</formula>
    </cfRule>
  </conditionalFormatting>
  <conditionalFormatting sqref="N264">
    <cfRule type="expression" dxfId="1608" priority="1224">
      <formula>N264=" "</formula>
    </cfRule>
    <cfRule type="expression" dxfId="1607" priority="1225">
      <formula>N264="NO PRESENTÓ CERTIFICADO"</formula>
    </cfRule>
    <cfRule type="expression" dxfId="1606" priority="1226">
      <formula>N264="PRESENTÓ CERTIFICADO"</formula>
    </cfRule>
  </conditionalFormatting>
  <conditionalFormatting sqref="O264">
    <cfRule type="cellIs" dxfId="1605" priority="1206" operator="equal">
      <formula>"PENDIENTE POR DESCRIPCIÓN"</formula>
    </cfRule>
    <cfRule type="cellIs" dxfId="1604" priority="1207" operator="equal">
      <formula>"DESCRIPCIÓN INSUFICIENTE"</formula>
    </cfRule>
    <cfRule type="cellIs" dxfId="1603" priority="1208" operator="equal">
      <formula>"NO ESTÁ ACORDE A ITEM 5.2.2 (T.R.)"</formula>
    </cfRule>
    <cfRule type="cellIs" dxfId="1602" priority="1209" operator="equal">
      <formula>"ACORDE A ITEM 5.2.2 (T.R.)"</formula>
    </cfRule>
    <cfRule type="cellIs" dxfId="1601" priority="1216" operator="equal">
      <formula>"PENDIENTE POR DESCRIPCIÓN"</formula>
    </cfRule>
    <cfRule type="cellIs" dxfId="1600" priority="1218" operator="equal">
      <formula>"DESCRIPCIÓN INSUFICIENTE"</formula>
    </cfRule>
    <cfRule type="cellIs" dxfId="1599" priority="1219" operator="equal">
      <formula>"NO ESTÁ ACORDE A ITEM 5.2.1 (T.R.)"</formula>
    </cfRule>
    <cfRule type="cellIs" dxfId="1598" priority="1220" operator="equal">
      <formula>"ACORDE A ITEM 5.2.1 (T.R.)"</formula>
    </cfRule>
  </conditionalFormatting>
  <conditionalFormatting sqref="Q264">
    <cfRule type="containsBlanks" dxfId="1597" priority="1211">
      <formula>LEN(TRIM(Q264))=0</formula>
    </cfRule>
    <cfRule type="cellIs" dxfId="1596" priority="1217" operator="equal">
      <formula>"REQUERIMIENTOS SUBSANADOS"</formula>
    </cfRule>
    <cfRule type="containsText" dxfId="1595" priority="1221" operator="containsText" text="NO SUBSANABLE">
      <formula>NOT(ISERROR(SEARCH("NO SUBSANABLE",Q264)))</formula>
    </cfRule>
    <cfRule type="containsText" dxfId="1594" priority="1222" operator="containsText" text="PENDIENTES POR SUBSANAR">
      <formula>NOT(ISERROR(SEARCH("PENDIENTES POR SUBSANAR",Q264)))</formula>
    </cfRule>
    <cfRule type="containsText" dxfId="1593" priority="1223" operator="containsText" text="SIN OBSERVACIÓN">
      <formula>NOT(ISERROR(SEARCH("SIN OBSERVACIÓN",Q264)))</formula>
    </cfRule>
  </conditionalFormatting>
  <conditionalFormatting sqref="R264">
    <cfRule type="containsBlanks" dxfId="1592" priority="1210">
      <formula>LEN(TRIM(R264))=0</formula>
    </cfRule>
    <cfRule type="cellIs" dxfId="1591" priority="1212" operator="equal">
      <formula>"NO CUMPLEN CON LO SOLICITADO"</formula>
    </cfRule>
    <cfRule type="cellIs" dxfId="1590" priority="1213" operator="equal">
      <formula>"CUMPLEN CON LO SOLICITADO"</formula>
    </cfRule>
    <cfRule type="cellIs" dxfId="1589" priority="1214" operator="equal">
      <formula>"PENDIENTES"</formula>
    </cfRule>
    <cfRule type="cellIs" dxfId="1588" priority="1215" operator="equal">
      <formula>"NINGUNO"</formula>
    </cfRule>
  </conditionalFormatting>
  <conditionalFormatting sqref="P264">
    <cfRule type="expression" dxfId="1587" priority="1201">
      <formula>Q264="NO SUBSANABLE"</formula>
    </cfRule>
    <cfRule type="expression" dxfId="1586" priority="1202">
      <formula>Q264="REQUERIMIENTOS SUBSANADOS"</formula>
    </cfRule>
    <cfRule type="expression" dxfId="1585" priority="1203">
      <formula>Q264="PENDIENTES POR SUBSANAR"</formula>
    </cfRule>
    <cfRule type="expression" dxfId="1584" priority="1204">
      <formula>Q264="SIN OBSERVACIÓN"</formula>
    </cfRule>
    <cfRule type="containsBlanks" dxfId="1583" priority="1205">
      <formula>LEN(TRIM(P264))=0</formula>
    </cfRule>
  </conditionalFormatting>
  <conditionalFormatting sqref="N267">
    <cfRule type="expression" dxfId="1582" priority="1198">
      <formula>N267=" "</formula>
    </cfRule>
    <cfRule type="expression" dxfId="1581" priority="1199">
      <formula>N267="NO PRESENTÓ CERTIFICADO"</formula>
    </cfRule>
    <cfRule type="expression" dxfId="1580" priority="1200">
      <formula>N267="PRESENTÓ CERTIFICADO"</formula>
    </cfRule>
  </conditionalFormatting>
  <conditionalFormatting sqref="O267">
    <cfRule type="cellIs" dxfId="1579" priority="1180" operator="equal">
      <formula>"PENDIENTE POR DESCRIPCIÓN"</formula>
    </cfRule>
    <cfRule type="cellIs" dxfId="1578" priority="1181" operator="equal">
      <formula>"DESCRIPCIÓN INSUFICIENTE"</formula>
    </cfRule>
    <cfRule type="cellIs" dxfId="1577" priority="1182" operator="equal">
      <formula>"NO ESTÁ ACORDE A ITEM 5.2.2 (T.R.)"</formula>
    </cfRule>
    <cfRule type="cellIs" dxfId="1576" priority="1183" operator="equal">
      <formula>"ACORDE A ITEM 5.2.2 (T.R.)"</formula>
    </cfRule>
    <cfRule type="cellIs" dxfId="1575" priority="1190" operator="equal">
      <formula>"PENDIENTE POR DESCRIPCIÓN"</formula>
    </cfRule>
    <cfRule type="cellIs" dxfId="1574" priority="1192" operator="equal">
      <formula>"DESCRIPCIÓN INSUFICIENTE"</formula>
    </cfRule>
    <cfRule type="cellIs" dxfId="1573" priority="1193" operator="equal">
      <formula>"NO ESTÁ ACORDE A ITEM 5.2.1 (T.R.)"</formula>
    </cfRule>
    <cfRule type="cellIs" dxfId="1572" priority="1194" operator="equal">
      <formula>"ACORDE A ITEM 5.2.1 (T.R.)"</formula>
    </cfRule>
  </conditionalFormatting>
  <conditionalFormatting sqref="Q267">
    <cfRule type="containsBlanks" dxfId="1571" priority="1185">
      <formula>LEN(TRIM(Q267))=0</formula>
    </cfRule>
    <cfRule type="cellIs" dxfId="1570" priority="1191" operator="equal">
      <formula>"REQUERIMIENTOS SUBSANADOS"</formula>
    </cfRule>
    <cfRule type="containsText" dxfId="1569" priority="1195" operator="containsText" text="NO SUBSANABLE">
      <formula>NOT(ISERROR(SEARCH("NO SUBSANABLE",Q267)))</formula>
    </cfRule>
    <cfRule type="containsText" dxfId="1568" priority="1196" operator="containsText" text="PENDIENTES POR SUBSANAR">
      <formula>NOT(ISERROR(SEARCH("PENDIENTES POR SUBSANAR",Q267)))</formula>
    </cfRule>
    <cfRule type="containsText" dxfId="1567" priority="1197" operator="containsText" text="SIN OBSERVACIÓN">
      <formula>NOT(ISERROR(SEARCH("SIN OBSERVACIÓN",Q267)))</formula>
    </cfRule>
  </conditionalFormatting>
  <conditionalFormatting sqref="R267">
    <cfRule type="containsBlanks" dxfId="1566" priority="1184">
      <formula>LEN(TRIM(R267))=0</formula>
    </cfRule>
    <cfRule type="cellIs" dxfId="1565" priority="1186" operator="equal">
      <formula>"NO CUMPLEN CON LO SOLICITADO"</formula>
    </cfRule>
    <cfRule type="cellIs" dxfId="1564" priority="1187" operator="equal">
      <formula>"CUMPLEN CON LO SOLICITADO"</formula>
    </cfRule>
    <cfRule type="cellIs" dxfId="1563" priority="1188" operator="equal">
      <formula>"PENDIENTES"</formula>
    </cfRule>
    <cfRule type="cellIs" dxfId="1562" priority="1189" operator="equal">
      <formula>"NINGUNO"</formula>
    </cfRule>
  </conditionalFormatting>
  <conditionalFormatting sqref="P267">
    <cfRule type="expression" dxfId="1561" priority="1175">
      <formula>Q267="NO SUBSANABLE"</formula>
    </cfRule>
    <cfRule type="expression" dxfId="1560" priority="1176">
      <formula>Q267="REQUERIMIENTOS SUBSANADOS"</formula>
    </cfRule>
    <cfRule type="expression" dxfId="1559" priority="1177">
      <formula>Q267="PENDIENTES POR SUBSANAR"</formula>
    </cfRule>
    <cfRule type="expression" dxfId="1558" priority="1178">
      <formula>Q267="SIN OBSERVACIÓN"</formula>
    </cfRule>
    <cfRule type="containsBlanks" dxfId="1557" priority="1179">
      <formula>LEN(TRIM(P267))=0</formula>
    </cfRule>
  </conditionalFormatting>
  <conditionalFormatting sqref="J267">
    <cfRule type="cellIs" dxfId="1556" priority="1173" operator="equal">
      <formula>"NO CUMPLE"</formula>
    </cfRule>
    <cfRule type="cellIs" dxfId="1555" priority="1174" operator="equal">
      <formula>"CUMPLE"</formula>
    </cfRule>
  </conditionalFormatting>
  <conditionalFormatting sqref="J256">
    <cfRule type="cellIs" dxfId="1554" priority="1171" operator="equal">
      <formula>"NO CUMPLE"</formula>
    </cfRule>
    <cfRule type="cellIs" dxfId="1553" priority="1172" operator="equal">
      <formula>"CUMPLE"</formula>
    </cfRule>
  </conditionalFormatting>
  <conditionalFormatting sqref="J255">
    <cfRule type="cellIs" dxfId="1552" priority="1169" operator="equal">
      <formula>"NO CUMPLE"</formula>
    </cfRule>
    <cfRule type="cellIs" dxfId="1551" priority="1170" operator="equal">
      <formula>"CUMPLE"</formula>
    </cfRule>
  </conditionalFormatting>
  <conditionalFormatting sqref="J257">
    <cfRule type="cellIs" dxfId="1550" priority="1167" operator="equal">
      <formula>"NO CUMPLE"</formula>
    </cfRule>
    <cfRule type="cellIs" dxfId="1549" priority="1168" operator="equal">
      <formula>"CUMPLE"</formula>
    </cfRule>
  </conditionalFormatting>
  <conditionalFormatting sqref="U258:U269">
    <cfRule type="cellIs" dxfId="1548" priority="1165" operator="equal">
      <formula>0</formula>
    </cfRule>
    <cfRule type="cellIs" dxfId="1547" priority="1166" operator="equal">
      <formula>1</formula>
    </cfRule>
  </conditionalFormatting>
  <conditionalFormatting sqref="I236">
    <cfRule type="notContainsBlanks" dxfId="1546" priority="1164">
      <formula>LEN(TRIM(I236))&gt;0</formula>
    </cfRule>
  </conditionalFormatting>
  <conditionalFormatting sqref="N233">
    <cfRule type="expression" dxfId="1545" priority="1161">
      <formula>N233=" "</formula>
    </cfRule>
    <cfRule type="expression" dxfId="1544" priority="1162">
      <formula>N233="NO PRESENTÓ CERTIFICADO"</formula>
    </cfRule>
    <cfRule type="expression" dxfId="1543" priority="1163">
      <formula>N233="PRESENTÓ CERTIFICADO"</formula>
    </cfRule>
  </conditionalFormatting>
  <conditionalFormatting sqref="O233">
    <cfRule type="cellIs" dxfId="1542" priority="1143" operator="equal">
      <formula>"PENDIENTE POR DESCRIPCIÓN"</formula>
    </cfRule>
    <cfRule type="cellIs" dxfId="1541" priority="1144" operator="equal">
      <formula>"DESCRIPCIÓN INSUFICIENTE"</formula>
    </cfRule>
    <cfRule type="cellIs" dxfId="1540" priority="1145" operator="equal">
      <formula>"NO ESTÁ ACORDE A ITEM 5.2.2 (T.R.)"</formula>
    </cfRule>
    <cfRule type="cellIs" dxfId="1539" priority="1146" operator="equal">
      <formula>"ACORDE A ITEM 5.2.2 (T.R.)"</formula>
    </cfRule>
    <cfRule type="cellIs" dxfId="1538" priority="1153" operator="equal">
      <formula>"PENDIENTE POR DESCRIPCIÓN"</formula>
    </cfRule>
    <cfRule type="cellIs" dxfId="1537" priority="1155" operator="equal">
      <formula>"DESCRIPCIÓN INSUFICIENTE"</formula>
    </cfRule>
    <cfRule type="cellIs" dxfId="1536" priority="1156" operator="equal">
      <formula>"NO ESTÁ ACORDE A ITEM 5.2.1 (T.R.)"</formula>
    </cfRule>
    <cfRule type="cellIs" dxfId="1535" priority="1157" operator="equal">
      <formula>"ACORDE A ITEM 5.2.1 (T.R.)"</formula>
    </cfRule>
  </conditionalFormatting>
  <conditionalFormatting sqref="Q233">
    <cfRule type="containsBlanks" dxfId="1534" priority="1148">
      <formula>LEN(TRIM(Q233))=0</formula>
    </cfRule>
    <cfRule type="cellIs" dxfId="1533" priority="1154" operator="equal">
      <formula>"REQUERIMIENTOS SUBSANADOS"</formula>
    </cfRule>
    <cfRule type="containsText" dxfId="1532" priority="1158" operator="containsText" text="NO SUBSANABLE">
      <formula>NOT(ISERROR(SEARCH("NO SUBSANABLE",Q233)))</formula>
    </cfRule>
    <cfRule type="containsText" dxfId="1531" priority="1159" operator="containsText" text="PENDIENTES POR SUBSANAR">
      <formula>NOT(ISERROR(SEARCH("PENDIENTES POR SUBSANAR",Q233)))</formula>
    </cfRule>
    <cfRule type="containsText" dxfId="1530" priority="1160" operator="containsText" text="SIN OBSERVACIÓN">
      <formula>NOT(ISERROR(SEARCH("SIN OBSERVACIÓN",Q233)))</formula>
    </cfRule>
  </conditionalFormatting>
  <conditionalFormatting sqref="R233">
    <cfRule type="containsBlanks" dxfId="1529" priority="1147">
      <formula>LEN(TRIM(R233))=0</formula>
    </cfRule>
    <cfRule type="cellIs" dxfId="1528" priority="1149" operator="equal">
      <formula>"NO CUMPLEN CON LO SOLICITADO"</formula>
    </cfRule>
    <cfRule type="cellIs" dxfId="1527" priority="1150" operator="equal">
      <formula>"CUMPLEN CON LO SOLICITADO"</formula>
    </cfRule>
    <cfRule type="cellIs" dxfId="1526" priority="1151" operator="equal">
      <formula>"PENDIENTES"</formula>
    </cfRule>
    <cfRule type="cellIs" dxfId="1525" priority="1152" operator="equal">
      <formula>"NINGUNO"</formula>
    </cfRule>
  </conditionalFormatting>
  <conditionalFormatting sqref="P233">
    <cfRule type="expression" dxfId="1524" priority="1138">
      <formula>Q233="NO SUBSANABLE"</formula>
    </cfRule>
    <cfRule type="expression" dxfId="1523" priority="1139">
      <formula>Q233="REQUERIMIENTOS SUBSANADOS"</formula>
    </cfRule>
    <cfRule type="expression" dxfId="1522" priority="1140">
      <formula>Q233="PENDIENTES POR SUBSANAR"</formula>
    </cfRule>
    <cfRule type="expression" dxfId="1521" priority="1141">
      <formula>Q233="SIN OBSERVACIÓN"</formula>
    </cfRule>
    <cfRule type="containsBlanks" dxfId="1520" priority="1142">
      <formula>LEN(TRIM(P233))=0</formula>
    </cfRule>
  </conditionalFormatting>
  <conditionalFormatting sqref="N236">
    <cfRule type="expression" dxfId="1519" priority="1135">
      <formula>N236=" "</formula>
    </cfRule>
    <cfRule type="expression" dxfId="1518" priority="1136">
      <formula>N236="NO PRESENTÓ CERTIFICADO"</formula>
    </cfRule>
    <cfRule type="expression" dxfId="1517" priority="1137">
      <formula>N236="PRESENTÓ CERTIFICADO"</formula>
    </cfRule>
  </conditionalFormatting>
  <conditionalFormatting sqref="O236">
    <cfRule type="cellIs" dxfId="1516" priority="1117" operator="equal">
      <formula>"PENDIENTE POR DESCRIPCIÓN"</formula>
    </cfRule>
    <cfRule type="cellIs" dxfId="1515" priority="1118" operator="equal">
      <formula>"DESCRIPCIÓN INSUFICIENTE"</formula>
    </cfRule>
    <cfRule type="cellIs" dxfId="1514" priority="1119" operator="equal">
      <formula>"NO ESTÁ ACORDE A ITEM 5.2.2 (T.R.)"</formula>
    </cfRule>
    <cfRule type="cellIs" dxfId="1513" priority="1120" operator="equal">
      <formula>"ACORDE A ITEM 5.2.2 (T.R.)"</formula>
    </cfRule>
    <cfRule type="cellIs" dxfId="1512" priority="1127" operator="equal">
      <formula>"PENDIENTE POR DESCRIPCIÓN"</formula>
    </cfRule>
    <cfRule type="cellIs" dxfId="1511" priority="1129" operator="equal">
      <formula>"DESCRIPCIÓN INSUFICIENTE"</formula>
    </cfRule>
    <cfRule type="cellIs" dxfId="1510" priority="1130" operator="equal">
      <formula>"NO ESTÁ ACORDE A ITEM 5.2.1 (T.R.)"</formula>
    </cfRule>
    <cfRule type="cellIs" dxfId="1509" priority="1131" operator="equal">
      <formula>"ACORDE A ITEM 5.2.1 (T.R.)"</formula>
    </cfRule>
  </conditionalFormatting>
  <conditionalFormatting sqref="Q236">
    <cfRule type="containsBlanks" dxfId="1508" priority="1122">
      <formula>LEN(TRIM(Q236))=0</formula>
    </cfRule>
    <cfRule type="cellIs" dxfId="1507" priority="1128" operator="equal">
      <formula>"REQUERIMIENTOS SUBSANADOS"</formula>
    </cfRule>
    <cfRule type="containsText" dxfId="1506" priority="1132" operator="containsText" text="NO SUBSANABLE">
      <formula>NOT(ISERROR(SEARCH("NO SUBSANABLE",Q236)))</formula>
    </cfRule>
    <cfRule type="containsText" dxfId="1505" priority="1133" operator="containsText" text="PENDIENTES POR SUBSANAR">
      <formula>NOT(ISERROR(SEARCH("PENDIENTES POR SUBSANAR",Q236)))</formula>
    </cfRule>
    <cfRule type="containsText" dxfId="1504" priority="1134" operator="containsText" text="SIN OBSERVACIÓN">
      <formula>NOT(ISERROR(SEARCH("SIN OBSERVACIÓN",Q236)))</formula>
    </cfRule>
  </conditionalFormatting>
  <conditionalFormatting sqref="R236">
    <cfRule type="containsBlanks" dxfId="1503" priority="1121">
      <formula>LEN(TRIM(R236))=0</formula>
    </cfRule>
    <cfRule type="cellIs" dxfId="1502" priority="1123" operator="equal">
      <formula>"NO CUMPLEN CON LO SOLICITADO"</formula>
    </cfRule>
    <cfRule type="cellIs" dxfId="1501" priority="1124" operator="equal">
      <formula>"CUMPLEN CON LO SOLICITADO"</formula>
    </cfRule>
    <cfRule type="cellIs" dxfId="1500" priority="1125" operator="equal">
      <formula>"PENDIENTES"</formula>
    </cfRule>
    <cfRule type="cellIs" dxfId="1499" priority="1126" operator="equal">
      <formula>"NINGUNO"</formula>
    </cfRule>
  </conditionalFormatting>
  <conditionalFormatting sqref="P236">
    <cfRule type="expression" dxfId="1498" priority="1112">
      <formula>Q236="NO SUBSANABLE"</formula>
    </cfRule>
    <cfRule type="expression" dxfId="1497" priority="1113">
      <formula>Q236="REQUERIMIENTOS SUBSANADOS"</formula>
    </cfRule>
    <cfRule type="expression" dxfId="1496" priority="1114">
      <formula>Q236="PENDIENTES POR SUBSANAR"</formula>
    </cfRule>
    <cfRule type="expression" dxfId="1495" priority="1115">
      <formula>Q236="SIN OBSERVACIÓN"</formula>
    </cfRule>
    <cfRule type="containsBlanks" dxfId="1494" priority="1116">
      <formula>LEN(TRIM(P236))=0</formula>
    </cfRule>
  </conditionalFormatting>
  <conditionalFormatting sqref="N239">
    <cfRule type="expression" dxfId="1493" priority="1109">
      <formula>N239=" "</formula>
    </cfRule>
    <cfRule type="expression" dxfId="1492" priority="1110">
      <formula>N239="NO PRESENTÓ CERTIFICADO"</formula>
    </cfRule>
    <cfRule type="expression" dxfId="1491" priority="1111">
      <formula>N239="PRESENTÓ CERTIFICADO"</formula>
    </cfRule>
  </conditionalFormatting>
  <conditionalFormatting sqref="O239">
    <cfRule type="cellIs" dxfId="1490" priority="1091" operator="equal">
      <formula>"PENDIENTE POR DESCRIPCIÓN"</formula>
    </cfRule>
    <cfRule type="cellIs" dxfId="1489" priority="1092" operator="equal">
      <formula>"DESCRIPCIÓN INSUFICIENTE"</formula>
    </cfRule>
    <cfRule type="cellIs" dxfId="1488" priority="1093" operator="equal">
      <formula>"NO ESTÁ ACORDE A ITEM 5.2.2 (T.R.)"</formula>
    </cfRule>
    <cfRule type="cellIs" dxfId="1487" priority="1094" operator="equal">
      <formula>"ACORDE A ITEM 5.2.2 (T.R.)"</formula>
    </cfRule>
    <cfRule type="cellIs" dxfId="1486" priority="1101" operator="equal">
      <formula>"PENDIENTE POR DESCRIPCIÓN"</formula>
    </cfRule>
    <cfRule type="cellIs" dxfId="1485" priority="1103" operator="equal">
      <formula>"DESCRIPCIÓN INSUFICIENTE"</formula>
    </cfRule>
    <cfRule type="cellIs" dxfId="1484" priority="1104" operator="equal">
      <formula>"NO ESTÁ ACORDE A ITEM 5.2.1 (T.R.)"</formula>
    </cfRule>
    <cfRule type="cellIs" dxfId="1483" priority="1105" operator="equal">
      <formula>"ACORDE A ITEM 5.2.1 (T.R.)"</formula>
    </cfRule>
  </conditionalFormatting>
  <conditionalFormatting sqref="Q239">
    <cfRule type="containsBlanks" dxfId="1482" priority="1096">
      <formula>LEN(TRIM(Q239))=0</formula>
    </cfRule>
    <cfRule type="cellIs" dxfId="1481" priority="1102" operator="equal">
      <formula>"REQUERIMIENTOS SUBSANADOS"</formula>
    </cfRule>
    <cfRule type="containsText" dxfId="1480" priority="1106" operator="containsText" text="NO SUBSANABLE">
      <formula>NOT(ISERROR(SEARCH("NO SUBSANABLE",Q239)))</formula>
    </cfRule>
    <cfRule type="containsText" dxfId="1479" priority="1107" operator="containsText" text="PENDIENTES POR SUBSANAR">
      <formula>NOT(ISERROR(SEARCH("PENDIENTES POR SUBSANAR",Q239)))</formula>
    </cfRule>
    <cfRule type="containsText" dxfId="1478" priority="1108" operator="containsText" text="SIN OBSERVACIÓN">
      <formula>NOT(ISERROR(SEARCH("SIN OBSERVACIÓN",Q239)))</formula>
    </cfRule>
  </conditionalFormatting>
  <conditionalFormatting sqref="R239">
    <cfRule type="containsBlanks" dxfId="1477" priority="1095">
      <formula>LEN(TRIM(R239))=0</formula>
    </cfRule>
    <cfRule type="cellIs" dxfId="1476" priority="1097" operator="equal">
      <formula>"NO CUMPLEN CON LO SOLICITADO"</formula>
    </cfRule>
    <cfRule type="cellIs" dxfId="1475" priority="1098" operator="equal">
      <formula>"CUMPLEN CON LO SOLICITADO"</formula>
    </cfRule>
    <cfRule type="cellIs" dxfId="1474" priority="1099" operator="equal">
      <formula>"PENDIENTES"</formula>
    </cfRule>
    <cfRule type="cellIs" dxfId="1473" priority="1100" operator="equal">
      <formula>"NINGUNO"</formula>
    </cfRule>
  </conditionalFormatting>
  <conditionalFormatting sqref="P239">
    <cfRule type="expression" dxfId="1472" priority="1086">
      <formula>Q239="NO SUBSANABLE"</formula>
    </cfRule>
    <cfRule type="expression" dxfId="1471" priority="1087">
      <formula>Q239="REQUERIMIENTOS SUBSANADOS"</formula>
    </cfRule>
    <cfRule type="expression" dxfId="1470" priority="1088">
      <formula>Q239="PENDIENTES POR SUBSANAR"</formula>
    </cfRule>
    <cfRule type="expression" dxfId="1469" priority="1089">
      <formula>Q239="SIN OBSERVACIÓN"</formula>
    </cfRule>
    <cfRule type="containsBlanks" dxfId="1468" priority="1090">
      <formula>LEN(TRIM(P239))=0</formula>
    </cfRule>
  </conditionalFormatting>
  <conditionalFormatting sqref="J236">
    <cfRule type="cellIs" dxfId="1467" priority="1084" operator="equal">
      <formula>"NO CUMPLE"</formula>
    </cfRule>
    <cfRule type="cellIs" dxfId="1466" priority="1085" operator="equal">
      <formula>"CUMPLE"</formula>
    </cfRule>
  </conditionalFormatting>
  <conditionalFormatting sqref="J237">
    <cfRule type="cellIs" dxfId="1465" priority="1082" operator="equal">
      <formula>"NO CUMPLE"</formula>
    </cfRule>
    <cfRule type="cellIs" dxfId="1464" priority="1083" operator="equal">
      <formula>"CUMPLE"</formula>
    </cfRule>
  </conditionalFormatting>
  <conditionalFormatting sqref="J238">
    <cfRule type="cellIs" dxfId="1463" priority="1080" operator="equal">
      <formula>"NO CUMPLE"</formula>
    </cfRule>
    <cfRule type="cellIs" dxfId="1462" priority="1081" operator="equal">
      <formula>"CUMPLE"</formula>
    </cfRule>
  </conditionalFormatting>
  <conditionalFormatting sqref="J239">
    <cfRule type="cellIs" dxfId="1461" priority="1078" operator="equal">
      <formula>"NO CUMPLE"</formula>
    </cfRule>
    <cfRule type="cellIs" dxfId="1460" priority="1079" operator="equal">
      <formula>"CUMPLE"</formula>
    </cfRule>
  </conditionalFormatting>
  <conditionalFormatting sqref="J240">
    <cfRule type="cellIs" dxfId="1459" priority="1076" operator="equal">
      <formula>"NO CUMPLE"</formula>
    </cfRule>
    <cfRule type="cellIs" dxfId="1458" priority="1077" operator="equal">
      <formula>"CUMPLE"</formula>
    </cfRule>
  </conditionalFormatting>
  <conditionalFormatting sqref="J241">
    <cfRule type="cellIs" dxfId="1457" priority="1074" operator="equal">
      <formula>"NO CUMPLE"</formula>
    </cfRule>
    <cfRule type="cellIs" dxfId="1456" priority="1075" operator="equal">
      <formula>"CUMPLE"</formula>
    </cfRule>
  </conditionalFormatting>
  <conditionalFormatting sqref="S233">
    <cfRule type="cellIs" dxfId="1455" priority="1072" operator="greaterThan">
      <formula>0</formula>
    </cfRule>
    <cfRule type="top10" dxfId="1454" priority="1073" rank="10"/>
  </conditionalFormatting>
  <conditionalFormatting sqref="U233:U235">
    <cfRule type="cellIs" dxfId="1453" priority="1070" operator="equal">
      <formula>0</formula>
    </cfRule>
    <cfRule type="cellIs" dxfId="1452" priority="1071" operator="equal">
      <formula>1</formula>
    </cfRule>
  </conditionalFormatting>
  <conditionalFormatting sqref="U236:U238">
    <cfRule type="cellIs" dxfId="1451" priority="1068" operator="equal">
      <formula>0</formula>
    </cfRule>
    <cfRule type="cellIs" dxfId="1450" priority="1069" operator="equal">
      <formula>1</formula>
    </cfRule>
  </conditionalFormatting>
  <conditionalFormatting sqref="U239:U241">
    <cfRule type="cellIs" dxfId="1449" priority="1066" operator="equal">
      <formula>0</formula>
    </cfRule>
    <cfRule type="cellIs" dxfId="1448" priority="1067" operator="equal">
      <formula>1</formula>
    </cfRule>
  </conditionalFormatting>
  <conditionalFormatting sqref="N211">
    <cfRule type="expression" dxfId="1447" priority="1063">
      <formula>N211=" "</formula>
    </cfRule>
    <cfRule type="expression" dxfId="1446" priority="1064">
      <formula>N211="NO PRESENTÓ CERTIFICADO"</formula>
    </cfRule>
    <cfRule type="expression" dxfId="1445" priority="1065">
      <formula>N211="PRESENTÓ CERTIFICADO"</formula>
    </cfRule>
  </conditionalFormatting>
  <conditionalFormatting sqref="O211">
    <cfRule type="cellIs" dxfId="1444" priority="1045" operator="equal">
      <formula>"PENDIENTE POR DESCRIPCIÓN"</formula>
    </cfRule>
    <cfRule type="cellIs" dxfId="1443" priority="1046" operator="equal">
      <formula>"DESCRIPCIÓN INSUFICIENTE"</formula>
    </cfRule>
    <cfRule type="cellIs" dxfId="1442" priority="1047" operator="equal">
      <formula>"NO ESTÁ ACORDE A ITEM 5.2.2 (T.R.)"</formula>
    </cfRule>
    <cfRule type="cellIs" dxfId="1441" priority="1048" operator="equal">
      <formula>"ACORDE A ITEM 5.2.2 (T.R.)"</formula>
    </cfRule>
    <cfRule type="cellIs" dxfId="1440" priority="1055" operator="equal">
      <formula>"PENDIENTE POR DESCRIPCIÓN"</formula>
    </cfRule>
    <cfRule type="cellIs" dxfId="1439" priority="1057" operator="equal">
      <formula>"DESCRIPCIÓN INSUFICIENTE"</formula>
    </cfRule>
    <cfRule type="cellIs" dxfId="1438" priority="1058" operator="equal">
      <formula>"NO ESTÁ ACORDE A ITEM 5.2.1 (T.R.)"</formula>
    </cfRule>
    <cfRule type="cellIs" dxfId="1437" priority="1059" operator="equal">
      <formula>"ACORDE A ITEM 5.2.1 (T.R.)"</formula>
    </cfRule>
  </conditionalFormatting>
  <conditionalFormatting sqref="Q211">
    <cfRule type="containsBlanks" dxfId="1436" priority="1050">
      <formula>LEN(TRIM(Q211))=0</formula>
    </cfRule>
    <cfRule type="cellIs" dxfId="1435" priority="1056" operator="equal">
      <formula>"REQUERIMIENTOS SUBSANADOS"</formula>
    </cfRule>
    <cfRule type="containsText" dxfId="1434" priority="1060" operator="containsText" text="NO SUBSANABLE">
      <formula>NOT(ISERROR(SEARCH("NO SUBSANABLE",Q211)))</formula>
    </cfRule>
    <cfRule type="containsText" dxfId="1433" priority="1061" operator="containsText" text="PENDIENTES POR SUBSANAR">
      <formula>NOT(ISERROR(SEARCH("PENDIENTES POR SUBSANAR",Q211)))</formula>
    </cfRule>
    <cfRule type="containsText" dxfId="1432" priority="1062" operator="containsText" text="SIN OBSERVACIÓN">
      <formula>NOT(ISERROR(SEARCH("SIN OBSERVACIÓN",Q211)))</formula>
    </cfRule>
  </conditionalFormatting>
  <conditionalFormatting sqref="R211">
    <cfRule type="containsBlanks" dxfId="1431" priority="1049">
      <formula>LEN(TRIM(R211))=0</formula>
    </cfRule>
    <cfRule type="cellIs" dxfId="1430" priority="1051" operator="equal">
      <formula>"NO CUMPLEN CON LO SOLICITADO"</formula>
    </cfRule>
    <cfRule type="cellIs" dxfId="1429" priority="1052" operator="equal">
      <formula>"CUMPLEN CON LO SOLICITADO"</formula>
    </cfRule>
    <cfRule type="cellIs" dxfId="1428" priority="1053" operator="equal">
      <formula>"PENDIENTES"</formula>
    </cfRule>
    <cfRule type="cellIs" dxfId="1427" priority="1054" operator="equal">
      <formula>"NINGUNO"</formula>
    </cfRule>
  </conditionalFormatting>
  <conditionalFormatting sqref="P211">
    <cfRule type="expression" dxfId="1426" priority="1040">
      <formula>Q211="NO SUBSANABLE"</formula>
    </cfRule>
    <cfRule type="expression" dxfId="1425" priority="1041">
      <formula>Q211="REQUERIMIENTOS SUBSANADOS"</formula>
    </cfRule>
    <cfRule type="expression" dxfId="1424" priority="1042">
      <formula>Q211="PENDIENTES POR SUBSANAR"</formula>
    </cfRule>
    <cfRule type="expression" dxfId="1423" priority="1043">
      <formula>Q211="SIN OBSERVACIÓN"</formula>
    </cfRule>
    <cfRule type="containsBlanks" dxfId="1422" priority="1044">
      <formula>LEN(TRIM(P211))=0</formula>
    </cfRule>
  </conditionalFormatting>
  <conditionalFormatting sqref="S189">
    <cfRule type="cellIs" dxfId="1421" priority="1038" operator="greaterThan">
      <formula>0</formula>
    </cfRule>
    <cfRule type="top10" dxfId="1420" priority="1039" rank="10"/>
  </conditionalFormatting>
  <conditionalFormatting sqref="N189">
    <cfRule type="expression" dxfId="1419" priority="1035">
      <formula>N189=" "</formula>
    </cfRule>
    <cfRule type="expression" dxfId="1418" priority="1036">
      <formula>N189="NO PRESENTÓ CERTIFICADO"</formula>
    </cfRule>
    <cfRule type="expression" dxfId="1417" priority="1037">
      <formula>N189="PRESENTÓ CERTIFICADO"</formula>
    </cfRule>
  </conditionalFormatting>
  <conditionalFormatting sqref="O189">
    <cfRule type="cellIs" dxfId="1416" priority="1017" operator="equal">
      <formula>"PENDIENTE POR DESCRIPCIÓN"</formula>
    </cfRule>
    <cfRule type="cellIs" dxfId="1415" priority="1018" operator="equal">
      <formula>"DESCRIPCIÓN INSUFICIENTE"</formula>
    </cfRule>
    <cfRule type="cellIs" dxfId="1414" priority="1019" operator="equal">
      <formula>"NO ESTÁ ACORDE A ITEM 5.2.2 (T.R.)"</formula>
    </cfRule>
    <cfRule type="cellIs" dxfId="1413" priority="1020" operator="equal">
      <formula>"ACORDE A ITEM 5.2.2 (T.R.)"</formula>
    </cfRule>
    <cfRule type="cellIs" dxfId="1412" priority="1027" operator="equal">
      <formula>"PENDIENTE POR DESCRIPCIÓN"</formula>
    </cfRule>
    <cfRule type="cellIs" dxfId="1411" priority="1029" operator="equal">
      <formula>"DESCRIPCIÓN INSUFICIENTE"</formula>
    </cfRule>
    <cfRule type="cellIs" dxfId="1410" priority="1030" operator="equal">
      <formula>"NO ESTÁ ACORDE A ITEM 5.2.1 (T.R.)"</formula>
    </cfRule>
    <cfRule type="cellIs" dxfId="1409" priority="1031" operator="equal">
      <formula>"ACORDE A ITEM 5.2.1 (T.R.)"</formula>
    </cfRule>
  </conditionalFormatting>
  <conditionalFormatting sqref="Q189">
    <cfRule type="containsBlanks" dxfId="1408" priority="1022">
      <formula>LEN(TRIM(Q189))=0</formula>
    </cfRule>
    <cfRule type="cellIs" dxfId="1407" priority="1028" operator="equal">
      <formula>"REQUERIMIENTOS SUBSANADOS"</formula>
    </cfRule>
    <cfRule type="containsText" dxfId="1406" priority="1032" operator="containsText" text="NO SUBSANABLE">
      <formula>NOT(ISERROR(SEARCH("NO SUBSANABLE",Q189)))</formula>
    </cfRule>
    <cfRule type="containsText" dxfId="1405" priority="1033" operator="containsText" text="PENDIENTES POR SUBSANAR">
      <formula>NOT(ISERROR(SEARCH("PENDIENTES POR SUBSANAR",Q189)))</formula>
    </cfRule>
    <cfRule type="containsText" dxfId="1404" priority="1034" operator="containsText" text="SIN OBSERVACIÓN">
      <formula>NOT(ISERROR(SEARCH("SIN OBSERVACIÓN",Q189)))</formula>
    </cfRule>
  </conditionalFormatting>
  <conditionalFormatting sqref="R189">
    <cfRule type="containsBlanks" dxfId="1403" priority="1021">
      <formula>LEN(TRIM(R189))=0</formula>
    </cfRule>
    <cfRule type="cellIs" dxfId="1402" priority="1023" operator="equal">
      <formula>"NO CUMPLEN CON LO SOLICITADO"</formula>
    </cfRule>
    <cfRule type="cellIs" dxfId="1401" priority="1024" operator="equal">
      <formula>"CUMPLEN CON LO SOLICITADO"</formula>
    </cfRule>
    <cfRule type="cellIs" dxfId="1400" priority="1025" operator="equal">
      <formula>"PENDIENTES"</formula>
    </cfRule>
    <cfRule type="cellIs" dxfId="1399" priority="1026" operator="equal">
      <formula>"NINGUNO"</formula>
    </cfRule>
  </conditionalFormatting>
  <conditionalFormatting sqref="P189">
    <cfRule type="expression" dxfId="1398" priority="1012">
      <formula>Q189="NO SUBSANABLE"</formula>
    </cfRule>
    <cfRule type="expression" dxfId="1397" priority="1013">
      <formula>Q189="REQUERIMIENTOS SUBSANADOS"</formula>
    </cfRule>
    <cfRule type="expression" dxfId="1396" priority="1014">
      <formula>Q189="PENDIENTES POR SUBSANAR"</formula>
    </cfRule>
    <cfRule type="expression" dxfId="1395" priority="1015">
      <formula>Q189="SIN OBSERVACIÓN"</formula>
    </cfRule>
    <cfRule type="containsBlanks" dxfId="1394" priority="1016">
      <formula>LEN(TRIM(P189))=0</formula>
    </cfRule>
  </conditionalFormatting>
  <conditionalFormatting sqref="U211:U213">
    <cfRule type="cellIs" dxfId="1393" priority="1010" operator="equal">
      <formula>0</formula>
    </cfRule>
    <cfRule type="cellIs" dxfId="1392" priority="1011" operator="equal">
      <formula>1</formula>
    </cfRule>
  </conditionalFormatting>
  <conditionalFormatting sqref="U189:U191">
    <cfRule type="cellIs" dxfId="1391" priority="1008" operator="equal">
      <formula>0</formula>
    </cfRule>
    <cfRule type="cellIs" dxfId="1390" priority="1009" operator="equal">
      <formula>1</formula>
    </cfRule>
  </conditionalFormatting>
  <conditionalFormatting sqref="H170 H173">
    <cfRule type="notContainsBlanks" dxfId="1389" priority="1007">
      <formula>LEN(TRIM(H170))&gt;0</formula>
    </cfRule>
  </conditionalFormatting>
  <conditionalFormatting sqref="N179">
    <cfRule type="expression" dxfId="1388" priority="1004">
      <formula>N179=" "</formula>
    </cfRule>
    <cfRule type="expression" dxfId="1387" priority="1005">
      <formula>N179="NO PRESENTÓ CERTIFICADO"</formula>
    </cfRule>
    <cfRule type="expression" dxfId="1386" priority="1006">
      <formula>N179="PRESENTÓ CERTIFICADO"</formula>
    </cfRule>
  </conditionalFormatting>
  <conditionalFormatting sqref="O179">
    <cfRule type="cellIs" dxfId="1385" priority="986" operator="equal">
      <formula>"PENDIENTE POR DESCRIPCIÓN"</formula>
    </cfRule>
    <cfRule type="cellIs" dxfId="1384" priority="987" operator="equal">
      <formula>"DESCRIPCIÓN INSUFICIENTE"</formula>
    </cfRule>
    <cfRule type="cellIs" dxfId="1383" priority="988" operator="equal">
      <formula>"NO ESTÁ ACORDE A ITEM 5.2.2 (T.R.)"</formula>
    </cfRule>
    <cfRule type="cellIs" dxfId="1382" priority="989" operator="equal">
      <formula>"ACORDE A ITEM 5.2.2 (T.R.)"</formula>
    </cfRule>
    <cfRule type="cellIs" dxfId="1381" priority="996" operator="equal">
      <formula>"PENDIENTE POR DESCRIPCIÓN"</formula>
    </cfRule>
    <cfRule type="cellIs" dxfId="1380" priority="998" operator="equal">
      <formula>"DESCRIPCIÓN INSUFICIENTE"</formula>
    </cfRule>
    <cfRule type="cellIs" dxfId="1379" priority="999" operator="equal">
      <formula>"NO ESTÁ ACORDE A ITEM 5.2.1 (T.R.)"</formula>
    </cfRule>
    <cfRule type="cellIs" dxfId="1378" priority="1000" operator="equal">
      <formula>"ACORDE A ITEM 5.2.1 (T.R.)"</formula>
    </cfRule>
  </conditionalFormatting>
  <conditionalFormatting sqref="Q179">
    <cfRule type="containsBlanks" dxfId="1377" priority="991">
      <formula>LEN(TRIM(Q179))=0</formula>
    </cfRule>
    <cfRule type="cellIs" dxfId="1376" priority="997" operator="equal">
      <formula>"REQUERIMIENTOS SUBSANADOS"</formula>
    </cfRule>
    <cfRule type="containsText" dxfId="1375" priority="1001" operator="containsText" text="NO SUBSANABLE">
      <formula>NOT(ISERROR(SEARCH("NO SUBSANABLE",Q179)))</formula>
    </cfRule>
    <cfRule type="containsText" dxfId="1374" priority="1002" operator="containsText" text="PENDIENTES POR SUBSANAR">
      <formula>NOT(ISERROR(SEARCH("PENDIENTES POR SUBSANAR",Q179)))</formula>
    </cfRule>
    <cfRule type="containsText" dxfId="1373" priority="1003" operator="containsText" text="SIN OBSERVACIÓN">
      <formula>NOT(ISERROR(SEARCH("SIN OBSERVACIÓN",Q179)))</formula>
    </cfRule>
  </conditionalFormatting>
  <conditionalFormatting sqref="R179">
    <cfRule type="containsBlanks" dxfId="1372" priority="990">
      <formula>LEN(TRIM(R179))=0</formula>
    </cfRule>
    <cfRule type="cellIs" dxfId="1371" priority="992" operator="equal">
      <formula>"NO CUMPLEN CON LO SOLICITADO"</formula>
    </cfRule>
    <cfRule type="cellIs" dxfId="1370" priority="993" operator="equal">
      <formula>"CUMPLEN CON LO SOLICITADO"</formula>
    </cfRule>
    <cfRule type="cellIs" dxfId="1369" priority="994" operator="equal">
      <formula>"PENDIENTES"</formula>
    </cfRule>
    <cfRule type="cellIs" dxfId="1368" priority="995" operator="equal">
      <formula>"NINGUNO"</formula>
    </cfRule>
  </conditionalFormatting>
  <conditionalFormatting sqref="P179">
    <cfRule type="expression" dxfId="1367" priority="981">
      <formula>Q179="NO SUBSANABLE"</formula>
    </cfRule>
    <cfRule type="expression" dxfId="1366" priority="982">
      <formula>Q179="REQUERIMIENTOS SUBSANADOS"</formula>
    </cfRule>
    <cfRule type="expression" dxfId="1365" priority="983">
      <formula>Q179="PENDIENTES POR SUBSANAR"</formula>
    </cfRule>
    <cfRule type="expression" dxfId="1364" priority="984">
      <formula>Q179="SIN OBSERVACIÓN"</formula>
    </cfRule>
    <cfRule type="containsBlanks" dxfId="1363" priority="985">
      <formula>LEN(TRIM(P179))=0</formula>
    </cfRule>
  </conditionalFormatting>
  <conditionalFormatting sqref="N170">
    <cfRule type="expression" dxfId="1362" priority="978">
      <formula>N170=" "</formula>
    </cfRule>
    <cfRule type="expression" dxfId="1361" priority="979">
      <formula>N170="NO PRESENTÓ CERTIFICADO"</formula>
    </cfRule>
    <cfRule type="expression" dxfId="1360" priority="980">
      <formula>N170="PRESENTÓ CERTIFICADO"</formula>
    </cfRule>
  </conditionalFormatting>
  <conditionalFormatting sqref="O170">
    <cfRule type="cellIs" dxfId="1359" priority="960" operator="equal">
      <formula>"PENDIENTE POR DESCRIPCIÓN"</formula>
    </cfRule>
    <cfRule type="cellIs" dxfId="1358" priority="961" operator="equal">
      <formula>"DESCRIPCIÓN INSUFICIENTE"</formula>
    </cfRule>
    <cfRule type="cellIs" dxfId="1357" priority="962" operator="equal">
      <formula>"NO ESTÁ ACORDE A ITEM 5.2.2 (T.R.)"</formula>
    </cfRule>
    <cfRule type="cellIs" dxfId="1356" priority="963" operator="equal">
      <formula>"ACORDE A ITEM 5.2.2 (T.R.)"</formula>
    </cfRule>
    <cfRule type="cellIs" dxfId="1355" priority="970" operator="equal">
      <formula>"PENDIENTE POR DESCRIPCIÓN"</formula>
    </cfRule>
    <cfRule type="cellIs" dxfId="1354" priority="972" operator="equal">
      <formula>"DESCRIPCIÓN INSUFICIENTE"</formula>
    </cfRule>
    <cfRule type="cellIs" dxfId="1353" priority="973" operator="equal">
      <formula>"NO ESTÁ ACORDE A ITEM 5.2.1 (T.R.)"</formula>
    </cfRule>
    <cfRule type="cellIs" dxfId="1352" priority="974" operator="equal">
      <formula>"ACORDE A ITEM 5.2.1 (T.R.)"</formula>
    </cfRule>
  </conditionalFormatting>
  <conditionalFormatting sqref="Q170">
    <cfRule type="containsBlanks" dxfId="1351" priority="965">
      <formula>LEN(TRIM(Q170))=0</formula>
    </cfRule>
    <cfRule type="cellIs" dxfId="1350" priority="971" operator="equal">
      <formula>"REQUERIMIENTOS SUBSANADOS"</formula>
    </cfRule>
    <cfRule type="containsText" dxfId="1349" priority="975" operator="containsText" text="NO SUBSANABLE">
      <formula>NOT(ISERROR(SEARCH("NO SUBSANABLE",Q170)))</formula>
    </cfRule>
    <cfRule type="containsText" dxfId="1348" priority="976" operator="containsText" text="PENDIENTES POR SUBSANAR">
      <formula>NOT(ISERROR(SEARCH("PENDIENTES POR SUBSANAR",Q170)))</formula>
    </cfRule>
    <cfRule type="containsText" dxfId="1347" priority="977" operator="containsText" text="SIN OBSERVACIÓN">
      <formula>NOT(ISERROR(SEARCH("SIN OBSERVACIÓN",Q170)))</formula>
    </cfRule>
  </conditionalFormatting>
  <conditionalFormatting sqref="R170">
    <cfRule type="containsBlanks" dxfId="1346" priority="964">
      <formula>LEN(TRIM(R170))=0</formula>
    </cfRule>
    <cfRule type="cellIs" dxfId="1345" priority="966" operator="equal">
      <formula>"NO CUMPLEN CON LO SOLICITADO"</formula>
    </cfRule>
    <cfRule type="cellIs" dxfId="1344" priority="967" operator="equal">
      <formula>"CUMPLEN CON LO SOLICITADO"</formula>
    </cfRule>
    <cfRule type="cellIs" dxfId="1343" priority="968" operator="equal">
      <formula>"PENDIENTES"</formula>
    </cfRule>
    <cfRule type="cellIs" dxfId="1342" priority="969" operator="equal">
      <formula>"NINGUNO"</formula>
    </cfRule>
  </conditionalFormatting>
  <conditionalFormatting sqref="P170">
    <cfRule type="expression" dxfId="1341" priority="955">
      <formula>Q170="NO SUBSANABLE"</formula>
    </cfRule>
    <cfRule type="expression" dxfId="1340" priority="956">
      <formula>Q170="REQUERIMIENTOS SUBSANADOS"</formula>
    </cfRule>
    <cfRule type="expression" dxfId="1339" priority="957">
      <formula>Q170="PENDIENTES POR SUBSANAR"</formula>
    </cfRule>
    <cfRule type="expression" dxfId="1338" priority="958">
      <formula>Q170="SIN OBSERVACIÓN"</formula>
    </cfRule>
    <cfRule type="containsBlanks" dxfId="1337" priority="959">
      <formula>LEN(TRIM(P170))=0</formula>
    </cfRule>
  </conditionalFormatting>
  <conditionalFormatting sqref="N167">
    <cfRule type="expression" dxfId="1336" priority="952">
      <formula>N167=" "</formula>
    </cfRule>
    <cfRule type="expression" dxfId="1335" priority="953">
      <formula>N167="NO PRESENTÓ CERTIFICADO"</formula>
    </cfRule>
    <cfRule type="expression" dxfId="1334" priority="954">
      <formula>N167="PRESENTÓ CERTIFICADO"</formula>
    </cfRule>
  </conditionalFormatting>
  <conditionalFormatting sqref="O167">
    <cfRule type="cellIs" dxfId="1333" priority="934" operator="equal">
      <formula>"PENDIENTE POR DESCRIPCIÓN"</formula>
    </cfRule>
    <cfRule type="cellIs" dxfId="1332" priority="935" operator="equal">
      <formula>"DESCRIPCIÓN INSUFICIENTE"</formula>
    </cfRule>
    <cfRule type="cellIs" dxfId="1331" priority="936" operator="equal">
      <formula>"NO ESTÁ ACORDE A ITEM 5.2.2 (T.R.)"</formula>
    </cfRule>
    <cfRule type="cellIs" dxfId="1330" priority="937" operator="equal">
      <formula>"ACORDE A ITEM 5.2.2 (T.R.)"</formula>
    </cfRule>
    <cfRule type="cellIs" dxfId="1329" priority="944" operator="equal">
      <formula>"PENDIENTE POR DESCRIPCIÓN"</formula>
    </cfRule>
    <cfRule type="cellIs" dxfId="1328" priority="946" operator="equal">
      <formula>"DESCRIPCIÓN INSUFICIENTE"</formula>
    </cfRule>
    <cfRule type="cellIs" dxfId="1327" priority="947" operator="equal">
      <formula>"NO ESTÁ ACORDE A ITEM 5.2.1 (T.R.)"</formula>
    </cfRule>
    <cfRule type="cellIs" dxfId="1326" priority="948" operator="equal">
      <formula>"ACORDE A ITEM 5.2.1 (T.R.)"</formula>
    </cfRule>
  </conditionalFormatting>
  <conditionalFormatting sqref="Q167">
    <cfRule type="containsBlanks" dxfId="1325" priority="939">
      <formula>LEN(TRIM(Q167))=0</formula>
    </cfRule>
    <cfRule type="cellIs" dxfId="1324" priority="945" operator="equal">
      <formula>"REQUERIMIENTOS SUBSANADOS"</formula>
    </cfRule>
    <cfRule type="containsText" dxfId="1323" priority="949" operator="containsText" text="NO SUBSANABLE">
      <formula>NOT(ISERROR(SEARCH("NO SUBSANABLE",Q167)))</formula>
    </cfRule>
    <cfRule type="containsText" dxfId="1322" priority="950" operator="containsText" text="PENDIENTES POR SUBSANAR">
      <formula>NOT(ISERROR(SEARCH("PENDIENTES POR SUBSANAR",Q167)))</formula>
    </cfRule>
    <cfRule type="containsText" dxfId="1321" priority="951" operator="containsText" text="SIN OBSERVACIÓN">
      <formula>NOT(ISERROR(SEARCH("SIN OBSERVACIÓN",Q167)))</formula>
    </cfRule>
  </conditionalFormatting>
  <conditionalFormatting sqref="R167">
    <cfRule type="containsBlanks" dxfId="1320" priority="938">
      <formula>LEN(TRIM(R167))=0</formula>
    </cfRule>
    <cfRule type="cellIs" dxfId="1319" priority="940" operator="equal">
      <formula>"NO CUMPLEN CON LO SOLICITADO"</formula>
    </cfRule>
    <cfRule type="cellIs" dxfId="1318" priority="941" operator="equal">
      <formula>"CUMPLEN CON LO SOLICITADO"</formula>
    </cfRule>
    <cfRule type="cellIs" dxfId="1317" priority="942" operator="equal">
      <formula>"PENDIENTES"</formula>
    </cfRule>
    <cfRule type="cellIs" dxfId="1316" priority="943" operator="equal">
      <formula>"NINGUNO"</formula>
    </cfRule>
  </conditionalFormatting>
  <conditionalFormatting sqref="P167">
    <cfRule type="expression" dxfId="1315" priority="929">
      <formula>Q167="NO SUBSANABLE"</formula>
    </cfRule>
    <cfRule type="expression" dxfId="1314" priority="930">
      <formula>Q167="REQUERIMIENTOS SUBSANADOS"</formula>
    </cfRule>
    <cfRule type="expression" dxfId="1313" priority="931">
      <formula>Q167="PENDIENTES POR SUBSANAR"</formula>
    </cfRule>
    <cfRule type="expression" dxfId="1312" priority="932">
      <formula>Q167="SIN OBSERVACIÓN"</formula>
    </cfRule>
    <cfRule type="containsBlanks" dxfId="1311" priority="933">
      <formula>LEN(TRIM(P167))=0</formula>
    </cfRule>
  </conditionalFormatting>
  <conditionalFormatting sqref="N176">
    <cfRule type="expression" dxfId="1310" priority="926">
      <formula>N176=" "</formula>
    </cfRule>
    <cfRule type="expression" dxfId="1309" priority="927">
      <formula>N176="NO PRESENTÓ CERTIFICADO"</formula>
    </cfRule>
    <cfRule type="expression" dxfId="1308" priority="928">
      <formula>N176="PRESENTÓ CERTIFICADO"</formula>
    </cfRule>
  </conditionalFormatting>
  <conditionalFormatting sqref="O176">
    <cfRule type="cellIs" dxfId="1307" priority="908" operator="equal">
      <formula>"PENDIENTE POR DESCRIPCIÓN"</formula>
    </cfRule>
    <cfRule type="cellIs" dxfId="1306" priority="909" operator="equal">
      <formula>"DESCRIPCIÓN INSUFICIENTE"</formula>
    </cfRule>
    <cfRule type="cellIs" dxfId="1305" priority="910" operator="equal">
      <formula>"NO ESTÁ ACORDE A ITEM 5.2.2 (T.R.)"</formula>
    </cfRule>
    <cfRule type="cellIs" dxfId="1304" priority="911" operator="equal">
      <formula>"ACORDE A ITEM 5.2.2 (T.R.)"</formula>
    </cfRule>
    <cfRule type="cellIs" dxfId="1303" priority="918" operator="equal">
      <formula>"PENDIENTE POR DESCRIPCIÓN"</formula>
    </cfRule>
    <cfRule type="cellIs" dxfId="1302" priority="920" operator="equal">
      <formula>"DESCRIPCIÓN INSUFICIENTE"</formula>
    </cfRule>
    <cfRule type="cellIs" dxfId="1301" priority="921" operator="equal">
      <formula>"NO ESTÁ ACORDE A ITEM 5.2.1 (T.R.)"</formula>
    </cfRule>
    <cfRule type="cellIs" dxfId="1300" priority="922" operator="equal">
      <formula>"ACORDE A ITEM 5.2.1 (T.R.)"</formula>
    </cfRule>
  </conditionalFormatting>
  <conditionalFormatting sqref="Q176">
    <cfRule type="containsBlanks" dxfId="1299" priority="913">
      <formula>LEN(TRIM(Q176))=0</formula>
    </cfRule>
    <cfRule type="cellIs" dxfId="1298" priority="919" operator="equal">
      <formula>"REQUERIMIENTOS SUBSANADOS"</formula>
    </cfRule>
    <cfRule type="containsText" dxfId="1297" priority="923" operator="containsText" text="NO SUBSANABLE">
      <formula>NOT(ISERROR(SEARCH("NO SUBSANABLE",Q176)))</formula>
    </cfRule>
    <cfRule type="containsText" dxfId="1296" priority="924" operator="containsText" text="PENDIENTES POR SUBSANAR">
      <formula>NOT(ISERROR(SEARCH("PENDIENTES POR SUBSANAR",Q176)))</formula>
    </cfRule>
    <cfRule type="containsText" dxfId="1295" priority="925" operator="containsText" text="SIN OBSERVACIÓN">
      <formula>NOT(ISERROR(SEARCH("SIN OBSERVACIÓN",Q176)))</formula>
    </cfRule>
  </conditionalFormatting>
  <conditionalFormatting sqref="R176">
    <cfRule type="containsBlanks" dxfId="1294" priority="912">
      <formula>LEN(TRIM(R176))=0</formula>
    </cfRule>
    <cfRule type="cellIs" dxfId="1293" priority="914" operator="equal">
      <formula>"NO CUMPLEN CON LO SOLICITADO"</formula>
    </cfRule>
    <cfRule type="cellIs" dxfId="1292" priority="915" operator="equal">
      <formula>"CUMPLEN CON LO SOLICITADO"</formula>
    </cfRule>
    <cfRule type="cellIs" dxfId="1291" priority="916" operator="equal">
      <formula>"PENDIENTES"</formula>
    </cfRule>
    <cfRule type="cellIs" dxfId="1290" priority="917" operator="equal">
      <formula>"NINGUNO"</formula>
    </cfRule>
  </conditionalFormatting>
  <conditionalFormatting sqref="N173">
    <cfRule type="expression" dxfId="1289" priority="905">
      <formula>N173=" "</formula>
    </cfRule>
    <cfRule type="expression" dxfId="1288" priority="906">
      <formula>N173="NO PRESENTÓ CERTIFICADO"</formula>
    </cfRule>
    <cfRule type="expression" dxfId="1287" priority="907">
      <formula>N173="PRESENTÓ CERTIFICADO"</formula>
    </cfRule>
  </conditionalFormatting>
  <conditionalFormatting sqref="O173">
    <cfRule type="cellIs" dxfId="1286" priority="887" operator="equal">
      <formula>"PENDIENTE POR DESCRIPCIÓN"</formula>
    </cfRule>
    <cfRule type="cellIs" dxfId="1285" priority="888" operator="equal">
      <formula>"DESCRIPCIÓN INSUFICIENTE"</formula>
    </cfRule>
    <cfRule type="cellIs" dxfId="1284" priority="889" operator="equal">
      <formula>"NO ESTÁ ACORDE A ITEM 5.2.2 (T.R.)"</formula>
    </cfRule>
    <cfRule type="cellIs" dxfId="1283" priority="890" operator="equal">
      <formula>"ACORDE A ITEM 5.2.2 (T.R.)"</formula>
    </cfRule>
    <cfRule type="cellIs" dxfId="1282" priority="897" operator="equal">
      <formula>"PENDIENTE POR DESCRIPCIÓN"</formula>
    </cfRule>
    <cfRule type="cellIs" dxfId="1281" priority="899" operator="equal">
      <formula>"DESCRIPCIÓN INSUFICIENTE"</formula>
    </cfRule>
    <cfRule type="cellIs" dxfId="1280" priority="900" operator="equal">
      <formula>"NO ESTÁ ACORDE A ITEM 5.2.1 (T.R.)"</formula>
    </cfRule>
    <cfRule type="cellIs" dxfId="1279" priority="901" operator="equal">
      <formula>"ACORDE A ITEM 5.2.1 (T.R.)"</formula>
    </cfRule>
  </conditionalFormatting>
  <conditionalFormatting sqref="Q173">
    <cfRule type="containsBlanks" dxfId="1278" priority="892">
      <formula>LEN(TRIM(Q173))=0</formula>
    </cfRule>
    <cfRule type="cellIs" dxfId="1277" priority="898" operator="equal">
      <formula>"REQUERIMIENTOS SUBSANADOS"</formula>
    </cfRule>
    <cfRule type="containsText" dxfId="1276" priority="902" operator="containsText" text="NO SUBSANABLE">
      <formula>NOT(ISERROR(SEARCH("NO SUBSANABLE",Q173)))</formula>
    </cfRule>
    <cfRule type="containsText" dxfId="1275" priority="903" operator="containsText" text="PENDIENTES POR SUBSANAR">
      <formula>NOT(ISERROR(SEARCH("PENDIENTES POR SUBSANAR",Q173)))</formula>
    </cfRule>
    <cfRule type="containsText" dxfId="1274" priority="904" operator="containsText" text="SIN OBSERVACIÓN">
      <formula>NOT(ISERROR(SEARCH("SIN OBSERVACIÓN",Q173)))</formula>
    </cfRule>
  </conditionalFormatting>
  <conditionalFormatting sqref="R173">
    <cfRule type="containsBlanks" dxfId="1273" priority="891">
      <formula>LEN(TRIM(R173))=0</formula>
    </cfRule>
    <cfRule type="cellIs" dxfId="1272" priority="893" operator="equal">
      <formula>"NO CUMPLEN CON LO SOLICITADO"</formula>
    </cfRule>
    <cfRule type="cellIs" dxfId="1271" priority="894" operator="equal">
      <formula>"CUMPLEN CON LO SOLICITADO"</formula>
    </cfRule>
    <cfRule type="cellIs" dxfId="1270" priority="895" operator="equal">
      <formula>"PENDIENTES"</formula>
    </cfRule>
    <cfRule type="cellIs" dxfId="1269" priority="896" operator="equal">
      <formula>"NINGUNO"</formula>
    </cfRule>
  </conditionalFormatting>
  <conditionalFormatting sqref="P173">
    <cfRule type="expression" dxfId="1268" priority="882">
      <formula>Q173="NO SUBSANABLE"</formula>
    </cfRule>
    <cfRule type="expression" dxfId="1267" priority="883">
      <formula>Q173="REQUERIMIENTOS SUBSANADOS"</formula>
    </cfRule>
    <cfRule type="expression" dxfId="1266" priority="884">
      <formula>Q173="PENDIENTES POR SUBSANAR"</formula>
    </cfRule>
    <cfRule type="expression" dxfId="1265" priority="885">
      <formula>Q173="SIN OBSERVACIÓN"</formula>
    </cfRule>
    <cfRule type="containsBlanks" dxfId="1264" priority="886">
      <formula>LEN(TRIM(P173))=0</formula>
    </cfRule>
  </conditionalFormatting>
  <conditionalFormatting sqref="J168">
    <cfRule type="cellIs" dxfId="1263" priority="880" operator="equal">
      <formula>"NO CUMPLE"</formula>
    </cfRule>
    <cfRule type="cellIs" dxfId="1262" priority="881" operator="equal">
      <formula>"CUMPLE"</formula>
    </cfRule>
  </conditionalFormatting>
  <conditionalFormatting sqref="J169">
    <cfRule type="cellIs" dxfId="1261" priority="878" operator="equal">
      <formula>"NO CUMPLE"</formula>
    </cfRule>
    <cfRule type="cellIs" dxfId="1260" priority="879" operator="equal">
      <formula>"CUMPLE"</formula>
    </cfRule>
  </conditionalFormatting>
  <conditionalFormatting sqref="J170:J172">
    <cfRule type="cellIs" dxfId="1259" priority="876" operator="equal">
      <formula>"NO CUMPLE"</formula>
    </cfRule>
    <cfRule type="cellIs" dxfId="1258" priority="877" operator="equal">
      <formula>"CUMPLE"</formula>
    </cfRule>
  </conditionalFormatting>
  <conditionalFormatting sqref="J173:J175">
    <cfRule type="cellIs" dxfId="1257" priority="874" operator="equal">
      <formula>"NO CUMPLE"</formula>
    </cfRule>
    <cfRule type="cellIs" dxfId="1256" priority="875" operator="equal">
      <formula>"CUMPLE"</formula>
    </cfRule>
  </conditionalFormatting>
  <conditionalFormatting sqref="J176:J178">
    <cfRule type="cellIs" dxfId="1255" priority="872" operator="equal">
      <formula>"NO CUMPLE"</formula>
    </cfRule>
    <cfRule type="cellIs" dxfId="1254" priority="873" operator="equal">
      <formula>"CUMPLE"</formula>
    </cfRule>
  </conditionalFormatting>
  <conditionalFormatting sqref="P176">
    <cfRule type="expression" dxfId="1253" priority="867">
      <formula>Q176="NO SUBSANABLE"</formula>
    </cfRule>
    <cfRule type="expression" dxfId="1252" priority="868">
      <formula>Q176="REQUERIMIENTOS SUBSANADOS"</formula>
    </cfRule>
    <cfRule type="expression" dxfId="1251" priority="869">
      <formula>Q176="PENDIENTES POR SUBSANAR"</formula>
    </cfRule>
    <cfRule type="expression" dxfId="1250" priority="870">
      <formula>Q176="SIN OBSERVACIÓN"</formula>
    </cfRule>
    <cfRule type="containsBlanks" dxfId="1249" priority="871">
      <formula>LEN(TRIM(P176))=0</formula>
    </cfRule>
  </conditionalFormatting>
  <conditionalFormatting sqref="J179">
    <cfRule type="cellIs" dxfId="1248" priority="865" operator="equal">
      <formula>"NO CUMPLE"</formula>
    </cfRule>
    <cfRule type="cellIs" dxfId="1247" priority="866" operator="equal">
      <formula>"CUMPLE"</formula>
    </cfRule>
  </conditionalFormatting>
  <conditionalFormatting sqref="J180">
    <cfRule type="cellIs" dxfId="1246" priority="863" operator="equal">
      <formula>"NO CUMPLE"</formula>
    </cfRule>
    <cfRule type="cellIs" dxfId="1245" priority="864" operator="equal">
      <formula>"CUMPLE"</formula>
    </cfRule>
  </conditionalFormatting>
  <conditionalFormatting sqref="F148">
    <cfRule type="notContainsBlanks" dxfId="1244" priority="862">
      <formula>LEN(TRIM(F148))&gt;0</formula>
    </cfRule>
  </conditionalFormatting>
  <conditionalFormatting sqref="N145">
    <cfRule type="expression" dxfId="1243" priority="859">
      <formula>N145=" "</formula>
    </cfRule>
    <cfRule type="expression" dxfId="1242" priority="860">
      <formula>N145="NO PRESENTÓ CERTIFICADO"</formula>
    </cfRule>
    <cfRule type="expression" dxfId="1241" priority="861">
      <formula>N145="PRESENTÓ CERTIFICADO"</formula>
    </cfRule>
  </conditionalFormatting>
  <conditionalFormatting sqref="O145">
    <cfRule type="cellIs" dxfId="1240" priority="841" operator="equal">
      <formula>"PENDIENTE POR DESCRIPCIÓN"</formula>
    </cfRule>
    <cfRule type="cellIs" dxfId="1239" priority="842" operator="equal">
      <formula>"DESCRIPCIÓN INSUFICIENTE"</formula>
    </cfRule>
    <cfRule type="cellIs" dxfId="1238" priority="843" operator="equal">
      <formula>"NO ESTÁ ACORDE A ITEM 5.2.2 (T.R.)"</formula>
    </cfRule>
    <cfRule type="cellIs" dxfId="1237" priority="844" operator="equal">
      <formula>"ACORDE A ITEM 5.2.2 (T.R.)"</formula>
    </cfRule>
    <cfRule type="cellIs" dxfId="1236" priority="851" operator="equal">
      <formula>"PENDIENTE POR DESCRIPCIÓN"</formula>
    </cfRule>
    <cfRule type="cellIs" dxfId="1235" priority="853" operator="equal">
      <formula>"DESCRIPCIÓN INSUFICIENTE"</formula>
    </cfRule>
    <cfRule type="cellIs" dxfId="1234" priority="854" operator="equal">
      <formula>"NO ESTÁ ACORDE A ITEM 5.2.1 (T.R.)"</formula>
    </cfRule>
    <cfRule type="cellIs" dxfId="1233" priority="855" operator="equal">
      <formula>"ACORDE A ITEM 5.2.1 (T.R.)"</formula>
    </cfRule>
  </conditionalFormatting>
  <conditionalFormatting sqref="Q145">
    <cfRule type="containsBlanks" dxfId="1232" priority="846">
      <formula>LEN(TRIM(Q145))=0</formula>
    </cfRule>
    <cfRule type="cellIs" dxfId="1231" priority="852" operator="equal">
      <formula>"REQUERIMIENTOS SUBSANADOS"</formula>
    </cfRule>
    <cfRule type="containsText" dxfId="1230" priority="856" operator="containsText" text="NO SUBSANABLE">
      <formula>NOT(ISERROR(SEARCH("NO SUBSANABLE",Q145)))</formula>
    </cfRule>
    <cfRule type="containsText" dxfId="1229" priority="857" operator="containsText" text="PENDIENTES POR SUBSANAR">
      <formula>NOT(ISERROR(SEARCH("PENDIENTES POR SUBSANAR",Q145)))</formula>
    </cfRule>
    <cfRule type="containsText" dxfId="1228" priority="858" operator="containsText" text="SIN OBSERVACIÓN">
      <formula>NOT(ISERROR(SEARCH("SIN OBSERVACIÓN",Q145)))</formula>
    </cfRule>
  </conditionalFormatting>
  <conditionalFormatting sqref="R145">
    <cfRule type="containsBlanks" dxfId="1227" priority="845">
      <formula>LEN(TRIM(R145))=0</formula>
    </cfRule>
    <cfRule type="cellIs" dxfId="1226" priority="847" operator="equal">
      <formula>"NO CUMPLEN CON LO SOLICITADO"</formula>
    </cfRule>
    <cfRule type="cellIs" dxfId="1225" priority="848" operator="equal">
      <formula>"CUMPLEN CON LO SOLICITADO"</formula>
    </cfRule>
    <cfRule type="cellIs" dxfId="1224" priority="849" operator="equal">
      <formula>"PENDIENTES"</formula>
    </cfRule>
    <cfRule type="cellIs" dxfId="1223" priority="850" operator="equal">
      <formula>"NINGUNO"</formula>
    </cfRule>
  </conditionalFormatting>
  <conditionalFormatting sqref="P145">
    <cfRule type="expression" dxfId="1222" priority="836">
      <formula>Q145="NO SUBSANABLE"</formula>
    </cfRule>
    <cfRule type="expression" dxfId="1221" priority="837">
      <formula>Q145="REQUERIMIENTOS SUBSANADOS"</formula>
    </cfRule>
    <cfRule type="expression" dxfId="1220" priority="838">
      <formula>Q145="PENDIENTES POR SUBSANAR"</formula>
    </cfRule>
    <cfRule type="expression" dxfId="1219" priority="839">
      <formula>Q145="SIN OBSERVACIÓN"</formula>
    </cfRule>
    <cfRule type="containsBlanks" dxfId="1218" priority="840">
      <formula>LEN(TRIM(P145))=0</formula>
    </cfRule>
  </conditionalFormatting>
  <conditionalFormatting sqref="N148">
    <cfRule type="expression" dxfId="1217" priority="833">
      <formula>N148=" "</formula>
    </cfRule>
    <cfRule type="expression" dxfId="1216" priority="834">
      <formula>N148="NO PRESENTÓ CERTIFICADO"</formula>
    </cfRule>
    <cfRule type="expression" dxfId="1215" priority="835">
      <formula>N148="PRESENTÓ CERTIFICADO"</formula>
    </cfRule>
  </conditionalFormatting>
  <conditionalFormatting sqref="O148">
    <cfRule type="cellIs" dxfId="1214" priority="815" operator="equal">
      <formula>"PENDIENTE POR DESCRIPCIÓN"</formula>
    </cfRule>
    <cfRule type="cellIs" dxfId="1213" priority="816" operator="equal">
      <formula>"DESCRIPCIÓN INSUFICIENTE"</formula>
    </cfRule>
    <cfRule type="cellIs" dxfId="1212" priority="817" operator="equal">
      <formula>"NO ESTÁ ACORDE A ITEM 5.2.2 (T.R.)"</formula>
    </cfRule>
    <cfRule type="cellIs" dxfId="1211" priority="818" operator="equal">
      <formula>"ACORDE A ITEM 5.2.2 (T.R.)"</formula>
    </cfRule>
    <cfRule type="cellIs" dxfId="1210" priority="825" operator="equal">
      <formula>"PENDIENTE POR DESCRIPCIÓN"</formula>
    </cfRule>
    <cfRule type="cellIs" dxfId="1209" priority="827" operator="equal">
      <formula>"DESCRIPCIÓN INSUFICIENTE"</formula>
    </cfRule>
    <cfRule type="cellIs" dxfId="1208" priority="828" operator="equal">
      <formula>"NO ESTÁ ACORDE A ITEM 5.2.1 (T.R.)"</formula>
    </cfRule>
    <cfRule type="cellIs" dxfId="1207" priority="829" operator="equal">
      <formula>"ACORDE A ITEM 5.2.1 (T.R.)"</formula>
    </cfRule>
  </conditionalFormatting>
  <conditionalFormatting sqref="Q148">
    <cfRule type="containsBlanks" dxfId="1206" priority="820">
      <formula>LEN(TRIM(Q148))=0</formula>
    </cfRule>
    <cfRule type="cellIs" dxfId="1205" priority="826" operator="equal">
      <formula>"REQUERIMIENTOS SUBSANADOS"</formula>
    </cfRule>
    <cfRule type="containsText" dxfId="1204" priority="830" operator="containsText" text="NO SUBSANABLE">
      <formula>NOT(ISERROR(SEARCH("NO SUBSANABLE",Q148)))</formula>
    </cfRule>
    <cfRule type="containsText" dxfId="1203" priority="831" operator="containsText" text="PENDIENTES POR SUBSANAR">
      <formula>NOT(ISERROR(SEARCH("PENDIENTES POR SUBSANAR",Q148)))</formula>
    </cfRule>
    <cfRule type="containsText" dxfId="1202" priority="832" operator="containsText" text="SIN OBSERVACIÓN">
      <formula>NOT(ISERROR(SEARCH("SIN OBSERVACIÓN",Q148)))</formula>
    </cfRule>
  </conditionalFormatting>
  <conditionalFormatting sqref="R148">
    <cfRule type="containsBlanks" dxfId="1201" priority="819">
      <formula>LEN(TRIM(R148))=0</formula>
    </cfRule>
    <cfRule type="cellIs" dxfId="1200" priority="821" operator="equal">
      <formula>"NO CUMPLEN CON LO SOLICITADO"</formula>
    </cfRule>
    <cfRule type="cellIs" dxfId="1199" priority="822" operator="equal">
      <formula>"CUMPLEN CON LO SOLICITADO"</formula>
    </cfRule>
    <cfRule type="cellIs" dxfId="1198" priority="823" operator="equal">
      <formula>"PENDIENTES"</formula>
    </cfRule>
    <cfRule type="cellIs" dxfId="1197" priority="824" operator="equal">
      <formula>"NINGUNO"</formula>
    </cfRule>
  </conditionalFormatting>
  <conditionalFormatting sqref="P148">
    <cfRule type="expression" dxfId="1196" priority="810">
      <formula>Q148="NO SUBSANABLE"</formula>
    </cfRule>
    <cfRule type="expression" dxfId="1195" priority="811">
      <formula>Q148="REQUERIMIENTOS SUBSANADOS"</formula>
    </cfRule>
    <cfRule type="expression" dxfId="1194" priority="812">
      <formula>Q148="PENDIENTES POR SUBSANAR"</formula>
    </cfRule>
    <cfRule type="expression" dxfId="1193" priority="813">
      <formula>Q148="SIN OBSERVACIÓN"</formula>
    </cfRule>
    <cfRule type="containsBlanks" dxfId="1192" priority="814">
      <formula>LEN(TRIM(P148))=0</formula>
    </cfRule>
  </conditionalFormatting>
  <conditionalFormatting sqref="H126 H129">
    <cfRule type="notContainsBlanks" dxfId="1191" priority="809">
      <formula>LEN(TRIM(H126))&gt;0</formula>
    </cfRule>
  </conditionalFormatting>
  <conditionalFormatting sqref="I126 I129">
    <cfRule type="notContainsBlanks" dxfId="1190" priority="808">
      <formula>LEN(TRIM(I126))&gt;0</formula>
    </cfRule>
  </conditionalFormatting>
  <conditionalFormatting sqref="N123">
    <cfRule type="expression" dxfId="1189" priority="805">
      <formula>N123=" "</formula>
    </cfRule>
    <cfRule type="expression" dxfId="1188" priority="806">
      <formula>N123="NO PRESENTÓ CERTIFICADO"</formula>
    </cfRule>
    <cfRule type="expression" dxfId="1187" priority="807">
      <formula>N123="PRESENTÓ CERTIFICADO"</formula>
    </cfRule>
  </conditionalFormatting>
  <conditionalFormatting sqref="O123">
    <cfRule type="cellIs" dxfId="1186" priority="797" operator="equal">
      <formula>"PENDIENTE POR DESCRIPCIÓN"</formula>
    </cfRule>
    <cfRule type="cellIs" dxfId="1185" priority="798" operator="equal">
      <formula>"DESCRIPCIÓN INSUFICIENTE"</formula>
    </cfRule>
    <cfRule type="cellIs" dxfId="1184" priority="799" operator="equal">
      <formula>"NO ESTÁ ACORDE A ITEM 5.2.2 (T.R.)"</formula>
    </cfRule>
    <cfRule type="cellIs" dxfId="1183" priority="800" operator="equal">
      <formula>"ACORDE A ITEM 5.2.2 (T.R.)"</formula>
    </cfRule>
    <cfRule type="cellIs" dxfId="1182" priority="801" operator="equal">
      <formula>"PENDIENTE POR DESCRIPCIÓN"</formula>
    </cfRule>
    <cfRule type="cellIs" dxfId="1181" priority="802" operator="equal">
      <formula>"DESCRIPCIÓN INSUFICIENTE"</formula>
    </cfRule>
    <cfRule type="cellIs" dxfId="1180" priority="803" operator="equal">
      <formula>"NO ESTÁ ACORDE A ITEM 5.2.1 (T.R.)"</formula>
    </cfRule>
    <cfRule type="cellIs" dxfId="1179" priority="804" operator="equal">
      <formula>"ACORDE A ITEM 5.2.1 (T.R.)"</formula>
    </cfRule>
  </conditionalFormatting>
  <conditionalFormatting sqref="N126">
    <cfRule type="expression" dxfId="1178" priority="794">
      <formula>N126=" "</formula>
    </cfRule>
    <cfRule type="expression" dxfId="1177" priority="795">
      <formula>N126="NO PRESENTÓ CERTIFICADO"</formula>
    </cfRule>
    <cfRule type="expression" dxfId="1176" priority="796">
      <formula>N126="PRESENTÓ CERTIFICADO"</formula>
    </cfRule>
  </conditionalFormatting>
  <conditionalFormatting sqref="O126">
    <cfRule type="cellIs" dxfId="1175" priority="776" operator="equal">
      <formula>"PENDIENTE POR DESCRIPCIÓN"</formula>
    </cfRule>
    <cfRule type="cellIs" dxfId="1174" priority="777" operator="equal">
      <formula>"DESCRIPCIÓN INSUFICIENTE"</formula>
    </cfRule>
    <cfRule type="cellIs" dxfId="1173" priority="778" operator="equal">
      <formula>"NO ESTÁ ACORDE A ITEM 5.2.2 (T.R.)"</formula>
    </cfRule>
    <cfRule type="cellIs" dxfId="1172" priority="779" operator="equal">
      <formula>"ACORDE A ITEM 5.2.2 (T.R.)"</formula>
    </cfRule>
    <cfRule type="cellIs" dxfId="1171" priority="786" operator="equal">
      <formula>"PENDIENTE POR DESCRIPCIÓN"</formula>
    </cfRule>
    <cfRule type="cellIs" dxfId="1170" priority="788" operator="equal">
      <formula>"DESCRIPCIÓN INSUFICIENTE"</formula>
    </cfRule>
    <cfRule type="cellIs" dxfId="1169" priority="789" operator="equal">
      <formula>"NO ESTÁ ACORDE A ITEM 5.2.1 (T.R.)"</formula>
    </cfRule>
    <cfRule type="cellIs" dxfId="1168" priority="790" operator="equal">
      <formula>"ACORDE A ITEM 5.2.1 (T.R.)"</formula>
    </cfRule>
  </conditionalFormatting>
  <conditionalFormatting sqref="Q126">
    <cfRule type="containsBlanks" dxfId="1167" priority="781">
      <formula>LEN(TRIM(Q126))=0</formula>
    </cfRule>
    <cfRule type="cellIs" dxfId="1166" priority="787" operator="equal">
      <formula>"REQUERIMIENTOS SUBSANADOS"</formula>
    </cfRule>
    <cfRule type="containsText" dxfId="1165" priority="791" operator="containsText" text="NO SUBSANABLE">
      <formula>NOT(ISERROR(SEARCH("NO SUBSANABLE",Q126)))</formula>
    </cfRule>
    <cfRule type="containsText" dxfId="1164" priority="792" operator="containsText" text="PENDIENTES POR SUBSANAR">
      <formula>NOT(ISERROR(SEARCH("PENDIENTES POR SUBSANAR",Q126)))</formula>
    </cfRule>
    <cfRule type="containsText" dxfId="1163" priority="793" operator="containsText" text="SIN OBSERVACIÓN">
      <formula>NOT(ISERROR(SEARCH("SIN OBSERVACIÓN",Q126)))</formula>
    </cfRule>
  </conditionalFormatting>
  <conditionalFormatting sqref="R126">
    <cfRule type="containsBlanks" dxfId="1162" priority="780">
      <formula>LEN(TRIM(R126))=0</formula>
    </cfRule>
    <cfRule type="cellIs" dxfId="1161" priority="782" operator="equal">
      <formula>"NO CUMPLEN CON LO SOLICITADO"</formula>
    </cfRule>
    <cfRule type="cellIs" dxfId="1160" priority="783" operator="equal">
      <formula>"CUMPLEN CON LO SOLICITADO"</formula>
    </cfRule>
    <cfRule type="cellIs" dxfId="1159" priority="784" operator="equal">
      <formula>"PENDIENTES"</formula>
    </cfRule>
    <cfRule type="cellIs" dxfId="1158" priority="785" operator="equal">
      <formula>"NINGUNO"</formula>
    </cfRule>
  </conditionalFormatting>
  <conditionalFormatting sqref="P126">
    <cfRule type="expression" dxfId="1157" priority="771">
      <formula>Q126="NO SUBSANABLE"</formula>
    </cfRule>
    <cfRule type="expression" dxfId="1156" priority="772">
      <formula>Q126="REQUERIMIENTOS SUBSANADOS"</formula>
    </cfRule>
    <cfRule type="expression" dxfId="1155" priority="773">
      <formula>Q126="PENDIENTES POR SUBSANAR"</formula>
    </cfRule>
    <cfRule type="expression" dxfId="1154" priority="774">
      <formula>Q126="SIN OBSERVACIÓN"</formula>
    </cfRule>
    <cfRule type="containsBlanks" dxfId="1153" priority="775">
      <formula>LEN(TRIM(P126))=0</formula>
    </cfRule>
  </conditionalFormatting>
  <conditionalFormatting sqref="N129">
    <cfRule type="expression" dxfId="1152" priority="768">
      <formula>N129=" "</formula>
    </cfRule>
    <cfRule type="expression" dxfId="1151" priority="769">
      <formula>N129="NO PRESENTÓ CERTIFICADO"</formula>
    </cfRule>
    <cfRule type="expression" dxfId="1150" priority="770">
      <formula>N129="PRESENTÓ CERTIFICADO"</formula>
    </cfRule>
  </conditionalFormatting>
  <conditionalFormatting sqref="O129">
    <cfRule type="cellIs" dxfId="1149" priority="750" operator="equal">
      <formula>"PENDIENTE POR DESCRIPCIÓN"</formula>
    </cfRule>
    <cfRule type="cellIs" dxfId="1148" priority="751" operator="equal">
      <formula>"DESCRIPCIÓN INSUFICIENTE"</formula>
    </cfRule>
    <cfRule type="cellIs" dxfId="1147" priority="752" operator="equal">
      <formula>"NO ESTÁ ACORDE A ITEM 5.2.2 (T.R.)"</formula>
    </cfRule>
    <cfRule type="cellIs" dxfId="1146" priority="753" operator="equal">
      <formula>"ACORDE A ITEM 5.2.2 (T.R.)"</formula>
    </cfRule>
    <cfRule type="cellIs" dxfId="1145" priority="760" operator="equal">
      <formula>"PENDIENTE POR DESCRIPCIÓN"</formula>
    </cfRule>
    <cfRule type="cellIs" dxfId="1144" priority="762" operator="equal">
      <formula>"DESCRIPCIÓN INSUFICIENTE"</formula>
    </cfRule>
    <cfRule type="cellIs" dxfId="1143" priority="763" operator="equal">
      <formula>"NO ESTÁ ACORDE A ITEM 5.2.1 (T.R.)"</formula>
    </cfRule>
    <cfRule type="cellIs" dxfId="1142" priority="764" operator="equal">
      <formula>"ACORDE A ITEM 5.2.1 (T.R.)"</formula>
    </cfRule>
  </conditionalFormatting>
  <conditionalFormatting sqref="Q129">
    <cfRule type="containsBlanks" dxfId="1141" priority="755">
      <formula>LEN(TRIM(Q129))=0</formula>
    </cfRule>
    <cfRule type="cellIs" dxfId="1140" priority="761" operator="equal">
      <formula>"REQUERIMIENTOS SUBSANADOS"</formula>
    </cfRule>
    <cfRule type="containsText" dxfId="1139" priority="765" operator="containsText" text="NO SUBSANABLE">
      <formula>NOT(ISERROR(SEARCH("NO SUBSANABLE",Q129)))</formula>
    </cfRule>
    <cfRule type="containsText" dxfId="1138" priority="766" operator="containsText" text="PENDIENTES POR SUBSANAR">
      <formula>NOT(ISERROR(SEARCH("PENDIENTES POR SUBSANAR",Q129)))</formula>
    </cfRule>
    <cfRule type="containsText" dxfId="1137" priority="767" operator="containsText" text="SIN OBSERVACIÓN">
      <formula>NOT(ISERROR(SEARCH("SIN OBSERVACIÓN",Q129)))</formula>
    </cfRule>
  </conditionalFormatting>
  <conditionalFormatting sqref="R129">
    <cfRule type="containsBlanks" dxfId="1136" priority="754">
      <formula>LEN(TRIM(R129))=0</formula>
    </cfRule>
    <cfRule type="cellIs" dxfId="1135" priority="756" operator="equal">
      <formula>"NO CUMPLEN CON LO SOLICITADO"</formula>
    </cfRule>
    <cfRule type="cellIs" dxfId="1134" priority="757" operator="equal">
      <formula>"CUMPLEN CON LO SOLICITADO"</formula>
    </cfRule>
    <cfRule type="cellIs" dxfId="1133" priority="758" operator="equal">
      <formula>"PENDIENTES"</formula>
    </cfRule>
    <cfRule type="cellIs" dxfId="1132" priority="759" operator="equal">
      <formula>"NINGUNO"</formula>
    </cfRule>
  </conditionalFormatting>
  <conditionalFormatting sqref="P129">
    <cfRule type="expression" dxfId="1131" priority="745">
      <formula>Q129="NO SUBSANABLE"</formula>
    </cfRule>
    <cfRule type="expression" dxfId="1130" priority="746">
      <formula>Q129="REQUERIMIENTOS SUBSANADOS"</formula>
    </cfRule>
    <cfRule type="expression" dxfId="1129" priority="747">
      <formula>Q129="PENDIENTES POR SUBSANAR"</formula>
    </cfRule>
    <cfRule type="expression" dxfId="1128" priority="748">
      <formula>Q129="SIN OBSERVACIÓN"</formula>
    </cfRule>
    <cfRule type="containsBlanks" dxfId="1127" priority="749">
      <formula>LEN(TRIM(P129))=0</formula>
    </cfRule>
  </conditionalFormatting>
  <conditionalFormatting sqref="N132">
    <cfRule type="expression" dxfId="1126" priority="742">
      <formula>N132=" "</formula>
    </cfRule>
    <cfRule type="expression" dxfId="1125" priority="743">
      <formula>N132="NO PRESENTÓ CERTIFICADO"</formula>
    </cfRule>
    <cfRule type="expression" dxfId="1124" priority="744">
      <formula>N132="PRESENTÓ CERTIFICADO"</formula>
    </cfRule>
  </conditionalFormatting>
  <conditionalFormatting sqref="O132">
    <cfRule type="cellIs" dxfId="1123" priority="724" operator="equal">
      <formula>"PENDIENTE POR DESCRIPCIÓN"</formula>
    </cfRule>
    <cfRule type="cellIs" dxfId="1122" priority="725" operator="equal">
      <formula>"DESCRIPCIÓN INSUFICIENTE"</formula>
    </cfRule>
    <cfRule type="cellIs" dxfId="1121" priority="726" operator="equal">
      <formula>"NO ESTÁ ACORDE A ITEM 5.2.2 (T.R.)"</formula>
    </cfRule>
    <cfRule type="cellIs" dxfId="1120" priority="727" operator="equal">
      <formula>"ACORDE A ITEM 5.2.2 (T.R.)"</formula>
    </cfRule>
    <cfRule type="cellIs" dxfId="1119" priority="734" operator="equal">
      <formula>"PENDIENTE POR DESCRIPCIÓN"</formula>
    </cfRule>
    <cfRule type="cellIs" dxfId="1118" priority="736" operator="equal">
      <formula>"DESCRIPCIÓN INSUFICIENTE"</formula>
    </cfRule>
    <cfRule type="cellIs" dxfId="1117" priority="737" operator="equal">
      <formula>"NO ESTÁ ACORDE A ITEM 5.2.1 (T.R.)"</formula>
    </cfRule>
    <cfRule type="cellIs" dxfId="1116" priority="738" operator="equal">
      <formula>"ACORDE A ITEM 5.2.1 (T.R.)"</formula>
    </cfRule>
  </conditionalFormatting>
  <conditionalFormatting sqref="Q132">
    <cfRule type="containsBlanks" dxfId="1115" priority="729">
      <formula>LEN(TRIM(Q132))=0</formula>
    </cfRule>
    <cfRule type="cellIs" dxfId="1114" priority="735" operator="equal">
      <formula>"REQUERIMIENTOS SUBSANADOS"</formula>
    </cfRule>
    <cfRule type="containsText" dxfId="1113" priority="739" operator="containsText" text="NO SUBSANABLE">
      <formula>NOT(ISERROR(SEARCH("NO SUBSANABLE",Q132)))</formula>
    </cfRule>
    <cfRule type="containsText" dxfId="1112" priority="740" operator="containsText" text="PENDIENTES POR SUBSANAR">
      <formula>NOT(ISERROR(SEARCH("PENDIENTES POR SUBSANAR",Q132)))</formula>
    </cfRule>
    <cfRule type="containsText" dxfId="1111" priority="741" operator="containsText" text="SIN OBSERVACIÓN">
      <formula>NOT(ISERROR(SEARCH("SIN OBSERVACIÓN",Q132)))</formula>
    </cfRule>
  </conditionalFormatting>
  <conditionalFormatting sqref="R132">
    <cfRule type="containsBlanks" dxfId="1110" priority="728">
      <formula>LEN(TRIM(R132))=0</formula>
    </cfRule>
    <cfRule type="cellIs" dxfId="1109" priority="730" operator="equal">
      <formula>"NO CUMPLEN CON LO SOLICITADO"</formula>
    </cfRule>
    <cfRule type="cellIs" dxfId="1108" priority="731" operator="equal">
      <formula>"CUMPLEN CON LO SOLICITADO"</formula>
    </cfRule>
    <cfRule type="cellIs" dxfId="1107" priority="732" operator="equal">
      <formula>"PENDIENTES"</formula>
    </cfRule>
    <cfRule type="cellIs" dxfId="1106" priority="733" operator="equal">
      <formula>"NINGUNO"</formula>
    </cfRule>
  </conditionalFormatting>
  <conditionalFormatting sqref="P132">
    <cfRule type="expression" dxfId="1105" priority="719">
      <formula>Q132="NO SUBSANABLE"</formula>
    </cfRule>
    <cfRule type="expression" dxfId="1104" priority="720">
      <formula>Q132="REQUERIMIENTOS SUBSANADOS"</formula>
    </cfRule>
    <cfRule type="expression" dxfId="1103" priority="721">
      <formula>Q132="PENDIENTES POR SUBSANAR"</formula>
    </cfRule>
    <cfRule type="expression" dxfId="1102" priority="722">
      <formula>Q132="SIN OBSERVACIÓN"</formula>
    </cfRule>
    <cfRule type="containsBlanks" dxfId="1101" priority="723">
      <formula>LEN(TRIM(P132))=0</formula>
    </cfRule>
  </conditionalFormatting>
  <conditionalFormatting sqref="U167:U169">
    <cfRule type="cellIs" dxfId="1100" priority="717" operator="equal">
      <formula>0</formula>
    </cfRule>
    <cfRule type="cellIs" dxfId="1099" priority="718" operator="equal">
      <formula>1</formula>
    </cfRule>
  </conditionalFormatting>
  <conditionalFormatting sqref="U170:U181">
    <cfRule type="cellIs" dxfId="1098" priority="715" operator="equal">
      <formula>0</formula>
    </cfRule>
    <cfRule type="cellIs" dxfId="1097" priority="716" operator="equal">
      <formula>1</formula>
    </cfRule>
  </conditionalFormatting>
  <conditionalFormatting sqref="U145:U147">
    <cfRule type="cellIs" dxfId="1096" priority="713" operator="equal">
      <formula>0</formula>
    </cfRule>
    <cfRule type="cellIs" dxfId="1095" priority="714" operator="equal">
      <formula>1</formula>
    </cfRule>
  </conditionalFormatting>
  <conditionalFormatting sqref="U148:U150">
    <cfRule type="cellIs" dxfId="1094" priority="711" operator="equal">
      <formula>0</formula>
    </cfRule>
    <cfRule type="cellIs" dxfId="1093" priority="712" operator="equal">
      <formula>1</formula>
    </cfRule>
  </conditionalFormatting>
  <conditionalFormatting sqref="U123:U137">
    <cfRule type="cellIs" dxfId="1092" priority="709" operator="equal">
      <formula>0</formula>
    </cfRule>
    <cfRule type="cellIs" dxfId="1091" priority="710" operator="equal">
      <formula>1</formula>
    </cfRule>
  </conditionalFormatting>
  <conditionalFormatting sqref="H104 H107">
    <cfRule type="notContainsBlanks" dxfId="1090" priority="708">
      <formula>LEN(TRIM(H104))&gt;0</formula>
    </cfRule>
  </conditionalFormatting>
  <conditionalFormatting sqref="I104 I107">
    <cfRule type="notContainsBlanks" dxfId="1089" priority="707">
      <formula>LEN(TRIM(I104))&gt;0</formula>
    </cfRule>
  </conditionalFormatting>
  <conditionalFormatting sqref="N101">
    <cfRule type="expression" dxfId="1088" priority="704">
      <formula>N101=" "</formula>
    </cfRule>
    <cfRule type="expression" dxfId="1087" priority="705">
      <formula>N101="NO PRESENTÓ CERTIFICADO"</formula>
    </cfRule>
    <cfRule type="expression" dxfId="1086" priority="706">
      <formula>N101="PRESENTÓ CERTIFICADO"</formula>
    </cfRule>
  </conditionalFormatting>
  <conditionalFormatting sqref="O101">
    <cfRule type="cellIs" dxfId="1085" priority="686" operator="equal">
      <formula>"PENDIENTE POR DESCRIPCIÓN"</formula>
    </cfRule>
    <cfRule type="cellIs" dxfId="1084" priority="687" operator="equal">
      <formula>"DESCRIPCIÓN INSUFICIENTE"</formula>
    </cfRule>
    <cfRule type="cellIs" dxfId="1083" priority="688" operator="equal">
      <formula>"NO ESTÁ ACORDE A ITEM 5.2.2 (T.R.)"</formula>
    </cfRule>
    <cfRule type="cellIs" dxfId="1082" priority="689" operator="equal">
      <formula>"ACORDE A ITEM 5.2.2 (T.R.)"</formula>
    </cfRule>
    <cfRule type="cellIs" dxfId="1081" priority="696" operator="equal">
      <formula>"PENDIENTE POR DESCRIPCIÓN"</formula>
    </cfRule>
    <cfRule type="cellIs" dxfId="1080" priority="698" operator="equal">
      <formula>"DESCRIPCIÓN INSUFICIENTE"</formula>
    </cfRule>
    <cfRule type="cellIs" dxfId="1079" priority="699" operator="equal">
      <formula>"NO ESTÁ ACORDE A ITEM 5.2.1 (T.R.)"</formula>
    </cfRule>
    <cfRule type="cellIs" dxfId="1078" priority="700" operator="equal">
      <formula>"ACORDE A ITEM 5.2.1 (T.R.)"</formula>
    </cfRule>
  </conditionalFormatting>
  <conditionalFormatting sqref="Q101">
    <cfRule type="containsBlanks" dxfId="1077" priority="691">
      <formula>LEN(TRIM(Q101))=0</formula>
    </cfRule>
    <cfRule type="cellIs" dxfId="1076" priority="697" operator="equal">
      <formula>"REQUERIMIENTOS SUBSANADOS"</formula>
    </cfRule>
    <cfRule type="containsText" dxfId="1075" priority="701" operator="containsText" text="NO SUBSANABLE">
      <formula>NOT(ISERROR(SEARCH("NO SUBSANABLE",Q101)))</formula>
    </cfRule>
    <cfRule type="containsText" dxfId="1074" priority="702" operator="containsText" text="PENDIENTES POR SUBSANAR">
      <formula>NOT(ISERROR(SEARCH("PENDIENTES POR SUBSANAR",Q101)))</formula>
    </cfRule>
    <cfRule type="containsText" dxfId="1073" priority="703" operator="containsText" text="SIN OBSERVACIÓN">
      <formula>NOT(ISERROR(SEARCH("SIN OBSERVACIÓN",Q101)))</formula>
    </cfRule>
  </conditionalFormatting>
  <conditionalFormatting sqref="R101">
    <cfRule type="containsBlanks" dxfId="1072" priority="690">
      <formula>LEN(TRIM(R101))=0</formula>
    </cfRule>
    <cfRule type="cellIs" dxfId="1071" priority="692" operator="equal">
      <formula>"NO CUMPLEN CON LO SOLICITADO"</formula>
    </cfRule>
    <cfRule type="cellIs" dxfId="1070" priority="693" operator="equal">
      <formula>"CUMPLEN CON LO SOLICITADO"</formula>
    </cfRule>
    <cfRule type="cellIs" dxfId="1069" priority="694" operator="equal">
      <formula>"PENDIENTES"</formula>
    </cfRule>
    <cfRule type="cellIs" dxfId="1068" priority="695" operator="equal">
      <formula>"NINGUNO"</formula>
    </cfRule>
  </conditionalFormatting>
  <conditionalFormatting sqref="P101">
    <cfRule type="expression" dxfId="1067" priority="681">
      <formula>Q101="NO SUBSANABLE"</formula>
    </cfRule>
    <cfRule type="expression" dxfId="1066" priority="682">
      <formula>Q101="REQUERIMIENTOS SUBSANADOS"</formula>
    </cfRule>
    <cfRule type="expression" dxfId="1065" priority="683">
      <formula>Q101="PENDIENTES POR SUBSANAR"</formula>
    </cfRule>
    <cfRule type="expression" dxfId="1064" priority="684">
      <formula>Q101="SIN OBSERVACIÓN"</formula>
    </cfRule>
    <cfRule type="containsBlanks" dxfId="1063" priority="685">
      <formula>LEN(TRIM(P101))=0</formula>
    </cfRule>
  </conditionalFormatting>
  <conditionalFormatting sqref="N104">
    <cfRule type="expression" dxfId="1062" priority="678">
      <formula>N104=" "</formula>
    </cfRule>
    <cfRule type="expression" dxfId="1061" priority="679">
      <formula>N104="NO PRESENTÓ CERTIFICADO"</formula>
    </cfRule>
    <cfRule type="expression" dxfId="1060" priority="680">
      <formula>N104="PRESENTÓ CERTIFICADO"</formula>
    </cfRule>
  </conditionalFormatting>
  <conditionalFormatting sqref="O104">
    <cfRule type="cellIs" dxfId="1059" priority="660" operator="equal">
      <formula>"PENDIENTE POR DESCRIPCIÓN"</formula>
    </cfRule>
    <cfRule type="cellIs" dxfId="1058" priority="661" operator="equal">
      <formula>"DESCRIPCIÓN INSUFICIENTE"</formula>
    </cfRule>
    <cfRule type="cellIs" dxfId="1057" priority="662" operator="equal">
      <formula>"NO ESTÁ ACORDE A ITEM 5.2.2 (T.R.)"</formula>
    </cfRule>
    <cfRule type="cellIs" dxfId="1056" priority="663" operator="equal">
      <formula>"ACORDE A ITEM 5.2.2 (T.R.)"</formula>
    </cfRule>
    <cfRule type="cellIs" dxfId="1055" priority="670" operator="equal">
      <formula>"PENDIENTE POR DESCRIPCIÓN"</formula>
    </cfRule>
    <cfRule type="cellIs" dxfId="1054" priority="672" operator="equal">
      <formula>"DESCRIPCIÓN INSUFICIENTE"</formula>
    </cfRule>
    <cfRule type="cellIs" dxfId="1053" priority="673" operator="equal">
      <formula>"NO ESTÁ ACORDE A ITEM 5.2.1 (T.R.)"</formula>
    </cfRule>
    <cfRule type="cellIs" dxfId="1052" priority="674" operator="equal">
      <formula>"ACORDE A ITEM 5.2.1 (T.R.)"</formula>
    </cfRule>
  </conditionalFormatting>
  <conditionalFormatting sqref="Q104">
    <cfRule type="containsBlanks" dxfId="1051" priority="665">
      <formula>LEN(TRIM(Q104))=0</formula>
    </cfRule>
    <cfRule type="cellIs" dxfId="1050" priority="671" operator="equal">
      <formula>"REQUERIMIENTOS SUBSANADOS"</formula>
    </cfRule>
    <cfRule type="containsText" dxfId="1049" priority="675" operator="containsText" text="NO SUBSANABLE">
      <formula>NOT(ISERROR(SEARCH("NO SUBSANABLE",Q104)))</formula>
    </cfRule>
    <cfRule type="containsText" dxfId="1048" priority="676" operator="containsText" text="PENDIENTES POR SUBSANAR">
      <formula>NOT(ISERROR(SEARCH("PENDIENTES POR SUBSANAR",Q104)))</formula>
    </cfRule>
    <cfRule type="containsText" dxfId="1047" priority="677" operator="containsText" text="SIN OBSERVACIÓN">
      <formula>NOT(ISERROR(SEARCH("SIN OBSERVACIÓN",Q104)))</formula>
    </cfRule>
  </conditionalFormatting>
  <conditionalFormatting sqref="R104">
    <cfRule type="containsBlanks" dxfId="1046" priority="664">
      <formula>LEN(TRIM(R104))=0</formula>
    </cfRule>
    <cfRule type="cellIs" dxfId="1045" priority="666" operator="equal">
      <formula>"NO CUMPLEN CON LO SOLICITADO"</formula>
    </cfRule>
    <cfRule type="cellIs" dxfId="1044" priority="667" operator="equal">
      <formula>"CUMPLEN CON LO SOLICITADO"</formula>
    </cfRule>
    <cfRule type="cellIs" dxfId="1043" priority="668" operator="equal">
      <formula>"PENDIENTES"</formula>
    </cfRule>
    <cfRule type="cellIs" dxfId="1042" priority="669" operator="equal">
      <formula>"NINGUNO"</formula>
    </cfRule>
  </conditionalFormatting>
  <conditionalFormatting sqref="P104">
    <cfRule type="expression" dxfId="1041" priority="655">
      <formula>Q104="NO SUBSANABLE"</formula>
    </cfRule>
    <cfRule type="expression" dxfId="1040" priority="656">
      <formula>Q104="REQUERIMIENTOS SUBSANADOS"</formula>
    </cfRule>
    <cfRule type="expression" dxfId="1039" priority="657">
      <formula>Q104="PENDIENTES POR SUBSANAR"</formula>
    </cfRule>
    <cfRule type="expression" dxfId="1038" priority="658">
      <formula>Q104="SIN OBSERVACIÓN"</formula>
    </cfRule>
    <cfRule type="containsBlanks" dxfId="1037" priority="659">
      <formula>LEN(TRIM(P104))=0</formula>
    </cfRule>
  </conditionalFormatting>
  <conditionalFormatting sqref="N107">
    <cfRule type="expression" dxfId="1036" priority="652">
      <formula>N107=" "</formula>
    </cfRule>
    <cfRule type="expression" dxfId="1035" priority="653">
      <formula>N107="NO PRESENTÓ CERTIFICADO"</formula>
    </cfRule>
    <cfRule type="expression" dxfId="1034" priority="654">
      <formula>N107="PRESENTÓ CERTIFICADO"</formula>
    </cfRule>
  </conditionalFormatting>
  <conditionalFormatting sqref="O107">
    <cfRule type="cellIs" dxfId="1033" priority="644" operator="equal">
      <formula>"PENDIENTE POR DESCRIPCIÓN"</formula>
    </cfRule>
    <cfRule type="cellIs" dxfId="1032" priority="645" operator="equal">
      <formula>"DESCRIPCIÓN INSUFICIENTE"</formula>
    </cfRule>
    <cfRule type="cellIs" dxfId="1031" priority="646" operator="equal">
      <formula>"NO ESTÁ ACORDE A ITEM 5.2.2 (T.R.)"</formula>
    </cfRule>
    <cfRule type="cellIs" dxfId="1030" priority="647" operator="equal">
      <formula>"ACORDE A ITEM 5.2.2 (T.R.)"</formula>
    </cfRule>
    <cfRule type="cellIs" dxfId="1029" priority="648" operator="equal">
      <formula>"PENDIENTE POR DESCRIPCIÓN"</formula>
    </cfRule>
    <cfRule type="cellIs" dxfId="1028" priority="649" operator="equal">
      <formula>"DESCRIPCIÓN INSUFICIENTE"</formula>
    </cfRule>
    <cfRule type="cellIs" dxfId="1027" priority="650" operator="equal">
      <formula>"NO ESTÁ ACORDE A ITEM 5.2.1 (T.R.)"</formula>
    </cfRule>
    <cfRule type="cellIs" dxfId="1026" priority="651" operator="equal">
      <formula>"ACORDE A ITEM 5.2.1 (T.R.)"</formula>
    </cfRule>
  </conditionalFormatting>
  <conditionalFormatting sqref="Q107">
    <cfRule type="containsBlanks" dxfId="1025" priority="635">
      <formula>LEN(TRIM(Q107))=0</formula>
    </cfRule>
    <cfRule type="cellIs" dxfId="1024" priority="640" operator="equal">
      <formula>"REQUERIMIENTOS SUBSANADOS"</formula>
    </cfRule>
    <cfRule type="containsText" dxfId="1023" priority="641" operator="containsText" text="NO SUBSANABLE">
      <formula>NOT(ISERROR(SEARCH("NO SUBSANABLE",Q107)))</formula>
    </cfRule>
    <cfRule type="containsText" dxfId="1022" priority="642" operator="containsText" text="PENDIENTES POR SUBSANAR">
      <formula>NOT(ISERROR(SEARCH("PENDIENTES POR SUBSANAR",Q107)))</formula>
    </cfRule>
    <cfRule type="containsText" dxfId="1021" priority="643" operator="containsText" text="SIN OBSERVACIÓN">
      <formula>NOT(ISERROR(SEARCH("SIN OBSERVACIÓN",Q107)))</formula>
    </cfRule>
  </conditionalFormatting>
  <conditionalFormatting sqref="R107">
    <cfRule type="containsBlanks" dxfId="1020" priority="634">
      <formula>LEN(TRIM(R107))=0</formula>
    </cfRule>
    <cfRule type="cellIs" dxfId="1019" priority="636" operator="equal">
      <formula>"NO CUMPLEN CON LO SOLICITADO"</formula>
    </cfRule>
    <cfRule type="cellIs" dxfId="1018" priority="637" operator="equal">
      <formula>"CUMPLEN CON LO SOLICITADO"</formula>
    </cfRule>
    <cfRule type="cellIs" dxfId="1017" priority="638" operator="equal">
      <formula>"PENDIENTES"</formula>
    </cfRule>
    <cfRule type="cellIs" dxfId="1016" priority="639" operator="equal">
      <formula>"NINGUNO"</formula>
    </cfRule>
  </conditionalFormatting>
  <conditionalFormatting sqref="N110">
    <cfRule type="expression" dxfId="1015" priority="631">
      <formula>N110=" "</formula>
    </cfRule>
    <cfRule type="expression" dxfId="1014" priority="632">
      <formula>N110="NO PRESENTÓ CERTIFICADO"</formula>
    </cfRule>
    <cfRule type="expression" dxfId="1013" priority="633">
      <formula>N110="PRESENTÓ CERTIFICADO"</formula>
    </cfRule>
  </conditionalFormatting>
  <conditionalFormatting sqref="O110">
    <cfRule type="cellIs" dxfId="1012" priority="613" operator="equal">
      <formula>"PENDIENTE POR DESCRIPCIÓN"</formula>
    </cfRule>
    <cfRule type="cellIs" dxfId="1011" priority="614" operator="equal">
      <formula>"DESCRIPCIÓN INSUFICIENTE"</formula>
    </cfRule>
    <cfRule type="cellIs" dxfId="1010" priority="615" operator="equal">
      <formula>"NO ESTÁ ACORDE A ITEM 5.2.2 (T.R.)"</formula>
    </cfRule>
    <cfRule type="cellIs" dxfId="1009" priority="616" operator="equal">
      <formula>"ACORDE A ITEM 5.2.2 (T.R.)"</formula>
    </cfRule>
    <cfRule type="cellIs" dxfId="1008" priority="623" operator="equal">
      <formula>"PENDIENTE POR DESCRIPCIÓN"</formula>
    </cfRule>
    <cfRule type="cellIs" dxfId="1007" priority="625" operator="equal">
      <formula>"DESCRIPCIÓN INSUFICIENTE"</formula>
    </cfRule>
    <cfRule type="cellIs" dxfId="1006" priority="626" operator="equal">
      <formula>"NO ESTÁ ACORDE A ITEM 5.2.1 (T.R.)"</formula>
    </cfRule>
    <cfRule type="cellIs" dxfId="1005" priority="627" operator="equal">
      <formula>"ACORDE A ITEM 5.2.1 (T.R.)"</formula>
    </cfRule>
  </conditionalFormatting>
  <conditionalFormatting sqref="Q110">
    <cfRule type="containsBlanks" dxfId="1004" priority="618">
      <formula>LEN(TRIM(Q110))=0</formula>
    </cfRule>
    <cfRule type="cellIs" dxfId="1003" priority="624" operator="equal">
      <formula>"REQUERIMIENTOS SUBSANADOS"</formula>
    </cfRule>
    <cfRule type="containsText" dxfId="1002" priority="628" operator="containsText" text="NO SUBSANABLE">
      <formula>NOT(ISERROR(SEARCH("NO SUBSANABLE",Q110)))</formula>
    </cfRule>
    <cfRule type="containsText" dxfId="1001" priority="629" operator="containsText" text="PENDIENTES POR SUBSANAR">
      <formula>NOT(ISERROR(SEARCH("PENDIENTES POR SUBSANAR",Q110)))</formula>
    </cfRule>
    <cfRule type="containsText" dxfId="1000" priority="630" operator="containsText" text="SIN OBSERVACIÓN">
      <formula>NOT(ISERROR(SEARCH("SIN OBSERVACIÓN",Q110)))</formula>
    </cfRule>
  </conditionalFormatting>
  <conditionalFormatting sqref="R110">
    <cfRule type="containsBlanks" dxfId="999" priority="617">
      <formula>LEN(TRIM(R110))=0</formula>
    </cfRule>
    <cfRule type="cellIs" dxfId="998" priority="619" operator="equal">
      <formula>"NO CUMPLEN CON LO SOLICITADO"</formula>
    </cfRule>
    <cfRule type="cellIs" dxfId="997" priority="620" operator="equal">
      <formula>"CUMPLEN CON LO SOLICITADO"</formula>
    </cfRule>
    <cfRule type="cellIs" dxfId="996" priority="621" operator="equal">
      <formula>"PENDIENTES"</formula>
    </cfRule>
    <cfRule type="cellIs" dxfId="995" priority="622" operator="equal">
      <formula>"NINGUNO"</formula>
    </cfRule>
  </conditionalFormatting>
  <conditionalFormatting sqref="P110">
    <cfRule type="expression" dxfId="994" priority="608">
      <formula>Q110="NO SUBSANABLE"</formula>
    </cfRule>
    <cfRule type="expression" dxfId="993" priority="609">
      <formula>Q110="REQUERIMIENTOS SUBSANADOS"</formula>
    </cfRule>
    <cfRule type="expression" dxfId="992" priority="610">
      <formula>Q110="PENDIENTES POR SUBSANAR"</formula>
    </cfRule>
    <cfRule type="expression" dxfId="991" priority="611">
      <formula>Q110="SIN OBSERVACIÓN"</formula>
    </cfRule>
    <cfRule type="containsBlanks" dxfId="990" priority="612">
      <formula>LEN(TRIM(P110))=0</formula>
    </cfRule>
  </conditionalFormatting>
  <conditionalFormatting sqref="N113">
    <cfRule type="expression" dxfId="989" priority="605">
      <formula>N113=" "</formula>
    </cfRule>
    <cfRule type="expression" dxfId="988" priority="606">
      <formula>N113="NO PRESENTÓ CERTIFICADO"</formula>
    </cfRule>
    <cfRule type="expression" dxfId="987" priority="607">
      <formula>N113="PRESENTÓ CERTIFICADO"</formula>
    </cfRule>
  </conditionalFormatting>
  <conditionalFormatting sqref="O113">
    <cfRule type="cellIs" dxfId="986" priority="587" operator="equal">
      <formula>"PENDIENTE POR DESCRIPCIÓN"</formula>
    </cfRule>
    <cfRule type="cellIs" dxfId="985" priority="588" operator="equal">
      <formula>"DESCRIPCIÓN INSUFICIENTE"</formula>
    </cfRule>
    <cfRule type="cellIs" dxfId="984" priority="589" operator="equal">
      <formula>"NO ESTÁ ACORDE A ITEM 5.2.2 (T.R.)"</formula>
    </cfRule>
    <cfRule type="cellIs" dxfId="983" priority="590" operator="equal">
      <formula>"ACORDE A ITEM 5.2.2 (T.R.)"</formula>
    </cfRule>
    <cfRule type="cellIs" dxfId="982" priority="597" operator="equal">
      <formula>"PENDIENTE POR DESCRIPCIÓN"</formula>
    </cfRule>
    <cfRule type="cellIs" dxfId="981" priority="599" operator="equal">
      <formula>"DESCRIPCIÓN INSUFICIENTE"</formula>
    </cfRule>
    <cfRule type="cellIs" dxfId="980" priority="600" operator="equal">
      <formula>"NO ESTÁ ACORDE A ITEM 5.2.1 (T.R.)"</formula>
    </cfRule>
    <cfRule type="cellIs" dxfId="979" priority="601" operator="equal">
      <formula>"ACORDE A ITEM 5.2.1 (T.R.)"</formula>
    </cfRule>
  </conditionalFormatting>
  <conditionalFormatting sqref="Q113">
    <cfRule type="containsBlanks" dxfId="978" priority="592">
      <formula>LEN(TRIM(Q113))=0</formula>
    </cfRule>
    <cfRule type="cellIs" dxfId="977" priority="598" operator="equal">
      <formula>"REQUERIMIENTOS SUBSANADOS"</formula>
    </cfRule>
    <cfRule type="containsText" dxfId="976" priority="602" operator="containsText" text="NO SUBSANABLE">
      <formula>NOT(ISERROR(SEARCH("NO SUBSANABLE",Q113)))</formula>
    </cfRule>
    <cfRule type="containsText" dxfId="975" priority="603" operator="containsText" text="PENDIENTES POR SUBSANAR">
      <formula>NOT(ISERROR(SEARCH("PENDIENTES POR SUBSANAR",Q113)))</formula>
    </cfRule>
    <cfRule type="containsText" dxfId="974" priority="604" operator="containsText" text="SIN OBSERVACIÓN">
      <formula>NOT(ISERROR(SEARCH("SIN OBSERVACIÓN",Q113)))</formula>
    </cfRule>
  </conditionalFormatting>
  <conditionalFormatting sqref="R113">
    <cfRule type="containsBlanks" dxfId="973" priority="591">
      <formula>LEN(TRIM(R113))=0</formula>
    </cfRule>
    <cfRule type="cellIs" dxfId="972" priority="593" operator="equal">
      <formula>"NO CUMPLEN CON LO SOLICITADO"</formula>
    </cfRule>
    <cfRule type="cellIs" dxfId="971" priority="594" operator="equal">
      <formula>"CUMPLEN CON LO SOLICITADO"</formula>
    </cfRule>
    <cfRule type="cellIs" dxfId="970" priority="595" operator="equal">
      <formula>"PENDIENTES"</formula>
    </cfRule>
    <cfRule type="cellIs" dxfId="969" priority="596" operator="equal">
      <formula>"NINGUNO"</formula>
    </cfRule>
  </conditionalFormatting>
  <conditionalFormatting sqref="P113">
    <cfRule type="expression" dxfId="968" priority="582">
      <formula>Q113="NO SUBSANABLE"</formula>
    </cfRule>
    <cfRule type="expression" dxfId="967" priority="583">
      <formula>Q113="REQUERIMIENTOS SUBSANADOS"</formula>
    </cfRule>
    <cfRule type="expression" dxfId="966" priority="584">
      <formula>Q113="PENDIENTES POR SUBSANAR"</formula>
    </cfRule>
    <cfRule type="expression" dxfId="965" priority="585">
      <formula>Q113="SIN OBSERVACIÓN"</formula>
    </cfRule>
    <cfRule type="containsBlanks" dxfId="964" priority="586">
      <formula>LEN(TRIM(P113))=0</formula>
    </cfRule>
  </conditionalFormatting>
  <conditionalFormatting sqref="J113">
    <cfRule type="cellIs" dxfId="963" priority="580" operator="equal">
      <formula>"NO CUMPLE"</formula>
    </cfRule>
    <cfRule type="cellIs" dxfId="962" priority="581" operator="equal">
      <formula>"CUMPLE"</formula>
    </cfRule>
  </conditionalFormatting>
  <conditionalFormatting sqref="J114">
    <cfRule type="cellIs" dxfId="961" priority="578" operator="equal">
      <formula>"NO CUMPLE"</formula>
    </cfRule>
    <cfRule type="cellIs" dxfId="960" priority="579" operator="equal">
      <formula>"CUMPLE"</formula>
    </cfRule>
  </conditionalFormatting>
  <conditionalFormatting sqref="J115">
    <cfRule type="cellIs" dxfId="959" priority="576" operator="equal">
      <formula>"NO CUMPLE"</formula>
    </cfRule>
    <cfRule type="cellIs" dxfId="958" priority="577" operator="equal">
      <formula>"CUMPLE"</formula>
    </cfRule>
  </conditionalFormatting>
  <conditionalFormatting sqref="H13">
    <cfRule type="notContainsBlanks" dxfId="957" priority="575">
      <formula>LEN(TRIM(H13))&gt;0</formula>
    </cfRule>
  </conditionalFormatting>
  <conditionalFormatting sqref="G13">
    <cfRule type="notContainsBlanks" dxfId="956" priority="574">
      <formula>LEN(TRIM(G13))&gt;0</formula>
    </cfRule>
  </conditionalFormatting>
  <conditionalFormatting sqref="F13">
    <cfRule type="notContainsBlanks" dxfId="955" priority="573">
      <formula>LEN(TRIM(F13))&gt;0</formula>
    </cfRule>
  </conditionalFormatting>
  <conditionalFormatting sqref="E13">
    <cfRule type="notContainsBlanks" dxfId="954" priority="572">
      <formula>LEN(TRIM(E13))&gt;0</formula>
    </cfRule>
  </conditionalFormatting>
  <conditionalFormatting sqref="D13">
    <cfRule type="notContainsBlanks" dxfId="953" priority="571">
      <formula>LEN(TRIM(D13))&gt;0</formula>
    </cfRule>
  </conditionalFormatting>
  <conditionalFormatting sqref="C13">
    <cfRule type="notContainsBlanks" dxfId="952" priority="570">
      <formula>LEN(TRIM(C13))&gt;0</formula>
    </cfRule>
  </conditionalFormatting>
  <conditionalFormatting sqref="I13">
    <cfRule type="notContainsBlanks" dxfId="951" priority="569">
      <formula>LEN(TRIM(I13))&gt;0</formula>
    </cfRule>
  </conditionalFormatting>
  <conditionalFormatting sqref="J13:J15">
    <cfRule type="cellIs" dxfId="950" priority="567" operator="equal">
      <formula>"NO CUMPLE"</formula>
    </cfRule>
    <cfRule type="cellIs" dxfId="949" priority="568" operator="equal">
      <formula>"CUMPLE"</formula>
    </cfRule>
  </conditionalFormatting>
  <conditionalFormatting sqref="N13">
    <cfRule type="expression" dxfId="948" priority="564">
      <formula>N13=" "</formula>
    </cfRule>
    <cfRule type="expression" dxfId="947" priority="565">
      <formula>N13="NO PRESENTÓ CERTIFICADO"</formula>
    </cfRule>
    <cfRule type="expression" dxfId="946" priority="566">
      <formula>N13="PRESENTÓ CERTIFICADO"</formula>
    </cfRule>
  </conditionalFormatting>
  <conditionalFormatting sqref="P13">
    <cfRule type="expression" dxfId="945" priority="551">
      <formula>Q13="NO SUBSANABLE"</formula>
    </cfRule>
    <cfRule type="expression" dxfId="944" priority="553">
      <formula>Q13="REQUERIMIENTOS SUBSANADOS"</formula>
    </cfRule>
    <cfRule type="expression" dxfId="943" priority="554">
      <formula>Q13="PENDIENTES POR SUBSANAR"</formula>
    </cfRule>
    <cfRule type="expression" dxfId="942" priority="559">
      <formula>Q13="SIN OBSERVACIÓN"</formula>
    </cfRule>
    <cfRule type="containsBlanks" dxfId="941" priority="560">
      <formula>LEN(TRIM(P13))=0</formula>
    </cfRule>
  </conditionalFormatting>
  <conditionalFormatting sqref="O13">
    <cfRule type="cellIs" dxfId="940" priority="541" operator="equal">
      <formula>"PENDIENTE POR DESCRIPCIÓN"</formula>
    </cfRule>
    <cfRule type="cellIs" dxfId="939" priority="542" operator="equal">
      <formula>"DESCRIPCIÓN INSUFICIENTE"</formula>
    </cfRule>
    <cfRule type="cellIs" dxfId="938" priority="543" operator="equal">
      <formula>"NO ESTÁ ACORDE A ITEM 5.2.2 (T.R.)"</formula>
    </cfRule>
    <cfRule type="cellIs" dxfId="937" priority="544" operator="equal">
      <formula>"ACORDE A ITEM 5.2.2 (T.R.)"</formula>
    </cfRule>
    <cfRule type="cellIs" dxfId="936" priority="552" operator="equal">
      <formula>"PENDIENTE POR DESCRIPCIÓN"</formula>
    </cfRule>
    <cfRule type="cellIs" dxfId="935" priority="556" operator="equal">
      <formula>"DESCRIPCIÓN INSUFICIENTE"</formula>
    </cfRule>
    <cfRule type="cellIs" dxfId="934" priority="557" operator="equal">
      <formula>"NO ESTÁ ACORDE A ITEM 5.2.1 (T.R.)"</formula>
    </cfRule>
    <cfRule type="cellIs" dxfId="933" priority="558" operator="equal">
      <formula>"ACORDE A ITEM 5.2.1 (T.R.)"</formula>
    </cfRule>
  </conditionalFormatting>
  <conditionalFormatting sqref="Q13">
    <cfRule type="containsBlanks" dxfId="932" priority="546">
      <formula>LEN(TRIM(Q13))=0</formula>
    </cfRule>
    <cfRule type="cellIs" dxfId="931" priority="555" operator="equal">
      <formula>"REQUERIMIENTOS SUBSANADOS"</formula>
    </cfRule>
    <cfRule type="containsText" dxfId="930" priority="561" operator="containsText" text="NO SUBSANABLE">
      <formula>NOT(ISERROR(SEARCH("NO SUBSANABLE",Q13)))</formula>
    </cfRule>
    <cfRule type="containsText" dxfId="929" priority="562" operator="containsText" text="PENDIENTES POR SUBSANAR">
      <formula>NOT(ISERROR(SEARCH("PENDIENTES POR SUBSANAR",Q13)))</formula>
    </cfRule>
    <cfRule type="containsText" dxfId="928" priority="563" operator="containsText" text="SIN OBSERVACIÓN">
      <formula>NOT(ISERROR(SEARCH("SIN OBSERVACIÓN",Q13)))</formula>
    </cfRule>
  </conditionalFormatting>
  <conditionalFormatting sqref="R13">
    <cfRule type="containsBlanks" dxfId="927" priority="545">
      <formula>LEN(TRIM(R13))=0</formula>
    </cfRule>
    <cfRule type="cellIs" dxfId="926" priority="547" operator="equal">
      <formula>"NO CUMPLEN CON LO SOLICITADO"</formula>
    </cfRule>
    <cfRule type="cellIs" dxfId="925" priority="548" operator="equal">
      <formula>"CUMPLEN CON LO SOLICITADO"</formula>
    </cfRule>
    <cfRule type="cellIs" dxfId="924" priority="549" operator="equal">
      <formula>"PENDIENTES"</formula>
    </cfRule>
    <cfRule type="cellIs" dxfId="923" priority="550" operator="equal">
      <formula>"NINGUNO"</formula>
    </cfRule>
  </conditionalFormatting>
  <conditionalFormatting sqref="U101:U115">
    <cfRule type="cellIs" dxfId="922" priority="539" operator="equal">
      <formula>0</formula>
    </cfRule>
    <cfRule type="cellIs" dxfId="921" priority="540" operator="equal">
      <formula>1</formula>
    </cfRule>
  </conditionalFormatting>
  <conditionalFormatting sqref="U79:U93">
    <cfRule type="cellIs" dxfId="920" priority="537" operator="equal">
      <formula>0</formula>
    </cfRule>
    <cfRule type="cellIs" dxfId="919" priority="538" operator="equal">
      <formula>1</formula>
    </cfRule>
  </conditionalFormatting>
  <conditionalFormatting sqref="U57:U71">
    <cfRule type="cellIs" dxfId="918" priority="535" operator="equal">
      <formula>0</formula>
    </cfRule>
    <cfRule type="cellIs" dxfId="917" priority="536" operator="equal">
      <formula>1</formula>
    </cfRule>
  </conditionalFormatting>
  <conditionalFormatting sqref="U35:U49">
    <cfRule type="cellIs" dxfId="916" priority="533" operator="equal">
      <formula>0</formula>
    </cfRule>
    <cfRule type="cellIs" dxfId="915" priority="534" operator="equal">
      <formula>1</formula>
    </cfRule>
  </conditionalFormatting>
  <conditionalFormatting sqref="U13:U15">
    <cfRule type="cellIs" dxfId="914" priority="531" operator="equal">
      <formula>0</formula>
    </cfRule>
    <cfRule type="cellIs" dxfId="913" priority="532" operator="equal">
      <formula>1</formula>
    </cfRule>
  </conditionalFormatting>
  <conditionalFormatting sqref="H35">
    <cfRule type="notContainsBlanks" dxfId="912" priority="530">
      <formula>LEN(TRIM(H35))&gt;0</formula>
    </cfRule>
  </conditionalFormatting>
  <conditionalFormatting sqref="G35">
    <cfRule type="notContainsBlanks" dxfId="911" priority="529">
      <formula>LEN(TRIM(G35))&gt;0</formula>
    </cfRule>
  </conditionalFormatting>
  <conditionalFormatting sqref="F35">
    <cfRule type="notContainsBlanks" dxfId="910" priority="528">
      <formula>LEN(TRIM(F35))&gt;0</formula>
    </cfRule>
  </conditionalFormatting>
  <conditionalFormatting sqref="E35">
    <cfRule type="notContainsBlanks" dxfId="909" priority="527">
      <formula>LEN(TRIM(E35))&gt;0</formula>
    </cfRule>
  </conditionalFormatting>
  <conditionalFormatting sqref="D35">
    <cfRule type="notContainsBlanks" dxfId="908" priority="526">
      <formula>LEN(TRIM(D35))&gt;0</formula>
    </cfRule>
  </conditionalFormatting>
  <conditionalFormatting sqref="C35">
    <cfRule type="notContainsBlanks" dxfId="907" priority="525">
      <formula>LEN(TRIM(C35))&gt;0</formula>
    </cfRule>
  </conditionalFormatting>
  <conditionalFormatting sqref="I35">
    <cfRule type="notContainsBlanks" dxfId="906" priority="524">
      <formula>LEN(TRIM(I35))&gt;0</formula>
    </cfRule>
  </conditionalFormatting>
  <conditionalFormatting sqref="G38">
    <cfRule type="notContainsBlanks" dxfId="905" priority="523">
      <formula>LEN(TRIM(G38))&gt;0</formula>
    </cfRule>
  </conditionalFormatting>
  <conditionalFormatting sqref="F38">
    <cfRule type="notContainsBlanks" dxfId="904" priority="522">
      <formula>LEN(TRIM(F38))&gt;0</formula>
    </cfRule>
  </conditionalFormatting>
  <conditionalFormatting sqref="E38">
    <cfRule type="notContainsBlanks" dxfId="903" priority="521">
      <formula>LEN(TRIM(E38))&gt;0</formula>
    </cfRule>
  </conditionalFormatting>
  <conditionalFormatting sqref="D38">
    <cfRule type="notContainsBlanks" dxfId="902" priority="520">
      <formula>LEN(TRIM(D38))&gt;0</formula>
    </cfRule>
  </conditionalFormatting>
  <conditionalFormatting sqref="C38">
    <cfRule type="notContainsBlanks" dxfId="901" priority="519">
      <formula>LEN(TRIM(C38))&gt;0</formula>
    </cfRule>
  </conditionalFormatting>
  <conditionalFormatting sqref="J35:J37">
    <cfRule type="cellIs" dxfId="900" priority="516" operator="equal">
      <formula>"NO CUMPLE"</formula>
    </cfRule>
    <cfRule type="cellIs" dxfId="899" priority="517" operator="equal">
      <formula>"CUMPLE"</formula>
    </cfRule>
  </conditionalFormatting>
  <conditionalFormatting sqref="N35">
    <cfRule type="expression" dxfId="898" priority="513">
      <formula>N35=" "</formula>
    </cfRule>
    <cfRule type="expression" dxfId="897" priority="514">
      <formula>N35="NO PRESENTÓ CERTIFICADO"</formula>
    </cfRule>
    <cfRule type="expression" dxfId="896" priority="515">
      <formula>N35="PRESENTÓ CERTIFICADO"</formula>
    </cfRule>
  </conditionalFormatting>
  <conditionalFormatting sqref="Q35">
    <cfRule type="containsBlanks" dxfId="895" priority="504">
      <formula>LEN(TRIM(Q35))=0</formula>
    </cfRule>
    <cfRule type="cellIs" dxfId="894" priority="509" operator="equal">
      <formula>"REQUERIMIENTOS SUBSANADOS"</formula>
    </cfRule>
    <cfRule type="containsText" dxfId="893" priority="510" operator="containsText" text="NO SUBSANABLE">
      <formula>NOT(ISERROR(SEARCH("NO SUBSANABLE",Q35)))</formula>
    </cfRule>
    <cfRule type="containsText" dxfId="892" priority="511" operator="containsText" text="PENDIENTES POR SUBSANAR">
      <formula>NOT(ISERROR(SEARCH("PENDIENTES POR SUBSANAR",Q35)))</formula>
    </cfRule>
    <cfRule type="containsText" dxfId="891" priority="512" operator="containsText" text="SIN OBSERVACIÓN">
      <formula>NOT(ISERROR(SEARCH("SIN OBSERVACIÓN",Q35)))</formula>
    </cfRule>
  </conditionalFormatting>
  <conditionalFormatting sqref="R35">
    <cfRule type="containsBlanks" dxfId="890" priority="503">
      <formula>LEN(TRIM(R35))=0</formula>
    </cfRule>
    <cfRule type="cellIs" dxfId="889" priority="505" operator="equal">
      <formula>"NO CUMPLEN CON LO SOLICITADO"</formula>
    </cfRule>
    <cfRule type="cellIs" dxfId="888" priority="506" operator="equal">
      <formula>"CUMPLEN CON LO SOLICITADO"</formula>
    </cfRule>
    <cfRule type="cellIs" dxfId="887" priority="507" operator="equal">
      <formula>"PENDIENTES"</formula>
    </cfRule>
    <cfRule type="cellIs" dxfId="886" priority="508" operator="equal">
      <formula>"NINGUNO"</formula>
    </cfRule>
  </conditionalFormatting>
  <conditionalFormatting sqref="P35">
    <cfRule type="expression" dxfId="885" priority="498">
      <formula>Q35="NO SUBSANABLE"</formula>
    </cfRule>
    <cfRule type="expression" dxfId="884" priority="499">
      <formula>Q35="REQUERIMIENTOS SUBSANADOS"</formula>
    </cfRule>
    <cfRule type="expression" dxfId="883" priority="500">
      <formula>Q35="PENDIENTES POR SUBSANAR"</formula>
    </cfRule>
    <cfRule type="expression" dxfId="882" priority="501">
      <formula>Q35="SIN OBSERVACIÓN"</formula>
    </cfRule>
    <cfRule type="containsBlanks" dxfId="881" priority="502">
      <formula>LEN(TRIM(P35))=0</formula>
    </cfRule>
  </conditionalFormatting>
  <conditionalFormatting sqref="H63 H66 H69">
    <cfRule type="notContainsBlanks" dxfId="880" priority="479">
      <formula>LEN(TRIM(H63))&gt;0</formula>
    </cfRule>
  </conditionalFormatting>
  <conditionalFormatting sqref="G69">
    <cfRule type="notContainsBlanks" dxfId="879" priority="467">
      <formula>LEN(TRIM(G69))&gt;0</formula>
    </cfRule>
  </conditionalFormatting>
  <conditionalFormatting sqref="F69">
    <cfRule type="notContainsBlanks" dxfId="878" priority="466">
      <formula>LEN(TRIM(F69))&gt;0</formula>
    </cfRule>
  </conditionalFormatting>
  <conditionalFormatting sqref="E69">
    <cfRule type="notContainsBlanks" dxfId="877" priority="465">
      <formula>LEN(TRIM(E69))&gt;0</formula>
    </cfRule>
  </conditionalFormatting>
  <conditionalFormatting sqref="D69">
    <cfRule type="notContainsBlanks" dxfId="876" priority="464">
      <formula>LEN(TRIM(D69))&gt;0</formula>
    </cfRule>
  </conditionalFormatting>
  <conditionalFormatting sqref="C69">
    <cfRule type="notContainsBlanks" dxfId="875" priority="463">
      <formula>LEN(TRIM(C69))&gt;0</formula>
    </cfRule>
  </conditionalFormatting>
  <conditionalFormatting sqref="I69">
    <cfRule type="notContainsBlanks" dxfId="874" priority="462">
      <formula>LEN(TRIM(I69))&gt;0</formula>
    </cfRule>
  </conditionalFormatting>
  <conditionalFormatting sqref="G66">
    <cfRule type="notContainsBlanks" dxfId="873" priority="456">
      <formula>LEN(TRIM(G66))&gt;0</formula>
    </cfRule>
  </conditionalFormatting>
  <conditionalFormatting sqref="F66">
    <cfRule type="notContainsBlanks" dxfId="872" priority="455">
      <formula>LEN(TRIM(F66))&gt;0</formula>
    </cfRule>
  </conditionalFormatting>
  <conditionalFormatting sqref="E66">
    <cfRule type="notContainsBlanks" dxfId="871" priority="454">
      <formula>LEN(TRIM(E66))&gt;0</formula>
    </cfRule>
  </conditionalFormatting>
  <conditionalFormatting sqref="D66">
    <cfRule type="notContainsBlanks" dxfId="870" priority="453">
      <formula>LEN(TRIM(D66))&gt;0</formula>
    </cfRule>
  </conditionalFormatting>
  <conditionalFormatting sqref="C66">
    <cfRule type="notContainsBlanks" dxfId="869" priority="452">
      <formula>LEN(TRIM(C66))&gt;0</formula>
    </cfRule>
  </conditionalFormatting>
  <conditionalFormatting sqref="I66">
    <cfRule type="notContainsBlanks" dxfId="868" priority="450">
      <formula>LEN(TRIM(I66))&gt;0</formula>
    </cfRule>
  </conditionalFormatting>
  <conditionalFormatting sqref="J57:J59 J66:J68">
    <cfRule type="cellIs" dxfId="867" priority="447" operator="equal">
      <formula>"NO CUMPLE"</formula>
    </cfRule>
    <cfRule type="cellIs" dxfId="866" priority="448" operator="equal">
      <formula>"CUMPLE"</formula>
    </cfRule>
  </conditionalFormatting>
  <conditionalFormatting sqref="J69">
    <cfRule type="cellIs" dxfId="865" priority="445" operator="equal">
      <formula>"NO CUMPLE"</formula>
    </cfRule>
    <cfRule type="cellIs" dxfId="864" priority="446" operator="equal">
      <formula>"CUMPLE"</formula>
    </cfRule>
  </conditionalFormatting>
  <conditionalFormatting sqref="J70:J71">
    <cfRule type="cellIs" dxfId="863" priority="443" operator="equal">
      <formula>"NO CUMPLE"</formula>
    </cfRule>
    <cfRule type="cellIs" dxfId="862" priority="444" operator="equal">
      <formula>"CUMPLE"</formula>
    </cfRule>
  </conditionalFormatting>
  <conditionalFormatting sqref="N66 N69">
    <cfRule type="expression" dxfId="861" priority="440">
      <formula>N66=" "</formula>
    </cfRule>
    <cfRule type="expression" dxfId="860" priority="441">
      <formula>N66="NO PRESENTÓ CERTIFICADO"</formula>
    </cfRule>
    <cfRule type="expression" dxfId="859" priority="442">
      <formula>N66="PRESENTÓ CERTIFICADO"</formula>
    </cfRule>
  </conditionalFormatting>
  <conditionalFormatting sqref="Q66">
    <cfRule type="containsBlanks" dxfId="858" priority="431">
      <formula>LEN(TRIM(Q66))=0</formula>
    </cfRule>
    <cfRule type="cellIs" dxfId="857" priority="436" operator="equal">
      <formula>"REQUERIMIENTOS SUBSANADOS"</formula>
    </cfRule>
    <cfRule type="containsText" dxfId="856" priority="437" operator="containsText" text="NO SUBSANABLE">
      <formula>NOT(ISERROR(SEARCH("NO SUBSANABLE",Q66)))</formula>
    </cfRule>
    <cfRule type="containsText" dxfId="855" priority="438" operator="containsText" text="PENDIENTES POR SUBSANAR">
      <formula>NOT(ISERROR(SEARCH("PENDIENTES POR SUBSANAR",Q66)))</formula>
    </cfRule>
    <cfRule type="containsText" dxfId="854" priority="439" operator="containsText" text="SIN OBSERVACIÓN">
      <formula>NOT(ISERROR(SEARCH("SIN OBSERVACIÓN",Q66)))</formula>
    </cfRule>
  </conditionalFormatting>
  <conditionalFormatting sqref="R66">
    <cfRule type="containsBlanks" dxfId="853" priority="430">
      <formula>LEN(TRIM(R66))=0</formula>
    </cfRule>
    <cfRule type="cellIs" dxfId="852" priority="432" operator="equal">
      <formula>"NO CUMPLEN CON LO SOLICITADO"</formula>
    </cfRule>
    <cfRule type="cellIs" dxfId="851" priority="433" operator="equal">
      <formula>"CUMPLEN CON LO SOLICITADO"</formula>
    </cfRule>
    <cfRule type="cellIs" dxfId="850" priority="434" operator="equal">
      <formula>"PENDIENTES"</formula>
    </cfRule>
    <cfRule type="cellIs" dxfId="849" priority="435" operator="equal">
      <formula>"NINGUNO"</formula>
    </cfRule>
  </conditionalFormatting>
  <conditionalFormatting sqref="P66">
    <cfRule type="expression" dxfId="848" priority="425">
      <formula>Q66="NO SUBSANABLE"</formula>
    </cfRule>
    <cfRule type="expression" dxfId="847" priority="426">
      <formula>Q66="REQUERIMIENTOS SUBSANADOS"</formula>
    </cfRule>
    <cfRule type="expression" dxfId="846" priority="427">
      <formula>Q66="PENDIENTES POR SUBSANAR"</formula>
    </cfRule>
    <cfRule type="expression" dxfId="845" priority="428">
      <formula>Q66="SIN OBSERVACIÓN"</formula>
    </cfRule>
    <cfRule type="containsBlanks" dxfId="844" priority="429">
      <formula>LEN(TRIM(P66))=0</formula>
    </cfRule>
  </conditionalFormatting>
  <conditionalFormatting sqref="N57">
    <cfRule type="expression" dxfId="843" priority="422">
      <formula>N57=" "</formula>
    </cfRule>
    <cfRule type="expression" dxfId="842" priority="423">
      <formula>N57="NO PRESENTÓ CERTIFICADO"</formula>
    </cfRule>
    <cfRule type="expression" dxfId="841" priority="424">
      <formula>N57="PRESENTÓ CERTIFICADO"</formula>
    </cfRule>
  </conditionalFormatting>
  <conditionalFormatting sqref="Q57">
    <cfRule type="containsBlanks" dxfId="840" priority="413">
      <formula>LEN(TRIM(Q57))=0</formula>
    </cfRule>
    <cfRule type="cellIs" dxfId="839" priority="418" operator="equal">
      <formula>"REQUERIMIENTOS SUBSANADOS"</formula>
    </cfRule>
    <cfRule type="containsText" dxfId="838" priority="419" operator="containsText" text="NO SUBSANABLE">
      <formula>NOT(ISERROR(SEARCH("NO SUBSANABLE",Q57)))</formula>
    </cfRule>
    <cfRule type="containsText" dxfId="837" priority="420" operator="containsText" text="PENDIENTES POR SUBSANAR">
      <formula>NOT(ISERROR(SEARCH("PENDIENTES POR SUBSANAR",Q57)))</formula>
    </cfRule>
    <cfRule type="containsText" dxfId="836" priority="421" operator="containsText" text="SIN OBSERVACIÓN">
      <formula>NOT(ISERROR(SEARCH("SIN OBSERVACIÓN",Q57)))</formula>
    </cfRule>
  </conditionalFormatting>
  <conditionalFormatting sqref="R57">
    <cfRule type="containsBlanks" dxfId="835" priority="412">
      <formula>LEN(TRIM(R57))=0</formula>
    </cfRule>
    <cfRule type="cellIs" dxfId="834" priority="414" operator="equal">
      <formula>"NO CUMPLEN CON LO SOLICITADO"</formula>
    </cfRule>
    <cfRule type="cellIs" dxfId="833" priority="415" operator="equal">
      <formula>"CUMPLEN CON LO SOLICITADO"</formula>
    </cfRule>
    <cfRule type="cellIs" dxfId="832" priority="416" operator="equal">
      <formula>"PENDIENTES"</formula>
    </cfRule>
    <cfRule type="cellIs" dxfId="831" priority="417" operator="equal">
      <formula>"NINGUNO"</formula>
    </cfRule>
  </conditionalFormatting>
  <conditionalFormatting sqref="Q69">
    <cfRule type="containsBlanks" dxfId="830" priority="362">
      <formula>LEN(TRIM(Q69))=0</formula>
    </cfRule>
    <cfRule type="cellIs" dxfId="829" priority="367" operator="equal">
      <formula>"REQUERIMIENTOS SUBSANADOS"</formula>
    </cfRule>
    <cfRule type="containsText" dxfId="828" priority="368" operator="containsText" text="NO SUBSANABLE">
      <formula>NOT(ISERROR(SEARCH("NO SUBSANABLE",Q69)))</formula>
    </cfRule>
    <cfRule type="containsText" dxfId="827" priority="369" operator="containsText" text="PENDIENTES POR SUBSANAR">
      <formula>NOT(ISERROR(SEARCH("PENDIENTES POR SUBSANAR",Q69)))</formula>
    </cfRule>
    <cfRule type="containsText" dxfId="826" priority="370" operator="containsText" text="SIN OBSERVACIÓN">
      <formula>NOT(ISERROR(SEARCH("SIN OBSERVACIÓN",Q69)))</formula>
    </cfRule>
  </conditionalFormatting>
  <conditionalFormatting sqref="R69">
    <cfRule type="containsBlanks" dxfId="825" priority="361">
      <formula>LEN(TRIM(R69))=0</formula>
    </cfRule>
    <cfRule type="cellIs" dxfId="824" priority="363" operator="equal">
      <formula>"NO CUMPLEN CON LO SOLICITADO"</formula>
    </cfRule>
    <cfRule type="cellIs" dxfId="823" priority="364" operator="equal">
      <formula>"CUMPLEN CON LO SOLICITADO"</formula>
    </cfRule>
    <cfRule type="cellIs" dxfId="822" priority="365" operator="equal">
      <formula>"PENDIENTES"</formula>
    </cfRule>
    <cfRule type="cellIs" dxfId="821" priority="366" operator="equal">
      <formula>"NINGUNO"</formula>
    </cfRule>
  </conditionalFormatting>
  <conditionalFormatting sqref="P69">
    <cfRule type="expression" dxfId="820" priority="356">
      <formula>Q69="NO SUBSANABLE"</formula>
    </cfRule>
    <cfRule type="expression" dxfId="819" priority="357">
      <formula>Q69="REQUERIMIENTOS SUBSANADOS"</formula>
    </cfRule>
    <cfRule type="expression" dxfId="818" priority="358">
      <formula>Q69="PENDIENTES POR SUBSANAR"</formula>
    </cfRule>
    <cfRule type="expression" dxfId="817" priority="359">
      <formula>Q69="SIN OBSERVACIÓN"</formula>
    </cfRule>
    <cfRule type="containsBlanks" dxfId="816" priority="360">
      <formula>LEN(TRIM(P69))=0</formula>
    </cfRule>
  </conditionalFormatting>
  <conditionalFormatting sqref="J79:J87">
    <cfRule type="cellIs" dxfId="815" priority="354" operator="equal">
      <formula>"NO CUMPLE"</formula>
    </cfRule>
    <cfRule type="cellIs" dxfId="814" priority="355" operator="equal">
      <formula>"CUMPLE"</formula>
    </cfRule>
  </conditionalFormatting>
  <conditionalFormatting sqref="N79 N82">
    <cfRule type="expression" dxfId="813" priority="351">
      <formula>N79=" "</formula>
    </cfRule>
    <cfRule type="expression" dxfId="812" priority="352">
      <formula>N79="NO PRESENTÓ CERTIFICADO"</formula>
    </cfRule>
    <cfRule type="expression" dxfId="811" priority="353">
      <formula>N79="PRESENTÓ CERTIFICADO"</formula>
    </cfRule>
  </conditionalFormatting>
  <conditionalFormatting sqref="Q79 Q82">
    <cfRule type="containsBlanks" dxfId="810" priority="342">
      <formula>LEN(TRIM(Q79))=0</formula>
    </cfRule>
    <cfRule type="cellIs" dxfId="809" priority="347" operator="equal">
      <formula>"REQUERIMIENTOS SUBSANADOS"</formula>
    </cfRule>
    <cfRule type="containsText" dxfId="808" priority="348" operator="containsText" text="NO SUBSANABLE">
      <formula>NOT(ISERROR(SEARCH("NO SUBSANABLE",Q79)))</formula>
    </cfRule>
    <cfRule type="containsText" dxfId="807" priority="349" operator="containsText" text="PENDIENTES POR SUBSANAR">
      <formula>NOT(ISERROR(SEARCH("PENDIENTES POR SUBSANAR",Q79)))</formula>
    </cfRule>
    <cfRule type="containsText" dxfId="806" priority="350" operator="containsText" text="SIN OBSERVACIÓN">
      <formula>NOT(ISERROR(SEARCH("SIN OBSERVACIÓN",Q79)))</formula>
    </cfRule>
  </conditionalFormatting>
  <conditionalFormatting sqref="R79 R82">
    <cfRule type="containsBlanks" dxfId="805" priority="341">
      <formula>LEN(TRIM(R79))=0</formula>
    </cfRule>
    <cfRule type="cellIs" dxfId="804" priority="343" operator="equal">
      <formula>"NO CUMPLEN CON LO SOLICITADO"</formula>
    </cfRule>
    <cfRule type="cellIs" dxfId="803" priority="344" operator="equal">
      <formula>"CUMPLEN CON LO SOLICITADO"</formula>
    </cfRule>
    <cfRule type="cellIs" dxfId="802" priority="345" operator="equal">
      <formula>"PENDIENTES"</formula>
    </cfRule>
    <cfRule type="cellIs" dxfId="801" priority="346" operator="equal">
      <formula>"NINGUNO"</formula>
    </cfRule>
  </conditionalFormatting>
  <conditionalFormatting sqref="P79">
    <cfRule type="expression" dxfId="800" priority="336">
      <formula>Q79="NO SUBSANABLE"</formula>
    </cfRule>
    <cfRule type="expression" dxfId="799" priority="337">
      <formula>Q79="REQUERIMIENTOS SUBSANADOS"</formula>
    </cfRule>
    <cfRule type="expression" dxfId="798" priority="338">
      <formula>Q79="PENDIENTES POR SUBSANAR"</formula>
    </cfRule>
    <cfRule type="expression" dxfId="797" priority="339">
      <formula>Q79="SIN OBSERVACIÓN"</formula>
    </cfRule>
    <cfRule type="containsBlanks" dxfId="796" priority="340">
      <formula>LEN(TRIM(P79))=0</formula>
    </cfRule>
  </conditionalFormatting>
  <conditionalFormatting sqref="P82">
    <cfRule type="expression" dxfId="795" priority="313">
      <formula>Q82="NO SUBSANABLE"</formula>
    </cfRule>
    <cfRule type="expression" dxfId="794" priority="314">
      <formula>Q82="REQUERIMIENTOS SUBSANADOS"</formula>
    </cfRule>
    <cfRule type="expression" dxfId="793" priority="315">
      <formula>Q82="PENDIENTES POR SUBSANAR"</formula>
    </cfRule>
    <cfRule type="expression" dxfId="792" priority="316">
      <formula>Q82="SIN OBSERVACIÓN"</formula>
    </cfRule>
    <cfRule type="containsBlanks" dxfId="791" priority="317">
      <formula>LEN(TRIM(P82))=0</formula>
    </cfRule>
  </conditionalFormatting>
  <conditionalFormatting sqref="Q123">
    <cfRule type="containsBlanks" dxfId="790" priority="304">
      <formula>LEN(TRIM(Q123))=0</formula>
    </cfRule>
    <cfRule type="cellIs" dxfId="789" priority="309" operator="equal">
      <formula>"REQUERIMIENTOS SUBSANADOS"</formula>
    </cfRule>
    <cfRule type="containsText" dxfId="788" priority="310" operator="containsText" text="NO SUBSANABLE">
      <formula>NOT(ISERROR(SEARCH("NO SUBSANABLE",Q123)))</formula>
    </cfRule>
    <cfRule type="containsText" dxfId="787" priority="311" operator="containsText" text="PENDIENTES POR SUBSANAR">
      <formula>NOT(ISERROR(SEARCH("PENDIENTES POR SUBSANAR",Q123)))</formula>
    </cfRule>
    <cfRule type="containsText" dxfId="786" priority="312" operator="containsText" text="SIN OBSERVACIÓN">
      <formula>NOT(ISERROR(SEARCH("SIN OBSERVACIÓN",Q123)))</formula>
    </cfRule>
  </conditionalFormatting>
  <conditionalFormatting sqref="R123">
    <cfRule type="containsBlanks" dxfId="785" priority="303">
      <formula>LEN(TRIM(R123))=0</formula>
    </cfRule>
    <cfRule type="cellIs" dxfId="784" priority="305" operator="equal">
      <formula>"NO CUMPLEN CON LO SOLICITADO"</formula>
    </cfRule>
    <cfRule type="cellIs" dxfId="783" priority="306" operator="equal">
      <formula>"CUMPLEN CON LO SOLICITADO"</formula>
    </cfRule>
    <cfRule type="cellIs" dxfId="782" priority="307" operator="equal">
      <formula>"PENDIENTES"</formula>
    </cfRule>
    <cfRule type="cellIs" dxfId="781" priority="308" operator="equal">
      <formula>"NINGUNO"</formula>
    </cfRule>
  </conditionalFormatting>
  <conditionalFormatting sqref="P123">
    <cfRule type="expression" dxfId="780" priority="298">
      <formula>Q123="NO SUBSANABLE"</formula>
    </cfRule>
    <cfRule type="expression" dxfId="779" priority="299">
      <formula>Q123="REQUERIMIENTOS SUBSANADOS"</formula>
    </cfRule>
    <cfRule type="expression" dxfId="778" priority="300">
      <formula>Q123="PENDIENTES POR SUBSANAR"</formula>
    </cfRule>
    <cfRule type="expression" dxfId="777" priority="301">
      <formula>Q123="SIN OBSERVACIÓN"</formula>
    </cfRule>
    <cfRule type="containsBlanks" dxfId="776" priority="302">
      <formula>LEN(TRIM(P123))=0</formula>
    </cfRule>
  </conditionalFormatting>
  <conditionalFormatting sqref="O16 O19 O22 O25">
    <cfRule type="cellIs" dxfId="775" priority="290" operator="equal">
      <formula>"PENDIENTE POR DESCRIPCIÓN"</formula>
    </cfRule>
    <cfRule type="cellIs" dxfId="774" priority="291" operator="equal">
      <formula>"DESCRIPCIÓN INSUFICIENTE"</formula>
    </cfRule>
    <cfRule type="cellIs" dxfId="773" priority="292" operator="equal">
      <formula>"NO ESTÁ ACORDE A ITEM 5.2.2 (T.R.)"</formula>
    </cfRule>
    <cfRule type="cellIs" dxfId="772" priority="293" operator="equal">
      <formula>"ACORDE A ITEM 5.2.2 (T.R.)"</formula>
    </cfRule>
    <cfRule type="cellIs" dxfId="771" priority="294" operator="equal">
      <formula>"PENDIENTE POR DESCRIPCIÓN"</formula>
    </cfRule>
    <cfRule type="cellIs" dxfId="770" priority="295" operator="equal">
      <formula>"DESCRIPCIÓN INSUFICIENTE"</formula>
    </cfRule>
    <cfRule type="cellIs" dxfId="769" priority="296" operator="equal">
      <formula>"NO ESTÁ ACORDE A ITEM 5.2.1 (T.R.)"</formula>
    </cfRule>
    <cfRule type="cellIs" dxfId="768" priority="297" operator="equal">
      <formula>"ACORDE A ITEM 5.2.1 (T.R.)"</formula>
    </cfRule>
  </conditionalFormatting>
  <conditionalFormatting sqref="O35 O38 O44 O47">
    <cfRule type="cellIs" dxfId="767" priority="282" operator="equal">
      <formula>"PENDIENTE POR DESCRIPCIÓN"</formula>
    </cfRule>
    <cfRule type="cellIs" dxfId="766" priority="283" operator="equal">
      <formula>"DESCRIPCIÓN INSUFICIENTE"</formula>
    </cfRule>
    <cfRule type="cellIs" dxfId="765" priority="284" operator="equal">
      <formula>"NO ESTÁ ACORDE A ITEM 5.2.2 (T.R.)"</formula>
    </cfRule>
    <cfRule type="cellIs" dxfId="764" priority="285" operator="equal">
      <formula>"ACORDE A ITEM 5.2.2 (T.R.)"</formula>
    </cfRule>
    <cfRule type="cellIs" dxfId="763" priority="286" operator="equal">
      <formula>"PENDIENTE POR DESCRIPCIÓN"</formula>
    </cfRule>
    <cfRule type="cellIs" dxfId="762" priority="287" operator="equal">
      <formula>"DESCRIPCIÓN INSUFICIENTE"</formula>
    </cfRule>
    <cfRule type="cellIs" dxfId="761" priority="288" operator="equal">
      <formula>"NO ESTÁ ACORDE A ITEM 5.2.1 (T.R.)"</formula>
    </cfRule>
    <cfRule type="cellIs" dxfId="760" priority="289" operator="equal">
      <formula>"ACORDE A ITEM 5.2.1 (T.R.)"</formula>
    </cfRule>
  </conditionalFormatting>
  <conditionalFormatting sqref="O57 O66 O69">
    <cfRule type="cellIs" dxfId="759" priority="274" operator="equal">
      <formula>"PENDIENTE POR DESCRIPCIÓN"</formula>
    </cfRule>
    <cfRule type="cellIs" dxfId="758" priority="275" operator="equal">
      <formula>"DESCRIPCIÓN INSUFICIENTE"</formula>
    </cfRule>
    <cfRule type="cellIs" dxfId="757" priority="276" operator="equal">
      <formula>"NO ESTÁ ACORDE A ITEM 5.2.2 (T.R.)"</formula>
    </cfRule>
    <cfRule type="cellIs" dxfId="756" priority="277" operator="equal">
      <formula>"ACORDE A ITEM 5.2.2 (T.R.)"</formula>
    </cfRule>
    <cfRule type="cellIs" dxfId="755" priority="278" operator="equal">
      <formula>"PENDIENTE POR DESCRIPCIÓN"</formula>
    </cfRule>
    <cfRule type="cellIs" dxfId="754" priority="279" operator="equal">
      <formula>"DESCRIPCIÓN INSUFICIENTE"</formula>
    </cfRule>
    <cfRule type="cellIs" dxfId="753" priority="280" operator="equal">
      <formula>"NO ESTÁ ACORDE A ITEM 5.2.1 (T.R.)"</formula>
    </cfRule>
    <cfRule type="cellIs" dxfId="752" priority="281" operator="equal">
      <formula>"ACORDE A ITEM 5.2.1 (T.R.)"</formula>
    </cfRule>
  </conditionalFormatting>
  <conditionalFormatting sqref="O79 O82 O88 O91">
    <cfRule type="cellIs" dxfId="751" priority="266" operator="equal">
      <formula>"PENDIENTE POR DESCRIPCIÓN"</formula>
    </cfRule>
    <cfRule type="cellIs" dxfId="750" priority="267" operator="equal">
      <formula>"DESCRIPCIÓN INSUFICIENTE"</formula>
    </cfRule>
    <cfRule type="cellIs" dxfId="749" priority="268" operator="equal">
      <formula>"NO ESTÁ ACORDE A ITEM 5.2.2 (T.R.)"</formula>
    </cfRule>
    <cfRule type="cellIs" dxfId="748" priority="269" operator="equal">
      <formula>"ACORDE A ITEM 5.2.2 (T.R.)"</formula>
    </cfRule>
    <cfRule type="cellIs" dxfId="747" priority="270" operator="equal">
      <formula>"PENDIENTE POR DESCRIPCIÓN"</formula>
    </cfRule>
    <cfRule type="cellIs" dxfId="746" priority="271" operator="equal">
      <formula>"DESCRIPCIÓN INSUFICIENTE"</formula>
    </cfRule>
    <cfRule type="cellIs" dxfId="745" priority="272" operator="equal">
      <formula>"NO ESTÁ ACORDE A ITEM 5.2.1 (T.R.)"</formula>
    </cfRule>
    <cfRule type="cellIs" dxfId="744" priority="273" operator="equal">
      <formula>"ACORDE A ITEM 5.2.1 (T.R.)"</formula>
    </cfRule>
  </conditionalFormatting>
  <conditionalFormatting sqref="S16 S19 S22 S25">
    <cfRule type="cellIs" dxfId="743" priority="264" operator="greaterThan">
      <formula>0</formula>
    </cfRule>
    <cfRule type="top10" dxfId="742" priority="265" rank="10"/>
  </conditionalFormatting>
  <conditionalFormatting sqref="S35">
    <cfRule type="cellIs" dxfId="741" priority="262" operator="greaterThan">
      <formula>0</formula>
    </cfRule>
    <cfRule type="top10" dxfId="740" priority="263" rank="10"/>
  </conditionalFormatting>
  <conditionalFormatting sqref="S38 S41 S44 S47">
    <cfRule type="cellIs" dxfId="739" priority="260" operator="greaterThan">
      <formula>0</formula>
    </cfRule>
    <cfRule type="top10" dxfId="738" priority="261" rank="10"/>
  </conditionalFormatting>
  <conditionalFormatting sqref="S57 S60 S63 S66 S69">
    <cfRule type="cellIs" dxfId="737" priority="258" operator="greaterThan">
      <formula>0</formula>
    </cfRule>
    <cfRule type="top10" dxfId="736" priority="259" rank="10"/>
  </conditionalFormatting>
  <conditionalFormatting sqref="S79 S82 S85 S88 S91">
    <cfRule type="cellIs" dxfId="735" priority="256" operator="greaterThan">
      <formula>0</formula>
    </cfRule>
    <cfRule type="top10" dxfId="734" priority="257" rank="10"/>
  </conditionalFormatting>
  <conditionalFormatting sqref="P57">
    <cfRule type="expression" dxfId="733" priority="251">
      <formula>Q57="NO SUBSANABLE"</formula>
    </cfRule>
    <cfRule type="expression" dxfId="732" priority="252">
      <formula>Q57="REQUERIMIENTOS SUBSANADOS"</formula>
    </cfRule>
    <cfRule type="expression" dxfId="731" priority="253">
      <formula>Q57="PENDIENTES POR SUBSANAR"</formula>
    </cfRule>
    <cfRule type="expression" dxfId="730" priority="254">
      <formula>Q57="SIN OBSERVACIÓN"</formula>
    </cfRule>
    <cfRule type="containsBlanks" dxfId="729" priority="255">
      <formula>LEN(TRIM(P57))=0</formula>
    </cfRule>
  </conditionalFormatting>
  <conditionalFormatting sqref="T94">
    <cfRule type="cellIs" dxfId="728" priority="244" operator="equal">
      <formula>"NO CUMPLE"</formula>
    </cfRule>
    <cfRule type="cellIs" dxfId="727" priority="245" operator="equal">
      <formula>"CUMPLE"</formula>
    </cfRule>
  </conditionalFormatting>
  <conditionalFormatting sqref="H79">
    <cfRule type="notContainsBlanks" dxfId="726" priority="243">
      <formula>LEN(TRIM(H79))&gt;0</formula>
    </cfRule>
  </conditionalFormatting>
  <conditionalFormatting sqref="G79">
    <cfRule type="notContainsBlanks" dxfId="725" priority="242">
      <formula>LEN(TRIM(G79))&gt;0</formula>
    </cfRule>
  </conditionalFormatting>
  <conditionalFormatting sqref="F79">
    <cfRule type="notContainsBlanks" dxfId="724" priority="241">
      <formula>LEN(TRIM(F79))&gt;0</formula>
    </cfRule>
  </conditionalFormatting>
  <conditionalFormatting sqref="E79">
    <cfRule type="notContainsBlanks" dxfId="723" priority="240">
      <formula>LEN(TRIM(E79))&gt;0</formula>
    </cfRule>
  </conditionalFormatting>
  <conditionalFormatting sqref="D79">
    <cfRule type="notContainsBlanks" dxfId="722" priority="239">
      <formula>LEN(TRIM(D79))&gt;0</formula>
    </cfRule>
  </conditionalFormatting>
  <conditionalFormatting sqref="C79">
    <cfRule type="notContainsBlanks" dxfId="721" priority="238">
      <formula>LEN(TRIM(C79))&gt;0</formula>
    </cfRule>
  </conditionalFormatting>
  <conditionalFormatting sqref="I79">
    <cfRule type="notContainsBlanks" dxfId="720" priority="237">
      <formula>LEN(TRIM(I79))&gt;0</formula>
    </cfRule>
  </conditionalFormatting>
  <conditionalFormatting sqref="G85">
    <cfRule type="notContainsBlanks" dxfId="719" priority="236">
      <formula>LEN(TRIM(G85))&gt;0</formula>
    </cfRule>
  </conditionalFormatting>
  <conditionalFormatting sqref="F85">
    <cfRule type="notContainsBlanks" dxfId="718" priority="235">
      <formula>LEN(TRIM(F85))&gt;0</formula>
    </cfRule>
  </conditionalFormatting>
  <conditionalFormatting sqref="E85">
    <cfRule type="notContainsBlanks" dxfId="717" priority="234">
      <formula>LEN(TRIM(E85))&gt;0</formula>
    </cfRule>
  </conditionalFormatting>
  <conditionalFormatting sqref="D85">
    <cfRule type="notContainsBlanks" dxfId="716" priority="233">
      <formula>LEN(TRIM(D85))&gt;0</formula>
    </cfRule>
  </conditionalFormatting>
  <conditionalFormatting sqref="C85">
    <cfRule type="notContainsBlanks" dxfId="715" priority="232">
      <formula>LEN(TRIM(C85))&gt;0</formula>
    </cfRule>
  </conditionalFormatting>
  <conditionalFormatting sqref="G82">
    <cfRule type="notContainsBlanks" dxfId="714" priority="231">
      <formula>LEN(TRIM(G82))&gt;0</formula>
    </cfRule>
  </conditionalFormatting>
  <conditionalFormatting sqref="F82">
    <cfRule type="notContainsBlanks" dxfId="713" priority="230">
      <formula>LEN(TRIM(F82))&gt;0</formula>
    </cfRule>
  </conditionalFormatting>
  <conditionalFormatting sqref="E82">
    <cfRule type="notContainsBlanks" dxfId="712" priority="229">
      <formula>LEN(TRIM(E82))&gt;0</formula>
    </cfRule>
  </conditionalFormatting>
  <conditionalFormatting sqref="D82">
    <cfRule type="notContainsBlanks" dxfId="711" priority="228">
      <formula>LEN(TRIM(D82))&gt;0</formula>
    </cfRule>
  </conditionalFormatting>
  <conditionalFormatting sqref="C82">
    <cfRule type="notContainsBlanks" dxfId="710" priority="227">
      <formula>LEN(TRIM(C82))&gt;0</formula>
    </cfRule>
  </conditionalFormatting>
  <conditionalFormatting sqref="H82 H85">
    <cfRule type="notContainsBlanks" dxfId="709" priority="226">
      <formula>LEN(TRIM(H82))&gt;0</formula>
    </cfRule>
  </conditionalFormatting>
  <conditionalFormatting sqref="I82 I85">
    <cfRule type="notContainsBlanks" dxfId="708" priority="225">
      <formula>LEN(TRIM(I82))&gt;0</formula>
    </cfRule>
  </conditionalFormatting>
  <conditionalFormatting sqref="F16">
    <cfRule type="notContainsBlanks" dxfId="707" priority="224">
      <formula>LEN(TRIM(F16))&gt;0</formula>
    </cfRule>
  </conditionalFormatting>
  <conditionalFormatting sqref="N19">
    <cfRule type="expression" dxfId="706" priority="221">
      <formula>N19=" "</formula>
    </cfRule>
    <cfRule type="expression" dxfId="705" priority="222">
      <formula>N19="NO PRESENTÓ CERTIFICADO"</formula>
    </cfRule>
    <cfRule type="expression" dxfId="704" priority="223">
      <formula>N19="PRESENTÓ CERTIFICADO"</formula>
    </cfRule>
  </conditionalFormatting>
  <conditionalFormatting sqref="P16 P19">
    <cfRule type="expression" dxfId="703" priority="216">
      <formula>Q16="NO SUBSANABLE"</formula>
    </cfRule>
    <cfRule type="expression" dxfId="702" priority="217">
      <formula>Q16="REQUERIMIENTOS SUBSANADOS"</formula>
    </cfRule>
    <cfRule type="expression" dxfId="701" priority="218">
      <formula>Q16="PENDIENTES POR SUBSANAR"</formula>
    </cfRule>
    <cfRule type="expression" dxfId="700" priority="219">
      <formula>Q16="SIN OBSERVACIÓN"</formula>
    </cfRule>
    <cfRule type="containsBlanks" dxfId="699" priority="220">
      <formula>LEN(TRIM(P16))=0</formula>
    </cfRule>
  </conditionalFormatting>
  <conditionalFormatting sqref="I19">
    <cfRule type="notContainsBlanks" dxfId="698" priority="215">
      <formula>LEN(TRIM(I19))&gt;0</formula>
    </cfRule>
  </conditionalFormatting>
  <conditionalFormatting sqref="Q16 Q19">
    <cfRule type="containsBlanks" dxfId="697" priority="206">
      <formula>LEN(TRIM(Q16))=0</formula>
    </cfRule>
    <cfRule type="cellIs" dxfId="696" priority="211" operator="equal">
      <formula>"REQUERIMIENTOS SUBSANADOS"</formula>
    </cfRule>
    <cfRule type="containsText" dxfId="695" priority="212" operator="containsText" text="NO SUBSANABLE">
      <formula>NOT(ISERROR(SEARCH("NO SUBSANABLE",Q16)))</formula>
    </cfRule>
    <cfRule type="containsText" dxfId="694" priority="213" operator="containsText" text="PENDIENTES POR SUBSANAR">
      <formula>NOT(ISERROR(SEARCH("PENDIENTES POR SUBSANAR",Q16)))</formula>
    </cfRule>
    <cfRule type="containsText" dxfId="693" priority="214" operator="containsText" text="SIN OBSERVACIÓN">
      <formula>NOT(ISERROR(SEARCH("SIN OBSERVACIÓN",Q16)))</formula>
    </cfRule>
  </conditionalFormatting>
  <conditionalFormatting sqref="R16 R19">
    <cfRule type="containsBlanks" dxfId="692" priority="205">
      <formula>LEN(TRIM(R16))=0</formula>
    </cfRule>
    <cfRule type="cellIs" dxfId="691" priority="207" operator="equal">
      <formula>"NO CUMPLEN CON LO SOLICITADO"</formula>
    </cfRule>
    <cfRule type="cellIs" dxfId="690" priority="208" operator="equal">
      <formula>"CUMPLEN CON LO SOLICITADO"</formula>
    </cfRule>
    <cfRule type="cellIs" dxfId="689" priority="209" operator="equal">
      <formula>"PENDIENTES"</formula>
    </cfRule>
    <cfRule type="cellIs" dxfId="688" priority="210" operator="equal">
      <formula>"NINGUNO"</formula>
    </cfRule>
  </conditionalFormatting>
  <conditionalFormatting sqref="L38:L39">
    <cfRule type="cellIs" dxfId="687" priority="203" operator="equal">
      <formula>"NO CUMPLE"</formula>
    </cfRule>
    <cfRule type="cellIs" dxfId="686" priority="204" operator="equal">
      <formula>"CUMPLE"</formula>
    </cfRule>
  </conditionalFormatting>
  <conditionalFormatting sqref="K38">
    <cfRule type="expression" dxfId="685" priority="201">
      <formula>J38="NO CUMPLE"</formula>
    </cfRule>
    <cfRule type="expression" dxfId="684" priority="202">
      <formula>J38="CUMPLE"</formula>
    </cfRule>
  </conditionalFormatting>
  <conditionalFormatting sqref="K39:K40">
    <cfRule type="expression" dxfId="683" priority="199">
      <formula>J39="NO CUMPLE"</formula>
    </cfRule>
    <cfRule type="expression" dxfId="682" priority="200">
      <formula>J39="CUMPLE"</formula>
    </cfRule>
  </conditionalFormatting>
  <conditionalFormatting sqref="M39">
    <cfRule type="expression" dxfId="681" priority="195">
      <formula>L39="NO CUMPLE"</formula>
    </cfRule>
    <cfRule type="expression" dxfId="680" priority="196">
      <formula>L39="CUMPLE"</formula>
    </cfRule>
  </conditionalFormatting>
  <conditionalFormatting sqref="M38">
    <cfRule type="expression" dxfId="679" priority="197">
      <formula>L38="NO CUMPLE"</formula>
    </cfRule>
    <cfRule type="expression" dxfId="678" priority="198">
      <formula>L38="CUMPLE"</formula>
    </cfRule>
  </conditionalFormatting>
  <conditionalFormatting sqref="H38">
    <cfRule type="notContainsBlanks" dxfId="677" priority="194">
      <formula>LEN(TRIM(H38))&gt;0</formula>
    </cfRule>
  </conditionalFormatting>
  <conditionalFormatting sqref="I38">
    <cfRule type="notContainsBlanks" dxfId="676" priority="193">
      <formula>LEN(TRIM(I38))&gt;0</formula>
    </cfRule>
  </conditionalFormatting>
  <conditionalFormatting sqref="J38:J40">
    <cfRule type="cellIs" dxfId="675" priority="191" operator="equal">
      <formula>"NO CUMPLE"</formula>
    </cfRule>
    <cfRule type="cellIs" dxfId="674" priority="192" operator="equal">
      <formula>"CUMPLE"</formula>
    </cfRule>
  </conditionalFormatting>
  <conditionalFormatting sqref="N38">
    <cfRule type="expression" dxfId="673" priority="188">
      <formula>N38=" "</formula>
    </cfRule>
    <cfRule type="expression" dxfId="672" priority="189">
      <formula>N38="NO PRESENTÓ CERTIFICADO"</formula>
    </cfRule>
    <cfRule type="expression" dxfId="671" priority="190">
      <formula>N38="PRESENTÓ CERTIFICADO"</formula>
    </cfRule>
  </conditionalFormatting>
  <conditionalFormatting sqref="Q38">
    <cfRule type="containsBlanks" dxfId="670" priority="179">
      <formula>LEN(TRIM(Q38))=0</formula>
    </cfRule>
    <cfRule type="cellIs" dxfId="669" priority="184" operator="equal">
      <formula>"REQUERIMIENTOS SUBSANADOS"</formula>
    </cfRule>
    <cfRule type="containsText" dxfId="668" priority="185" operator="containsText" text="NO SUBSANABLE">
      <formula>NOT(ISERROR(SEARCH("NO SUBSANABLE",Q38)))</formula>
    </cfRule>
    <cfRule type="containsText" dxfId="667" priority="186" operator="containsText" text="PENDIENTES POR SUBSANAR">
      <formula>NOT(ISERROR(SEARCH("PENDIENTES POR SUBSANAR",Q38)))</formula>
    </cfRule>
    <cfRule type="containsText" dxfId="666" priority="187" operator="containsText" text="SIN OBSERVACIÓN">
      <formula>NOT(ISERROR(SEARCH("SIN OBSERVACIÓN",Q38)))</formula>
    </cfRule>
  </conditionalFormatting>
  <conditionalFormatting sqref="R38">
    <cfRule type="containsBlanks" dxfId="665" priority="178">
      <formula>LEN(TRIM(R38))=0</formula>
    </cfRule>
    <cfRule type="cellIs" dxfId="664" priority="180" operator="equal">
      <formula>"NO CUMPLEN CON LO SOLICITADO"</formula>
    </cfRule>
    <cfRule type="cellIs" dxfId="663" priority="181" operator="equal">
      <formula>"CUMPLEN CON LO SOLICITADO"</formula>
    </cfRule>
    <cfRule type="cellIs" dxfId="662" priority="182" operator="equal">
      <formula>"PENDIENTES"</formula>
    </cfRule>
    <cfRule type="cellIs" dxfId="661" priority="183" operator="equal">
      <formula>"NINGUNO"</formula>
    </cfRule>
  </conditionalFormatting>
  <conditionalFormatting sqref="P38">
    <cfRule type="expression" dxfId="660" priority="173">
      <formula>Q38="NO SUBSANABLE"</formula>
    </cfRule>
    <cfRule type="expression" dxfId="659" priority="174">
      <formula>Q38="REQUERIMIENTOS SUBSANADOS"</formula>
    </cfRule>
    <cfRule type="expression" dxfId="658" priority="175">
      <formula>Q38="PENDIENTES POR SUBSANAR"</formula>
    </cfRule>
    <cfRule type="expression" dxfId="657" priority="176">
      <formula>Q38="SIN OBSERVACIÓN"</formula>
    </cfRule>
    <cfRule type="containsBlanks" dxfId="656" priority="177">
      <formula>LEN(TRIM(P38))=0</formula>
    </cfRule>
  </conditionalFormatting>
  <conditionalFormatting sqref="O41">
    <cfRule type="cellIs" dxfId="655" priority="165" operator="equal">
      <formula>"PENDIENTE POR DESCRIPCIÓN"</formula>
    </cfRule>
    <cfRule type="cellIs" dxfId="654" priority="166" operator="equal">
      <formula>"DESCRIPCIÓN INSUFICIENTE"</formula>
    </cfRule>
    <cfRule type="cellIs" dxfId="653" priority="167" operator="equal">
      <formula>"NO ESTÁ ACORDE A ITEM 5.2.2 (T.R.)"</formula>
    </cfRule>
    <cfRule type="cellIs" dxfId="652" priority="168" operator="equal">
      <formula>"ACORDE A ITEM 5.2.2 (T.R.)"</formula>
    </cfRule>
    <cfRule type="cellIs" dxfId="651" priority="169" operator="equal">
      <formula>"PENDIENTE POR DESCRIPCIÓN"</formula>
    </cfRule>
    <cfRule type="cellIs" dxfId="650" priority="170" operator="equal">
      <formula>"DESCRIPCIÓN INSUFICIENTE"</formula>
    </cfRule>
    <cfRule type="cellIs" dxfId="649" priority="171" operator="equal">
      <formula>"NO ESTÁ ACORDE A ITEM 5.2.1 (T.R.)"</formula>
    </cfRule>
    <cfRule type="cellIs" dxfId="648" priority="172" operator="equal">
      <formula>"ACORDE A ITEM 5.2.1 (T.R.)"</formula>
    </cfRule>
  </conditionalFormatting>
  <conditionalFormatting sqref="L41:L42">
    <cfRule type="cellIs" dxfId="647" priority="163" operator="equal">
      <formula>"NO CUMPLE"</formula>
    </cfRule>
    <cfRule type="cellIs" dxfId="646" priority="164" operator="equal">
      <formula>"CUMPLE"</formula>
    </cfRule>
  </conditionalFormatting>
  <conditionalFormatting sqref="K41">
    <cfRule type="expression" dxfId="645" priority="161">
      <formula>J41="NO CUMPLE"</formula>
    </cfRule>
    <cfRule type="expression" dxfId="644" priority="162">
      <formula>J41="CUMPLE"</formula>
    </cfRule>
  </conditionalFormatting>
  <conditionalFormatting sqref="K42:K43">
    <cfRule type="expression" dxfId="643" priority="159">
      <formula>J42="NO CUMPLE"</formula>
    </cfRule>
    <cfRule type="expression" dxfId="642" priority="160">
      <formula>J42="CUMPLE"</formula>
    </cfRule>
  </conditionalFormatting>
  <conditionalFormatting sqref="M42">
    <cfRule type="expression" dxfId="641" priority="155">
      <formula>L42="NO CUMPLE"</formula>
    </cfRule>
    <cfRule type="expression" dxfId="640" priority="156">
      <formula>L42="CUMPLE"</formula>
    </cfRule>
  </conditionalFormatting>
  <conditionalFormatting sqref="M41">
    <cfRule type="expression" dxfId="639" priority="157">
      <formula>L41="NO CUMPLE"</formula>
    </cfRule>
    <cfRule type="expression" dxfId="638" priority="158">
      <formula>L41="CUMPLE"</formula>
    </cfRule>
  </conditionalFormatting>
  <conditionalFormatting sqref="H41">
    <cfRule type="notContainsBlanks" dxfId="637" priority="154">
      <formula>LEN(TRIM(H41))&gt;0</formula>
    </cfRule>
  </conditionalFormatting>
  <conditionalFormatting sqref="I41">
    <cfRule type="notContainsBlanks" dxfId="636" priority="153">
      <formula>LEN(TRIM(I41))&gt;0</formula>
    </cfRule>
  </conditionalFormatting>
  <conditionalFormatting sqref="J41:J43">
    <cfRule type="cellIs" dxfId="635" priority="151" operator="equal">
      <formula>"NO CUMPLE"</formula>
    </cfRule>
    <cfRule type="cellIs" dxfId="634" priority="152" operator="equal">
      <formula>"CUMPLE"</formula>
    </cfRule>
  </conditionalFormatting>
  <conditionalFormatting sqref="N41">
    <cfRule type="expression" dxfId="633" priority="148">
      <formula>N41=" "</formula>
    </cfRule>
    <cfRule type="expression" dxfId="632" priority="149">
      <formula>N41="NO PRESENTÓ CERTIFICADO"</formula>
    </cfRule>
    <cfRule type="expression" dxfId="631" priority="150">
      <formula>N41="PRESENTÓ CERTIFICADO"</formula>
    </cfRule>
  </conditionalFormatting>
  <conditionalFormatting sqref="Q41">
    <cfRule type="containsBlanks" dxfId="630" priority="139">
      <formula>LEN(TRIM(Q41))=0</formula>
    </cfRule>
    <cfRule type="cellIs" dxfId="629" priority="144" operator="equal">
      <formula>"REQUERIMIENTOS SUBSANADOS"</formula>
    </cfRule>
    <cfRule type="containsText" dxfId="628" priority="145" operator="containsText" text="NO SUBSANABLE">
      <formula>NOT(ISERROR(SEARCH("NO SUBSANABLE",Q41)))</formula>
    </cfRule>
    <cfRule type="containsText" dxfId="627" priority="146" operator="containsText" text="PENDIENTES POR SUBSANAR">
      <formula>NOT(ISERROR(SEARCH("PENDIENTES POR SUBSANAR",Q41)))</formula>
    </cfRule>
    <cfRule type="containsText" dxfId="626" priority="147" operator="containsText" text="SIN OBSERVACIÓN">
      <formula>NOT(ISERROR(SEARCH("SIN OBSERVACIÓN",Q41)))</formula>
    </cfRule>
  </conditionalFormatting>
  <conditionalFormatting sqref="R41">
    <cfRule type="containsBlanks" dxfId="625" priority="138">
      <formula>LEN(TRIM(R41))=0</formula>
    </cfRule>
    <cfRule type="cellIs" dxfId="624" priority="140" operator="equal">
      <formula>"NO CUMPLEN CON LO SOLICITADO"</formula>
    </cfRule>
    <cfRule type="cellIs" dxfId="623" priority="141" operator="equal">
      <formula>"CUMPLEN CON LO SOLICITADO"</formula>
    </cfRule>
    <cfRule type="cellIs" dxfId="622" priority="142" operator="equal">
      <formula>"PENDIENTES"</formula>
    </cfRule>
    <cfRule type="cellIs" dxfId="621" priority="143" operator="equal">
      <formula>"NINGUNO"</formula>
    </cfRule>
  </conditionalFormatting>
  <conditionalFormatting sqref="P41">
    <cfRule type="expression" dxfId="620" priority="133">
      <formula>Q41="NO SUBSANABLE"</formula>
    </cfRule>
    <cfRule type="expression" dxfId="619" priority="134">
      <formula>Q41="REQUERIMIENTOS SUBSANADOS"</formula>
    </cfRule>
    <cfRule type="expression" dxfId="618" priority="135">
      <formula>Q41="PENDIENTES POR SUBSANAR"</formula>
    </cfRule>
    <cfRule type="expression" dxfId="617" priority="136">
      <formula>Q41="SIN OBSERVACIÓN"</formula>
    </cfRule>
    <cfRule type="containsBlanks" dxfId="616" priority="137">
      <formula>LEN(TRIM(P41))=0</formula>
    </cfRule>
  </conditionalFormatting>
  <conditionalFormatting sqref="N85">
    <cfRule type="expression" dxfId="615" priority="125">
      <formula>N85=" "</formula>
    </cfRule>
    <cfRule type="expression" dxfId="614" priority="126">
      <formula>N85="NO PRESENTÓ CERTIFICADO"</formula>
    </cfRule>
    <cfRule type="expression" dxfId="613" priority="127">
      <formula>N85="PRESENTÓ CERTIFICADO"</formula>
    </cfRule>
  </conditionalFormatting>
  <conditionalFormatting sqref="Q85">
    <cfRule type="containsBlanks" dxfId="612" priority="116">
      <formula>LEN(TRIM(Q85))=0</formula>
    </cfRule>
    <cfRule type="cellIs" dxfId="611" priority="121" operator="equal">
      <formula>"REQUERIMIENTOS SUBSANADOS"</formula>
    </cfRule>
    <cfRule type="containsText" dxfId="610" priority="122" operator="containsText" text="NO SUBSANABLE">
      <formula>NOT(ISERROR(SEARCH("NO SUBSANABLE",Q85)))</formula>
    </cfRule>
    <cfRule type="containsText" dxfId="609" priority="123" operator="containsText" text="PENDIENTES POR SUBSANAR">
      <formula>NOT(ISERROR(SEARCH("PENDIENTES POR SUBSANAR",Q85)))</formula>
    </cfRule>
    <cfRule type="containsText" dxfId="608" priority="124" operator="containsText" text="SIN OBSERVACIÓN">
      <formula>NOT(ISERROR(SEARCH("SIN OBSERVACIÓN",Q85)))</formula>
    </cfRule>
  </conditionalFormatting>
  <conditionalFormatting sqref="R85">
    <cfRule type="containsBlanks" dxfId="607" priority="115">
      <formula>LEN(TRIM(R85))=0</formula>
    </cfRule>
    <cfRule type="cellIs" dxfId="606" priority="117" operator="equal">
      <formula>"NO CUMPLEN CON LO SOLICITADO"</formula>
    </cfRule>
    <cfRule type="cellIs" dxfId="605" priority="118" operator="equal">
      <formula>"CUMPLEN CON LO SOLICITADO"</formula>
    </cfRule>
    <cfRule type="cellIs" dxfId="604" priority="119" operator="equal">
      <formula>"PENDIENTES"</formula>
    </cfRule>
    <cfRule type="cellIs" dxfId="603" priority="120" operator="equal">
      <formula>"NINGUNO"</formula>
    </cfRule>
  </conditionalFormatting>
  <conditionalFormatting sqref="P85">
    <cfRule type="expression" dxfId="602" priority="110">
      <formula>Q85="NO SUBSANABLE"</formula>
    </cfRule>
    <cfRule type="expression" dxfId="601" priority="111">
      <formula>Q85="REQUERIMIENTOS SUBSANADOS"</formula>
    </cfRule>
    <cfRule type="expression" dxfId="600" priority="112">
      <formula>Q85="PENDIENTES POR SUBSANAR"</formula>
    </cfRule>
    <cfRule type="expression" dxfId="599" priority="113">
      <formula>Q85="SIN OBSERVACIÓN"</formula>
    </cfRule>
    <cfRule type="containsBlanks" dxfId="598" priority="114">
      <formula>LEN(TRIM(P85))=0</formula>
    </cfRule>
  </conditionalFormatting>
  <conditionalFormatting sqref="O85">
    <cfRule type="cellIs" dxfId="597" priority="102" operator="equal">
      <formula>"PENDIENTE POR DESCRIPCIÓN"</formula>
    </cfRule>
    <cfRule type="cellIs" dxfId="596" priority="103" operator="equal">
      <formula>"DESCRIPCIÓN INSUFICIENTE"</formula>
    </cfRule>
    <cfRule type="cellIs" dxfId="595" priority="104" operator="equal">
      <formula>"NO ESTÁ ACORDE A ITEM 5.2.2 (T.R.)"</formula>
    </cfRule>
    <cfRule type="cellIs" dxfId="594" priority="105" operator="equal">
      <formula>"ACORDE A ITEM 5.2.2 (T.R.)"</formula>
    </cfRule>
    <cfRule type="cellIs" dxfId="593" priority="106" operator="equal">
      <formula>"PENDIENTE POR DESCRIPCIÓN"</formula>
    </cfRule>
    <cfRule type="cellIs" dxfId="592" priority="107" operator="equal">
      <formula>"DESCRIPCIÓN INSUFICIENTE"</formula>
    </cfRule>
    <cfRule type="cellIs" dxfId="591" priority="108" operator="equal">
      <formula>"NO ESTÁ ACORDE A ITEM 5.2.1 (T.R.)"</formula>
    </cfRule>
    <cfRule type="cellIs" dxfId="590" priority="109" operator="equal">
      <formula>"ACORDE A ITEM 5.2.1 (T.R.)"</formula>
    </cfRule>
  </conditionalFormatting>
  <conditionalFormatting sqref="H57">
    <cfRule type="notContainsBlanks" dxfId="589" priority="101">
      <formula>LEN(TRIM(H57))&gt;0</formula>
    </cfRule>
  </conditionalFormatting>
  <conditionalFormatting sqref="G57">
    <cfRule type="notContainsBlanks" dxfId="588" priority="100">
      <formula>LEN(TRIM(G57))&gt;0</formula>
    </cfRule>
  </conditionalFormatting>
  <conditionalFormatting sqref="F57">
    <cfRule type="notContainsBlanks" dxfId="587" priority="99">
      <formula>LEN(TRIM(F57))&gt;0</formula>
    </cfRule>
  </conditionalFormatting>
  <conditionalFormatting sqref="E57">
    <cfRule type="notContainsBlanks" dxfId="586" priority="98">
      <formula>LEN(TRIM(E57))&gt;0</formula>
    </cfRule>
  </conditionalFormatting>
  <conditionalFormatting sqref="D57">
    <cfRule type="notContainsBlanks" dxfId="585" priority="97">
      <formula>LEN(TRIM(D57))&gt;0</formula>
    </cfRule>
  </conditionalFormatting>
  <conditionalFormatting sqref="C57">
    <cfRule type="notContainsBlanks" dxfId="584" priority="96">
      <formula>LEN(TRIM(C57))&gt;0</formula>
    </cfRule>
  </conditionalFormatting>
  <conditionalFormatting sqref="I57">
    <cfRule type="notContainsBlanks" dxfId="583" priority="95">
      <formula>LEN(TRIM(I57))&gt;0</formula>
    </cfRule>
  </conditionalFormatting>
  <conditionalFormatting sqref="G60">
    <cfRule type="notContainsBlanks" dxfId="582" priority="94">
      <formula>LEN(TRIM(G60))&gt;0</formula>
    </cfRule>
  </conditionalFormatting>
  <conditionalFormatting sqref="F60">
    <cfRule type="notContainsBlanks" dxfId="581" priority="93">
      <formula>LEN(TRIM(F60))&gt;0</formula>
    </cfRule>
  </conditionalFormatting>
  <conditionalFormatting sqref="E60">
    <cfRule type="notContainsBlanks" dxfId="580" priority="92">
      <formula>LEN(TRIM(E60))&gt;0</formula>
    </cfRule>
  </conditionalFormatting>
  <conditionalFormatting sqref="D60">
    <cfRule type="notContainsBlanks" dxfId="579" priority="91">
      <formula>LEN(TRIM(D60))&gt;0</formula>
    </cfRule>
  </conditionalFormatting>
  <conditionalFormatting sqref="C60">
    <cfRule type="notContainsBlanks" dxfId="578" priority="90">
      <formula>LEN(TRIM(C60))&gt;0</formula>
    </cfRule>
  </conditionalFormatting>
  <conditionalFormatting sqref="M61">
    <cfRule type="expression" dxfId="577" priority="84">
      <formula>L61="NO CUMPLE"</formula>
    </cfRule>
    <cfRule type="expression" dxfId="576" priority="85">
      <formula>L61="CUMPLE"</formula>
    </cfRule>
  </conditionalFormatting>
  <conditionalFormatting sqref="M60">
    <cfRule type="expression" dxfId="575" priority="88">
      <formula>L60="NO CUMPLE"</formula>
    </cfRule>
    <cfRule type="expression" dxfId="574" priority="89">
      <formula>L60="CUMPLE"</formula>
    </cfRule>
  </conditionalFormatting>
  <conditionalFormatting sqref="L60:L61">
    <cfRule type="cellIs" dxfId="573" priority="86" operator="equal">
      <formula>"NO CUMPLE"</formula>
    </cfRule>
    <cfRule type="cellIs" dxfId="572" priority="87" operator="equal">
      <formula>"CUMPLE"</formula>
    </cfRule>
  </conditionalFormatting>
  <conditionalFormatting sqref="K60">
    <cfRule type="expression" dxfId="571" priority="82">
      <formula>J60="NO CUMPLE"</formula>
    </cfRule>
    <cfRule type="expression" dxfId="570" priority="83">
      <formula>J60="CUMPLE"</formula>
    </cfRule>
  </conditionalFormatting>
  <conditionalFormatting sqref="K61:K62">
    <cfRule type="expression" dxfId="569" priority="80">
      <formula>J61="NO CUMPLE"</formula>
    </cfRule>
    <cfRule type="expression" dxfId="568" priority="81">
      <formula>J61="CUMPLE"</formula>
    </cfRule>
  </conditionalFormatting>
  <conditionalFormatting sqref="J60:J62">
    <cfRule type="cellIs" dxfId="567" priority="78" operator="equal">
      <formula>"NO CUMPLE"</formula>
    </cfRule>
    <cfRule type="cellIs" dxfId="566" priority="79" operator="equal">
      <formula>"CUMPLE"</formula>
    </cfRule>
  </conditionalFormatting>
  <conditionalFormatting sqref="N60">
    <cfRule type="expression" dxfId="565" priority="75">
      <formula>N60=" "</formula>
    </cfRule>
    <cfRule type="expression" dxfId="564" priority="76">
      <formula>N60="NO PRESENTÓ CERTIFICADO"</formula>
    </cfRule>
    <cfRule type="expression" dxfId="563" priority="77">
      <formula>N60="PRESENTÓ CERTIFICADO"</formula>
    </cfRule>
  </conditionalFormatting>
  <conditionalFormatting sqref="Q60">
    <cfRule type="containsBlanks" dxfId="562" priority="66">
      <formula>LEN(TRIM(Q60))=0</formula>
    </cfRule>
    <cfRule type="cellIs" dxfId="561" priority="71" operator="equal">
      <formula>"REQUERIMIENTOS SUBSANADOS"</formula>
    </cfRule>
    <cfRule type="containsText" dxfId="560" priority="72" operator="containsText" text="NO SUBSANABLE">
      <formula>NOT(ISERROR(SEARCH("NO SUBSANABLE",Q60)))</formula>
    </cfRule>
    <cfRule type="containsText" dxfId="559" priority="73" operator="containsText" text="PENDIENTES POR SUBSANAR">
      <formula>NOT(ISERROR(SEARCH("PENDIENTES POR SUBSANAR",Q60)))</formula>
    </cfRule>
    <cfRule type="containsText" dxfId="558" priority="74" operator="containsText" text="SIN OBSERVACIÓN">
      <formula>NOT(ISERROR(SEARCH("SIN OBSERVACIÓN",Q60)))</formula>
    </cfRule>
  </conditionalFormatting>
  <conditionalFormatting sqref="R60">
    <cfRule type="containsBlanks" dxfId="557" priority="65">
      <formula>LEN(TRIM(R60))=0</formula>
    </cfRule>
    <cfRule type="cellIs" dxfId="556" priority="67" operator="equal">
      <formula>"NO CUMPLEN CON LO SOLICITADO"</formula>
    </cfRule>
    <cfRule type="cellIs" dxfId="555" priority="68" operator="equal">
      <formula>"CUMPLEN CON LO SOLICITADO"</formula>
    </cfRule>
    <cfRule type="cellIs" dxfId="554" priority="69" operator="equal">
      <formula>"PENDIENTES"</formula>
    </cfRule>
    <cfRule type="cellIs" dxfId="553" priority="70" operator="equal">
      <formula>"NINGUNO"</formula>
    </cfRule>
  </conditionalFormatting>
  <conditionalFormatting sqref="O60">
    <cfRule type="cellIs" dxfId="552" priority="57" operator="equal">
      <formula>"PENDIENTE POR DESCRIPCIÓN"</formula>
    </cfRule>
    <cfRule type="cellIs" dxfId="551" priority="58" operator="equal">
      <formula>"DESCRIPCIÓN INSUFICIENTE"</formula>
    </cfRule>
    <cfRule type="cellIs" dxfId="550" priority="59" operator="equal">
      <formula>"NO ESTÁ ACORDE A ITEM 5.2.2 (T.R.)"</formula>
    </cfRule>
    <cfRule type="cellIs" dxfId="549" priority="60" operator="equal">
      <formula>"ACORDE A ITEM 5.2.2 (T.R.)"</formula>
    </cfRule>
    <cfRule type="cellIs" dxfId="548" priority="61" operator="equal">
      <formula>"PENDIENTE POR DESCRIPCIÓN"</formula>
    </cfRule>
    <cfRule type="cellIs" dxfId="547" priority="62" operator="equal">
      <formula>"DESCRIPCIÓN INSUFICIENTE"</formula>
    </cfRule>
    <cfRule type="cellIs" dxfId="546" priority="63" operator="equal">
      <formula>"NO ESTÁ ACORDE A ITEM 5.2.1 (T.R.)"</formula>
    </cfRule>
    <cfRule type="cellIs" dxfId="545" priority="64" operator="equal">
      <formula>"ACORDE A ITEM 5.2.1 (T.R.)"</formula>
    </cfRule>
  </conditionalFormatting>
  <conditionalFormatting sqref="P60">
    <cfRule type="expression" dxfId="544" priority="52">
      <formula>Q60="NO SUBSANABLE"</formula>
    </cfRule>
    <cfRule type="expression" dxfId="543" priority="53">
      <formula>Q60="REQUERIMIENTOS SUBSANADOS"</formula>
    </cfRule>
    <cfRule type="expression" dxfId="542" priority="54">
      <formula>Q60="PENDIENTES POR SUBSANAR"</formula>
    </cfRule>
    <cfRule type="expression" dxfId="541" priority="55">
      <formula>Q60="SIN OBSERVACIÓN"</formula>
    </cfRule>
    <cfRule type="containsBlanks" dxfId="540" priority="56">
      <formula>LEN(TRIM(P60))=0</formula>
    </cfRule>
  </conditionalFormatting>
  <conditionalFormatting sqref="H60">
    <cfRule type="notContainsBlanks" dxfId="539" priority="51">
      <formula>LEN(TRIM(H60))&gt;0</formula>
    </cfRule>
  </conditionalFormatting>
  <conditionalFormatting sqref="I60">
    <cfRule type="notContainsBlanks" dxfId="538" priority="50">
      <formula>LEN(TRIM(I60))&gt;0</formula>
    </cfRule>
  </conditionalFormatting>
  <conditionalFormatting sqref="F63">
    <cfRule type="notContainsBlanks" dxfId="537" priority="48">
      <formula>LEN(TRIM(F63))&gt;0</formula>
    </cfRule>
  </conditionalFormatting>
  <conditionalFormatting sqref="G63">
    <cfRule type="notContainsBlanks" dxfId="536" priority="49">
      <formula>LEN(TRIM(G63))&gt;0</formula>
    </cfRule>
  </conditionalFormatting>
  <conditionalFormatting sqref="E63">
    <cfRule type="notContainsBlanks" dxfId="535" priority="47">
      <formula>LEN(TRIM(E63))&gt;0</formula>
    </cfRule>
  </conditionalFormatting>
  <conditionalFormatting sqref="D63">
    <cfRule type="notContainsBlanks" dxfId="534" priority="46">
      <formula>LEN(TRIM(D63))&gt;0</formula>
    </cfRule>
  </conditionalFormatting>
  <conditionalFormatting sqref="C63">
    <cfRule type="notContainsBlanks" dxfId="533" priority="45">
      <formula>LEN(TRIM(C63))&gt;0</formula>
    </cfRule>
  </conditionalFormatting>
  <conditionalFormatting sqref="M64">
    <cfRule type="expression" dxfId="532" priority="39">
      <formula>L64="NO CUMPLE"</formula>
    </cfRule>
    <cfRule type="expression" dxfId="531" priority="40">
      <formula>L64="CUMPLE"</formula>
    </cfRule>
  </conditionalFormatting>
  <conditionalFormatting sqref="M63">
    <cfRule type="expression" dxfId="530" priority="43">
      <formula>L63="NO CUMPLE"</formula>
    </cfRule>
    <cfRule type="expression" dxfId="529" priority="44">
      <formula>L63="CUMPLE"</formula>
    </cfRule>
  </conditionalFormatting>
  <conditionalFormatting sqref="L63:L64">
    <cfRule type="cellIs" dxfId="528" priority="41" operator="equal">
      <formula>"NO CUMPLE"</formula>
    </cfRule>
    <cfRule type="cellIs" dxfId="527" priority="42" operator="equal">
      <formula>"CUMPLE"</formula>
    </cfRule>
  </conditionalFormatting>
  <conditionalFormatting sqref="K63">
    <cfRule type="expression" dxfId="526" priority="37">
      <formula>J63="NO CUMPLE"</formula>
    </cfRule>
    <cfRule type="expression" dxfId="525" priority="38">
      <formula>J63="CUMPLE"</formula>
    </cfRule>
  </conditionalFormatting>
  <conditionalFormatting sqref="K64:K65">
    <cfRule type="expression" dxfId="524" priority="35">
      <formula>J64="NO CUMPLE"</formula>
    </cfRule>
    <cfRule type="expression" dxfId="523" priority="36">
      <formula>J64="CUMPLE"</formula>
    </cfRule>
  </conditionalFormatting>
  <conditionalFormatting sqref="J63:J65">
    <cfRule type="cellIs" dxfId="522" priority="33" operator="equal">
      <formula>"NO CUMPLE"</formula>
    </cfRule>
    <cfRule type="cellIs" dxfId="521" priority="34" operator="equal">
      <formula>"CUMPLE"</formula>
    </cfRule>
  </conditionalFormatting>
  <conditionalFormatting sqref="N63">
    <cfRule type="expression" dxfId="520" priority="30">
      <formula>N63=" "</formula>
    </cfRule>
    <cfRule type="expression" dxfId="519" priority="31">
      <formula>N63="NO PRESENTÓ CERTIFICADO"</formula>
    </cfRule>
    <cfRule type="expression" dxfId="518" priority="32">
      <formula>N63="PRESENTÓ CERTIFICADO"</formula>
    </cfRule>
  </conditionalFormatting>
  <conditionalFormatting sqref="Q63">
    <cfRule type="containsBlanks" dxfId="517" priority="21">
      <formula>LEN(TRIM(Q63))=0</formula>
    </cfRule>
    <cfRule type="cellIs" dxfId="516" priority="26" operator="equal">
      <formula>"REQUERIMIENTOS SUBSANADOS"</formula>
    </cfRule>
    <cfRule type="containsText" dxfId="515" priority="27" operator="containsText" text="NO SUBSANABLE">
      <formula>NOT(ISERROR(SEARCH("NO SUBSANABLE",Q63)))</formula>
    </cfRule>
    <cfRule type="containsText" dxfId="514" priority="28" operator="containsText" text="PENDIENTES POR SUBSANAR">
      <formula>NOT(ISERROR(SEARCH("PENDIENTES POR SUBSANAR",Q63)))</formula>
    </cfRule>
    <cfRule type="containsText" dxfId="513" priority="29" operator="containsText" text="SIN OBSERVACIÓN">
      <formula>NOT(ISERROR(SEARCH("SIN OBSERVACIÓN",Q63)))</formula>
    </cfRule>
  </conditionalFormatting>
  <conditionalFormatting sqref="R63">
    <cfRule type="containsBlanks" dxfId="512" priority="20">
      <formula>LEN(TRIM(R63))=0</formula>
    </cfRule>
    <cfRule type="cellIs" dxfId="511" priority="22" operator="equal">
      <formula>"NO CUMPLEN CON LO SOLICITADO"</formula>
    </cfRule>
    <cfRule type="cellIs" dxfId="510" priority="23" operator="equal">
      <formula>"CUMPLEN CON LO SOLICITADO"</formula>
    </cfRule>
    <cfRule type="cellIs" dxfId="509" priority="24" operator="equal">
      <formula>"PENDIENTES"</formula>
    </cfRule>
    <cfRule type="cellIs" dxfId="508" priority="25" operator="equal">
      <formula>"NINGUNO"</formula>
    </cfRule>
  </conditionalFormatting>
  <conditionalFormatting sqref="O63">
    <cfRule type="cellIs" dxfId="507" priority="12" operator="equal">
      <formula>"PENDIENTE POR DESCRIPCIÓN"</formula>
    </cfRule>
    <cfRule type="cellIs" dxfId="506" priority="13" operator="equal">
      <formula>"DESCRIPCIÓN INSUFICIENTE"</formula>
    </cfRule>
    <cfRule type="cellIs" dxfId="505" priority="14" operator="equal">
      <formula>"NO ESTÁ ACORDE A ITEM 5.2.2 (T.R.)"</formula>
    </cfRule>
    <cfRule type="cellIs" dxfId="504" priority="15" operator="equal">
      <formula>"ACORDE A ITEM 5.2.2 (T.R.)"</formula>
    </cfRule>
    <cfRule type="cellIs" dxfId="503" priority="16" operator="equal">
      <formula>"PENDIENTE POR DESCRIPCIÓN"</formula>
    </cfRule>
    <cfRule type="cellIs" dxfId="502" priority="17" operator="equal">
      <formula>"DESCRIPCIÓN INSUFICIENTE"</formula>
    </cfRule>
    <cfRule type="cellIs" dxfId="501" priority="18" operator="equal">
      <formula>"NO ESTÁ ACORDE A ITEM 5.2.1 (T.R.)"</formula>
    </cfRule>
    <cfRule type="cellIs" dxfId="500" priority="19" operator="equal">
      <formula>"ACORDE A ITEM 5.2.1 (T.R.)"</formula>
    </cfRule>
  </conditionalFormatting>
  <conditionalFormatting sqref="I63">
    <cfRule type="notContainsBlanks" dxfId="499" priority="6">
      <formula>LEN(TRIM(I63))&gt;0</formula>
    </cfRule>
  </conditionalFormatting>
  <conditionalFormatting sqref="P63">
    <cfRule type="expression" dxfId="498" priority="1">
      <formula>Q63="NO SUBSANABLE"</formula>
    </cfRule>
    <cfRule type="expression" dxfId="497" priority="2">
      <formula>Q63="REQUERIMIENTOS SUBSANADOS"</formula>
    </cfRule>
    <cfRule type="expression" dxfId="496" priority="3">
      <formula>Q63="PENDIENTES POR SUBSANAR"</formula>
    </cfRule>
    <cfRule type="expression" dxfId="495" priority="4">
      <formula>Q63="SIN OBSERVACIÓN"</formula>
    </cfRule>
    <cfRule type="containsBlanks" dxfId="494" priority="5">
      <formula>LEN(TRIM(P63))=0</formula>
    </cfRule>
  </conditionalFormatting>
  <dataValidations count="8">
    <dataValidation type="list" allowBlank="1" showInputMessage="1" showErrorMessage="1" sqref="O13:O27 O35:O49 O79:O93 O57:O71" xr:uid="{00000000-0002-0000-0400-000000000000}">
      <formula1>"ACORDE A ITEM 6.2.2.1 (T.R.),NO ESTÁ ACORDE A ITEM 6.2.2.1 (T.R.),DESCRIPCIÓN INSUFICIENTE,PENDIENTE POR DESCRIPCIÓN"</formula1>
    </dataValidation>
    <dataValidation type="list" allowBlank="1" showInputMessage="1" showErrorMessage="1" sqref="R113 R79 R22 R25 R308 R123 R13 R38 R44 R47 R311 R302 R305 R35 R201 R19 R66 R60 R88 R91 R132 R101 R104 R107 R192 R195 R198 R69 R110 R135 R173 R145 R151 R157 R170 R179 R176 R167 R189 R211 R148 R41 R126 R129 R154 R223 R214 R217 R220 R239 R245 R233 R236 R242 R267 R264 R280 R258 R261 R255 R289 R277 R283 R286 R299 R57 R85 R82 R16 R63" xr:uid="{00000000-0002-0000-0400-000001000000}">
      <formula1>"NINGUNO, PENDIENTES, CUMPLEN CON LO SOLICITADO, NO CUMPLEN CON LO SOLICITADO"</formula1>
    </dataValidation>
    <dataValidation type="list" allowBlank="1" showInputMessage="1" showErrorMessage="1" sqref="Q113 Q79 Q22 Q25 Q311 Q123 Q13 Q38 Q44 Q299 Q305 Q308 Q35 Q47 Q211 Q66 Q60 Q88 Q19 Q132 Q101 Q104 Q107 Q91 Q195 Q198 Q201 Q69 Q110 Q173 Q145 Q151 Q157 Q135 Q179 Q176 Q167 Q189 Q170 Q192 Q148 Q41 Q126 Q129 Q154 Q239 Q217 Q220 Q223 Q214 Q267 Q236 Q242 Q245 Q233 Q255 Q258 Q261 Q264 Q280 Q277 Q283 Q286 Q289 Q302 Q57 Q85 Q82 Q16 Q63" xr:uid="{00000000-0002-0000-0400-000002000000}">
      <formula1>"SIN OBSERVACIÓN, PENDIENTES POR SUBSANAR, REQUERIMIENTOS SUBSANADOS, NO SUBSANABLE"</formula1>
    </dataValidation>
    <dataValidation type="list" allowBlank="1" showInputMessage="1" showErrorMessage="1" sqref="N113 N79 N22 N16 N305 N25 N13 N38 N44 N47 N311 N299 N302 N35 N201 N19 N66 N69 N88 N91 N132 N101 N104 N107 N148 N123 N110 N126 N129 N135 N173 N145 N151 N157 N170 N179 N176 N167 N189 N211 N192 N195 N198 N60 N154 N223 N239 N214 N217 N220 N245 N267 N233 N236 N242 N264 N255 N283 N258 N261 N289 N277 N308 N280 N286 N57 N85 N82 N41 N63" xr:uid="{00000000-0002-0000-0400-000003000000}">
      <formula1>"PRESENTÓ CERTIFICADO,NO PRESENTÓ CERTIFICADO"</formula1>
    </dataValidation>
    <dataValidation type="list" allowBlank="1" showInputMessage="1" showErrorMessage="1" sqref="H107 H16 H19 H22 H25 H104 H13 H38 H44 H47 H299 H258 H261 H35 H85 H63 H66 H69 H88 H91 H101 H126 H129 H110 H113 H123 H170 H173 H132 H135 H145 H148 H151 H154 H157 H167 H264 H267 H176 H179 H189 H192 H195 H198 H201 H211 H214 H217 H220 H223 H233 H236 H239 H242 H245 H255 H302 H305 H308 H311 H277 H280 H283 H286 H289 H41 H57 H79 H82 H60" xr:uid="{00000000-0002-0000-0400-000004000000}">
      <formula1>"I,C,UT"</formula1>
    </dataValidation>
    <dataValidation type="list" allowBlank="1" showInputMessage="1" showErrorMessage="1" sqref="L22:L23 J167:J181 L47:L48 L189:L190 L151:L152 L113:L114 L308:L309 J79:J93 L85:L86 L66:L67 L123:L124 L170:L171 L25:L26 L104:L105 L88:L89 L154:L155 L13:L14 L16:L17 L19:L20 L44:L45 L35:L36 J101:J115 J123:J137 L57:L58 L179:L180 J233:J247 L69:L70 L79:L80 J13:J27 L82:L83 L107:L108 L110:L111 L91:L92 L101:L102 L41:L42 L126:L127 L129:L130 L132:L133 L135:L136 L145:L146 J145:J159 L148:L149 L173:L174 L176:L177 L157:L158 L167:L168 L192:L193 L201:L202 L195:L196 L198:L199 J189:J203 L211:L212 L214:L215 L223:L224 L217:L218 L220:L221 J211:J225 L233:L234 L236:L237 L245:L246 L239:L240 L242:L243 J255:J269 L255:L256 L258:L259 L267:L268 L261:L262 L264:L265 J277:J291 L277:L278 L280:L281 L289:L290 L283:L284 L286:L287 J299:J313 L299:L300 L302:L303 L311:L312 L305:L306 L38:L39 J35:J49 L60:L61 J57:J71 L63:L64" xr:uid="{00000000-0002-0000-0400-000005000000}">
      <formula1>",CUMPLE,NO CUMPLE"</formula1>
    </dataValidation>
    <dataValidation type="list" allowBlank="1" showInputMessage="1" showErrorMessage="1" sqref="O113 O264 O261 O245 O236 O302 O201 O242 O289 O286 O277 O311 O308 O299 O305 O198 O280 O255 O283 O267 O233 O132 O101 O104 O107 O211 O192 O195 O258 O110 O135 O173 O145 O151 O157 O170 O179 O176 O167 O189 O148 O123 O126 O129 O154 O223 O220 O239 O214 O217" xr:uid="{00000000-0002-0000-0400-000006000000}">
      <formula1>"ACORDE A ITEM 5.2.2 (T.R.),NO ESTÁ ACORDE A ITEM 5.2.2 (T.R.),DESCRIPCIÓN INSUFICIENTE,PENDIENTE POR DESCRIPCIÓN"</formula1>
    </dataValidation>
    <dataValidation type="list" allowBlank="1" showInputMessage="1" showErrorMessage="1" sqref="B10 B32 B54 B76 B98 B120 B142 B164 B186 B208 B230 B252 B274 B296" xr:uid="{00000000-0002-0000-0400-000007000000}">
      <formula1>"1,2,3,4,5,6,7,8,9,10,11,12,13,14,15,16,17"</formula1>
    </dataValidation>
  </dataValidations>
  <pageMargins left="0.7" right="0.7" top="0.75" bottom="0.75" header="0.3" footer="0.3"/>
  <pageSetup paperSize="9" orientation="portrait" r:id="rId1"/>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Y18"/>
  <sheetViews>
    <sheetView topLeftCell="AJ13" zoomScaleNormal="100" workbookViewId="0">
      <selection activeCell="AS7" sqref="AS7:AS8"/>
    </sheetView>
  </sheetViews>
  <sheetFormatPr baseColWidth="10" defaultRowHeight="15"/>
  <cols>
    <col min="1" max="1" width="7" style="716" customWidth="1"/>
    <col min="2" max="2" width="17.85546875" style="716" customWidth="1"/>
    <col min="3" max="3" width="83.42578125" style="716" customWidth="1"/>
    <col min="4" max="4" width="17.85546875" style="716" customWidth="1"/>
    <col min="5" max="5" width="16.5703125" style="716" customWidth="1"/>
    <col min="6" max="6" width="18.140625" style="716" customWidth="1"/>
    <col min="7" max="7" width="15.28515625" style="716" customWidth="1"/>
    <col min="8" max="8" width="5.5703125" style="716" customWidth="1"/>
    <col min="9" max="9" width="6.140625" style="716" customWidth="1"/>
    <col min="10" max="10" width="5.85546875" style="716" bestFit="1" customWidth="1"/>
    <col min="11" max="11" width="24.140625" style="716" customWidth="1"/>
    <col min="12" max="12" width="85.5703125" style="716" customWidth="1"/>
    <col min="13" max="13" width="20.42578125" style="716" customWidth="1"/>
    <col min="14" max="14" width="18.5703125" style="716" customWidth="1"/>
    <col min="15" max="15" width="17.140625" style="716" customWidth="1"/>
    <col min="16" max="16" width="17" style="716" customWidth="1"/>
    <col min="17" max="17" width="10" style="716" customWidth="1"/>
    <col min="18" max="18" width="24.28515625" style="716" customWidth="1"/>
    <col min="19" max="19" width="4.7109375" style="716" customWidth="1"/>
    <col min="20" max="20" width="5.5703125" style="716" customWidth="1"/>
    <col min="21" max="21" width="11.42578125" style="716"/>
    <col min="22" max="22" width="24.42578125" style="716" customWidth="1"/>
    <col min="23" max="23" width="85.7109375" style="716" customWidth="1"/>
    <col min="24" max="24" width="20.7109375" style="716" customWidth="1"/>
    <col min="25" max="25" width="18" style="716" customWidth="1"/>
    <col min="26" max="26" width="16.140625" style="716" customWidth="1"/>
    <col min="27" max="27" width="17.5703125" style="716" customWidth="1"/>
    <col min="28" max="28" width="9.28515625" style="716" customWidth="1"/>
    <col min="29" max="29" width="17.7109375" style="716" customWidth="1"/>
    <col min="30" max="31" width="11.42578125" style="716"/>
    <col min="32" max="32" width="5.85546875" style="716" bestFit="1" customWidth="1"/>
    <col min="33" max="33" width="21.140625" style="716" customWidth="1"/>
    <col min="34" max="34" width="78.42578125" style="716" customWidth="1"/>
    <col min="35" max="36" width="18.28515625" style="716" customWidth="1"/>
    <col min="37" max="37" width="19.85546875" style="716" customWidth="1"/>
    <col min="38" max="38" width="18.28515625" style="716" customWidth="1"/>
    <col min="39" max="39" width="8.42578125" style="716" customWidth="1"/>
    <col min="40" max="40" width="18" style="716" customWidth="1"/>
    <col min="41" max="42" width="11.42578125" style="716"/>
    <col min="43" max="43" width="5.85546875" style="716" bestFit="1" customWidth="1"/>
    <col min="44" max="44" width="19" style="716" customWidth="1"/>
    <col min="45" max="45" width="86.28515625" style="716" customWidth="1"/>
    <col min="46" max="46" width="19.5703125" style="716" customWidth="1"/>
    <col min="47" max="47" width="25.140625" style="716" customWidth="1"/>
    <col min="48" max="48" width="21.85546875" style="716" customWidth="1"/>
    <col min="49" max="49" width="17.28515625" style="716" customWidth="1"/>
    <col min="50" max="50" width="5" style="716" customWidth="1"/>
    <col min="51" max="51" width="24.42578125" style="716" customWidth="1"/>
    <col min="52" max="16384" width="11.42578125" style="716"/>
  </cols>
  <sheetData>
    <row r="1" spans="1:51" ht="9.9499999999999993" customHeight="1"/>
    <row r="2" spans="1:51" ht="15" customHeight="1">
      <c r="A2" s="958" t="s">
        <v>303</v>
      </c>
      <c r="B2" s="958"/>
      <c r="C2" s="958"/>
      <c r="D2" s="951" t="s">
        <v>304</v>
      </c>
      <c r="E2" s="951"/>
      <c r="F2" s="951"/>
      <c r="G2" s="951"/>
      <c r="J2" s="945" t="s">
        <v>303</v>
      </c>
      <c r="K2" s="946"/>
      <c r="L2" s="703">
        <v>1</v>
      </c>
      <c r="M2" s="951" t="s">
        <v>304</v>
      </c>
      <c r="N2" s="951"/>
      <c r="O2" s="951"/>
      <c r="P2" s="951"/>
      <c r="U2" s="945" t="s">
        <v>303</v>
      </c>
      <c r="V2" s="946"/>
      <c r="W2" s="703">
        <v>2</v>
      </c>
      <c r="X2" s="951" t="s">
        <v>304</v>
      </c>
      <c r="Y2" s="951"/>
      <c r="Z2" s="951"/>
      <c r="AA2" s="951"/>
      <c r="AF2" s="945" t="s">
        <v>303</v>
      </c>
      <c r="AG2" s="946"/>
      <c r="AH2" s="703">
        <v>3</v>
      </c>
      <c r="AI2" s="951" t="s">
        <v>304</v>
      </c>
      <c r="AJ2" s="951"/>
      <c r="AK2" s="951"/>
      <c r="AL2" s="951"/>
      <c r="AQ2" s="945" t="s">
        <v>303</v>
      </c>
      <c r="AR2" s="946"/>
      <c r="AS2" s="703">
        <v>4</v>
      </c>
      <c r="AT2" s="951" t="s">
        <v>304</v>
      </c>
      <c r="AU2" s="951"/>
      <c r="AV2" s="951"/>
      <c r="AW2" s="951"/>
    </row>
    <row r="3" spans="1:51" ht="18" customHeight="1">
      <c r="A3" s="958"/>
      <c r="B3" s="958"/>
      <c r="C3" s="958"/>
      <c r="D3" s="951"/>
      <c r="E3" s="951"/>
      <c r="F3" s="951"/>
      <c r="G3" s="951"/>
      <c r="J3" s="947"/>
      <c r="K3" s="948"/>
      <c r="L3" s="952" t="str">
        <f>VLOOKUP(L2,LISTA_OFERENTES,2,)</f>
        <v>INTERVE S.A.S.</v>
      </c>
      <c r="M3" s="951"/>
      <c r="N3" s="951"/>
      <c r="O3" s="951"/>
      <c r="P3" s="951"/>
      <c r="U3" s="947"/>
      <c r="V3" s="948"/>
      <c r="W3" s="952" t="str">
        <f>VLOOKUP(W2,LISTA_OFERENTES,2,)</f>
        <v>CONSORCIO VALCO - ACI</v>
      </c>
      <c r="X3" s="951"/>
      <c r="Y3" s="951"/>
      <c r="Z3" s="951"/>
      <c r="AA3" s="951"/>
      <c r="AF3" s="947"/>
      <c r="AG3" s="948"/>
      <c r="AH3" s="952" t="str">
        <f>VLOOKUP(AH2,LISTA_OFERENTES,2,)</f>
        <v>ARQ S.A.S.</v>
      </c>
      <c r="AI3" s="951"/>
      <c r="AJ3" s="951"/>
      <c r="AK3" s="951"/>
      <c r="AL3" s="951"/>
      <c r="AQ3" s="947"/>
      <c r="AR3" s="948"/>
      <c r="AS3" s="952" t="str">
        <f>VLOOKUP(AS2,LISTA_OFERENTES,2,)</f>
        <v>PREVEO S.A.S.</v>
      </c>
      <c r="AT3" s="951"/>
      <c r="AU3" s="951"/>
      <c r="AV3" s="951"/>
      <c r="AW3" s="951"/>
    </row>
    <row r="4" spans="1:51" ht="118.5" customHeight="1">
      <c r="A4" s="958"/>
      <c r="B4" s="958"/>
      <c r="C4" s="958"/>
      <c r="D4" s="951"/>
      <c r="E4" s="951"/>
      <c r="F4" s="951"/>
      <c r="G4" s="951"/>
      <c r="J4" s="949"/>
      <c r="K4" s="950"/>
      <c r="L4" s="953"/>
      <c r="M4" s="951"/>
      <c r="N4" s="951"/>
      <c r="O4" s="951"/>
      <c r="P4" s="951"/>
      <c r="U4" s="949"/>
      <c r="V4" s="950"/>
      <c r="W4" s="953"/>
      <c r="X4" s="951"/>
      <c r="Y4" s="951"/>
      <c r="Z4" s="951"/>
      <c r="AA4" s="951"/>
      <c r="AF4" s="949"/>
      <c r="AG4" s="950"/>
      <c r="AH4" s="953"/>
      <c r="AI4" s="951"/>
      <c r="AJ4" s="951"/>
      <c r="AK4" s="951"/>
      <c r="AL4" s="951"/>
      <c r="AQ4" s="949"/>
      <c r="AR4" s="950"/>
      <c r="AS4" s="953"/>
      <c r="AT4" s="951"/>
      <c r="AU4" s="951"/>
      <c r="AV4" s="951"/>
      <c r="AW4" s="951"/>
    </row>
    <row r="6" spans="1:51" ht="15.75" thickBot="1"/>
    <row r="7" spans="1:51" ht="36" customHeight="1">
      <c r="A7" s="954" t="s">
        <v>2</v>
      </c>
      <c r="B7" s="954" t="s">
        <v>305</v>
      </c>
      <c r="C7" s="956" t="s">
        <v>306</v>
      </c>
      <c r="D7" s="944" t="s">
        <v>216</v>
      </c>
      <c r="E7" s="944"/>
      <c r="F7" s="944"/>
      <c r="G7" s="944"/>
      <c r="J7" s="954" t="s">
        <v>2</v>
      </c>
      <c r="K7" s="954" t="s">
        <v>305</v>
      </c>
      <c r="L7" s="956" t="s">
        <v>306</v>
      </c>
      <c r="M7" s="944" t="s">
        <v>216</v>
      </c>
      <c r="N7" s="944"/>
      <c r="O7" s="944"/>
      <c r="P7" s="957"/>
      <c r="Q7" s="943" t="s">
        <v>314</v>
      </c>
      <c r="R7" s="944" t="s">
        <v>138</v>
      </c>
      <c r="U7" s="954" t="s">
        <v>2</v>
      </c>
      <c r="V7" s="954" t="s">
        <v>305</v>
      </c>
      <c r="W7" s="956" t="s">
        <v>306</v>
      </c>
      <c r="X7" s="944" t="s">
        <v>216</v>
      </c>
      <c r="Y7" s="944"/>
      <c r="Z7" s="944"/>
      <c r="AA7" s="957"/>
      <c r="AB7" s="943" t="s">
        <v>314</v>
      </c>
      <c r="AC7" s="943" t="s">
        <v>314</v>
      </c>
      <c r="AF7" s="954" t="s">
        <v>2</v>
      </c>
      <c r="AG7" s="954" t="s">
        <v>305</v>
      </c>
      <c r="AH7" s="956" t="s">
        <v>306</v>
      </c>
      <c r="AI7" s="944" t="s">
        <v>216</v>
      </c>
      <c r="AJ7" s="944"/>
      <c r="AK7" s="944"/>
      <c r="AL7" s="957"/>
      <c r="AM7" s="943" t="s">
        <v>314</v>
      </c>
      <c r="AN7" s="943" t="s">
        <v>314</v>
      </c>
      <c r="AQ7" s="954" t="s">
        <v>2</v>
      </c>
      <c r="AR7" s="954" t="s">
        <v>305</v>
      </c>
      <c r="AS7" s="956" t="s">
        <v>306</v>
      </c>
      <c r="AT7" s="944" t="s">
        <v>216</v>
      </c>
      <c r="AU7" s="944"/>
      <c r="AV7" s="944"/>
      <c r="AW7" s="957"/>
      <c r="AX7" s="943" t="s">
        <v>314</v>
      </c>
      <c r="AY7" s="944" t="s">
        <v>318</v>
      </c>
    </row>
    <row r="8" spans="1:51" ht="82.5" customHeight="1" thickBot="1">
      <c r="A8" s="955"/>
      <c r="B8" s="955"/>
      <c r="C8" s="957"/>
      <c r="D8" s="704" t="s">
        <v>307</v>
      </c>
      <c r="E8" s="704" t="s">
        <v>308</v>
      </c>
      <c r="F8" s="705" t="s">
        <v>309</v>
      </c>
      <c r="G8" s="706" t="s">
        <v>310</v>
      </c>
      <c r="J8" s="955"/>
      <c r="K8" s="955"/>
      <c r="L8" s="957"/>
      <c r="M8" s="704" t="s">
        <v>307</v>
      </c>
      <c r="N8" s="704" t="s">
        <v>308</v>
      </c>
      <c r="O8" s="705" t="s">
        <v>309</v>
      </c>
      <c r="P8" s="707" t="s">
        <v>310</v>
      </c>
      <c r="Q8" s="943"/>
      <c r="R8" s="944"/>
      <c r="U8" s="955"/>
      <c r="V8" s="955"/>
      <c r="W8" s="957"/>
      <c r="X8" s="704" t="s">
        <v>307</v>
      </c>
      <c r="Y8" s="704" t="s">
        <v>308</v>
      </c>
      <c r="Z8" s="705" t="s">
        <v>309</v>
      </c>
      <c r="AA8" s="707" t="s">
        <v>310</v>
      </c>
      <c r="AB8" s="943"/>
      <c r="AC8" s="943"/>
      <c r="AF8" s="955"/>
      <c r="AG8" s="955"/>
      <c r="AH8" s="957"/>
      <c r="AI8" s="704" t="s">
        <v>307</v>
      </c>
      <c r="AJ8" s="704" t="s">
        <v>308</v>
      </c>
      <c r="AK8" s="705" t="s">
        <v>309</v>
      </c>
      <c r="AL8" s="707" t="s">
        <v>310</v>
      </c>
      <c r="AM8" s="943"/>
      <c r="AN8" s="943"/>
      <c r="AQ8" s="955"/>
      <c r="AR8" s="955"/>
      <c r="AS8" s="957"/>
      <c r="AT8" s="704" t="s">
        <v>307</v>
      </c>
      <c r="AU8" s="704" t="s">
        <v>308</v>
      </c>
      <c r="AV8" s="705" t="s">
        <v>309</v>
      </c>
      <c r="AW8" s="707" t="s">
        <v>310</v>
      </c>
      <c r="AX8" s="943"/>
      <c r="AY8" s="944"/>
    </row>
    <row r="9" spans="1:51" ht="254.25" customHeight="1" thickBot="1">
      <c r="A9" s="717">
        <v>1</v>
      </c>
      <c r="B9" s="708" t="s">
        <v>311</v>
      </c>
      <c r="C9" s="239" t="s">
        <v>439</v>
      </c>
      <c r="D9" s="709"/>
      <c r="E9" s="710"/>
      <c r="F9" s="710"/>
      <c r="G9" s="710"/>
      <c r="J9" s="717">
        <v>1</v>
      </c>
      <c r="K9" s="708" t="s">
        <v>311</v>
      </c>
      <c r="L9" s="239" t="s">
        <v>439</v>
      </c>
      <c r="M9" s="709"/>
      <c r="N9" s="710">
        <v>11</v>
      </c>
      <c r="O9" s="710">
        <v>1</v>
      </c>
      <c r="P9" s="710">
        <f>+N9+O9</f>
        <v>12</v>
      </c>
      <c r="Q9" s="717">
        <f>IF(EXACT($C9,L9),1,0)</f>
        <v>1</v>
      </c>
      <c r="R9" s="711" t="s">
        <v>321</v>
      </c>
      <c r="U9" s="717">
        <v>1</v>
      </c>
      <c r="V9" s="708" t="s">
        <v>311</v>
      </c>
      <c r="W9" s="239" t="s">
        <v>439</v>
      </c>
      <c r="X9" s="712"/>
      <c r="Y9" s="710">
        <v>10</v>
      </c>
      <c r="Z9" s="710">
        <v>2.5</v>
      </c>
      <c r="AA9" s="710">
        <f>+Y9+Z9</f>
        <v>12.5</v>
      </c>
      <c r="AB9" s="717">
        <f>IF(EXACT($C9,W9),1,0)</f>
        <v>1</v>
      </c>
      <c r="AC9" s="711" t="s">
        <v>322</v>
      </c>
      <c r="AF9" s="717">
        <v>1</v>
      </c>
      <c r="AG9" s="708" t="s">
        <v>311</v>
      </c>
      <c r="AH9" s="239" t="s">
        <v>439</v>
      </c>
      <c r="AI9" s="709"/>
      <c r="AJ9" s="710">
        <v>14.44</v>
      </c>
      <c r="AK9" s="710">
        <f>2.5+2+1</f>
        <v>5.5</v>
      </c>
      <c r="AL9" s="710">
        <f>+AJ9+AK9</f>
        <v>19.939999999999998</v>
      </c>
      <c r="AM9" s="717">
        <f>IF(EXACT($C9,AH9),1,0)</f>
        <v>1</v>
      </c>
      <c r="AN9" s="711" t="s">
        <v>429</v>
      </c>
      <c r="AQ9" s="717">
        <v>1</v>
      </c>
      <c r="AR9" s="708" t="s">
        <v>311</v>
      </c>
      <c r="AS9" s="239" t="s">
        <v>439</v>
      </c>
      <c r="AT9" s="712" t="s">
        <v>315</v>
      </c>
      <c r="AU9" s="713">
        <v>7</v>
      </c>
      <c r="AV9" s="713">
        <v>11</v>
      </c>
      <c r="AW9" s="710">
        <f>+AU9+AV9</f>
        <v>18</v>
      </c>
      <c r="AX9" s="717">
        <f>IF(EXACT($C9,AS9),1,0)</f>
        <v>1</v>
      </c>
      <c r="AY9" s="711" t="s">
        <v>319</v>
      </c>
    </row>
    <row r="10" spans="1:51" ht="236.25" customHeight="1" thickBot="1">
      <c r="A10" s="717">
        <v>2</v>
      </c>
      <c r="B10" s="708" t="s">
        <v>312</v>
      </c>
      <c r="C10" s="239" t="s">
        <v>440</v>
      </c>
      <c r="D10" s="709"/>
      <c r="E10" s="710"/>
      <c r="F10" s="710"/>
      <c r="G10" s="718"/>
      <c r="I10" s="719"/>
      <c r="J10" s="717">
        <v>2</v>
      </c>
      <c r="K10" s="708" t="s">
        <v>312</v>
      </c>
      <c r="L10" s="239" t="s">
        <v>440</v>
      </c>
      <c r="M10" s="709"/>
      <c r="N10" s="710">
        <v>18</v>
      </c>
      <c r="O10" s="710">
        <v>0</v>
      </c>
      <c r="P10" s="710">
        <f t="shared" ref="P10:P11" si="0">+N10+O10</f>
        <v>18</v>
      </c>
      <c r="Q10" s="717">
        <f t="shared" ref="Q10:Q11" si="1">IF(EXACT($C10,L10),1,0)</f>
        <v>1</v>
      </c>
      <c r="R10" s="714" t="s">
        <v>442</v>
      </c>
      <c r="U10" s="717">
        <v>2</v>
      </c>
      <c r="V10" s="708" t="s">
        <v>312</v>
      </c>
      <c r="W10" s="239" t="s">
        <v>440</v>
      </c>
      <c r="X10" s="712"/>
      <c r="Y10" s="710">
        <v>29</v>
      </c>
      <c r="Z10" s="710">
        <v>13</v>
      </c>
      <c r="AA10" s="710">
        <f t="shared" ref="AA10:AA11" si="2">+Y10+Z10</f>
        <v>42</v>
      </c>
      <c r="AB10" s="717">
        <f t="shared" ref="AB10:AB11" si="3">IF(EXACT($C10,W10),1,0)</f>
        <v>1</v>
      </c>
      <c r="AC10" s="711" t="s">
        <v>323</v>
      </c>
      <c r="AF10" s="717">
        <v>2</v>
      </c>
      <c r="AG10" s="708" t="s">
        <v>312</v>
      </c>
      <c r="AH10" s="239" t="s">
        <v>440</v>
      </c>
      <c r="AI10" s="709"/>
      <c r="AJ10" s="710">
        <v>22</v>
      </c>
      <c r="AK10" s="710">
        <v>3.4166666666666665</v>
      </c>
      <c r="AL10" s="710">
        <f t="shared" ref="AL10:AL11" si="4">+AJ10+AK10</f>
        <v>25.416666666666668</v>
      </c>
      <c r="AM10" s="717">
        <f t="shared" ref="AM10:AM11" si="5">IF(EXACT($C10,AH10),1,0)</f>
        <v>1</v>
      </c>
      <c r="AN10" s="711" t="s">
        <v>430</v>
      </c>
      <c r="AQ10" s="717">
        <v>2</v>
      </c>
      <c r="AR10" s="708" t="s">
        <v>312</v>
      </c>
      <c r="AS10" s="239" t="s">
        <v>440</v>
      </c>
      <c r="AT10" s="712" t="s">
        <v>316</v>
      </c>
      <c r="AU10" s="713">
        <v>4</v>
      </c>
      <c r="AV10" s="713">
        <v>7</v>
      </c>
      <c r="AW10" s="710">
        <f t="shared" ref="AW10:AW11" si="6">+AU10+AV10</f>
        <v>11</v>
      </c>
      <c r="AX10" s="717">
        <f t="shared" ref="AX10:AX11" si="7">IF(EXACT($C10,AS10),1,0)</f>
        <v>1</v>
      </c>
      <c r="AY10" s="711" t="s">
        <v>320</v>
      </c>
    </row>
    <row r="11" spans="1:51" ht="93" customHeight="1">
      <c r="A11" s="717">
        <v>3</v>
      </c>
      <c r="B11" s="715" t="s">
        <v>313</v>
      </c>
      <c r="C11" s="239" t="s">
        <v>441</v>
      </c>
      <c r="D11" s="709"/>
      <c r="E11" s="718"/>
      <c r="F11" s="718"/>
      <c r="G11" s="718"/>
      <c r="I11" s="719"/>
      <c r="J11" s="717">
        <v>3</v>
      </c>
      <c r="K11" s="715" t="s">
        <v>313</v>
      </c>
      <c r="L11" s="239" t="s">
        <v>441</v>
      </c>
      <c r="M11" s="712">
        <v>36944</v>
      </c>
      <c r="N11" s="718"/>
      <c r="O11" s="710">
        <v>1</v>
      </c>
      <c r="P11" s="710">
        <f t="shared" si="0"/>
        <v>1</v>
      </c>
      <c r="Q11" s="717">
        <f t="shared" si="1"/>
        <v>1</v>
      </c>
      <c r="R11" s="725" t="s">
        <v>443</v>
      </c>
      <c r="U11" s="717">
        <v>3</v>
      </c>
      <c r="V11" s="715" t="s">
        <v>313</v>
      </c>
      <c r="W11" s="239" t="s">
        <v>441</v>
      </c>
      <c r="X11" s="720">
        <v>41817</v>
      </c>
      <c r="Y11" s="721"/>
      <c r="Z11" s="721">
        <v>5</v>
      </c>
      <c r="AA11" s="710">
        <f t="shared" si="2"/>
        <v>5</v>
      </c>
      <c r="AB11" s="717">
        <f t="shared" si="3"/>
        <v>1</v>
      </c>
      <c r="AC11" s="711" t="s">
        <v>324</v>
      </c>
      <c r="AF11" s="717">
        <v>3</v>
      </c>
      <c r="AG11" s="715" t="s">
        <v>313</v>
      </c>
      <c r="AH11" s="239" t="s">
        <v>441</v>
      </c>
      <c r="AI11" s="709">
        <v>39191</v>
      </c>
      <c r="AJ11" s="710">
        <v>14.65</v>
      </c>
      <c r="AK11" s="721">
        <v>9.02</v>
      </c>
      <c r="AL11" s="710">
        <f t="shared" si="4"/>
        <v>23.67</v>
      </c>
      <c r="AM11" s="717">
        <f t="shared" si="5"/>
        <v>1</v>
      </c>
      <c r="AN11" s="711" t="s">
        <v>384</v>
      </c>
      <c r="AQ11" s="717">
        <v>3</v>
      </c>
      <c r="AR11" s="715" t="s">
        <v>313</v>
      </c>
      <c r="AS11" s="239" t="s">
        <v>441</v>
      </c>
      <c r="AT11" s="712" t="s">
        <v>317</v>
      </c>
      <c r="AU11" s="718"/>
      <c r="AV11" s="713">
        <v>5</v>
      </c>
      <c r="AW11" s="710">
        <f t="shared" si="6"/>
        <v>5</v>
      </c>
      <c r="AX11" s="717">
        <f t="shared" si="7"/>
        <v>1</v>
      </c>
      <c r="AY11" s="711" t="s">
        <v>390</v>
      </c>
    </row>
    <row r="12" spans="1:51">
      <c r="I12" s="719"/>
      <c r="J12" s="719"/>
    </row>
    <row r="13" spans="1:51">
      <c r="I13" s="719"/>
      <c r="J13" s="719"/>
    </row>
    <row r="14" spans="1:51">
      <c r="I14" s="719"/>
      <c r="J14" s="719"/>
      <c r="M14" s="722"/>
    </row>
    <row r="15" spans="1:51">
      <c r="M15" s="722"/>
    </row>
    <row r="16" spans="1:51">
      <c r="M16" s="723"/>
    </row>
    <row r="18" spans="8:8">
      <c r="H18" s="724"/>
    </row>
  </sheetData>
  <sheetProtection algorithmName="SHA-512" hashValue="kMkGWfVUqndwRL6aY07+AFF8B3cUhYjC6n9A7CxTB9G2CGySJvqk0jl+MeaGuZmCwKXsCA7dOmwmB0hSFSjSEg==" saltValue="o2EcpEPXOmaHkCJasfoMWw==" spinCount="100000" sheet="1" objects="1" scenarios="1"/>
  <mergeCells count="42">
    <mergeCell ref="A2:C4"/>
    <mergeCell ref="D2:G4"/>
    <mergeCell ref="A7:A8"/>
    <mergeCell ref="B7:B8"/>
    <mergeCell ref="C7:C8"/>
    <mergeCell ref="D7:G7"/>
    <mergeCell ref="M2:P4"/>
    <mergeCell ref="J7:J8"/>
    <mergeCell ref="K7:K8"/>
    <mergeCell ref="L7:L8"/>
    <mergeCell ref="M7:P7"/>
    <mergeCell ref="J2:K4"/>
    <mergeCell ref="L3:L4"/>
    <mergeCell ref="Q7:Q8"/>
    <mergeCell ref="U2:V4"/>
    <mergeCell ref="X2:AA4"/>
    <mergeCell ref="W3:W4"/>
    <mergeCell ref="U7:U8"/>
    <mergeCell ref="V7:V8"/>
    <mergeCell ref="W7:W8"/>
    <mergeCell ref="X7:AA7"/>
    <mergeCell ref="AF2:AG4"/>
    <mergeCell ref="AI2:AL4"/>
    <mergeCell ref="AH3:AH4"/>
    <mergeCell ref="AF7:AF8"/>
    <mergeCell ref="AG7:AG8"/>
    <mergeCell ref="AH7:AH8"/>
    <mergeCell ref="AI7:AL7"/>
    <mergeCell ref="AQ2:AR4"/>
    <mergeCell ref="AT2:AW4"/>
    <mergeCell ref="AS3:AS4"/>
    <mergeCell ref="AQ7:AQ8"/>
    <mergeCell ref="AR7:AR8"/>
    <mergeCell ref="AS7:AS8"/>
    <mergeCell ref="AT7:AW7"/>
    <mergeCell ref="AX7:AX8"/>
    <mergeCell ref="R7:R8"/>
    <mergeCell ref="AC7:AC8"/>
    <mergeCell ref="AN7:AN8"/>
    <mergeCell ref="AY7:AY8"/>
    <mergeCell ref="AM7:AM8"/>
    <mergeCell ref="AB7:AB8"/>
  </mergeCells>
  <conditionalFormatting sqref="Q9:Q11">
    <cfRule type="cellIs" dxfId="493" priority="7" operator="equal">
      <formula>0</formula>
    </cfRule>
    <cfRule type="cellIs" dxfId="492" priority="8" operator="equal">
      <formula>1</formula>
    </cfRule>
  </conditionalFormatting>
  <conditionalFormatting sqref="AB9:AB11">
    <cfRule type="cellIs" dxfId="491" priority="5" operator="equal">
      <formula>0</formula>
    </cfRule>
    <cfRule type="cellIs" dxfId="490" priority="6" operator="equal">
      <formula>1</formula>
    </cfRule>
  </conditionalFormatting>
  <conditionalFormatting sqref="AM9:AM11">
    <cfRule type="cellIs" dxfId="489" priority="3" operator="equal">
      <formula>0</formula>
    </cfRule>
    <cfRule type="cellIs" dxfId="488" priority="4" operator="equal">
      <formula>1</formula>
    </cfRule>
  </conditionalFormatting>
  <conditionalFormatting sqref="AX9:AX11">
    <cfRule type="cellIs" dxfId="487" priority="1" operator="equal">
      <formula>0</formula>
    </cfRule>
    <cfRule type="cellIs" dxfId="486" priority="2" operator="equal">
      <formula>1</formula>
    </cfRule>
  </conditionalFormatting>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36"/>
  <sheetViews>
    <sheetView zoomScale="131" workbookViewId="0">
      <selection activeCell="K9" sqref="K9"/>
    </sheetView>
  </sheetViews>
  <sheetFormatPr baseColWidth="10" defaultColWidth="11.42578125" defaultRowHeight="15"/>
  <cols>
    <col min="1" max="1" width="6.42578125" style="13" bestFit="1" customWidth="1"/>
    <col min="2" max="2" width="27.28515625" style="13" bestFit="1" customWidth="1"/>
    <col min="3" max="3" width="16.42578125" style="13" bestFit="1" customWidth="1"/>
    <col min="4" max="4" width="17.42578125" style="13" bestFit="1" customWidth="1"/>
    <col min="5" max="5" width="7.42578125" style="61" bestFit="1" customWidth="1"/>
    <col min="6" max="6" width="14.85546875" style="61" customWidth="1"/>
    <col min="7" max="7" width="18" style="61" bestFit="1" customWidth="1"/>
    <col min="8" max="9" width="16.42578125" style="61" bestFit="1" customWidth="1"/>
    <col min="10" max="10" width="16" style="61" bestFit="1" customWidth="1"/>
    <col min="11" max="11" width="20.7109375" style="61" customWidth="1"/>
    <col min="12" max="12" width="24" style="61" customWidth="1"/>
    <col min="13" max="14" width="20.7109375" style="61" customWidth="1"/>
    <col min="15" max="15" width="23.7109375" style="13" customWidth="1"/>
    <col min="16" max="16" width="11.42578125" style="13" customWidth="1"/>
    <col min="17" max="17" width="11.42578125" style="46" customWidth="1"/>
    <col min="18" max="18" width="49.85546875" style="13" customWidth="1"/>
    <col min="19" max="19" width="14.85546875" style="47" customWidth="1"/>
    <col min="20" max="16384" width="11.42578125" style="13"/>
  </cols>
  <sheetData>
    <row r="1" spans="1:19" ht="23.25">
      <c r="A1" s="961" t="s">
        <v>47</v>
      </c>
      <c r="B1" s="961"/>
      <c r="C1" s="961"/>
      <c r="D1" s="961"/>
      <c r="E1" s="961"/>
      <c r="F1" s="961"/>
      <c r="G1" s="961"/>
      <c r="H1" s="961"/>
      <c r="I1" s="961"/>
      <c r="J1" s="961"/>
      <c r="K1" s="266"/>
      <c r="L1" s="266"/>
      <c r="M1" s="266"/>
      <c r="N1" s="266"/>
    </row>
    <row r="2" spans="1:19" s="49" customFormat="1" ht="18.75" thickBot="1">
      <c r="A2" s="48"/>
      <c r="B2" s="48"/>
      <c r="C2" s="48"/>
      <c r="D2" s="48"/>
      <c r="E2" s="48"/>
      <c r="F2" s="48"/>
      <c r="G2" s="48"/>
      <c r="H2" s="48"/>
      <c r="I2" s="48"/>
      <c r="J2" s="48"/>
      <c r="K2" s="48"/>
      <c r="L2" s="48"/>
      <c r="M2" s="48"/>
      <c r="N2" s="48"/>
      <c r="Q2" s="50"/>
      <c r="S2" s="51"/>
    </row>
    <row r="3" spans="1:19" ht="16.5" thickBot="1">
      <c r="A3" s="962" t="s">
        <v>2</v>
      </c>
      <c r="B3" s="965" t="s">
        <v>48</v>
      </c>
      <c r="C3" s="968" t="s">
        <v>49</v>
      </c>
      <c r="D3" s="968"/>
      <c r="E3" s="968"/>
      <c r="F3" s="969"/>
      <c r="G3" s="970" t="s">
        <v>50</v>
      </c>
      <c r="H3" s="971"/>
      <c r="I3" s="971"/>
      <c r="J3" s="972"/>
      <c r="K3" s="970" t="s">
        <v>161</v>
      </c>
      <c r="L3" s="971"/>
      <c r="M3" s="971"/>
      <c r="N3" s="972"/>
    </row>
    <row r="4" spans="1:19" ht="30.95" customHeight="1" thickBot="1">
      <c r="A4" s="963"/>
      <c r="B4" s="966"/>
      <c r="C4" s="52" t="s">
        <v>51</v>
      </c>
      <c r="D4" s="973" t="s">
        <v>52</v>
      </c>
      <c r="E4" s="974"/>
      <c r="F4" s="225">
        <v>0.65</v>
      </c>
      <c r="G4" s="227" t="s">
        <v>53</v>
      </c>
      <c r="H4" s="975" t="s">
        <v>54</v>
      </c>
      <c r="I4" s="976"/>
      <c r="J4" s="245">
        <f>+'6.2.2.1. EXPERIENCIA GRAL'!N6</f>
        <v>1239018064</v>
      </c>
      <c r="K4" s="227" t="s">
        <v>162</v>
      </c>
      <c r="L4" s="975" t="s">
        <v>163</v>
      </c>
      <c r="M4" s="976"/>
      <c r="N4" s="277">
        <v>0.01</v>
      </c>
      <c r="O4" s="977" t="s">
        <v>138</v>
      </c>
    </row>
    <row r="5" spans="1:19" s="16" customFormat="1" ht="26.25" customHeight="1" thickBot="1">
      <c r="A5" s="964"/>
      <c r="B5" s="967"/>
      <c r="C5" s="223" t="s">
        <v>55</v>
      </c>
      <c r="D5" s="223" t="s">
        <v>56</v>
      </c>
      <c r="E5" s="223" t="s">
        <v>57</v>
      </c>
      <c r="F5" s="226" t="s">
        <v>58</v>
      </c>
      <c r="G5" s="228" t="s">
        <v>59</v>
      </c>
      <c r="H5" s="224" t="s">
        <v>60</v>
      </c>
      <c r="I5" s="224" t="s">
        <v>57</v>
      </c>
      <c r="J5" s="246" t="s">
        <v>58</v>
      </c>
      <c r="K5" s="228" t="s">
        <v>232</v>
      </c>
      <c r="L5" s="224" t="s">
        <v>233</v>
      </c>
      <c r="M5" s="224" t="s">
        <v>57</v>
      </c>
      <c r="N5" s="246" t="s">
        <v>58</v>
      </c>
      <c r="O5" s="978"/>
      <c r="Q5" s="959" t="s">
        <v>61</v>
      </c>
      <c r="R5" s="960"/>
      <c r="S5" s="222" t="s">
        <v>41</v>
      </c>
    </row>
    <row r="6" spans="1:19" s="16" customFormat="1" ht="16.5" thickBot="1">
      <c r="A6" s="242">
        <f>IF('[2]1_ENTREGA'!A8="","",'[2]1_ENTREGA'!A8)</f>
        <v>1</v>
      </c>
      <c r="B6" s="239" t="str">
        <f t="shared" ref="B6:B12" si="0">IF(A6="","",VLOOKUP(A6,LISTA_OFERENTES,2,FALSE))</f>
        <v>INTERVE S.A.S.</v>
      </c>
      <c r="C6" s="229">
        <v>2156601582</v>
      </c>
      <c r="D6" s="229">
        <v>8263768178</v>
      </c>
      <c r="E6" s="230">
        <f>IFERROR((C6/D6)," ")</f>
        <v>0.26097072613209987</v>
      </c>
      <c r="F6" s="231" t="str">
        <f>IF(B6="","",IF(E6&lt;=$F$4,"CUMPLE","NO CUMPLE"))</f>
        <v>CUMPLE</v>
      </c>
      <c r="G6" s="232">
        <v>6755354125</v>
      </c>
      <c r="H6" s="232">
        <v>2156318478</v>
      </c>
      <c r="I6" s="233">
        <f>G6-H6</f>
        <v>4599035647</v>
      </c>
      <c r="J6" s="247" t="str">
        <f>IF(B6="","",IF(I6="","NO CUMPLE",IF(I6&gt;=$J$4,"CUMPLE","NO CUMPLE")))</f>
        <v>CUMPLE</v>
      </c>
      <c r="K6" s="232">
        <v>2158858917</v>
      </c>
      <c r="L6" s="232">
        <v>6107166596</v>
      </c>
      <c r="M6" s="230">
        <f t="shared" ref="M6:M7" si="1">K6/L6</f>
        <v>0.35349599246465357</v>
      </c>
      <c r="N6" s="247" t="str">
        <f>IF(F6="","",IF(M6="","NO CUMPLE",IF(M6&gt;=$N$4,"CUMPLE","NO CUMPLE")))</f>
        <v>CUMPLE</v>
      </c>
      <c r="O6" s="250"/>
      <c r="Q6" s="219">
        <v>1</v>
      </c>
      <c r="R6" s="220" t="str">
        <f t="shared" ref="R6:R12" si="2">VLOOKUP(Q6,LISTA_OFERENTES,2,FALSE)</f>
        <v>INTERVE S.A.S.</v>
      </c>
      <c r="S6" s="221" t="str">
        <f>IF(OR(F6="NO CUMPLE",J6="NO CUMPLE",N6="NO CUMPLE"),"NH","H")</f>
        <v>H</v>
      </c>
    </row>
    <row r="7" spans="1:19" s="16" customFormat="1" ht="16.5" thickBot="1">
      <c r="A7" s="243">
        <f>IF('[2]1_ENTREGA'!A9="","",'[2]1_ENTREGA'!A9)</f>
        <v>2</v>
      </c>
      <c r="B7" s="240" t="str">
        <f t="shared" si="0"/>
        <v>CONSORCIO VALCO - ACI</v>
      </c>
      <c r="C7" s="173">
        <f>+C25+D25</f>
        <v>23170540978</v>
      </c>
      <c r="D7" s="173">
        <f>+C26+D26</f>
        <v>47945571171</v>
      </c>
      <c r="E7" s="54">
        <f t="shared" ref="E7:E11" si="3">IFERROR((C7/D7)," ")</f>
        <v>0.48326759723773527</v>
      </c>
      <c r="F7" s="55" t="str">
        <f t="shared" ref="F7:F12" si="4">IF(B7="","",IF(E7&lt;=$F$4,"CUMPLE","NO CUMPLE"))</f>
        <v>CUMPLE</v>
      </c>
      <c r="G7" s="60">
        <f>+C27+D27</f>
        <v>37808494621</v>
      </c>
      <c r="H7" s="60">
        <f>+C28+D28</f>
        <v>19410964799</v>
      </c>
      <c r="I7" s="56">
        <f t="shared" ref="I7:I12" si="5">G7-H7</f>
        <v>18397529822</v>
      </c>
      <c r="J7" s="248" t="str">
        <f t="shared" ref="J7:J12" si="6">IF(B7="","",IF(I7="","NO CUMPLE",IF(I7&gt;=$J$4,"CUMPLE","NO CUMPLE")))</f>
        <v>CUMPLE</v>
      </c>
      <c r="K7" s="60">
        <f>+C29+D29</f>
        <v>6056124571</v>
      </c>
      <c r="L7" s="60">
        <f>+C30+D30</f>
        <v>24775030193</v>
      </c>
      <c r="M7" s="230">
        <f t="shared" si="1"/>
        <v>0.24444468982770859</v>
      </c>
      <c r="N7" s="247" t="str">
        <f t="shared" ref="N7:N9" si="7">IF(F7="","",IF(M7="","NO CUMPLE",IF(M7&gt;=$N$4,"CUMPLE","NO CUMPLE")))</f>
        <v>CUMPLE</v>
      </c>
      <c r="O7" s="250"/>
      <c r="Q7" s="214">
        <v>2</v>
      </c>
      <c r="R7" s="58" t="str">
        <f t="shared" si="2"/>
        <v>CONSORCIO VALCO - ACI</v>
      </c>
      <c r="S7" s="215" t="str">
        <f t="shared" ref="S7:S12" si="8">IF(OR(F7="NO CUMPLE",J7="NO CUMPLE"),"NH","H")</f>
        <v>H</v>
      </c>
    </row>
    <row r="8" spans="1:19" s="16" customFormat="1" ht="16.5" thickBot="1">
      <c r="A8" s="243">
        <f>IF('[2]1_ENTREGA'!A10="","",'[2]1_ENTREGA'!A10)</f>
        <v>3</v>
      </c>
      <c r="B8" s="240" t="str">
        <f t="shared" si="0"/>
        <v>ARQ S.A.S.</v>
      </c>
      <c r="C8" s="173">
        <v>1060723579</v>
      </c>
      <c r="D8" s="173">
        <v>6643300885</v>
      </c>
      <c r="E8" s="54">
        <f>IFERROR((C8/D8)," ")</f>
        <v>0.15966815252866573</v>
      </c>
      <c r="F8" s="55" t="str">
        <f t="shared" si="4"/>
        <v>CUMPLE</v>
      </c>
      <c r="G8" s="173">
        <v>6596559910</v>
      </c>
      <c r="H8" s="173">
        <v>728142926</v>
      </c>
      <c r="I8" s="56">
        <f t="shared" si="5"/>
        <v>5868416984</v>
      </c>
      <c r="J8" s="248" t="str">
        <f t="shared" si="6"/>
        <v>CUMPLE</v>
      </c>
      <c r="K8" s="173">
        <v>1084016414</v>
      </c>
      <c r="L8" s="173">
        <v>5582577306</v>
      </c>
      <c r="M8" s="230">
        <f>K8/L8</f>
        <v>0.19417848684960065</v>
      </c>
      <c r="N8" s="247" t="str">
        <f t="shared" si="7"/>
        <v>CUMPLE</v>
      </c>
      <c r="O8" s="250"/>
      <c r="Q8" s="214">
        <v>3</v>
      </c>
      <c r="R8" s="58" t="str">
        <f t="shared" si="2"/>
        <v>ARQ S.A.S.</v>
      </c>
      <c r="S8" s="215" t="str">
        <f t="shared" si="8"/>
        <v>H</v>
      </c>
    </row>
    <row r="9" spans="1:19" s="16" customFormat="1" ht="23.25" customHeight="1">
      <c r="A9" s="243">
        <f>IF('[2]1_ENTREGA'!A11="","",'[2]1_ENTREGA'!A11)</f>
        <v>4</v>
      </c>
      <c r="B9" s="240" t="str">
        <f t="shared" si="0"/>
        <v>PREVEO S.A.S.</v>
      </c>
      <c r="C9" s="173">
        <v>4111605062</v>
      </c>
      <c r="D9" s="173">
        <v>6356519502</v>
      </c>
      <c r="E9" s="54">
        <f t="shared" si="3"/>
        <v>0.64683276134153833</v>
      </c>
      <c r="F9" s="55" t="str">
        <f t="shared" si="4"/>
        <v>CUMPLE</v>
      </c>
      <c r="G9" s="60">
        <v>6007072961</v>
      </c>
      <c r="H9" s="60">
        <v>2993817911</v>
      </c>
      <c r="I9" s="56">
        <f t="shared" si="5"/>
        <v>3013255050</v>
      </c>
      <c r="J9" s="248" t="str">
        <f t="shared" si="6"/>
        <v>CUMPLE</v>
      </c>
      <c r="K9" s="60">
        <v>462206135</v>
      </c>
      <c r="L9" s="60">
        <v>2244914440</v>
      </c>
      <c r="M9" s="230">
        <f t="shared" ref="M9" si="9">+K9/L9</f>
        <v>0.20589031223835863</v>
      </c>
      <c r="N9" s="247" t="str">
        <f t="shared" si="7"/>
        <v>CUMPLE</v>
      </c>
      <c r="O9" s="250"/>
      <c r="Q9" s="214">
        <v>4</v>
      </c>
      <c r="R9" s="58" t="str">
        <f t="shared" si="2"/>
        <v>PREVEO S.A.S.</v>
      </c>
      <c r="S9" s="215" t="str">
        <f t="shared" si="8"/>
        <v>H</v>
      </c>
    </row>
    <row r="10" spans="1:19" s="16" customFormat="1" ht="21" hidden="1" customHeight="1">
      <c r="A10" s="243">
        <f>IF('[2]1_ENTREGA'!A12="","",'[2]1_ENTREGA'!A12)</f>
        <v>5</v>
      </c>
      <c r="B10" s="240">
        <f t="shared" si="0"/>
        <v>0</v>
      </c>
      <c r="C10" s="173"/>
      <c r="D10" s="173"/>
      <c r="E10" s="54" t="str">
        <f t="shared" si="3"/>
        <v xml:space="preserve"> </v>
      </c>
      <c r="F10" s="55" t="str">
        <f t="shared" si="4"/>
        <v>NO CUMPLE</v>
      </c>
      <c r="G10" s="60"/>
      <c r="H10" s="60"/>
      <c r="I10" s="56">
        <f t="shared" si="5"/>
        <v>0</v>
      </c>
      <c r="J10" s="248" t="str">
        <f t="shared" si="6"/>
        <v>NO CUMPLE</v>
      </c>
      <c r="K10" s="275"/>
      <c r="L10" s="275"/>
      <c r="M10" s="275"/>
      <c r="N10" s="275"/>
      <c r="O10" s="250"/>
      <c r="Q10" s="214">
        <v>5</v>
      </c>
      <c r="R10" s="58">
        <f t="shared" si="2"/>
        <v>0</v>
      </c>
      <c r="S10" s="215" t="str">
        <f t="shared" si="8"/>
        <v>NH</v>
      </c>
    </row>
    <row r="11" spans="1:19" s="16" customFormat="1" ht="15.75" hidden="1">
      <c r="A11" s="243">
        <f>IF('[2]1_ENTREGA'!A13="","",'[2]1_ENTREGA'!A13)</f>
        <v>6</v>
      </c>
      <c r="B11" s="240">
        <f t="shared" si="0"/>
        <v>0</v>
      </c>
      <c r="C11" s="173"/>
      <c r="D11" s="173"/>
      <c r="E11" s="54" t="str">
        <f t="shared" si="3"/>
        <v xml:space="preserve"> </v>
      </c>
      <c r="F11" s="55" t="str">
        <f t="shared" si="4"/>
        <v>NO CUMPLE</v>
      </c>
      <c r="G11" s="60"/>
      <c r="H11" s="60"/>
      <c r="I11" s="56">
        <f t="shared" si="5"/>
        <v>0</v>
      </c>
      <c r="J11" s="248" t="str">
        <f t="shared" si="6"/>
        <v>NO CUMPLE</v>
      </c>
      <c r="K11" s="275"/>
      <c r="L11" s="275"/>
      <c r="M11" s="275"/>
      <c r="N11" s="275"/>
      <c r="O11" s="250"/>
      <c r="Q11" s="214">
        <v>6</v>
      </c>
      <c r="R11" s="58">
        <f t="shared" si="2"/>
        <v>0</v>
      </c>
      <c r="S11" s="215" t="str">
        <f t="shared" si="8"/>
        <v>NH</v>
      </c>
    </row>
    <row r="12" spans="1:19" s="16" customFormat="1" ht="29.25" hidden="1" customHeight="1">
      <c r="A12" s="243">
        <f>IF('[2]1_ENTREGA'!A14="","",'[2]1_ENTREGA'!A14)</f>
        <v>7</v>
      </c>
      <c r="B12" s="240">
        <f t="shared" si="0"/>
        <v>0</v>
      </c>
      <c r="C12" s="173"/>
      <c r="D12" s="173"/>
      <c r="E12" s="54" t="str">
        <f>IFERROR((C12/D12)," ")</f>
        <v xml:space="preserve"> </v>
      </c>
      <c r="F12" s="55" t="str">
        <f t="shared" si="4"/>
        <v>NO CUMPLE</v>
      </c>
      <c r="G12" s="60"/>
      <c r="H12" s="60"/>
      <c r="I12" s="56">
        <f t="shared" si="5"/>
        <v>0</v>
      </c>
      <c r="J12" s="248" t="str">
        <f t="shared" si="6"/>
        <v>NO CUMPLE</v>
      </c>
      <c r="K12" s="275"/>
      <c r="L12" s="275"/>
      <c r="M12" s="275"/>
      <c r="N12" s="275"/>
      <c r="O12" s="250"/>
      <c r="Q12" s="214">
        <v>7</v>
      </c>
      <c r="R12" s="58">
        <f t="shared" si="2"/>
        <v>0</v>
      </c>
      <c r="S12" s="215" t="str">
        <f t="shared" si="8"/>
        <v>NH</v>
      </c>
    </row>
    <row r="13" spans="1:19" ht="15.75" hidden="1">
      <c r="A13" s="243">
        <f>IF('[2]1_ENTREGA'!A15="","",'[2]1_ENTREGA'!A15)</f>
        <v>8</v>
      </c>
      <c r="B13" s="240">
        <f t="shared" ref="B13:B15" si="10">IF(A13="","",VLOOKUP(A13,LISTA_OFERENTES,2,FALSE))</f>
        <v>0</v>
      </c>
      <c r="C13" s="173"/>
      <c r="D13" s="173"/>
      <c r="E13" s="54" t="str">
        <f>IFERROR((C13/D13)," ")</f>
        <v xml:space="preserve"> </v>
      </c>
      <c r="F13" s="55" t="str">
        <f t="shared" ref="F13:F15" si="11">IF(B13="","",IF(E13&lt;=$F$4,"CUMPLE","NO CUMPLE"))</f>
        <v>NO CUMPLE</v>
      </c>
      <c r="G13" s="60"/>
      <c r="H13" s="60"/>
      <c r="I13" s="56">
        <f t="shared" ref="I13:I15" si="12">G13-H13</f>
        <v>0</v>
      </c>
      <c r="J13" s="248" t="str">
        <f t="shared" ref="J13:J15" si="13">IF(B13="","",IF(I13="","NO CUMPLE",IF(I13&gt;=$J$4,"CUMPLE","NO CUMPLE")))</f>
        <v>NO CUMPLE</v>
      </c>
      <c r="K13" s="275"/>
      <c r="L13" s="275"/>
      <c r="M13" s="275"/>
      <c r="N13" s="275"/>
      <c r="O13" s="251"/>
      <c r="Q13" s="214">
        <v>8</v>
      </c>
      <c r="R13" s="58">
        <f t="shared" ref="R13:R15" si="14">VLOOKUP(Q13,LISTA_OFERENTES,2,FALSE)</f>
        <v>0</v>
      </c>
      <c r="S13" s="215" t="str">
        <f t="shared" ref="S13:S15" si="15">IF(OR(F13="NO CUMPLE",J13="NO CUMPLE"),"NH","H")</f>
        <v>NH</v>
      </c>
    </row>
    <row r="14" spans="1:19" ht="15.75" hidden="1">
      <c r="A14" s="243">
        <f>IF('[2]1_ENTREGA'!A16="","",'[2]1_ENTREGA'!A16)</f>
        <v>9</v>
      </c>
      <c r="B14" s="240">
        <f t="shared" si="10"/>
        <v>0</v>
      </c>
      <c r="C14" s="173"/>
      <c r="D14" s="173"/>
      <c r="E14" s="54" t="str">
        <f t="shared" ref="E14:E15" si="16">IFERROR((C14/D14)," ")</f>
        <v xml:space="preserve"> </v>
      </c>
      <c r="F14" s="55" t="str">
        <f t="shared" si="11"/>
        <v>NO CUMPLE</v>
      </c>
      <c r="G14" s="60"/>
      <c r="H14" s="60"/>
      <c r="I14" s="56">
        <f t="shared" si="12"/>
        <v>0</v>
      </c>
      <c r="J14" s="248" t="str">
        <f t="shared" si="13"/>
        <v>NO CUMPLE</v>
      </c>
      <c r="K14" s="275"/>
      <c r="L14" s="275"/>
      <c r="M14" s="275"/>
      <c r="N14" s="275"/>
      <c r="O14" s="251"/>
      <c r="Q14" s="214">
        <v>9</v>
      </c>
      <c r="R14" s="58">
        <f t="shared" si="14"/>
        <v>0</v>
      </c>
      <c r="S14" s="215" t="str">
        <f t="shared" si="15"/>
        <v>NH</v>
      </c>
    </row>
    <row r="15" spans="1:19" ht="21.75" hidden="1" customHeight="1">
      <c r="A15" s="243">
        <f>IF('[2]1_ENTREGA'!A17="","",'[2]1_ENTREGA'!A17)</f>
        <v>10</v>
      </c>
      <c r="B15" s="240">
        <f t="shared" si="10"/>
        <v>0</v>
      </c>
      <c r="C15" s="173"/>
      <c r="D15" s="173"/>
      <c r="E15" s="54" t="str">
        <f t="shared" si="16"/>
        <v xml:space="preserve"> </v>
      </c>
      <c r="F15" s="55" t="str">
        <f t="shared" si="11"/>
        <v>NO CUMPLE</v>
      </c>
      <c r="G15" s="60"/>
      <c r="H15" s="60"/>
      <c r="I15" s="56">
        <f t="shared" si="12"/>
        <v>0</v>
      </c>
      <c r="J15" s="248" t="str">
        <f t="shared" si="13"/>
        <v>NO CUMPLE</v>
      </c>
      <c r="K15" s="275"/>
      <c r="L15" s="275"/>
      <c r="M15" s="275"/>
      <c r="N15" s="275"/>
      <c r="O15" s="251"/>
      <c r="Q15" s="214">
        <v>10</v>
      </c>
      <c r="R15" s="58">
        <f t="shared" si="14"/>
        <v>0</v>
      </c>
      <c r="S15" s="215" t="str">
        <f t="shared" si="15"/>
        <v>NH</v>
      </c>
    </row>
    <row r="16" spans="1:19" ht="23.25" hidden="1" customHeight="1">
      <c r="A16" s="243">
        <f>IF('[2]1_ENTREGA'!A18="","",'[2]1_ENTREGA'!A18)</f>
        <v>11</v>
      </c>
      <c r="B16" s="240">
        <f t="shared" ref="B16:B19" si="17">IF(A16="","",VLOOKUP(A16,LISTA_OFERENTES,2,FALSE))</f>
        <v>0</v>
      </c>
      <c r="C16" s="173"/>
      <c r="D16" s="173"/>
      <c r="E16" s="54" t="str">
        <f t="shared" ref="E16:E19" si="18">IFERROR((C16/D16)," ")</f>
        <v xml:space="preserve"> </v>
      </c>
      <c r="F16" s="55" t="str">
        <f t="shared" ref="F16:F19" si="19">IF(B16="","",IF(E16&lt;=$F$4,"CUMPLE","NO CUMPLE"))</f>
        <v>NO CUMPLE</v>
      </c>
      <c r="G16" s="60"/>
      <c r="H16" s="60"/>
      <c r="I16" s="56">
        <f t="shared" ref="I16:I19" si="20">G16-H16</f>
        <v>0</v>
      </c>
      <c r="J16" s="248" t="str">
        <f t="shared" ref="J16:J19" si="21">IF(B16="","",IF(I16="","NO CUMPLE",IF(I16&gt;=$J$4,"CUMPLE","NO CUMPLE")))</f>
        <v>NO CUMPLE</v>
      </c>
      <c r="K16" s="275"/>
      <c r="L16" s="275"/>
      <c r="M16" s="275"/>
      <c r="N16" s="275"/>
      <c r="O16" s="251"/>
      <c r="Q16" s="214">
        <v>11</v>
      </c>
      <c r="R16" s="58">
        <f t="shared" ref="R16:R19" si="22">VLOOKUP(Q16,LISTA_OFERENTES,2,FALSE)</f>
        <v>0</v>
      </c>
      <c r="S16" s="215" t="str">
        <f t="shared" ref="S16:S19" si="23">IF(OR(F16="NO CUMPLE",J16="NO CUMPLE"),"NH","H")</f>
        <v>NH</v>
      </c>
    </row>
    <row r="17" spans="1:19" ht="23.25" hidden="1" customHeight="1">
      <c r="A17" s="243">
        <f>IF('[2]1_ENTREGA'!A19="","",'[2]1_ENTREGA'!A19)</f>
        <v>12</v>
      </c>
      <c r="B17" s="240">
        <f t="shared" si="17"/>
        <v>0</v>
      </c>
      <c r="C17" s="173"/>
      <c r="D17" s="173"/>
      <c r="E17" s="54" t="str">
        <f t="shared" si="18"/>
        <v xml:space="preserve"> </v>
      </c>
      <c r="F17" s="55" t="str">
        <f t="shared" si="19"/>
        <v>NO CUMPLE</v>
      </c>
      <c r="G17" s="60"/>
      <c r="H17" s="60"/>
      <c r="I17" s="56">
        <f t="shared" si="20"/>
        <v>0</v>
      </c>
      <c r="J17" s="248" t="str">
        <f t="shared" si="21"/>
        <v>NO CUMPLE</v>
      </c>
      <c r="K17" s="275"/>
      <c r="L17" s="275"/>
      <c r="M17" s="275"/>
      <c r="N17" s="275"/>
      <c r="O17" s="251"/>
      <c r="Q17" s="214">
        <v>12</v>
      </c>
      <c r="R17" s="58">
        <f t="shared" si="22"/>
        <v>0</v>
      </c>
      <c r="S17" s="215" t="str">
        <f t="shared" si="23"/>
        <v>NH</v>
      </c>
    </row>
    <row r="18" spans="1:19" ht="44.25" hidden="1" customHeight="1">
      <c r="A18" s="243">
        <f>IF('[2]1_ENTREGA'!A20="","",'[2]1_ENTREGA'!A20)</f>
        <v>13</v>
      </c>
      <c r="B18" s="240">
        <f t="shared" si="17"/>
        <v>0</v>
      </c>
      <c r="C18" s="173"/>
      <c r="D18" s="173"/>
      <c r="E18" s="54" t="str">
        <f t="shared" si="18"/>
        <v xml:space="preserve"> </v>
      </c>
      <c r="F18" s="55" t="str">
        <f t="shared" si="19"/>
        <v>NO CUMPLE</v>
      </c>
      <c r="G18" s="60"/>
      <c r="H18" s="60"/>
      <c r="I18" s="56">
        <f t="shared" si="20"/>
        <v>0</v>
      </c>
      <c r="J18" s="248" t="str">
        <f t="shared" si="21"/>
        <v>NO CUMPLE</v>
      </c>
      <c r="K18" s="275"/>
      <c r="L18" s="275"/>
      <c r="M18" s="275"/>
      <c r="N18" s="275"/>
      <c r="O18" s="251"/>
      <c r="Q18" s="214">
        <v>13</v>
      </c>
      <c r="R18" s="58">
        <f t="shared" si="22"/>
        <v>0</v>
      </c>
      <c r="S18" s="215" t="str">
        <f t="shared" si="23"/>
        <v>NH</v>
      </c>
    </row>
    <row r="19" spans="1:19" ht="23.25" hidden="1" customHeight="1" thickBot="1">
      <c r="A19" s="244">
        <f>IF('[2]1_ENTREGA'!A21="","",'[2]1_ENTREGA'!A21)</f>
        <v>14</v>
      </c>
      <c r="B19" s="241">
        <f t="shared" si="17"/>
        <v>0</v>
      </c>
      <c r="C19" s="234"/>
      <c r="D19" s="234"/>
      <c r="E19" s="235" t="str">
        <f t="shared" si="18"/>
        <v xml:space="preserve"> </v>
      </c>
      <c r="F19" s="236" t="str">
        <f t="shared" si="19"/>
        <v>NO CUMPLE</v>
      </c>
      <c r="G19" s="237"/>
      <c r="H19" s="237"/>
      <c r="I19" s="238">
        <f t="shared" si="20"/>
        <v>0</v>
      </c>
      <c r="J19" s="249" t="str">
        <f t="shared" si="21"/>
        <v>NO CUMPLE</v>
      </c>
      <c r="K19" s="276"/>
      <c r="L19" s="276"/>
      <c r="M19" s="276"/>
      <c r="N19" s="276"/>
      <c r="O19" s="252"/>
      <c r="Q19" s="216">
        <v>14</v>
      </c>
      <c r="R19" s="217">
        <f t="shared" si="22"/>
        <v>0</v>
      </c>
      <c r="S19" s="218" t="str">
        <f t="shared" si="23"/>
        <v>NH</v>
      </c>
    </row>
    <row r="24" spans="1:19" hidden="1">
      <c r="C24" s="13" t="s">
        <v>288</v>
      </c>
      <c r="D24" s="13" t="s">
        <v>289</v>
      </c>
    </row>
    <row r="25" spans="1:19" ht="15.75" hidden="1" thickBot="1">
      <c r="B25" s="223" t="s">
        <v>55</v>
      </c>
      <c r="C25" s="346">
        <v>382207489</v>
      </c>
      <c r="D25" s="346">
        <v>22788333489</v>
      </c>
    </row>
    <row r="26" spans="1:19" ht="15.75" hidden="1" thickBot="1">
      <c r="B26" s="223" t="s">
        <v>56</v>
      </c>
      <c r="C26" s="346">
        <v>539439125</v>
      </c>
      <c r="D26" s="346">
        <v>47406132046</v>
      </c>
    </row>
    <row r="27" spans="1:19" ht="15.75" hidden="1" thickBot="1">
      <c r="B27" s="223" t="s">
        <v>59</v>
      </c>
      <c r="C27" s="346">
        <v>533442669</v>
      </c>
      <c r="D27" s="346">
        <v>37275051952</v>
      </c>
    </row>
    <row r="28" spans="1:19" ht="15.75" hidden="1" thickBot="1">
      <c r="B28" s="223" t="s">
        <v>60</v>
      </c>
      <c r="C28" s="346">
        <v>382207489</v>
      </c>
      <c r="D28" s="346">
        <v>19028757310</v>
      </c>
    </row>
    <row r="29" spans="1:19" ht="15.75" hidden="1" thickBot="1">
      <c r="B29" s="223" t="s">
        <v>232</v>
      </c>
      <c r="C29" s="346">
        <v>183727080</v>
      </c>
      <c r="D29" s="346">
        <v>5872397491</v>
      </c>
    </row>
    <row r="30" spans="1:19" ht="15.75" hidden="1" thickBot="1">
      <c r="B30" s="223" t="s">
        <v>233</v>
      </c>
      <c r="C30" s="346">
        <v>157231636</v>
      </c>
      <c r="D30" s="346">
        <v>24617798557</v>
      </c>
    </row>
    <row r="31" spans="1:19" hidden="1"/>
    <row r="36" spans="11:11">
      <c r="K36" s="729"/>
    </row>
  </sheetData>
  <sheetProtection algorithmName="SHA-512" hashValue="5o7qR3LY/+U+4EmGKxcopsx8FE9hC3ZfvkKS+bKPoScNjDurdY95ATGegKlCGvnmaGW2eIfUl8TGbEmSN53yTw==" saltValue="tlwPG2t/jvt8oW9t+cfx8A==" spinCount="100000" sheet="1" objects="1" scenarios="1"/>
  <mergeCells count="11">
    <mergeCell ref="Q5:R5"/>
    <mergeCell ref="A1:J1"/>
    <mergeCell ref="A3:A5"/>
    <mergeCell ref="B3:B5"/>
    <mergeCell ref="C3:F3"/>
    <mergeCell ref="G3:J3"/>
    <mergeCell ref="D4:E4"/>
    <mergeCell ref="H4:I4"/>
    <mergeCell ref="O4:O5"/>
    <mergeCell ref="K3:N3"/>
    <mergeCell ref="L4:M4"/>
  </mergeCells>
  <conditionalFormatting sqref="J10:N12 J6:J9">
    <cfRule type="cellIs" dxfId="485" priority="17" operator="equal">
      <formula>"NO CUMPLE"</formula>
    </cfRule>
  </conditionalFormatting>
  <conditionalFormatting sqref="F6:F12">
    <cfRule type="cellIs" dxfId="484" priority="16" operator="equal">
      <formula>"NO CUMPLE"</formula>
    </cfRule>
  </conditionalFormatting>
  <conditionalFormatting sqref="S6">
    <cfRule type="cellIs" dxfId="483" priority="14" operator="equal">
      <formula>"NH"</formula>
    </cfRule>
    <cfRule type="cellIs" dxfId="482" priority="15" operator="equal">
      <formula>"H"</formula>
    </cfRule>
  </conditionalFormatting>
  <conditionalFormatting sqref="S7:S12">
    <cfRule type="cellIs" dxfId="481" priority="12" operator="equal">
      <formula>"NH"</formula>
    </cfRule>
    <cfRule type="cellIs" dxfId="480" priority="13" operator="equal">
      <formula>"H"</formula>
    </cfRule>
  </conditionalFormatting>
  <conditionalFormatting sqref="J13:N13">
    <cfRule type="cellIs" dxfId="479" priority="11" operator="equal">
      <formula>"NO CUMPLE"</formula>
    </cfRule>
  </conditionalFormatting>
  <conditionalFormatting sqref="F13">
    <cfRule type="cellIs" dxfId="478" priority="10" operator="equal">
      <formula>"NO CUMPLE"</formula>
    </cfRule>
  </conditionalFormatting>
  <conditionalFormatting sqref="J14:N15">
    <cfRule type="cellIs" dxfId="477" priority="9" operator="equal">
      <formula>"NO CUMPLE"</formula>
    </cfRule>
  </conditionalFormatting>
  <conditionalFormatting sqref="F14:F15">
    <cfRule type="cellIs" dxfId="476" priority="8" operator="equal">
      <formula>"NO CUMPLE"</formula>
    </cfRule>
  </conditionalFormatting>
  <conditionalFormatting sqref="S13:S15">
    <cfRule type="cellIs" dxfId="475" priority="6" operator="equal">
      <formula>"NH"</formula>
    </cfRule>
    <cfRule type="cellIs" dxfId="474" priority="7" operator="equal">
      <formula>"H"</formula>
    </cfRule>
  </conditionalFormatting>
  <conditionalFormatting sqref="J16:N19">
    <cfRule type="cellIs" dxfId="473" priority="5" operator="equal">
      <formula>"NO CUMPLE"</formula>
    </cfRule>
  </conditionalFormatting>
  <conditionalFormatting sqref="F16:F19">
    <cfRule type="cellIs" dxfId="472" priority="4" operator="equal">
      <formula>"NO CUMPLE"</formula>
    </cfRule>
  </conditionalFormatting>
  <conditionalFormatting sqref="S16:S19">
    <cfRule type="cellIs" dxfId="471" priority="2" operator="equal">
      <formula>"NH"</formula>
    </cfRule>
    <cfRule type="cellIs" dxfId="470" priority="3" operator="equal">
      <formula>"H"</formula>
    </cfRule>
  </conditionalFormatting>
  <conditionalFormatting sqref="N6:N9">
    <cfRule type="cellIs" dxfId="469" priority="1" operator="equal">
      <formula>"NO CUMPLE"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7"/>
  <sheetViews>
    <sheetView zoomScale="115" zoomScaleNormal="115" workbookViewId="0">
      <selection activeCell="M4" sqref="M4"/>
    </sheetView>
  </sheetViews>
  <sheetFormatPr baseColWidth="10" defaultColWidth="11.42578125" defaultRowHeight="12.75"/>
  <cols>
    <col min="1" max="1" width="3" style="62" bestFit="1" customWidth="1"/>
    <col min="2" max="2" width="24.42578125" style="62" bestFit="1" customWidth="1"/>
    <col min="3" max="3" width="14.7109375" style="62" customWidth="1"/>
    <col min="4" max="4" width="20.140625" style="62" customWidth="1"/>
    <col min="5" max="5" width="26.42578125" style="62" customWidth="1"/>
    <col min="6" max="6" width="15.5703125" style="62" customWidth="1"/>
    <col min="7" max="7" width="15.7109375" style="62" customWidth="1"/>
    <col min="8" max="8" width="29.140625" style="62" hidden="1" customWidth="1"/>
    <col min="9" max="10" width="11.42578125" style="62"/>
    <col min="11" max="11" width="11.42578125" style="62" customWidth="1"/>
    <col min="12" max="12" width="42.42578125" style="68" customWidth="1"/>
    <col min="13" max="13" width="12.7109375" style="62" customWidth="1"/>
    <col min="14" max="16384" width="11.42578125" style="62"/>
  </cols>
  <sheetData>
    <row r="1" spans="1:13" ht="23.25">
      <c r="A1" s="979" t="s">
        <v>179</v>
      </c>
      <c r="B1" s="980"/>
      <c r="C1" s="980"/>
      <c r="D1" s="980"/>
      <c r="E1" s="980"/>
      <c r="F1" s="980"/>
      <c r="G1" s="980"/>
      <c r="H1" s="980"/>
    </row>
    <row r="3" spans="1:13" ht="102">
      <c r="A3" s="63" t="s">
        <v>6</v>
      </c>
      <c r="B3" s="64" t="s">
        <v>8</v>
      </c>
      <c r="C3" s="65" t="s">
        <v>174</v>
      </c>
      <c r="D3" s="65" t="s">
        <v>175</v>
      </c>
      <c r="E3" s="65" t="s">
        <v>176</v>
      </c>
      <c r="F3" s="65" t="s">
        <v>177</v>
      </c>
      <c r="G3" s="65" t="s">
        <v>178</v>
      </c>
      <c r="H3" s="65"/>
      <c r="K3" s="981" t="s">
        <v>61</v>
      </c>
      <c r="L3" s="981"/>
      <c r="M3" s="53" t="s">
        <v>41</v>
      </c>
    </row>
    <row r="4" spans="1:13" ht="15.75">
      <c r="A4" s="66">
        <f>+IF('[2]1_ENTREGA'!A8="","",'[2]1_ENTREGA'!A8)</f>
        <v>1</v>
      </c>
      <c r="B4" s="67" t="str">
        <f t="shared" ref="B4:B10" si="0">IF(A4="","",VLOOKUP(A4,LISTA_OFERENTES,2,FALSE))</f>
        <v>INTERVE S.A.S.</v>
      </c>
      <c r="C4" s="174" t="s">
        <v>139</v>
      </c>
      <c r="D4" s="174" t="s">
        <v>139</v>
      </c>
      <c r="E4" s="174" t="s">
        <v>139</v>
      </c>
      <c r="F4" s="174" t="s">
        <v>139</v>
      </c>
      <c r="G4" s="174" t="s">
        <v>139</v>
      </c>
      <c r="H4" s="174"/>
      <c r="K4" s="57">
        <v>1</v>
      </c>
      <c r="L4" s="69" t="str">
        <f t="shared" ref="L4:L10" si="1">VLOOKUP(K4,LISTA_OFERENTES,2,FALSE)</f>
        <v>INTERVE S.A.S.</v>
      </c>
      <c r="M4" s="59" t="str">
        <f>IF(AND(C4="CUMPLE",D4="CUMPLE",E4="CUMPLE",F4="CUMPLE",G4="CUMPLE"),"H",IF(OR(C4=0,D4=0,E4=0,F4=0,G4=0,H4=0)," ","NH"))</f>
        <v>H</v>
      </c>
    </row>
    <row r="5" spans="1:13" ht="15.75">
      <c r="A5" s="66">
        <f>+IF('[2]1_ENTREGA'!A9="","",'[2]1_ENTREGA'!A9)</f>
        <v>2</v>
      </c>
      <c r="B5" s="67" t="str">
        <f t="shared" si="0"/>
        <v>CONSORCIO VALCO - ACI</v>
      </c>
      <c r="C5" s="174" t="s">
        <v>139</v>
      </c>
      <c r="D5" s="174" t="s">
        <v>139</v>
      </c>
      <c r="E5" s="174" t="s">
        <v>139</v>
      </c>
      <c r="F5" s="174" t="s">
        <v>139</v>
      </c>
      <c r="G5" s="174" t="s">
        <v>139</v>
      </c>
      <c r="H5" s="174"/>
      <c r="K5" s="57">
        <v>2</v>
      </c>
      <c r="L5" s="69" t="str">
        <f t="shared" si="1"/>
        <v>CONSORCIO VALCO - ACI</v>
      </c>
      <c r="M5" s="59" t="str">
        <f>IF(AND(C5="CUMPLE",D5="CUMPLE",E5="CUMPLE",F5="CUMPLE",G5="CUMPLE"),"H",IF(OR(C5=0,D5=0,E5=0,F5=0,G5=0,H5=0)," ","NH"))</f>
        <v>H</v>
      </c>
    </row>
    <row r="6" spans="1:13" ht="15.75">
      <c r="A6" s="66">
        <f>+IF('[2]1_ENTREGA'!A10="","",'[2]1_ENTREGA'!A10)</f>
        <v>3</v>
      </c>
      <c r="B6" s="67" t="str">
        <f t="shared" si="0"/>
        <v>ARQ S.A.S.</v>
      </c>
      <c r="C6" s="174" t="s">
        <v>139</v>
      </c>
      <c r="D6" s="174" t="s">
        <v>139</v>
      </c>
      <c r="E6" s="174" t="s">
        <v>139</v>
      </c>
      <c r="F6" s="174" t="s">
        <v>139</v>
      </c>
      <c r="G6" s="174" t="s">
        <v>139</v>
      </c>
      <c r="H6" s="174"/>
      <c r="K6" s="57">
        <v>3</v>
      </c>
      <c r="L6" s="69" t="str">
        <f t="shared" si="1"/>
        <v>ARQ S.A.S.</v>
      </c>
      <c r="M6" s="59" t="str">
        <f>IF(AND(C6="CUMPLE",D6="CUMPLE",E6="CUMPLE",F6="CUMPLE",G6="CUMPLE"),"H",IF(OR(C6=0,D6=0,E6=0,F6=0,G6=0,H6=0)," ","NH"))</f>
        <v>H</v>
      </c>
    </row>
    <row r="7" spans="1:13" ht="15.75">
      <c r="A7" s="66">
        <f>+IF('[2]1_ENTREGA'!A11="","",'[2]1_ENTREGA'!A11)</f>
        <v>4</v>
      </c>
      <c r="B7" s="67" t="str">
        <f t="shared" si="0"/>
        <v>PREVEO S.A.S.</v>
      </c>
      <c r="C7" s="174" t="s">
        <v>139</v>
      </c>
      <c r="D7" s="174" t="s">
        <v>139</v>
      </c>
      <c r="E7" s="174" t="s">
        <v>139</v>
      </c>
      <c r="F7" s="174" t="s">
        <v>139</v>
      </c>
      <c r="G7" s="174" t="s">
        <v>139</v>
      </c>
      <c r="H7" s="174"/>
      <c r="K7" s="57">
        <v>4</v>
      </c>
      <c r="L7" s="69" t="str">
        <f t="shared" si="1"/>
        <v>PREVEO S.A.S.</v>
      </c>
      <c r="M7" s="59" t="str">
        <f>IF(AND(C7="CUMPLE",D7="CUMPLE",E7="CUMPLE",F7="CUMPLE",G7="CUMPLE"),"H",IF(OR(C7=0,D7=0,E7=0,F7=0,G7=0,H7=0)," ","NH"))</f>
        <v>H</v>
      </c>
    </row>
    <row r="8" spans="1:13" ht="15.75" hidden="1">
      <c r="A8" s="66">
        <f>+IF('[2]1_ENTREGA'!A12="","",'[2]1_ENTREGA'!A12)</f>
        <v>5</v>
      </c>
      <c r="B8" s="67">
        <f t="shared" si="0"/>
        <v>0</v>
      </c>
      <c r="C8" s="174"/>
      <c r="D8" s="174"/>
      <c r="E8" s="174"/>
      <c r="F8" s="174"/>
      <c r="G8" s="174"/>
      <c r="H8" s="174"/>
      <c r="K8" s="57">
        <v>5</v>
      </c>
      <c r="L8" s="69">
        <f t="shared" si="1"/>
        <v>0</v>
      </c>
      <c r="M8" s="59" t="str">
        <f t="shared" ref="M8:M17" si="2">IF(AND(C8="CUMPLE",D8="CUMPLE",E8="CUMPLE",F8="CUMPLE",G8="CUMPLE",H8="CUMPLE"),"H",IF(OR(C8=0,D8=0,E8=0,F8=0,G8=0,H8=0)," ","NH"))</f>
        <v xml:space="preserve"> </v>
      </c>
    </row>
    <row r="9" spans="1:13" ht="15.75" hidden="1">
      <c r="A9" s="66">
        <f>+IF('[2]1_ENTREGA'!A13="","",'[2]1_ENTREGA'!A13)</f>
        <v>6</v>
      </c>
      <c r="B9" s="67">
        <f t="shared" si="0"/>
        <v>0</v>
      </c>
      <c r="C9" s="174"/>
      <c r="D9" s="174"/>
      <c r="E9" s="174"/>
      <c r="F9" s="174"/>
      <c r="G9" s="174"/>
      <c r="H9" s="174"/>
      <c r="K9" s="57">
        <v>6</v>
      </c>
      <c r="L9" s="69">
        <f t="shared" si="1"/>
        <v>0</v>
      </c>
      <c r="M9" s="59" t="str">
        <f t="shared" si="2"/>
        <v xml:space="preserve"> </v>
      </c>
    </row>
    <row r="10" spans="1:13" ht="21.75" hidden="1" customHeight="1">
      <c r="A10" s="66">
        <f>+IF('[2]1_ENTREGA'!A14="","",'[2]1_ENTREGA'!A14)</f>
        <v>7</v>
      </c>
      <c r="B10" s="67">
        <f t="shared" si="0"/>
        <v>0</v>
      </c>
      <c r="C10" s="174"/>
      <c r="D10" s="174"/>
      <c r="E10" s="174"/>
      <c r="F10" s="174"/>
      <c r="G10" s="174"/>
      <c r="H10" s="174"/>
      <c r="K10" s="57">
        <v>7</v>
      </c>
      <c r="L10" s="69">
        <f t="shared" si="1"/>
        <v>0</v>
      </c>
      <c r="M10" s="59" t="str">
        <f t="shared" si="2"/>
        <v xml:space="preserve"> </v>
      </c>
    </row>
    <row r="11" spans="1:13" ht="15.75" hidden="1">
      <c r="A11" s="66">
        <f>+IF('[2]1_ENTREGA'!A15="","",'[2]1_ENTREGA'!A15)</f>
        <v>8</v>
      </c>
      <c r="B11" s="67">
        <f t="shared" ref="B11:B13" si="3">IF(A11="","",VLOOKUP(A11,LISTA_OFERENTES,2,FALSE))</f>
        <v>0</v>
      </c>
      <c r="C11" s="174"/>
      <c r="D11" s="174"/>
      <c r="E11" s="174"/>
      <c r="F11" s="174"/>
      <c r="G11" s="174"/>
      <c r="H11" s="174"/>
      <c r="K11" s="57">
        <v>8</v>
      </c>
      <c r="L11" s="69">
        <f t="shared" ref="L11:L17" si="4">VLOOKUP(K11,LISTA_OFERENTES,2,FALSE)</f>
        <v>0</v>
      </c>
      <c r="M11" s="59" t="str">
        <f t="shared" si="2"/>
        <v xml:space="preserve"> </v>
      </c>
    </row>
    <row r="12" spans="1:13" ht="15.75" hidden="1">
      <c r="A12" s="66">
        <f>+IF('[2]1_ENTREGA'!A16="","",'[2]1_ENTREGA'!A16)</f>
        <v>9</v>
      </c>
      <c r="B12" s="67">
        <f t="shared" si="3"/>
        <v>0</v>
      </c>
      <c r="C12" s="174"/>
      <c r="D12" s="174"/>
      <c r="E12" s="174"/>
      <c r="F12" s="174"/>
      <c r="G12" s="174"/>
      <c r="H12" s="174"/>
      <c r="K12" s="57">
        <f>+K11+1</f>
        <v>9</v>
      </c>
      <c r="L12" s="69">
        <f t="shared" si="4"/>
        <v>0</v>
      </c>
      <c r="M12" s="59" t="str">
        <f t="shared" si="2"/>
        <v xml:space="preserve"> </v>
      </c>
    </row>
    <row r="13" spans="1:13" ht="15.75" hidden="1">
      <c r="A13" s="66">
        <f>+IF('[2]1_ENTREGA'!A17="","",'[2]1_ENTREGA'!A17)</f>
        <v>10</v>
      </c>
      <c r="B13" s="67">
        <f t="shared" si="3"/>
        <v>0</v>
      </c>
      <c r="C13" s="174"/>
      <c r="D13" s="174"/>
      <c r="E13" s="174"/>
      <c r="F13" s="174"/>
      <c r="G13" s="174"/>
      <c r="H13" s="174"/>
      <c r="K13" s="57">
        <f t="shared" ref="K13:K17" si="5">+K12+1</f>
        <v>10</v>
      </c>
      <c r="L13" s="69">
        <f t="shared" si="4"/>
        <v>0</v>
      </c>
      <c r="M13" s="59" t="str">
        <f t="shared" si="2"/>
        <v xml:space="preserve"> </v>
      </c>
    </row>
    <row r="14" spans="1:13" ht="15.75" hidden="1">
      <c r="A14" s="66">
        <f>+IF('[2]1_ENTREGA'!A18="","",'[2]1_ENTREGA'!A18)</f>
        <v>11</v>
      </c>
      <c r="B14" s="67">
        <f t="shared" ref="B14:B17" si="6">IF(A14="","",VLOOKUP(A14,LISTA_OFERENTES,2,FALSE))</f>
        <v>0</v>
      </c>
      <c r="C14" s="174"/>
      <c r="D14" s="174"/>
      <c r="E14" s="174"/>
      <c r="F14" s="174"/>
      <c r="G14" s="174"/>
      <c r="H14" s="174"/>
      <c r="K14" s="57">
        <f t="shared" si="5"/>
        <v>11</v>
      </c>
      <c r="L14" s="69">
        <f t="shared" si="4"/>
        <v>0</v>
      </c>
      <c r="M14" s="59" t="str">
        <f t="shared" si="2"/>
        <v xml:space="preserve"> </v>
      </c>
    </row>
    <row r="15" spans="1:13" ht="15.75" hidden="1">
      <c r="A15" s="66">
        <f>+IF('[2]1_ENTREGA'!A19="","",'[2]1_ENTREGA'!A19)</f>
        <v>12</v>
      </c>
      <c r="B15" s="67">
        <f t="shared" si="6"/>
        <v>0</v>
      </c>
      <c r="C15" s="174"/>
      <c r="D15" s="174"/>
      <c r="E15" s="174"/>
      <c r="F15" s="174"/>
      <c r="G15" s="174"/>
      <c r="H15" s="174"/>
      <c r="K15" s="57">
        <f t="shared" si="5"/>
        <v>12</v>
      </c>
      <c r="L15" s="69">
        <f t="shared" si="4"/>
        <v>0</v>
      </c>
      <c r="M15" s="59" t="str">
        <f t="shared" si="2"/>
        <v xml:space="preserve"> </v>
      </c>
    </row>
    <row r="16" spans="1:13" ht="15.75" hidden="1">
      <c r="A16" s="66">
        <f>+IF('[2]1_ENTREGA'!A20="","",'[2]1_ENTREGA'!A20)</f>
        <v>13</v>
      </c>
      <c r="B16" s="67">
        <f t="shared" si="6"/>
        <v>0</v>
      </c>
      <c r="C16" s="174"/>
      <c r="D16" s="174"/>
      <c r="E16" s="174"/>
      <c r="F16" s="174"/>
      <c r="G16" s="174"/>
      <c r="H16" s="174"/>
      <c r="K16" s="57">
        <f t="shared" si="5"/>
        <v>13</v>
      </c>
      <c r="L16" s="69">
        <f t="shared" si="4"/>
        <v>0</v>
      </c>
      <c r="M16" s="59" t="str">
        <f t="shared" si="2"/>
        <v xml:space="preserve"> </v>
      </c>
    </row>
    <row r="17" spans="1:13" ht="15.75" hidden="1">
      <c r="A17" s="66">
        <f>+IF('[2]1_ENTREGA'!A21="","",'[2]1_ENTREGA'!A21)</f>
        <v>14</v>
      </c>
      <c r="B17" s="67">
        <f t="shared" si="6"/>
        <v>0</v>
      </c>
      <c r="C17" s="174"/>
      <c r="D17" s="174"/>
      <c r="E17" s="174"/>
      <c r="F17" s="174"/>
      <c r="G17" s="174"/>
      <c r="H17" s="174"/>
      <c r="K17" s="57">
        <f t="shared" si="5"/>
        <v>14</v>
      </c>
      <c r="L17" s="69">
        <f t="shared" si="4"/>
        <v>0</v>
      </c>
      <c r="M17" s="59" t="str">
        <f t="shared" si="2"/>
        <v xml:space="preserve"> </v>
      </c>
    </row>
  </sheetData>
  <sheetProtection algorithmName="SHA-512" hashValue="zGtEp2+jdXwKXIeYzGmMye4qp7sxrYu2YB9Q4JgyWblzQoVBCi4VKjdQRdV54DY6Mfqc86eQslikw5KDhG2I9g==" saltValue="YQ+TaiFW+ymQvVDuQv/81w==" spinCount="100000" sheet="1" objects="1" scenarios="1"/>
  <mergeCells count="2">
    <mergeCell ref="A1:H1"/>
    <mergeCell ref="K3:L3"/>
  </mergeCells>
  <conditionalFormatting sqref="C4">
    <cfRule type="cellIs" dxfId="468" priority="53" operator="equal">
      <formula>"NO CUMPLE"</formula>
    </cfRule>
    <cfRule type="cellIs" dxfId="467" priority="54" operator="equal">
      <formula>"CUMPLE"</formula>
    </cfRule>
  </conditionalFormatting>
  <conditionalFormatting sqref="M5:M10">
    <cfRule type="cellIs" dxfId="466" priority="39" operator="equal">
      <formula>"NH"</formula>
    </cfRule>
    <cfRule type="cellIs" dxfId="465" priority="40" operator="equal">
      <formula>"H"</formula>
    </cfRule>
  </conditionalFormatting>
  <conditionalFormatting sqref="F16">
    <cfRule type="cellIs" dxfId="464" priority="31" operator="equal">
      <formula>"NO CUMPLE"</formula>
    </cfRule>
    <cfRule type="cellIs" dxfId="463" priority="32" operator="equal">
      <formula>"CUMPLE"</formula>
    </cfRule>
  </conditionalFormatting>
  <conditionalFormatting sqref="M11:M17">
    <cfRule type="cellIs" dxfId="462" priority="25" operator="equal">
      <formula>"NH"</formula>
    </cfRule>
    <cfRule type="cellIs" dxfId="461" priority="26" operator="equal">
      <formula>"H"</formula>
    </cfRule>
  </conditionalFormatting>
  <conditionalFormatting sqref="C8:C17">
    <cfRule type="cellIs" dxfId="460" priority="23" operator="equal">
      <formula>"NO CUMPLE"</formula>
    </cfRule>
    <cfRule type="cellIs" dxfId="459" priority="24" operator="equal">
      <formula>"CUMPLE"</formula>
    </cfRule>
  </conditionalFormatting>
  <conditionalFormatting sqref="D4 D8:D17">
    <cfRule type="cellIs" dxfId="458" priority="21" operator="equal">
      <formula>"NO CUMPLE"</formula>
    </cfRule>
    <cfRule type="cellIs" dxfId="457" priority="22" operator="equal">
      <formula>"CUMPLE"</formula>
    </cfRule>
  </conditionalFormatting>
  <conditionalFormatting sqref="E4 E8:E17">
    <cfRule type="cellIs" dxfId="456" priority="19" operator="equal">
      <formula>"NO CUMPLE"</formula>
    </cfRule>
    <cfRule type="cellIs" dxfId="455" priority="20" operator="equal">
      <formula>"CUMPLE"</formula>
    </cfRule>
  </conditionalFormatting>
  <conditionalFormatting sqref="F4 F8:F15">
    <cfRule type="cellIs" dxfId="454" priority="17" operator="equal">
      <formula>"NO CUMPLE"</formula>
    </cfRule>
    <cfRule type="cellIs" dxfId="453" priority="18" operator="equal">
      <formula>"CUMPLE"</formula>
    </cfRule>
  </conditionalFormatting>
  <conditionalFormatting sqref="F17">
    <cfRule type="cellIs" dxfId="452" priority="15" operator="equal">
      <formula>"NO CUMPLE"</formula>
    </cfRule>
    <cfRule type="cellIs" dxfId="451" priority="16" operator="equal">
      <formula>"CUMPLE"</formula>
    </cfRule>
  </conditionalFormatting>
  <conditionalFormatting sqref="G4:H4 G8:H17 H5:H7">
    <cfRule type="cellIs" dxfId="450" priority="13" operator="equal">
      <formula>"NO CUMPLE"</formula>
    </cfRule>
    <cfRule type="cellIs" dxfId="449" priority="14" operator="equal">
      <formula>"CUMPLE"</formula>
    </cfRule>
  </conditionalFormatting>
  <conditionalFormatting sqref="C5:C7">
    <cfRule type="cellIs" dxfId="448" priority="11" operator="equal">
      <formula>"NO CUMPLE"</formula>
    </cfRule>
    <cfRule type="cellIs" dxfId="447" priority="12" operator="equal">
      <formula>"CUMPLE"</formula>
    </cfRule>
  </conditionalFormatting>
  <conditionalFormatting sqref="D5:D7">
    <cfRule type="cellIs" dxfId="446" priority="9" operator="equal">
      <formula>"NO CUMPLE"</formula>
    </cfRule>
    <cfRule type="cellIs" dxfId="445" priority="10" operator="equal">
      <formula>"CUMPLE"</formula>
    </cfRule>
  </conditionalFormatting>
  <conditionalFormatting sqref="E5:E7">
    <cfRule type="cellIs" dxfId="444" priority="7" operator="equal">
      <formula>"NO CUMPLE"</formula>
    </cfRule>
    <cfRule type="cellIs" dxfId="443" priority="8" operator="equal">
      <formula>"CUMPLE"</formula>
    </cfRule>
  </conditionalFormatting>
  <conditionalFormatting sqref="F5:F7">
    <cfRule type="cellIs" dxfId="442" priority="5" operator="equal">
      <formula>"NO CUMPLE"</formula>
    </cfRule>
    <cfRule type="cellIs" dxfId="441" priority="6" operator="equal">
      <formula>"CUMPLE"</formula>
    </cfRule>
  </conditionalFormatting>
  <conditionalFormatting sqref="G5:G7">
    <cfRule type="cellIs" dxfId="440" priority="3" operator="equal">
      <formula>"NO CUMPLE"</formula>
    </cfRule>
    <cfRule type="cellIs" dxfId="439" priority="4" operator="equal">
      <formula>"CUMPLE"</formula>
    </cfRule>
  </conditionalFormatting>
  <conditionalFormatting sqref="M4">
    <cfRule type="cellIs" dxfId="438" priority="1" operator="equal">
      <formula>"NH"</formula>
    </cfRule>
    <cfRule type="cellIs" dxfId="437" priority="2" operator="equal">
      <formula>"H"</formula>
    </cfRule>
  </conditionalFormatting>
  <dataValidations count="1">
    <dataValidation type="list" allowBlank="1" showInputMessage="1" showErrorMessage="1" sqref="C4:H17" xr:uid="{00000000-0002-0000-0700-000000000000}">
      <formula1>"CUMPLE,NO CUMPLE"</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HL143"/>
  <sheetViews>
    <sheetView topLeftCell="CJ16" zoomScale="55" zoomScaleNormal="55" workbookViewId="0">
      <selection activeCell="CM1" sqref="CM1"/>
    </sheetView>
  </sheetViews>
  <sheetFormatPr baseColWidth="10" defaultRowHeight="15.75"/>
  <cols>
    <col min="1" max="1" width="7.140625" style="175" customWidth="1"/>
    <col min="2" max="2" width="21" style="176" customWidth="1"/>
    <col min="3" max="3" width="18" style="176" customWidth="1"/>
    <col min="4" max="4" width="135.42578125" style="176" customWidth="1"/>
    <col min="5" max="5" width="21.85546875" style="176" customWidth="1"/>
    <col min="6" max="6" width="18.5703125" style="176" customWidth="1"/>
    <col min="7" max="7" width="29.28515625" style="176" customWidth="1"/>
    <col min="8" max="8" width="30.85546875" style="176" customWidth="1"/>
    <col min="9" max="9" width="15.42578125" style="176" customWidth="1"/>
    <col min="10" max="11" width="18.85546875" style="176" customWidth="1"/>
    <col min="12" max="12" width="19.28515625" style="176" customWidth="1"/>
    <col min="13" max="13" width="34.5703125" style="176" customWidth="1"/>
    <col min="14" max="14" width="15.7109375" style="176" customWidth="1"/>
    <col min="15" max="15" width="8" style="176" bestFit="1" customWidth="1"/>
    <col min="16" max="16" width="15.42578125" style="176" customWidth="1"/>
    <col min="17" max="17" width="124.42578125" style="176" customWidth="1"/>
    <col min="18" max="18" width="17.28515625" style="176" bestFit="1" customWidth="1"/>
    <col min="19" max="19" width="28.7109375" style="176" customWidth="1"/>
    <col min="20" max="20" width="33.140625" style="176" customWidth="1"/>
    <col min="21" max="21" width="27.28515625" style="176" customWidth="1"/>
    <col min="22" max="22" width="22.7109375" style="176" customWidth="1"/>
    <col min="23" max="23" width="22.140625" style="176" customWidth="1"/>
    <col min="24" max="24" width="18.28515625" style="176" customWidth="1"/>
    <col min="25" max="25" width="20.7109375" style="176" customWidth="1"/>
    <col min="26" max="26" width="25.85546875" style="176" customWidth="1"/>
    <col min="27" max="27" width="8.7109375" style="71" customWidth="1"/>
    <col min="28" max="28" width="11.28515625" style="71" customWidth="1"/>
    <col min="29" max="29" width="11.5703125" style="71" customWidth="1"/>
    <col min="30" max="30" width="12.42578125" style="71" customWidth="1"/>
    <col min="31" max="31" width="13.42578125" style="71" customWidth="1"/>
    <col min="32" max="32" width="4.7109375" style="71" customWidth="1"/>
    <col min="33" max="33" width="7.42578125" style="71" customWidth="1"/>
    <col min="34" max="34" width="20.85546875" style="71" customWidth="1"/>
    <col min="35" max="35" width="10.7109375" style="71" customWidth="1"/>
    <col min="36" max="36" width="8.7109375" style="176" customWidth="1"/>
    <col min="37" max="37" width="8" style="176" customWidth="1"/>
    <col min="38" max="38" width="8" style="176" bestFit="1" customWidth="1"/>
    <col min="39" max="39" width="21.7109375" style="176" customWidth="1"/>
    <col min="40" max="40" width="135.42578125" style="176" customWidth="1"/>
    <col min="41" max="41" width="17.28515625" style="176" bestFit="1" customWidth="1"/>
    <col min="42" max="42" width="24.28515625" style="176" customWidth="1"/>
    <col min="43" max="43" width="26.28515625" style="176" customWidth="1"/>
    <col min="44" max="44" width="26.85546875" style="176" customWidth="1"/>
    <col min="45" max="45" width="21.42578125" style="176" customWidth="1"/>
    <col min="46" max="47" width="20.140625" style="176" customWidth="1"/>
    <col min="48" max="48" width="19.85546875" style="176" customWidth="1"/>
    <col min="49" max="49" width="24" style="176" customWidth="1"/>
    <col min="50" max="50" width="8.7109375" style="71" customWidth="1"/>
    <col min="51" max="51" width="11.28515625" style="71" customWidth="1"/>
    <col min="52" max="52" width="11.5703125" style="71" customWidth="1"/>
    <col min="53" max="53" width="12.42578125" style="71" customWidth="1"/>
    <col min="54" max="54" width="10.28515625" style="71" customWidth="1"/>
    <col min="55" max="55" width="4.7109375" style="71" customWidth="1"/>
    <col min="56" max="56" width="7.42578125" style="71" customWidth="1"/>
    <col min="57" max="57" width="20.85546875" style="71" customWidth="1"/>
    <col min="58" max="58" width="10.7109375" style="71" customWidth="1"/>
    <col min="59" max="60" width="11.42578125" style="176"/>
    <col min="61" max="61" width="23.140625" style="176" customWidth="1"/>
    <col min="62" max="62" width="15.42578125" style="176" customWidth="1"/>
    <col min="63" max="63" width="133.7109375" style="176" customWidth="1"/>
    <col min="64" max="64" width="17.28515625" style="176" bestFit="1" customWidth="1"/>
    <col min="65" max="65" width="24.28515625" style="176" customWidth="1"/>
    <col min="66" max="66" width="25.28515625" style="176" customWidth="1"/>
    <col min="67" max="67" width="22.7109375" style="176" customWidth="1"/>
    <col min="68" max="68" width="21.5703125" style="176" customWidth="1"/>
    <col min="69" max="69" width="20.85546875" style="176" customWidth="1"/>
    <col min="70" max="70" width="16.42578125" style="176" customWidth="1"/>
    <col min="71" max="71" width="21.42578125" style="176" customWidth="1"/>
    <col min="72" max="72" width="25" style="176" customWidth="1"/>
    <col min="73" max="73" width="8.7109375" style="71" customWidth="1"/>
    <col min="74" max="74" width="11.28515625" style="71" customWidth="1"/>
    <col min="75" max="75" width="11.5703125" style="71" customWidth="1"/>
    <col min="76" max="76" width="12.42578125" style="71" customWidth="1"/>
    <col min="77" max="77" width="13.42578125" style="71" customWidth="1"/>
    <col min="78" max="78" width="4.7109375" style="71" customWidth="1"/>
    <col min="79" max="79" width="7.42578125" style="71" customWidth="1"/>
    <col min="80" max="80" width="20.85546875" style="71" customWidth="1"/>
    <col min="81" max="81" width="10.7109375" style="71" customWidth="1"/>
    <col min="82" max="82" width="7.140625" style="176" customWidth="1"/>
    <col min="83" max="83" width="8.85546875" style="176" customWidth="1"/>
    <col min="84" max="84" width="8" style="176" bestFit="1" customWidth="1"/>
    <col min="85" max="85" width="25.85546875" style="176" customWidth="1"/>
    <col min="86" max="86" width="133.28515625" style="176" customWidth="1"/>
    <col min="87" max="87" width="17.28515625" style="176" bestFit="1" customWidth="1"/>
    <col min="88" max="88" width="23.5703125" style="176" customWidth="1"/>
    <col min="89" max="89" width="27.5703125" style="176" customWidth="1"/>
    <col min="90" max="90" width="23.42578125" style="176" customWidth="1"/>
    <col min="91" max="91" width="23" style="176" customWidth="1"/>
    <col min="92" max="92" width="21.140625" style="176" customWidth="1"/>
    <col min="93" max="93" width="16.42578125" style="176" customWidth="1"/>
    <col min="94" max="94" width="20.42578125" style="176" customWidth="1"/>
    <col min="95" max="95" width="25" style="176" customWidth="1"/>
    <col min="96" max="96" width="8.7109375" style="71" customWidth="1"/>
    <col min="97" max="97" width="11.28515625" style="71" customWidth="1"/>
    <col min="98" max="98" width="11.5703125" style="71" customWidth="1"/>
    <col min="99" max="99" width="12.42578125" style="71" customWidth="1"/>
    <col min="100" max="100" width="8.42578125" style="71" customWidth="1"/>
    <col min="101" max="101" width="4.7109375" style="71" customWidth="1"/>
    <col min="102" max="102" width="7.42578125" style="71" customWidth="1"/>
    <col min="103" max="103" width="20.85546875" style="71" customWidth="1"/>
    <col min="104" max="104" width="10.7109375" style="71" customWidth="1"/>
    <col min="105" max="336" width="11.42578125" style="176"/>
    <col min="337" max="337" width="2.28515625" style="176" customWidth="1"/>
    <col min="338" max="338" width="7.140625" style="176" customWidth="1"/>
    <col min="339" max="339" width="8.85546875" style="176" customWidth="1"/>
    <col min="340" max="340" width="71.42578125" style="176" customWidth="1"/>
    <col min="341" max="341" width="23.140625" style="176" customWidth="1"/>
    <col min="342" max="342" width="19" style="176" customWidth="1"/>
    <col min="343" max="343" width="28.28515625" style="176" customWidth="1"/>
    <col min="344" max="344" width="43.85546875" style="176" customWidth="1"/>
    <col min="345" max="592" width="11.42578125" style="176"/>
    <col min="593" max="593" width="2.28515625" style="176" customWidth="1"/>
    <col min="594" max="594" width="7.140625" style="176" customWidth="1"/>
    <col min="595" max="595" width="8.85546875" style="176" customWidth="1"/>
    <col min="596" max="596" width="71.42578125" style="176" customWidth="1"/>
    <col min="597" max="597" width="23.140625" style="176" customWidth="1"/>
    <col min="598" max="598" width="19" style="176" customWidth="1"/>
    <col min="599" max="599" width="28.28515625" style="176" customWidth="1"/>
    <col min="600" max="600" width="43.85546875" style="176" customWidth="1"/>
    <col min="601" max="848" width="11.42578125" style="176"/>
    <col min="849" max="849" width="2.28515625" style="176" customWidth="1"/>
    <col min="850" max="850" width="7.140625" style="176" customWidth="1"/>
    <col min="851" max="851" width="8.85546875" style="176" customWidth="1"/>
    <col min="852" max="852" width="71.42578125" style="176" customWidth="1"/>
    <col min="853" max="853" width="23.140625" style="176" customWidth="1"/>
    <col min="854" max="854" width="19" style="176" customWidth="1"/>
    <col min="855" max="855" width="28.28515625" style="176" customWidth="1"/>
    <col min="856" max="856" width="43.85546875" style="176" customWidth="1"/>
    <col min="857" max="1104" width="11.42578125" style="176"/>
    <col min="1105" max="1105" width="2.28515625" style="176" customWidth="1"/>
    <col min="1106" max="1106" width="7.140625" style="176" customWidth="1"/>
    <col min="1107" max="1107" width="8.85546875" style="176" customWidth="1"/>
    <col min="1108" max="1108" width="71.42578125" style="176" customWidth="1"/>
    <col min="1109" max="1109" width="23.140625" style="176" customWidth="1"/>
    <col min="1110" max="1110" width="19" style="176" customWidth="1"/>
    <col min="1111" max="1111" width="28.28515625" style="176" customWidth="1"/>
    <col min="1112" max="1112" width="43.85546875" style="176" customWidth="1"/>
    <col min="1113" max="1360" width="11.42578125" style="176"/>
    <col min="1361" max="1361" width="2.28515625" style="176" customWidth="1"/>
    <col min="1362" max="1362" width="7.140625" style="176" customWidth="1"/>
    <col min="1363" max="1363" width="8.85546875" style="176" customWidth="1"/>
    <col min="1364" max="1364" width="71.42578125" style="176" customWidth="1"/>
    <col min="1365" max="1365" width="23.140625" style="176" customWidth="1"/>
    <col min="1366" max="1366" width="19" style="176" customWidth="1"/>
    <col min="1367" max="1367" width="28.28515625" style="176" customWidth="1"/>
    <col min="1368" max="1368" width="43.85546875" style="176" customWidth="1"/>
    <col min="1369" max="1616" width="11.42578125" style="176"/>
    <col min="1617" max="1617" width="2.28515625" style="176" customWidth="1"/>
    <col min="1618" max="1618" width="7.140625" style="176" customWidth="1"/>
    <col min="1619" max="1619" width="8.85546875" style="176" customWidth="1"/>
    <col min="1620" max="1620" width="71.42578125" style="176" customWidth="1"/>
    <col min="1621" max="1621" width="23.140625" style="176" customWidth="1"/>
    <col min="1622" max="1622" width="19" style="176" customWidth="1"/>
    <col min="1623" max="1623" width="28.28515625" style="176" customWidth="1"/>
    <col min="1624" max="1624" width="43.85546875" style="176" customWidth="1"/>
    <col min="1625" max="1872" width="11.42578125" style="176"/>
    <col min="1873" max="1873" width="2.28515625" style="176" customWidth="1"/>
    <col min="1874" max="1874" width="7.140625" style="176" customWidth="1"/>
    <col min="1875" max="1875" width="8.85546875" style="176" customWidth="1"/>
    <col min="1876" max="1876" width="71.42578125" style="176" customWidth="1"/>
    <col min="1877" max="1877" width="23.140625" style="176" customWidth="1"/>
    <col min="1878" max="1878" width="19" style="176" customWidth="1"/>
    <col min="1879" max="1879" width="28.28515625" style="176" customWidth="1"/>
    <col min="1880" max="1880" width="43.85546875" style="176" customWidth="1"/>
    <col min="1881" max="2128" width="11.42578125" style="176"/>
    <col min="2129" max="2129" width="2.28515625" style="176" customWidth="1"/>
    <col min="2130" max="2130" width="7.140625" style="176" customWidth="1"/>
    <col min="2131" max="2131" width="8.85546875" style="176" customWidth="1"/>
    <col min="2132" max="2132" width="71.42578125" style="176" customWidth="1"/>
    <col min="2133" max="2133" width="23.140625" style="176" customWidth="1"/>
    <col min="2134" max="2134" width="19" style="176" customWidth="1"/>
    <col min="2135" max="2135" width="28.28515625" style="176" customWidth="1"/>
    <col min="2136" max="2136" width="43.85546875" style="176" customWidth="1"/>
    <col min="2137" max="2384" width="11.42578125" style="176"/>
    <col min="2385" max="2385" width="2.28515625" style="176" customWidth="1"/>
    <col min="2386" max="2386" width="7.140625" style="176" customWidth="1"/>
    <col min="2387" max="2387" width="8.85546875" style="176" customWidth="1"/>
    <col min="2388" max="2388" width="71.42578125" style="176" customWidth="1"/>
    <col min="2389" max="2389" width="23.140625" style="176" customWidth="1"/>
    <col min="2390" max="2390" width="19" style="176" customWidth="1"/>
    <col min="2391" max="2391" width="28.28515625" style="176" customWidth="1"/>
    <col min="2392" max="2392" width="43.85546875" style="176" customWidth="1"/>
    <col min="2393" max="2640" width="11.42578125" style="176"/>
    <col min="2641" max="2641" width="2.28515625" style="176" customWidth="1"/>
    <col min="2642" max="2642" width="7.140625" style="176" customWidth="1"/>
    <col min="2643" max="2643" width="8.85546875" style="176" customWidth="1"/>
    <col min="2644" max="2644" width="71.42578125" style="176" customWidth="1"/>
    <col min="2645" max="2645" width="23.140625" style="176" customWidth="1"/>
    <col min="2646" max="2646" width="19" style="176" customWidth="1"/>
    <col min="2647" max="2647" width="28.28515625" style="176" customWidth="1"/>
    <col min="2648" max="2648" width="43.85546875" style="176" customWidth="1"/>
    <col min="2649" max="2896" width="11.42578125" style="176"/>
    <col min="2897" max="2897" width="2.28515625" style="176" customWidth="1"/>
    <col min="2898" max="2898" width="7.140625" style="176" customWidth="1"/>
    <col min="2899" max="2899" width="8.85546875" style="176" customWidth="1"/>
    <col min="2900" max="2900" width="71.42578125" style="176" customWidth="1"/>
    <col min="2901" max="2901" width="23.140625" style="176" customWidth="1"/>
    <col min="2902" max="2902" width="19" style="176" customWidth="1"/>
    <col min="2903" max="2903" width="28.28515625" style="176" customWidth="1"/>
    <col min="2904" max="2904" width="43.85546875" style="176" customWidth="1"/>
    <col min="2905" max="3152" width="11.42578125" style="176"/>
    <col min="3153" max="3153" width="2.28515625" style="176" customWidth="1"/>
    <col min="3154" max="3154" width="7.140625" style="176" customWidth="1"/>
    <col min="3155" max="3155" width="8.85546875" style="176" customWidth="1"/>
    <col min="3156" max="3156" width="71.42578125" style="176" customWidth="1"/>
    <col min="3157" max="3157" width="23.140625" style="176" customWidth="1"/>
    <col min="3158" max="3158" width="19" style="176" customWidth="1"/>
    <col min="3159" max="3159" width="28.28515625" style="176" customWidth="1"/>
    <col min="3160" max="3160" width="43.85546875" style="176" customWidth="1"/>
    <col min="3161" max="3408" width="11.42578125" style="176"/>
    <col min="3409" max="3409" width="2.28515625" style="176" customWidth="1"/>
    <col min="3410" max="3410" width="7.140625" style="176" customWidth="1"/>
    <col min="3411" max="3411" width="8.85546875" style="176" customWidth="1"/>
    <col min="3412" max="3412" width="71.42578125" style="176" customWidth="1"/>
    <col min="3413" max="3413" width="23.140625" style="176" customWidth="1"/>
    <col min="3414" max="3414" width="19" style="176" customWidth="1"/>
    <col min="3415" max="3415" width="28.28515625" style="176" customWidth="1"/>
    <col min="3416" max="3416" width="43.85546875" style="176" customWidth="1"/>
    <col min="3417" max="3664" width="11.42578125" style="176"/>
    <col min="3665" max="3665" width="2.28515625" style="176" customWidth="1"/>
    <col min="3666" max="3666" width="7.140625" style="176" customWidth="1"/>
    <col min="3667" max="3667" width="8.85546875" style="176" customWidth="1"/>
    <col min="3668" max="3668" width="71.42578125" style="176" customWidth="1"/>
    <col min="3669" max="3669" width="23.140625" style="176" customWidth="1"/>
    <col min="3670" max="3670" width="19" style="176" customWidth="1"/>
    <col min="3671" max="3671" width="28.28515625" style="176" customWidth="1"/>
    <col min="3672" max="3672" width="43.85546875" style="176" customWidth="1"/>
    <col min="3673" max="3920" width="11.42578125" style="176"/>
    <col min="3921" max="3921" width="2.28515625" style="176" customWidth="1"/>
    <col min="3922" max="3922" width="7.140625" style="176" customWidth="1"/>
    <col min="3923" max="3923" width="8.85546875" style="176" customWidth="1"/>
    <col min="3924" max="3924" width="71.42578125" style="176" customWidth="1"/>
    <col min="3925" max="3925" width="23.140625" style="176" customWidth="1"/>
    <col min="3926" max="3926" width="19" style="176" customWidth="1"/>
    <col min="3927" max="3927" width="28.28515625" style="176" customWidth="1"/>
    <col min="3928" max="3928" width="43.85546875" style="176" customWidth="1"/>
    <col min="3929" max="4176" width="11.42578125" style="176"/>
    <col min="4177" max="4177" width="2.28515625" style="176" customWidth="1"/>
    <col min="4178" max="4178" width="7.140625" style="176" customWidth="1"/>
    <col min="4179" max="4179" width="8.85546875" style="176" customWidth="1"/>
    <col min="4180" max="4180" width="71.42578125" style="176" customWidth="1"/>
    <col min="4181" max="4181" width="23.140625" style="176" customWidth="1"/>
    <col min="4182" max="4182" width="19" style="176" customWidth="1"/>
    <col min="4183" max="4183" width="28.28515625" style="176" customWidth="1"/>
    <col min="4184" max="4184" width="43.85546875" style="176" customWidth="1"/>
    <col min="4185" max="4432" width="11.42578125" style="176"/>
    <col min="4433" max="4433" width="2.28515625" style="176" customWidth="1"/>
    <col min="4434" max="4434" width="7.140625" style="176" customWidth="1"/>
    <col min="4435" max="4435" width="8.85546875" style="176" customWidth="1"/>
    <col min="4436" max="4436" width="71.42578125" style="176" customWidth="1"/>
    <col min="4437" max="4437" width="23.140625" style="176" customWidth="1"/>
    <col min="4438" max="4438" width="19" style="176" customWidth="1"/>
    <col min="4439" max="4439" width="28.28515625" style="176" customWidth="1"/>
    <col min="4440" max="4440" width="43.85546875" style="176" customWidth="1"/>
    <col min="4441" max="4688" width="11.42578125" style="176"/>
    <col min="4689" max="4689" width="2.28515625" style="176" customWidth="1"/>
    <col min="4690" max="4690" width="7.140625" style="176" customWidth="1"/>
    <col min="4691" max="4691" width="8.85546875" style="176" customWidth="1"/>
    <col min="4692" max="4692" width="71.42578125" style="176" customWidth="1"/>
    <col min="4693" max="4693" width="23.140625" style="176" customWidth="1"/>
    <col min="4694" max="4694" width="19" style="176" customWidth="1"/>
    <col min="4695" max="4695" width="28.28515625" style="176" customWidth="1"/>
    <col min="4696" max="4696" width="43.85546875" style="176" customWidth="1"/>
    <col min="4697" max="4944" width="11.42578125" style="176"/>
    <col min="4945" max="4945" width="2.28515625" style="176" customWidth="1"/>
    <col min="4946" max="4946" width="7.140625" style="176" customWidth="1"/>
    <col min="4947" max="4947" width="8.85546875" style="176" customWidth="1"/>
    <col min="4948" max="4948" width="71.42578125" style="176" customWidth="1"/>
    <col min="4949" max="4949" width="23.140625" style="176" customWidth="1"/>
    <col min="4950" max="4950" width="19" style="176" customWidth="1"/>
    <col min="4951" max="4951" width="28.28515625" style="176" customWidth="1"/>
    <col min="4952" max="4952" width="43.85546875" style="176" customWidth="1"/>
    <col min="4953" max="5200" width="11.42578125" style="176"/>
    <col min="5201" max="5201" width="2.28515625" style="176" customWidth="1"/>
    <col min="5202" max="5202" width="7.140625" style="176" customWidth="1"/>
    <col min="5203" max="5203" width="8.85546875" style="176" customWidth="1"/>
    <col min="5204" max="5204" width="71.42578125" style="176" customWidth="1"/>
    <col min="5205" max="5205" width="23.140625" style="176" customWidth="1"/>
    <col min="5206" max="5206" width="19" style="176" customWidth="1"/>
    <col min="5207" max="5207" width="28.28515625" style="176" customWidth="1"/>
    <col min="5208" max="5208" width="43.85546875" style="176" customWidth="1"/>
    <col min="5209" max="5456" width="11.42578125" style="176"/>
    <col min="5457" max="5457" width="2.28515625" style="176" customWidth="1"/>
    <col min="5458" max="5458" width="7.140625" style="176" customWidth="1"/>
    <col min="5459" max="5459" width="8.85546875" style="176" customWidth="1"/>
    <col min="5460" max="5460" width="71.42578125" style="176" customWidth="1"/>
    <col min="5461" max="5461" width="23.140625" style="176" customWidth="1"/>
    <col min="5462" max="5462" width="19" style="176" customWidth="1"/>
    <col min="5463" max="5463" width="28.28515625" style="176" customWidth="1"/>
    <col min="5464" max="5464" width="43.85546875" style="176" customWidth="1"/>
    <col min="5465" max="5712" width="11.42578125" style="176"/>
    <col min="5713" max="5713" width="2.28515625" style="176" customWidth="1"/>
    <col min="5714" max="5714" width="7.140625" style="176" customWidth="1"/>
    <col min="5715" max="5715" width="8.85546875" style="176" customWidth="1"/>
    <col min="5716" max="5716" width="71.42578125" style="176" customWidth="1"/>
    <col min="5717" max="5717" width="23.140625" style="176" customWidth="1"/>
    <col min="5718" max="5718" width="19" style="176" customWidth="1"/>
    <col min="5719" max="5719" width="28.28515625" style="176" customWidth="1"/>
    <col min="5720" max="5720" width="43.85546875" style="176" customWidth="1"/>
    <col min="5721" max="5968" width="11.42578125" style="176"/>
    <col min="5969" max="5969" width="2.28515625" style="176" customWidth="1"/>
    <col min="5970" max="5970" width="7.140625" style="176" customWidth="1"/>
    <col min="5971" max="5971" width="8.85546875" style="176" customWidth="1"/>
    <col min="5972" max="5972" width="71.42578125" style="176" customWidth="1"/>
    <col min="5973" max="5973" width="23.140625" style="176" customWidth="1"/>
    <col min="5974" max="5974" width="19" style="176" customWidth="1"/>
    <col min="5975" max="5975" width="28.28515625" style="176" customWidth="1"/>
    <col min="5976" max="5976" width="43.85546875" style="176" customWidth="1"/>
    <col min="5977" max="6224" width="11.42578125" style="176"/>
    <col min="6225" max="6225" width="2.28515625" style="176" customWidth="1"/>
    <col min="6226" max="6226" width="7.140625" style="176" customWidth="1"/>
    <col min="6227" max="6227" width="8.85546875" style="176" customWidth="1"/>
    <col min="6228" max="6228" width="71.42578125" style="176" customWidth="1"/>
    <col min="6229" max="6229" width="23.140625" style="176" customWidth="1"/>
    <col min="6230" max="6230" width="19" style="176" customWidth="1"/>
    <col min="6231" max="6231" width="28.28515625" style="176" customWidth="1"/>
    <col min="6232" max="6232" width="43.85546875" style="176" customWidth="1"/>
    <col min="6233" max="6480" width="11.42578125" style="176"/>
    <col min="6481" max="6481" width="2.28515625" style="176" customWidth="1"/>
    <col min="6482" max="6482" width="7.140625" style="176" customWidth="1"/>
    <col min="6483" max="6483" width="8.85546875" style="176" customWidth="1"/>
    <col min="6484" max="6484" width="71.42578125" style="176" customWidth="1"/>
    <col min="6485" max="6485" width="23.140625" style="176" customWidth="1"/>
    <col min="6486" max="6486" width="19" style="176" customWidth="1"/>
    <col min="6487" max="6487" width="28.28515625" style="176" customWidth="1"/>
    <col min="6488" max="6488" width="43.85546875" style="176" customWidth="1"/>
    <col min="6489" max="6736" width="11.42578125" style="176"/>
    <col min="6737" max="6737" width="2.28515625" style="176" customWidth="1"/>
    <col min="6738" max="6738" width="7.140625" style="176" customWidth="1"/>
    <col min="6739" max="6739" width="8.85546875" style="176" customWidth="1"/>
    <col min="6740" max="6740" width="71.42578125" style="176" customWidth="1"/>
    <col min="6741" max="6741" width="23.140625" style="176" customWidth="1"/>
    <col min="6742" max="6742" width="19" style="176" customWidth="1"/>
    <col min="6743" max="6743" width="28.28515625" style="176" customWidth="1"/>
    <col min="6744" max="6744" width="43.85546875" style="176" customWidth="1"/>
    <col min="6745" max="6992" width="11.42578125" style="176"/>
    <col min="6993" max="6993" width="2.28515625" style="176" customWidth="1"/>
    <col min="6994" max="6994" width="7.140625" style="176" customWidth="1"/>
    <col min="6995" max="6995" width="8.85546875" style="176" customWidth="1"/>
    <col min="6996" max="6996" width="71.42578125" style="176" customWidth="1"/>
    <col min="6997" max="6997" width="23.140625" style="176" customWidth="1"/>
    <col min="6998" max="6998" width="19" style="176" customWidth="1"/>
    <col min="6999" max="6999" width="28.28515625" style="176" customWidth="1"/>
    <col min="7000" max="7000" width="43.85546875" style="176" customWidth="1"/>
    <col min="7001" max="7248" width="11.42578125" style="176"/>
    <col min="7249" max="7249" width="2.28515625" style="176" customWidth="1"/>
    <col min="7250" max="7250" width="7.140625" style="176" customWidth="1"/>
    <col min="7251" max="7251" width="8.85546875" style="176" customWidth="1"/>
    <col min="7252" max="7252" width="71.42578125" style="176" customWidth="1"/>
    <col min="7253" max="7253" width="23.140625" style="176" customWidth="1"/>
    <col min="7254" max="7254" width="19" style="176" customWidth="1"/>
    <col min="7255" max="7255" width="28.28515625" style="176" customWidth="1"/>
    <col min="7256" max="7256" width="43.85546875" style="176" customWidth="1"/>
    <col min="7257" max="7504" width="11.42578125" style="176"/>
    <col min="7505" max="7505" width="2.28515625" style="176" customWidth="1"/>
    <col min="7506" max="7506" width="7.140625" style="176" customWidth="1"/>
    <col min="7507" max="7507" width="8.85546875" style="176" customWidth="1"/>
    <col min="7508" max="7508" width="71.42578125" style="176" customWidth="1"/>
    <col min="7509" max="7509" width="23.140625" style="176" customWidth="1"/>
    <col min="7510" max="7510" width="19" style="176" customWidth="1"/>
    <col min="7511" max="7511" width="28.28515625" style="176" customWidth="1"/>
    <col min="7512" max="7512" width="43.85546875" style="176" customWidth="1"/>
    <col min="7513" max="7760" width="11.42578125" style="176"/>
    <col min="7761" max="7761" width="2.28515625" style="176" customWidth="1"/>
    <col min="7762" max="7762" width="7.140625" style="176" customWidth="1"/>
    <col min="7763" max="7763" width="8.85546875" style="176" customWidth="1"/>
    <col min="7764" max="7764" width="71.42578125" style="176" customWidth="1"/>
    <col min="7765" max="7765" width="23.140625" style="176" customWidth="1"/>
    <col min="7766" max="7766" width="19" style="176" customWidth="1"/>
    <col min="7767" max="7767" width="28.28515625" style="176" customWidth="1"/>
    <col min="7768" max="7768" width="43.85546875" style="176" customWidth="1"/>
    <col min="7769" max="8016" width="11.42578125" style="176"/>
    <col min="8017" max="8017" width="2.28515625" style="176" customWidth="1"/>
    <col min="8018" max="8018" width="7.140625" style="176" customWidth="1"/>
    <col min="8019" max="8019" width="8.85546875" style="176" customWidth="1"/>
    <col min="8020" max="8020" width="71.42578125" style="176" customWidth="1"/>
    <col min="8021" max="8021" width="23.140625" style="176" customWidth="1"/>
    <col min="8022" max="8022" width="19" style="176" customWidth="1"/>
    <col min="8023" max="8023" width="28.28515625" style="176" customWidth="1"/>
    <col min="8024" max="8024" width="43.85546875" style="176" customWidth="1"/>
    <col min="8025" max="8272" width="11.42578125" style="176"/>
    <col min="8273" max="8273" width="2.28515625" style="176" customWidth="1"/>
    <col min="8274" max="8274" width="7.140625" style="176" customWidth="1"/>
    <col min="8275" max="8275" width="8.85546875" style="176" customWidth="1"/>
    <col min="8276" max="8276" width="71.42578125" style="176" customWidth="1"/>
    <col min="8277" max="8277" width="23.140625" style="176" customWidth="1"/>
    <col min="8278" max="8278" width="19" style="176" customWidth="1"/>
    <col min="8279" max="8279" width="28.28515625" style="176" customWidth="1"/>
    <col min="8280" max="8280" width="43.85546875" style="176" customWidth="1"/>
    <col min="8281" max="8528" width="11.42578125" style="176"/>
    <col min="8529" max="8529" width="2.28515625" style="176" customWidth="1"/>
    <col min="8530" max="8530" width="7.140625" style="176" customWidth="1"/>
    <col min="8531" max="8531" width="8.85546875" style="176" customWidth="1"/>
    <col min="8532" max="8532" width="71.42578125" style="176" customWidth="1"/>
    <col min="8533" max="8533" width="23.140625" style="176" customWidth="1"/>
    <col min="8534" max="8534" width="19" style="176" customWidth="1"/>
    <col min="8535" max="8535" width="28.28515625" style="176" customWidth="1"/>
    <col min="8536" max="8536" width="43.85546875" style="176" customWidth="1"/>
    <col min="8537" max="8784" width="11.42578125" style="176"/>
    <col min="8785" max="8785" width="2.28515625" style="176" customWidth="1"/>
    <col min="8786" max="8786" width="7.140625" style="176" customWidth="1"/>
    <col min="8787" max="8787" width="8.85546875" style="176" customWidth="1"/>
    <col min="8788" max="8788" width="71.42578125" style="176" customWidth="1"/>
    <col min="8789" max="8789" width="23.140625" style="176" customWidth="1"/>
    <col min="8790" max="8790" width="19" style="176" customWidth="1"/>
    <col min="8791" max="8791" width="28.28515625" style="176" customWidth="1"/>
    <col min="8792" max="8792" width="43.85546875" style="176" customWidth="1"/>
    <col min="8793" max="9040" width="11.42578125" style="176"/>
    <col min="9041" max="9041" width="2.28515625" style="176" customWidth="1"/>
    <col min="9042" max="9042" width="7.140625" style="176" customWidth="1"/>
    <col min="9043" max="9043" width="8.85546875" style="176" customWidth="1"/>
    <col min="9044" max="9044" width="71.42578125" style="176" customWidth="1"/>
    <col min="9045" max="9045" width="23.140625" style="176" customWidth="1"/>
    <col min="9046" max="9046" width="19" style="176" customWidth="1"/>
    <col min="9047" max="9047" width="28.28515625" style="176" customWidth="1"/>
    <col min="9048" max="9048" width="43.85546875" style="176" customWidth="1"/>
    <col min="9049" max="9296" width="11.42578125" style="176"/>
    <col min="9297" max="9297" width="2.28515625" style="176" customWidth="1"/>
    <col min="9298" max="9298" width="7.140625" style="176" customWidth="1"/>
    <col min="9299" max="9299" width="8.85546875" style="176" customWidth="1"/>
    <col min="9300" max="9300" width="71.42578125" style="176" customWidth="1"/>
    <col min="9301" max="9301" width="23.140625" style="176" customWidth="1"/>
    <col min="9302" max="9302" width="19" style="176" customWidth="1"/>
    <col min="9303" max="9303" width="28.28515625" style="176" customWidth="1"/>
    <col min="9304" max="9304" width="43.85546875" style="176" customWidth="1"/>
    <col min="9305" max="9552" width="11.42578125" style="176"/>
    <col min="9553" max="9553" width="2.28515625" style="176" customWidth="1"/>
    <col min="9554" max="9554" width="7.140625" style="176" customWidth="1"/>
    <col min="9555" max="9555" width="8.85546875" style="176" customWidth="1"/>
    <col min="9556" max="9556" width="71.42578125" style="176" customWidth="1"/>
    <col min="9557" max="9557" width="23.140625" style="176" customWidth="1"/>
    <col min="9558" max="9558" width="19" style="176" customWidth="1"/>
    <col min="9559" max="9559" width="28.28515625" style="176" customWidth="1"/>
    <col min="9560" max="9560" width="43.85546875" style="176" customWidth="1"/>
    <col min="9561" max="9808" width="11.42578125" style="176"/>
    <col min="9809" max="9809" width="2.28515625" style="176" customWidth="1"/>
    <col min="9810" max="9810" width="7.140625" style="176" customWidth="1"/>
    <col min="9811" max="9811" width="8.85546875" style="176" customWidth="1"/>
    <col min="9812" max="9812" width="71.42578125" style="176" customWidth="1"/>
    <col min="9813" max="9813" width="23.140625" style="176" customWidth="1"/>
    <col min="9814" max="9814" width="19" style="176" customWidth="1"/>
    <col min="9815" max="9815" width="28.28515625" style="176" customWidth="1"/>
    <col min="9816" max="9816" width="43.85546875" style="176" customWidth="1"/>
    <col min="9817" max="10064" width="11.42578125" style="176"/>
    <col min="10065" max="10065" width="2.28515625" style="176" customWidth="1"/>
    <col min="10066" max="10066" width="7.140625" style="176" customWidth="1"/>
    <col min="10067" max="10067" width="8.85546875" style="176" customWidth="1"/>
    <col min="10068" max="10068" width="71.42578125" style="176" customWidth="1"/>
    <col min="10069" max="10069" width="23.140625" style="176" customWidth="1"/>
    <col min="10070" max="10070" width="19" style="176" customWidth="1"/>
    <col min="10071" max="10071" width="28.28515625" style="176" customWidth="1"/>
    <col min="10072" max="10072" width="43.85546875" style="176" customWidth="1"/>
    <col min="10073" max="10320" width="11.42578125" style="176"/>
    <col min="10321" max="10321" width="2.28515625" style="176" customWidth="1"/>
    <col min="10322" max="10322" width="7.140625" style="176" customWidth="1"/>
    <col min="10323" max="10323" width="8.85546875" style="176" customWidth="1"/>
    <col min="10324" max="10324" width="71.42578125" style="176" customWidth="1"/>
    <col min="10325" max="10325" width="23.140625" style="176" customWidth="1"/>
    <col min="10326" max="10326" width="19" style="176" customWidth="1"/>
    <col min="10327" max="10327" width="28.28515625" style="176" customWidth="1"/>
    <col min="10328" max="10328" width="43.85546875" style="176" customWidth="1"/>
    <col min="10329" max="10576" width="11.42578125" style="176"/>
    <col min="10577" max="10577" width="2.28515625" style="176" customWidth="1"/>
    <col min="10578" max="10578" width="7.140625" style="176" customWidth="1"/>
    <col min="10579" max="10579" width="8.85546875" style="176" customWidth="1"/>
    <col min="10580" max="10580" width="71.42578125" style="176" customWidth="1"/>
    <col min="10581" max="10581" width="23.140625" style="176" customWidth="1"/>
    <col min="10582" max="10582" width="19" style="176" customWidth="1"/>
    <col min="10583" max="10583" width="28.28515625" style="176" customWidth="1"/>
    <col min="10584" max="10584" width="43.85546875" style="176" customWidth="1"/>
    <col min="10585" max="10832" width="11.42578125" style="176"/>
    <col min="10833" max="10833" width="2.28515625" style="176" customWidth="1"/>
    <col min="10834" max="10834" width="7.140625" style="176" customWidth="1"/>
    <col min="10835" max="10835" width="8.85546875" style="176" customWidth="1"/>
    <col min="10836" max="10836" width="71.42578125" style="176" customWidth="1"/>
    <col min="10837" max="10837" width="23.140625" style="176" customWidth="1"/>
    <col min="10838" max="10838" width="19" style="176" customWidth="1"/>
    <col min="10839" max="10839" width="28.28515625" style="176" customWidth="1"/>
    <col min="10840" max="10840" width="43.85546875" style="176" customWidth="1"/>
    <col min="10841" max="11088" width="11.42578125" style="176"/>
    <col min="11089" max="11089" width="2.28515625" style="176" customWidth="1"/>
    <col min="11090" max="11090" width="7.140625" style="176" customWidth="1"/>
    <col min="11091" max="11091" width="8.85546875" style="176" customWidth="1"/>
    <col min="11092" max="11092" width="71.42578125" style="176" customWidth="1"/>
    <col min="11093" max="11093" width="23.140625" style="176" customWidth="1"/>
    <col min="11094" max="11094" width="19" style="176" customWidth="1"/>
    <col min="11095" max="11095" width="28.28515625" style="176" customWidth="1"/>
    <col min="11096" max="11096" width="43.85546875" style="176" customWidth="1"/>
    <col min="11097" max="11344" width="11.42578125" style="176"/>
    <col min="11345" max="11345" width="2.28515625" style="176" customWidth="1"/>
    <col min="11346" max="11346" width="7.140625" style="176" customWidth="1"/>
    <col min="11347" max="11347" width="8.85546875" style="176" customWidth="1"/>
    <col min="11348" max="11348" width="71.42578125" style="176" customWidth="1"/>
    <col min="11349" max="11349" width="23.140625" style="176" customWidth="1"/>
    <col min="11350" max="11350" width="19" style="176" customWidth="1"/>
    <col min="11351" max="11351" width="28.28515625" style="176" customWidth="1"/>
    <col min="11352" max="11352" width="43.85546875" style="176" customWidth="1"/>
    <col min="11353" max="11600" width="11.42578125" style="176"/>
    <col min="11601" max="11601" width="2.28515625" style="176" customWidth="1"/>
    <col min="11602" max="11602" width="7.140625" style="176" customWidth="1"/>
    <col min="11603" max="11603" width="8.85546875" style="176" customWidth="1"/>
    <col min="11604" max="11604" width="71.42578125" style="176" customWidth="1"/>
    <col min="11605" max="11605" width="23.140625" style="176" customWidth="1"/>
    <col min="11606" max="11606" width="19" style="176" customWidth="1"/>
    <col min="11607" max="11607" width="28.28515625" style="176" customWidth="1"/>
    <col min="11608" max="11608" width="43.85546875" style="176" customWidth="1"/>
    <col min="11609" max="11856" width="11.42578125" style="176"/>
    <col min="11857" max="11857" width="2.28515625" style="176" customWidth="1"/>
    <col min="11858" max="11858" width="7.140625" style="176" customWidth="1"/>
    <col min="11859" max="11859" width="8.85546875" style="176" customWidth="1"/>
    <col min="11860" max="11860" width="71.42578125" style="176" customWidth="1"/>
    <col min="11861" max="11861" width="23.140625" style="176" customWidth="1"/>
    <col min="11862" max="11862" width="19" style="176" customWidth="1"/>
    <col min="11863" max="11863" width="28.28515625" style="176" customWidth="1"/>
    <col min="11864" max="11864" width="43.85546875" style="176" customWidth="1"/>
    <col min="11865" max="12112" width="11.42578125" style="176"/>
    <col min="12113" max="12113" width="2.28515625" style="176" customWidth="1"/>
    <col min="12114" max="12114" width="7.140625" style="176" customWidth="1"/>
    <col min="12115" max="12115" width="8.85546875" style="176" customWidth="1"/>
    <col min="12116" max="12116" width="71.42578125" style="176" customWidth="1"/>
    <col min="12117" max="12117" width="23.140625" style="176" customWidth="1"/>
    <col min="12118" max="12118" width="19" style="176" customWidth="1"/>
    <col min="12119" max="12119" width="28.28515625" style="176" customWidth="1"/>
    <col min="12120" max="12120" width="43.85546875" style="176" customWidth="1"/>
    <col min="12121" max="12368" width="11.42578125" style="176"/>
    <col min="12369" max="12369" width="2.28515625" style="176" customWidth="1"/>
    <col min="12370" max="12370" width="7.140625" style="176" customWidth="1"/>
    <col min="12371" max="12371" width="8.85546875" style="176" customWidth="1"/>
    <col min="12372" max="12372" width="71.42578125" style="176" customWidth="1"/>
    <col min="12373" max="12373" width="23.140625" style="176" customWidth="1"/>
    <col min="12374" max="12374" width="19" style="176" customWidth="1"/>
    <col min="12375" max="12375" width="28.28515625" style="176" customWidth="1"/>
    <col min="12376" max="12376" width="43.85546875" style="176" customWidth="1"/>
    <col min="12377" max="12624" width="11.42578125" style="176"/>
    <col min="12625" max="12625" width="2.28515625" style="176" customWidth="1"/>
    <col min="12626" max="12626" width="7.140625" style="176" customWidth="1"/>
    <col min="12627" max="12627" width="8.85546875" style="176" customWidth="1"/>
    <col min="12628" max="12628" width="71.42578125" style="176" customWidth="1"/>
    <col min="12629" max="12629" width="23.140625" style="176" customWidth="1"/>
    <col min="12630" max="12630" width="19" style="176" customWidth="1"/>
    <col min="12631" max="12631" width="28.28515625" style="176" customWidth="1"/>
    <col min="12632" max="12632" width="43.85546875" style="176" customWidth="1"/>
    <col min="12633" max="12880" width="11.42578125" style="176"/>
    <col min="12881" max="12881" width="2.28515625" style="176" customWidth="1"/>
    <col min="12882" max="12882" width="7.140625" style="176" customWidth="1"/>
    <col min="12883" max="12883" width="8.85546875" style="176" customWidth="1"/>
    <col min="12884" max="12884" width="71.42578125" style="176" customWidth="1"/>
    <col min="12885" max="12885" width="23.140625" style="176" customWidth="1"/>
    <col min="12886" max="12886" width="19" style="176" customWidth="1"/>
    <col min="12887" max="12887" width="28.28515625" style="176" customWidth="1"/>
    <col min="12888" max="12888" width="43.85546875" style="176" customWidth="1"/>
    <col min="12889" max="13136" width="11.42578125" style="176"/>
    <col min="13137" max="13137" width="2.28515625" style="176" customWidth="1"/>
    <col min="13138" max="13138" width="7.140625" style="176" customWidth="1"/>
    <col min="13139" max="13139" width="8.85546875" style="176" customWidth="1"/>
    <col min="13140" max="13140" width="71.42578125" style="176" customWidth="1"/>
    <col min="13141" max="13141" width="23.140625" style="176" customWidth="1"/>
    <col min="13142" max="13142" width="19" style="176" customWidth="1"/>
    <col min="13143" max="13143" width="28.28515625" style="176" customWidth="1"/>
    <col min="13144" max="13144" width="43.85546875" style="176" customWidth="1"/>
    <col min="13145" max="13392" width="11.42578125" style="176"/>
    <col min="13393" max="13393" width="2.28515625" style="176" customWidth="1"/>
    <col min="13394" max="13394" width="7.140625" style="176" customWidth="1"/>
    <col min="13395" max="13395" width="8.85546875" style="176" customWidth="1"/>
    <col min="13396" max="13396" width="71.42578125" style="176" customWidth="1"/>
    <col min="13397" max="13397" width="23.140625" style="176" customWidth="1"/>
    <col min="13398" max="13398" width="19" style="176" customWidth="1"/>
    <col min="13399" max="13399" width="28.28515625" style="176" customWidth="1"/>
    <col min="13400" max="13400" width="43.85546875" style="176" customWidth="1"/>
    <col min="13401" max="13648" width="11.42578125" style="176"/>
    <col min="13649" max="13649" width="2.28515625" style="176" customWidth="1"/>
    <col min="13650" max="13650" width="7.140625" style="176" customWidth="1"/>
    <col min="13651" max="13651" width="8.85546875" style="176" customWidth="1"/>
    <col min="13652" max="13652" width="71.42578125" style="176" customWidth="1"/>
    <col min="13653" max="13653" width="23.140625" style="176" customWidth="1"/>
    <col min="13654" max="13654" width="19" style="176" customWidth="1"/>
    <col min="13655" max="13655" width="28.28515625" style="176" customWidth="1"/>
    <col min="13656" max="13656" width="43.85546875" style="176" customWidth="1"/>
    <col min="13657" max="13904" width="11.42578125" style="176"/>
    <col min="13905" max="13905" width="2.28515625" style="176" customWidth="1"/>
    <col min="13906" max="13906" width="7.140625" style="176" customWidth="1"/>
    <col min="13907" max="13907" width="8.85546875" style="176" customWidth="1"/>
    <col min="13908" max="13908" width="71.42578125" style="176" customWidth="1"/>
    <col min="13909" max="13909" width="23.140625" style="176" customWidth="1"/>
    <col min="13910" max="13910" width="19" style="176" customWidth="1"/>
    <col min="13911" max="13911" width="28.28515625" style="176" customWidth="1"/>
    <col min="13912" max="13912" width="43.85546875" style="176" customWidth="1"/>
    <col min="13913" max="14160" width="11.42578125" style="176"/>
    <col min="14161" max="14161" width="2.28515625" style="176" customWidth="1"/>
    <col min="14162" max="14162" width="7.140625" style="176" customWidth="1"/>
    <col min="14163" max="14163" width="8.85546875" style="176" customWidth="1"/>
    <col min="14164" max="14164" width="71.42578125" style="176" customWidth="1"/>
    <col min="14165" max="14165" width="23.140625" style="176" customWidth="1"/>
    <col min="14166" max="14166" width="19" style="176" customWidth="1"/>
    <col min="14167" max="14167" width="28.28515625" style="176" customWidth="1"/>
    <col min="14168" max="14168" width="43.85546875" style="176" customWidth="1"/>
    <col min="14169" max="14416" width="11.42578125" style="176"/>
    <col min="14417" max="14417" width="2.28515625" style="176" customWidth="1"/>
    <col min="14418" max="14418" width="7.140625" style="176" customWidth="1"/>
    <col min="14419" max="14419" width="8.85546875" style="176" customWidth="1"/>
    <col min="14420" max="14420" width="71.42578125" style="176" customWidth="1"/>
    <col min="14421" max="14421" width="23.140625" style="176" customWidth="1"/>
    <col min="14422" max="14422" width="19" style="176" customWidth="1"/>
    <col min="14423" max="14423" width="28.28515625" style="176" customWidth="1"/>
    <col min="14424" max="14424" width="43.85546875" style="176" customWidth="1"/>
    <col min="14425" max="14672" width="11.42578125" style="176"/>
    <col min="14673" max="14673" width="2.28515625" style="176" customWidth="1"/>
    <col min="14674" max="14674" width="7.140625" style="176" customWidth="1"/>
    <col min="14675" max="14675" width="8.85546875" style="176" customWidth="1"/>
    <col min="14676" max="14676" width="71.42578125" style="176" customWidth="1"/>
    <col min="14677" max="14677" width="23.140625" style="176" customWidth="1"/>
    <col min="14678" max="14678" width="19" style="176" customWidth="1"/>
    <col min="14679" max="14679" width="28.28515625" style="176" customWidth="1"/>
    <col min="14680" max="14680" width="43.85546875" style="176" customWidth="1"/>
    <col min="14681" max="14928" width="11.42578125" style="176"/>
    <col min="14929" max="14929" width="2.28515625" style="176" customWidth="1"/>
    <col min="14930" max="14930" width="7.140625" style="176" customWidth="1"/>
    <col min="14931" max="14931" width="8.85546875" style="176" customWidth="1"/>
    <col min="14932" max="14932" width="71.42578125" style="176" customWidth="1"/>
    <col min="14933" max="14933" width="23.140625" style="176" customWidth="1"/>
    <col min="14934" max="14934" width="19" style="176" customWidth="1"/>
    <col min="14935" max="14935" width="28.28515625" style="176" customWidth="1"/>
    <col min="14936" max="14936" width="43.85546875" style="176" customWidth="1"/>
    <col min="14937" max="15184" width="11.42578125" style="176"/>
    <col min="15185" max="15185" width="2.28515625" style="176" customWidth="1"/>
    <col min="15186" max="15186" width="7.140625" style="176" customWidth="1"/>
    <col min="15187" max="15187" width="8.85546875" style="176" customWidth="1"/>
    <col min="15188" max="15188" width="71.42578125" style="176" customWidth="1"/>
    <col min="15189" max="15189" width="23.140625" style="176" customWidth="1"/>
    <col min="15190" max="15190" width="19" style="176" customWidth="1"/>
    <col min="15191" max="15191" width="28.28515625" style="176" customWidth="1"/>
    <col min="15192" max="15192" width="43.85546875" style="176" customWidth="1"/>
    <col min="15193" max="15440" width="11.42578125" style="176"/>
    <col min="15441" max="15441" width="2.28515625" style="176" customWidth="1"/>
    <col min="15442" max="15442" width="7.140625" style="176" customWidth="1"/>
    <col min="15443" max="15443" width="8.85546875" style="176" customWidth="1"/>
    <col min="15444" max="15444" width="71.42578125" style="176" customWidth="1"/>
    <col min="15445" max="15445" width="23.140625" style="176" customWidth="1"/>
    <col min="15446" max="15446" width="19" style="176" customWidth="1"/>
    <col min="15447" max="15447" width="28.28515625" style="176" customWidth="1"/>
    <col min="15448" max="15448" width="43.85546875" style="176" customWidth="1"/>
    <col min="15449" max="15696" width="11.42578125" style="176"/>
    <col min="15697" max="15697" width="2.28515625" style="176" customWidth="1"/>
    <col min="15698" max="15698" width="7.140625" style="176" customWidth="1"/>
    <col min="15699" max="15699" width="8.85546875" style="176" customWidth="1"/>
    <col min="15700" max="15700" width="71.42578125" style="176" customWidth="1"/>
    <col min="15701" max="15701" width="23.140625" style="176" customWidth="1"/>
    <col min="15702" max="15702" width="19" style="176" customWidth="1"/>
    <col min="15703" max="15703" width="28.28515625" style="176" customWidth="1"/>
    <col min="15704" max="15704" width="43.85546875" style="176" customWidth="1"/>
    <col min="15705" max="16384" width="11.42578125" style="176"/>
  </cols>
  <sheetData>
    <row r="1" spans="1:104" ht="16.5" thickBot="1"/>
    <row r="2" spans="1:104" ht="16.5" customHeight="1" thickTop="1" thickBot="1">
      <c r="O2" s="1035">
        <v>1</v>
      </c>
      <c r="P2" s="996" t="s">
        <v>3</v>
      </c>
      <c r="Q2" s="998"/>
      <c r="R2" s="996" t="str">
        <f>VLOOKUP(O2,LISTA_OFERENTES,2,FALSE)</f>
        <v>INTERVE S.A.S.</v>
      </c>
      <c r="S2" s="997"/>
      <c r="T2" s="997"/>
      <c r="U2" s="997"/>
      <c r="V2" s="997"/>
      <c r="W2" s="997"/>
      <c r="X2" s="997"/>
      <c r="Y2" s="997"/>
      <c r="Z2" s="998"/>
      <c r="AL2" s="1035">
        <v>2</v>
      </c>
      <c r="AM2" s="996" t="s">
        <v>3</v>
      </c>
      <c r="AN2" s="998"/>
      <c r="AO2" s="996" t="str">
        <f>VLOOKUP(AL2,LISTA_OFERENTES,2,FALSE)</f>
        <v>CONSORCIO VALCO - ACI</v>
      </c>
      <c r="AP2" s="997"/>
      <c r="AQ2" s="997"/>
      <c r="AR2" s="997"/>
      <c r="AS2" s="997"/>
      <c r="AT2" s="997"/>
      <c r="AU2" s="997"/>
      <c r="AV2" s="997"/>
      <c r="AW2" s="998"/>
      <c r="BI2" s="1035">
        <v>3</v>
      </c>
      <c r="BJ2" s="996" t="s">
        <v>3</v>
      </c>
      <c r="BK2" s="998"/>
      <c r="BL2" s="996" t="str">
        <f>VLOOKUP(BI2,LISTA_OFERENTES,2,FALSE)</f>
        <v>ARQ S.A.S.</v>
      </c>
      <c r="BM2" s="997"/>
      <c r="BN2" s="997"/>
      <c r="BO2" s="997"/>
      <c r="BP2" s="997"/>
      <c r="BQ2" s="997"/>
      <c r="BR2" s="997"/>
      <c r="BS2" s="997"/>
      <c r="BT2" s="998"/>
      <c r="CF2" s="1035">
        <v>4</v>
      </c>
      <c r="CG2" s="996" t="s">
        <v>3</v>
      </c>
      <c r="CH2" s="998"/>
      <c r="CI2" s="996" t="str">
        <f>VLOOKUP(CF2,LISTA_OFERENTES,2,FALSE)</f>
        <v>PREVEO S.A.S.</v>
      </c>
      <c r="CJ2" s="997"/>
      <c r="CK2" s="997"/>
      <c r="CL2" s="997"/>
      <c r="CM2" s="997"/>
      <c r="CN2" s="997"/>
      <c r="CO2" s="997"/>
      <c r="CP2" s="997"/>
      <c r="CQ2" s="998"/>
    </row>
    <row r="3" spans="1:104" ht="19.5" customHeight="1" thickTop="1" thickBot="1">
      <c r="B3" s="1002" t="s">
        <v>183</v>
      </c>
      <c r="C3" s="1002"/>
      <c r="D3" s="1002"/>
      <c r="E3" s="1002"/>
      <c r="F3" s="1002"/>
      <c r="G3" s="1002"/>
      <c r="H3" s="1002"/>
      <c r="I3" s="1002"/>
      <c r="J3" s="1002"/>
      <c r="K3" s="1002"/>
      <c r="L3" s="1002"/>
      <c r="M3" s="1002"/>
      <c r="O3" s="1036"/>
      <c r="P3" s="999"/>
      <c r="Q3" s="1001"/>
      <c r="R3" s="999"/>
      <c r="S3" s="1000"/>
      <c r="T3" s="1000"/>
      <c r="U3" s="1000"/>
      <c r="V3" s="1000"/>
      <c r="W3" s="1000"/>
      <c r="X3" s="1000"/>
      <c r="Y3" s="1000"/>
      <c r="Z3" s="1001"/>
      <c r="AA3" s="1049" t="s">
        <v>91</v>
      </c>
      <c r="AB3" s="1049" t="s">
        <v>92</v>
      </c>
      <c r="AC3" s="1049" t="s">
        <v>93</v>
      </c>
      <c r="AD3" s="1049" t="s">
        <v>348</v>
      </c>
      <c r="AE3" s="1057" t="s">
        <v>94</v>
      </c>
      <c r="AF3" s="1057" t="s">
        <v>95</v>
      </c>
      <c r="AG3" s="1049" t="s">
        <v>63</v>
      </c>
      <c r="AH3" s="1049" t="s">
        <v>64</v>
      </c>
      <c r="AI3" s="1049" t="s">
        <v>65</v>
      </c>
      <c r="AL3" s="1036"/>
      <c r="AM3" s="999"/>
      <c r="AN3" s="1001"/>
      <c r="AO3" s="999"/>
      <c r="AP3" s="1000"/>
      <c r="AQ3" s="1000"/>
      <c r="AR3" s="1000"/>
      <c r="AS3" s="1000"/>
      <c r="AT3" s="1000"/>
      <c r="AU3" s="1000"/>
      <c r="AV3" s="1000"/>
      <c r="AW3" s="1001"/>
      <c r="AX3" s="1049" t="s">
        <v>91</v>
      </c>
      <c r="AY3" s="1049" t="s">
        <v>92</v>
      </c>
      <c r="AZ3" s="1049" t="s">
        <v>93</v>
      </c>
      <c r="BA3" s="1049" t="s">
        <v>348</v>
      </c>
      <c r="BB3" s="1057" t="s">
        <v>94</v>
      </c>
      <c r="BC3" s="1057" t="s">
        <v>95</v>
      </c>
      <c r="BD3" s="1049" t="s">
        <v>63</v>
      </c>
      <c r="BE3" s="1049" t="s">
        <v>64</v>
      </c>
      <c r="BF3" s="1049" t="s">
        <v>65</v>
      </c>
      <c r="BI3" s="1036"/>
      <c r="BJ3" s="999"/>
      <c r="BK3" s="1001"/>
      <c r="BL3" s="999"/>
      <c r="BM3" s="1000"/>
      <c r="BN3" s="1000"/>
      <c r="BO3" s="1000"/>
      <c r="BP3" s="1000"/>
      <c r="BQ3" s="1000"/>
      <c r="BR3" s="1000"/>
      <c r="BS3" s="1000"/>
      <c r="BT3" s="1001"/>
      <c r="BU3" s="1049" t="s">
        <v>91</v>
      </c>
      <c r="BV3" s="1049" t="s">
        <v>92</v>
      </c>
      <c r="BW3" s="1049" t="s">
        <v>93</v>
      </c>
      <c r="BX3" s="1049" t="s">
        <v>348</v>
      </c>
      <c r="BY3" s="1057" t="s">
        <v>94</v>
      </c>
      <c r="BZ3" s="1057" t="s">
        <v>95</v>
      </c>
      <c r="CA3" s="1049" t="s">
        <v>63</v>
      </c>
      <c r="CB3" s="1049" t="s">
        <v>64</v>
      </c>
      <c r="CC3" s="1049" t="s">
        <v>65</v>
      </c>
      <c r="CF3" s="1036"/>
      <c r="CG3" s="999"/>
      <c r="CH3" s="1001"/>
      <c r="CI3" s="999"/>
      <c r="CJ3" s="1000"/>
      <c r="CK3" s="1000"/>
      <c r="CL3" s="1000"/>
      <c r="CM3" s="1000"/>
      <c r="CN3" s="1000"/>
      <c r="CO3" s="1000"/>
      <c r="CP3" s="1000"/>
      <c r="CQ3" s="1001"/>
      <c r="CR3" s="1049" t="s">
        <v>91</v>
      </c>
      <c r="CS3" s="1049" t="s">
        <v>92</v>
      </c>
      <c r="CT3" s="1049" t="s">
        <v>93</v>
      </c>
      <c r="CU3" s="1049" t="s">
        <v>348</v>
      </c>
      <c r="CV3" s="1057" t="s">
        <v>94</v>
      </c>
      <c r="CW3" s="1057" t="s">
        <v>95</v>
      </c>
      <c r="CX3" s="1049" t="s">
        <v>63</v>
      </c>
      <c r="CY3" s="1049" t="s">
        <v>64</v>
      </c>
      <c r="CZ3" s="1049" t="s">
        <v>65</v>
      </c>
    </row>
    <row r="4" spans="1:104" ht="37.5" customHeight="1" thickTop="1" thickBot="1">
      <c r="B4" s="1003" t="s">
        <v>62</v>
      </c>
      <c r="C4" s="1004"/>
      <c r="D4" s="1005"/>
      <c r="E4" s="1012" t="s">
        <v>0</v>
      </c>
      <c r="F4" s="1013"/>
      <c r="G4" s="1013"/>
      <c r="H4" s="1013"/>
      <c r="I4" s="1013"/>
      <c r="J4" s="1013"/>
      <c r="K4" s="1013"/>
      <c r="L4" s="1013"/>
      <c r="M4" s="1014"/>
      <c r="O4" s="1003"/>
      <c r="P4" s="1004"/>
      <c r="Q4" s="1005"/>
      <c r="R4" s="1012" t="s">
        <v>0</v>
      </c>
      <c r="S4" s="1013"/>
      <c r="T4" s="1013"/>
      <c r="U4" s="1013"/>
      <c r="V4" s="1013"/>
      <c r="W4" s="1013"/>
      <c r="X4" s="1013"/>
      <c r="Y4" s="1013"/>
      <c r="Z4" s="1014"/>
      <c r="AA4" s="1050"/>
      <c r="AB4" s="1050"/>
      <c r="AC4" s="1050"/>
      <c r="AD4" s="1050"/>
      <c r="AE4" s="1058"/>
      <c r="AF4" s="1058"/>
      <c r="AG4" s="1050"/>
      <c r="AH4" s="1050"/>
      <c r="AI4" s="1050"/>
      <c r="AL4" s="1003"/>
      <c r="AM4" s="1004"/>
      <c r="AN4" s="1005"/>
      <c r="AO4" s="1012" t="s">
        <v>0</v>
      </c>
      <c r="AP4" s="1013"/>
      <c r="AQ4" s="1013"/>
      <c r="AR4" s="1013"/>
      <c r="AS4" s="1013"/>
      <c r="AT4" s="1013"/>
      <c r="AU4" s="1013"/>
      <c r="AV4" s="1013"/>
      <c r="AW4" s="1014"/>
      <c r="AX4" s="1050"/>
      <c r="AY4" s="1050"/>
      <c r="AZ4" s="1050"/>
      <c r="BA4" s="1050"/>
      <c r="BB4" s="1058"/>
      <c r="BC4" s="1058"/>
      <c r="BD4" s="1050"/>
      <c r="BE4" s="1050"/>
      <c r="BF4" s="1050"/>
      <c r="BI4" s="1003"/>
      <c r="BJ4" s="1004"/>
      <c r="BK4" s="1005"/>
      <c r="BL4" s="1012" t="s">
        <v>0</v>
      </c>
      <c r="BM4" s="1013"/>
      <c r="BN4" s="1013"/>
      <c r="BO4" s="1013"/>
      <c r="BP4" s="1013"/>
      <c r="BQ4" s="1013"/>
      <c r="BR4" s="1013"/>
      <c r="BS4" s="1013"/>
      <c r="BT4" s="1014"/>
      <c r="BU4" s="1050"/>
      <c r="BV4" s="1050"/>
      <c r="BW4" s="1050"/>
      <c r="BX4" s="1050"/>
      <c r="BY4" s="1058"/>
      <c r="BZ4" s="1058"/>
      <c r="CA4" s="1050"/>
      <c r="CB4" s="1050"/>
      <c r="CC4" s="1050"/>
      <c r="CF4" s="1003"/>
      <c r="CG4" s="1004"/>
      <c r="CH4" s="1005"/>
      <c r="CI4" s="1012" t="s">
        <v>0</v>
      </c>
      <c r="CJ4" s="1013"/>
      <c r="CK4" s="1013"/>
      <c r="CL4" s="1013"/>
      <c r="CM4" s="1013"/>
      <c r="CN4" s="1013"/>
      <c r="CO4" s="1013"/>
      <c r="CP4" s="1013"/>
      <c r="CQ4" s="1014"/>
      <c r="CR4" s="1050"/>
      <c r="CS4" s="1050"/>
      <c r="CT4" s="1050"/>
      <c r="CU4" s="1050"/>
      <c r="CV4" s="1058"/>
      <c r="CW4" s="1058"/>
      <c r="CX4" s="1050"/>
      <c r="CY4" s="1050"/>
      <c r="CZ4" s="1050"/>
    </row>
    <row r="5" spans="1:104" ht="19.5" customHeight="1" thickTop="1">
      <c r="B5" s="1006"/>
      <c r="C5" s="1007"/>
      <c r="D5" s="1008"/>
      <c r="E5" s="1015"/>
      <c r="F5" s="1016"/>
      <c r="G5" s="1016"/>
      <c r="H5" s="1017"/>
      <c r="I5" s="1017"/>
      <c r="J5" s="1017"/>
      <c r="K5" s="1017"/>
      <c r="L5" s="1017"/>
      <c r="M5" s="1018"/>
      <c r="O5" s="1006"/>
      <c r="P5" s="1007"/>
      <c r="Q5" s="1008"/>
      <c r="R5" s="1029"/>
      <c r="S5" s="1030"/>
      <c r="T5" s="1030"/>
      <c r="U5" s="1030"/>
      <c r="V5" s="1030"/>
      <c r="W5" s="1030"/>
      <c r="X5" s="1030"/>
      <c r="Y5" s="1030"/>
      <c r="Z5" s="1031"/>
      <c r="AA5" s="1050"/>
      <c r="AB5" s="1050"/>
      <c r="AC5" s="1050"/>
      <c r="AD5" s="1050"/>
      <c r="AE5" s="1058"/>
      <c r="AF5" s="1058"/>
      <c r="AG5" s="1050"/>
      <c r="AH5" s="1050"/>
      <c r="AI5" s="1050"/>
      <c r="AL5" s="1006"/>
      <c r="AM5" s="1007"/>
      <c r="AN5" s="1008"/>
      <c r="AO5" s="1029"/>
      <c r="AP5" s="1030"/>
      <c r="AQ5" s="1030"/>
      <c r="AR5" s="1030"/>
      <c r="AS5" s="1030"/>
      <c r="AT5" s="1030"/>
      <c r="AU5" s="1030"/>
      <c r="AV5" s="1030"/>
      <c r="AW5" s="1031"/>
      <c r="AX5" s="1050"/>
      <c r="AY5" s="1050"/>
      <c r="AZ5" s="1050"/>
      <c r="BA5" s="1050"/>
      <c r="BB5" s="1058"/>
      <c r="BC5" s="1058"/>
      <c r="BD5" s="1050"/>
      <c r="BE5" s="1050"/>
      <c r="BF5" s="1050"/>
      <c r="BI5" s="1006"/>
      <c r="BJ5" s="1007"/>
      <c r="BK5" s="1008"/>
      <c r="BL5" s="1029"/>
      <c r="BM5" s="1030"/>
      <c r="BN5" s="1030"/>
      <c r="BO5" s="1030"/>
      <c r="BP5" s="1030"/>
      <c r="BQ5" s="1030"/>
      <c r="BR5" s="1030"/>
      <c r="BS5" s="1030"/>
      <c r="BT5" s="1031"/>
      <c r="BU5" s="1050"/>
      <c r="BV5" s="1050"/>
      <c r="BW5" s="1050"/>
      <c r="BX5" s="1050"/>
      <c r="BY5" s="1058"/>
      <c r="BZ5" s="1058"/>
      <c r="CA5" s="1050"/>
      <c r="CB5" s="1050"/>
      <c r="CC5" s="1050"/>
      <c r="CF5" s="1006"/>
      <c r="CG5" s="1007"/>
      <c r="CH5" s="1008"/>
      <c r="CI5" s="1029"/>
      <c r="CJ5" s="1030"/>
      <c r="CK5" s="1030"/>
      <c r="CL5" s="1030"/>
      <c r="CM5" s="1030"/>
      <c r="CN5" s="1030"/>
      <c r="CO5" s="1030"/>
      <c r="CP5" s="1030"/>
      <c r="CQ5" s="1031"/>
      <c r="CR5" s="1050"/>
      <c r="CS5" s="1050"/>
      <c r="CT5" s="1050"/>
      <c r="CU5" s="1050"/>
      <c r="CV5" s="1058"/>
      <c r="CW5" s="1058"/>
      <c r="CX5" s="1050"/>
      <c r="CY5" s="1050"/>
      <c r="CZ5" s="1050"/>
    </row>
    <row r="6" spans="1:104" ht="19.5" customHeight="1" thickBot="1">
      <c r="B6" s="1006"/>
      <c r="C6" s="1007"/>
      <c r="D6" s="1008"/>
      <c r="E6" s="1019"/>
      <c r="F6" s="1020"/>
      <c r="G6" s="1020"/>
      <c r="H6" s="1021"/>
      <c r="I6" s="1021"/>
      <c r="J6" s="1021"/>
      <c r="K6" s="1021"/>
      <c r="L6" s="1021"/>
      <c r="M6" s="1022"/>
      <c r="O6" s="1006"/>
      <c r="P6" s="1007"/>
      <c r="Q6" s="1008"/>
      <c r="R6" s="1032"/>
      <c r="S6" s="1033"/>
      <c r="T6" s="1033"/>
      <c r="U6" s="1033"/>
      <c r="V6" s="1033"/>
      <c r="W6" s="1033"/>
      <c r="X6" s="1033"/>
      <c r="Y6" s="1033"/>
      <c r="Z6" s="1034"/>
      <c r="AA6" s="1050"/>
      <c r="AB6" s="1050"/>
      <c r="AC6" s="1050"/>
      <c r="AD6" s="1050"/>
      <c r="AE6" s="1058"/>
      <c r="AF6" s="1058"/>
      <c r="AG6" s="1050"/>
      <c r="AH6" s="1050"/>
      <c r="AI6" s="1050"/>
      <c r="AL6" s="1006"/>
      <c r="AM6" s="1007"/>
      <c r="AN6" s="1008"/>
      <c r="AO6" s="1032"/>
      <c r="AP6" s="1033"/>
      <c r="AQ6" s="1033"/>
      <c r="AR6" s="1033"/>
      <c r="AS6" s="1033"/>
      <c r="AT6" s="1033"/>
      <c r="AU6" s="1033"/>
      <c r="AV6" s="1033"/>
      <c r="AW6" s="1034"/>
      <c r="AX6" s="1050"/>
      <c r="AY6" s="1050"/>
      <c r="AZ6" s="1050"/>
      <c r="BA6" s="1050"/>
      <c r="BB6" s="1058"/>
      <c r="BC6" s="1058"/>
      <c r="BD6" s="1050"/>
      <c r="BE6" s="1050"/>
      <c r="BF6" s="1050"/>
      <c r="BI6" s="1006"/>
      <c r="BJ6" s="1007"/>
      <c r="BK6" s="1008"/>
      <c r="BL6" s="1032"/>
      <c r="BM6" s="1033"/>
      <c r="BN6" s="1033"/>
      <c r="BO6" s="1033"/>
      <c r="BP6" s="1033"/>
      <c r="BQ6" s="1033"/>
      <c r="BR6" s="1033"/>
      <c r="BS6" s="1033"/>
      <c r="BT6" s="1034"/>
      <c r="BU6" s="1050"/>
      <c r="BV6" s="1050"/>
      <c r="BW6" s="1050"/>
      <c r="BX6" s="1050"/>
      <c r="BY6" s="1058"/>
      <c r="BZ6" s="1058"/>
      <c r="CA6" s="1050"/>
      <c r="CB6" s="1050"/>
      <c r="CC6" s="1050"/>
      <c r="CF6" s="1006"/>
      <c r="CG6" s="1007"/>
      <c r="CH6" s="1008"/>
      <c r="CI6" s="1032"/>
      <c r="CJ6" s="1033"/>
      <c r="CK6" s="1033"/>
      <c r="CL6" s="1033"/>
      <c r="CM6" s="1033"/>
      <c r="CN6" s="1033"/>
      <c r="CO6" s="1033"/>
      <c r="CP6" s="1033"/>
      <c r="CQ6" s="1034"/>
      <c r="CR6" s="1050"/>
      <c r="CS6" s="1050"/>
      <c r="CT6" s="1050"/>
      <c r="CU6" s="1050"/>
      <c r="CV6" s="1058"/>
      <c r="CW6" s="1058"/>
      <c r="CX6" s="1050"/>
      <c r="CY6" s="1050"/>
      <c r="CZ6" s="1050"/>
    </row>
    <row r="7" spans="1:104" ht="19.5" customHeight="1" thickTop="1">
      <c r="B7" s="1006"/>
      <c r="C7" s="1007"/>
      <c r="D7" s="1008"/>
      <c r="E7" s="102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del Proyecto nueva sede FNSP etapa1, ubicada en el Municipio de Medellín.</v>
      </c>
      <c r="F7" s="1024"/>
      <c r="G7" s="1024"/>
      <c r="H7" s="1024"/>
      <c r="I7" s="1024"/>
      <c r="J7" s="1024"/>
      <c r="K7" s="1024"/>
      <c r="L7" s="1024"/>
      <c r="M7" s="1025"/>
      <c r="O7" s="1006"/>
      <c r="P7" s="1007"/>
      <c r="Q7" s="1008"/>
      <c r="R7" s="102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del Proyecto nueva sede FNSP etapa1, ubicada en el Municipio de Medellín.</v>
      </c>
      <c r="S7" s="1024"/>
      <c r="T7" s="1024"/>
      <c r="U7" s="1024"/>
      <c r="V7" s="1024"/>
      <c r="W7" s="1024"/>
      <c r="X7" s="1024"/>
      <c r="Y7" s="1024"/>
      <c r="Z7" s="1025"/>
      <c r="AA7" s="1050"/>
      <c r="AB7" s="1050"/>
      <c r="AC7" s="1050"/>
      <c r="AD7" s="1050"/>
      <c r="AE7" s="1058"/>
      <c r="AF7" s="1058"/>
      <c r="AG7" s="1050"/>
      <c r="AH7" s="1050"/>
      <c r="AI7" s="1050"/>
      <c r="AL7" s="1006"/>
      <c r="AM7" s="1007"/>
      <c r="AN7" s="1008"/>
      <c r="AO7" s="102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del Proyecto nueva sede FNSP etapa1, ubicada en el Municipio de Medellín.</v>
      </c>
      <c r="AP7" s="1024"/>
      <c r="AQ7" s="1024"/>
      <c r="AR7" s="1024"/>
      <c r="AS7" s="1024"/>
      <c r="AT7" s="1024"/>
      <c r="AU7" s="1024"/>
      <c r="AV7" s="1024"/>
      <c r="AW7" s="1025"/>
      <c r="AX7" s="1050"/>
      <c r="AY7" s="1050"/>
      <c r="AZ7" s="1050"/>
      <c r="BA7" s="1050"/>
      <c r="BB7" s="1058"/>
      <c r="BC7" s="1058"/>
      <c r="BD7" s="1050"/>
      <c r="BE7" s="1050"/>
      <c r="BF7" s="1050"/>
      <c r="BI7" s="1006"/>
      <c r="BJ7" s="1007"/>
      <c r="BK7" s="1008"/>
      <c r="BL7" s="102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del Proyecto nueva sede FNSP etapa1, ubicada en el Municipio de Medellín.</v>
      </c>
      <c r="BM7" s="1024"/>
      <c r="BN7" s="1024"/>
      <c r="BO7" s="1024"/>
      <c r="BP7" s="1024"/>
      <c r="BQ7" s="1024"/>
      <c r="BR7" s="1024"/>
      <c r="BS7" s="1024"/>
      <c r="BT7" s="1025"/>
      <c r="BU7" s="1050"/>
      <c r="BV7" s="1050"/>
      <c r="BW7" s="1050"/>
      <c r="BX7" s="1050"/>
      <c r="BY7" s="1058"/>
      <c r="BZ7" s="1058"/>
      <c r="CA7" s="1050"/>
      <c r="CB7" s="1050"/>
      <c r="CC7" s="1050"/>
      <c r="CF7" s="1006"/>
      <c r="CG7" s="1007"/>
      <c r="CH7" s="1008"/>
      <c r="CI7" s="1023" t="str">
        <f>+'1_ENTREGA'!$A$4</f>
        <v>El Contratista se obliga con el Contratante a la ejecución de la Interventoría administrativa, financiera, contable, ambiental, social, jurídica y la supervisión técnica independiente conforme al Decreto No. 945 de 5 de junio de 2017, para el contrato de obra del Proyecto nueva sede FNSP etapa1, ubicada en el Municipio de Medellín.</v>
      </c>
      <c r="CJ7" s="1024"/>
      <c r="CK7" s="1024"/>
      <c r="CL7" s="1024"/>
      <c r="CM7" s="1024"/>
      <c r="CN7" s="1024"/>
      <c r="CO7" s="1024"/>
      <c r="CP7" s="1024"/>
      <c r="CQ7" s="1025"/>
      <c r="CR7" s="1050"/>
      <c r="CS7" s="1050"/>
      <c r="CT7" s="1050"/>
      <c r="CU7" s="1050"/>
      <c r="CV7" s="1058"/>
      <c r="CW7" s="1058"/>
      <c r="CX7" s="1050"/>
      <c r="CY7" s="1050"/>
      <c r="CZ7" s="1050"/>
    </row>
    <row r="8" spans="1:104" ht="149.25" customHeight="1" thickBot="1">
      <c r="B8" s="1009"/>
      <c r="C8" s="1010"/>
      <c r="D8" s="1011"/>
      <c r="E8" s="1026"/>
      <c r="F8" s="1027"/>
      <c r="G8" s="1027"/>
      <c r="H8" s="1027"/>
      <c r="I8" s="1027"/>
      <c r="J8" s="1027"/>
      <c r="K8" s="1027"/>
      <c r="L8" s="1027"/>
      <c r="M8" s="1028"/>
      <c r="O8" s="1009"/>
      <c r="P8" s="1010"/>
      <c r="Q8" s="1011"/>
      <c r="R8" s="1026"/>
      <c r="S8" s="1027"/>
      <c r="T8" s="1027"/>
      <c r="U8" s="1027"/>
      <c r="V8" s="1027"/>
      <c r="W8" s="1027"/>
      <c r="X8" s="1027"/>
      <c r="Y8" s="1027"/>
      <c r="Z8" s="1028"/>
      <c r="AA8" s="1050"/>
      <c r="AB8" s="1050"/>
      <c r="AC8" s="1050"/>
      <c r="AD8" s="1050"/>
      <c r="AE8" s="1058"/>
      <c r="AF8" s="1058"/>
      <c r="AG8" s="1050"/>
      <c r="AH8" s="1050"/>
      <c r="AI8" s="1050"/>
      <c r="AL8" s="1009"/>
      <c r="AM8" s="1010"/>
      <c r="AN8" s="1011"/>
      <c r="AO8" s="1026"/>
      <c r="AP8" s="1027"/>
      <c r="AQ8" s="1027"/>
      <c r="AR8" s="1027"/>
      <c r="AS8" s="1027"/>
      <c r="AT8" s="1027"/>
      <c r="AU8" s="1027"/>
      <c r="AV8" s="1027"/>
      <c r="AW8" s="1028"/>
      <c r="AX8" s="1050"/>
      <c r="AY8" s="1050"/>
      <c r="AZ8" s="1050"/>
      <c r="BA8" s="1050"/>
      <c r="BB8" s="1058"/>
      <c r="BC8" s="1058"/>
      <c r="BD8" s="1050"/>
      <c r="BE8" s="1050"/>
      <c r="BF8" s="1050"/>
      <c r="BI8" s="1009"/>
      <c r="BJ8" s="1010"/>
      <c r="BK8" s="1011"/>
      <c r="BL8" s="1026"/>
      <c r="BM8" s="1027"/>
      <c r="BN8" s="1027"/>
      <c r="BO8" s="1027"/>
      <c r="BP8" s="1027"/>
      <c r="BQ8" s="1027"/>
      <c r="BR8" s="1027"/>
      <c r="BS8" s="1027"/>
      <c r="BT8" s="1028"/>
      <c r="BU8" s="1050"/>
      <c r="BV8" s="1050"/>
      <c r="BW8" s="1050"/>
      <c r="BX8" s="1050"/>
      <c r="BY8" s="1058"/>
      <c r="BZ8" s="1058"/>
      <c r="CA8" s="1050"/>
      <c r="CB8" s="1050"/>
      <c r="CC8" s="1050"/>
      <c r="CF8" s="1009"/>
      <c r="CG8" s="1010"/>
      <c r="CH8" s="1011"/>
      <c r="CI8" s="1026"/>
      <c r="CJ8" s="1027"/>
      <c r="CK8" s="1027"/>
      <c r="CL8" s="1027"/>
      <c r="CM8" s="1027"/>
      <c r="CN8" s="1027"/>
      <c r="CO8" s="1027"/>
      <c r="CP8" s="1027"/>
      <c r="CQ8" s="1028"/>
      <c r="CR8" s="1050"/>
      <c r="CS8" s="1050"/>
      <c r="CT8" s="1050"/>
      <c r="CU8" s="1050"/>
      <c r="CV8" s="1058"/>
      <c r="CW8" s="1058"/>
      <c r="CX8" s="1050"/>
      <c r="CY8" s="1050"/>
      <c r="CZ8" s="1050"/>
    </row>
    <row r="9" spans="1:104" ht="92.25" customHeight="1" thickTop="1">
      <c r="B9" s="348" t="s">
        <v>90</v>
      </c>
      <c r="C9" s="349"/>
      <c r="D9" s="350" t="s">
        <v>187</v>
      </c>
      <c r="E9" s="351" t="s">
        <v>188</v>
      </c>
      <c r="F9" s="352" t="s">
        <v>189</v>
      </c>
      <c r="G9" s="353" t="s">
        <v>190</v>
      </c>
      <c r="H9" s="353" t="s">
        <v>326</v>
      </c>
      <c r="I9" s="354" t="s">
        <v>191</v>
      </c>
      <c r="J9" s="355" t="s">
        <v>327</v>
      </c>
      <c r="K9" s="355" t="s">
        <v>328</v>
      </c>
      <c r="L9" s="356" t="s">
        <v>329</v>
      </c>
      <c r="M9" s="357" t="s">
        <v>192</v>
      </c>
      <c r="O9" s="433" t="s">
        <v>90</v>
      </c>
      <c r="P9" s="434"/>
      <c r="Q9" s="435" t="s">
        <v>187</v>
      </c>
      <c r="R9" s="436" t="s">
        <v>188</v>
      </c>
      <c r="S9" s="437" t="s">
        <v>189</v>
      </c>
      <c r="T9" s="438" t="s">
        <v>190</v>
      </c>
      <c r="U9" s="438" t="s">
        <v>326</v>
      </c>
      <c r="V9" s="439" t="s">
        <v>191</v>
      </c>
      <c r="W9" s="440" t="s">
        <v>327</v>
      </c>
      <c r="X9" s="440" t="s">
        <v>328</v>
      </c>
      <c r="Y9" s="441" t="s">
        <v>329</v>
      </c>
      <c r="Z9" s="442" t="s">
        <v>192</v>
      </c>
      <c r="AA9" s="1050"/>
      <c r="AB9" s="1050"/>
      <c r="AC9" s="1050"/>
      <c r="AD9" s="1050"/>
      <c r="AE9" s="1058"/>
      <c r="AF9" s="1058"/>
      <c r="AG9" s="1050"/>
      <c r="AH9" s="1050"/>
      <c r="AI9" s="1050"/>
      <c r="AL9" s="433" t="s">
        <v>90</v>
      </c>
      <c r="AM9" s="434"/>
      <c r="AN9" s="435" t="s">
        <v>187</v>
      </c>
      <c r="AO9" s="436" t="s">
        <v>188</v>
      </c>
      <c r="AP9" s="437" t="s">
        <v>189</v>
      </c>
      <c r="AQ9" s="438" t="s">
        <v>190</v>
      </c>
      <c r="AR9" s="438" t="s">
        <v>326</v>
      </c>
      <c r="AS9" s="439" t="s">
        <v>191</v>
      </c>
      <c r="AT9" s="440" t="s">
        <v>327</v>
      </c>
      <c r="AU9" s="440" t="s">
        <v>328</v>
      </c>
      <c r="AV9" s="441" t="s">
        <v>329</v>
      </c>
      <c r="AW9" s="442" t="s">
        <v>192</v>
      </c>
      <c r="AX9" s="1050"/>
      <c r="AY9" s="1050"/>
      <c r="AZ9" s="1050"/>
      <c r="BA9" s="1050"/>
      <c r="BB9" s="1058"/>
      <c r="BC9" s="1058"/>
      <c r="BD9" s="1050"/>
      <c r="BE9" s="1050"/>
      <c r="BF9" s="1050"/>
      <c r="BI9" s="433" t="s">
        <v>90</v>
      </c>
      <c r="BJ9" s="434"/>
      <c r="BK9" s="435" t="s">
        <v>187</v>
      </c>
      <c r="BL9" s="436" t="s">
        <v>188</v>
      </c>
      <c r="BM9" s="437" t="s">
        <v>189</v>
      </c>
      <c r="BN9" s="438" t="s">
        <v>190</v>
      </c>
      <c r="BO9" s="438" t="s">
        <v>326</v>
      </c>
      <c r="BP9" s="439" t="s">
        <v>191</v>
      </c>
      <c r="BQ9" s="440" t="s">
        <v>327</v>
      </c>
      <c r="BR9" s="440" t="s">
        <v>328</v>
      </c>
      <c r="BS9" s="441" t="s">
        <v>329</v>
      </c>
      <c r="BT9" s="442" t="s">
        <v>192</v>
      </c>
      <c r="BU9" s="1050"/>
      <c r="BV9" s="1050"/>
      <c r="BW9" s="1050"/>
      <c r="BX9" s="1050"/>
      <c r="BY9" s="1058"/>
      <c r="BZ9" s="1058"/>
      <c r="CA9" s="1050"/>
      <c r="CB9" s="1050"/>
      <c r="CC9" s="1050"/>
      <c r="CF9" s="433" t="s">
        <v>90</v>
      </c>
      <c r="CG9" s="434"/>
      <c r="CH9" s="435" t="s">
        <v>187</v>
      </c>
      <c r="CI9" s="436" t="s">
        <v>188</v>
      </c>
      <c r="CJ9" s="437" t="s">
        <v>189</v>
      </c>
      <c r="CK9" s="438" t="s">
        <v>190</v>
      </c>
      <c r="CL9" s="438" t="s">
        <v>326</v>
      </c>
      <c r="CM9" s="439" t="s">
        <v>191</v>
      </c>
      <c r="CN9" s="440" t="s">
        <v>327</v>
      </c>
      <c r="CO9" s="440" t="s">
        <v>328</v>
      </c>
      <c r="CP9" s="441" t="s">
        <v>329</v>
      </c>
      <c r="CQ9" s="442" t="s">
        <v>192</v>
      </c>
      <c r="CR9" s="1050"/>
      <c r="CS9" s="1050"/>
      <c r="CT9" s="1050"/>
      <c r="CU9" s="1050"/>
      <c r="CV9" s="1058"/>
      <c r="CW9" s="1058"/>
      <c r="CX9" s="1050"/>
      <c r="CY9" s="1050"/>
      <c r="CZ9" s="1050"/>
    </row>
    <row r="10" spans="1:104" ht="16.5" thickBot="1">
      <c r="A10" s="175">
        <v>1</v>
      </c>
      <c r="B10" s="358" t="s">
        <v>212</v>
      </c>
      <c r="C10" s="358" t="s">
        <v>213</v>
      </c>
      <c r="D10" s="1038" t="s">
        <v>214</v>
      </c>
      <c r="E10" s="983"/>
      <c r="F10" s="983"/>
      <c r="G10" s="983"/>
      <c r="H10" s="983"/>
      <c r="I10" s="983"/>
      <c r="J10" s="983"/>
      <c r="K10" s="983"/>
      <c r="L10" s="983"/>
      <c r="M10" s="984"/>
      <c r="O10" s="443" t="s">
        <v>212</v>
      </c>
      <c r="P10" s="443" t="s">
        <v>213</v>
      </c>
      <c r="Q10" s="1038" t="s">
        <v>214</v>
      </c>
      <c r="R10" s="985"/>
      <c r="S10" s="985"/>
      <c r="T10" s="985"/>
      <c r="U10" s="985"/>
      <c r="V10" s="985"/>
      <c r="W10" s="985"/>
      <c r="X10" s="985"/>
      <c r="Y10" s="985"/>
      <c r="Z10" s="986"/>
      <c r="AA10" s="1051"/>
      <c r="AB10" s="1051"/>
      <c r="AC10" s="1051"/>
      <c r="AD10" s="1051"/>
      <c r="AE10" s="1059"/>
      <c r="AF10" s="1059"/>
      <c r="AG10" s="1051"/>
      <c r="AH10" s="1051"/>
      <c r="AI10" s="1051"/>
      <c r="AL10" s="516" t="s">
        <v>212</v>
      </c>
      <c r="AM10" s="517" t="s">
        <v>213</v>
      </c>
      <c r="AN10" s="1068" t="s">
        <v>214</v>
      </c>
      <c r="AO10" s="1069"/>
      <c r="AP10" s="1069"/>
      <c r="AQ10" s="1069"/>
      <c r="AR10" s="1069"/>
      <c r="AS10" s="1069"/>
      <c r="AT10" s="1069"/>
      <c r="AU10" s="1069"/>
      <c r="AV10" s="1069"/>
      <c r="AW10" s="1070"/>
      <c r="AX10" s="1051"/>
      <c r="AY10" s="1051"/>
      <c r="AZ10" s="1051"/>
      <c r="BA10" s="1051"/>
      <c r="BB10" s="1059"/>
      <c r="BC10" s="1059"/>
      <c r="BD10" s="1051"/>
      <c r="BE10" s="1051"/>
      <c r="BF10" s="1051"/>
      <c r="BI10" s="608" t="s">
        <v>212</v>
      </c>
      <c r="BJ10" s="608" t="s">
        <v>213</v>
      </c>
      <c r="BK10" s="1099" t="s">
        <v>214</v>
      </c>
      <c r="BL10" s="1100"/>
      <c r="BM10" s="1100"/>
      <c r="BN10" s="1100"/>
      <c r="BO10" s="1100"/>
      <c r="BP10" s="1100"/>
      <c r="BQ10" s="1100"/>
      <c r="BR10" s="1100"/>
      <c r="BS10" s="1100"/>
      <c r="BT10" s="1101"/>
      <c r="BU10" s="1051"/>
      <c r="BV10" s="1051"/>
      <c r="BW10" s="1051"/>
      <c r="BX10" s="1051"/>
      <c r="BY10" s="1059"/>
      <c r="BZ10" s="1059"/>
      <c r="CA10" s="1051"/>
      <c r="CB10" s="1051"/>
      <c r="CC10" s="1051"/>
      <c r="CF10" s="608" t="s">
        <v>212</v>
      </c>
      <c r="CG10" s="608" t="s">
        <v>213</v>
      </c>
      <c r="CH10" s="1099" t="s">
        <v>214</v>
      </c>
      <c r="CI10" s="1100"/>
      <c r="CJ10" s="1100"/>
      <c r="CK10" s="1100"/>
      <c r="CL10" s="1100"/>
      <c r="CM10" s="1100"/>
      <c r="CN10" s="1100"/>
      <c r="CO10" s="1100"/>
      <c r="CP10" s="1100"/>
      <c r="CQ10" s="1101"/>
      <c r="CR10" s="1051"/>
      <c r="CS10" s="1051"/>
      <c r="CT10" s="1051"/>
      <c r="CU10" s="1051"/>
      <c r="CV10" s="1059"/>
      <c r="CW10" s="1059"/>
      <c r="CX10" s="1051"/>
      <c r="CY10" s="1051"/>
      <c r="CZ10" s="1051"/>
    </row>
    <row r="11" spans="1:104" ht="64.5" customHeight="1" thickTop="1">
      <c r="A11" s="175">
        <f>+A10+1</f>
        <v>2</v>
      </c>
      <c r="B11" s="359" t="s">
        <v>184</v>
      </c>
      <c r="C11" s="359" t="s">
        <v>215</v>
      </c>
      <c r="D11" s="360" t="s">
        <v>330</v>
      </c>
      <c r="E11" s="361">
        <v>1</v>
      </c>
      <c r="F11" s="429">
        <v>0</v>
      </c>
      <c r="G11" s="362">
        <v>0</v>
      </c>
      <c r="H11" s="362">
        <v>0</v>
      </c>
      <c r="I11" s="363">
        <v>0.25</v>
      </c>
      <c r="J11" s="364">
        <v>1</v>
      </c>
      <c r="K11" s="365">
        <v>12</v>
      </c>
      <c r="L11" s="365">
        <v>5</v>
      </c>
      <c r="M11" s="366">
        <v>0</v>
      </c>
      <c r="O11" s="444" t="s">
        <v>184</v>
      </c>
      <c r="P11" s="444" t="s">
        <v>215</v>
      </c>
      <c r="Q11" s="445" t="s">
        <v>330</v>
      </c>
      <c r="R11" s="446">
        <v>1</v>
      </c>
      <c r="S11" s="514">
        <v>8000000</v>
      </c>
      <c r="T11" s="447">
        <v>8279999.9999999991</v>
      </c>
      <c r="U11" s="447">
        <v>8569799.9999999981</v>
      </c>
      <c r="V11" s="448">
        <v>0.25</v>
      </c>
      <c r="W11" s="449">
        <v>1</v>
      </c>
      <c r="X11" s="450">
        <v>12</v>
      </c>
      <c r="Y11" s="450">
        <v>5</v>
      </c>
      <c r="Z11" s="451">
        <v>37552250</v>
      </c>
      <c r="AA11" s="106">
        <f t="shared" ref="AA11" si="0">IFERROR(IF(EXACT(VLOOKUP(O11,OFERTA_0,1,FALSE),O11),1,0),0)</f>
        <v>1</v>
      </c>
      <c r="AB11" s="106">
        <f t="shared" ref="AB11" si="1">IFERROR(IF(EXACT(VLOOKUP(O11,OFERTA_0,3,FALSE),Q11),1,0),0)</f>
        <v>1</v>
      </c>
      <c r="AC11" s="106">
        <f t="shared" ref="AC11" si="2">IFERROR(IF(EXACT(VLOOKUP(O11,OFERTA_0,4,FALSE),R11),1,0),0)</f>
        <v>1</v>
      </c>
      <c r="AD11" s="106">
        <f>IF(EXACT(SUM($I11:$L11),SUM(V11:Y11)),1,0)</f>
        <v>1</v>
      </c>
      <c r="AE11" s="106">
        <f>IFERROR(IF(PRODUCT(S11:U11)&lt;=0,0,1),0)</f>
        <v>1</v>
      </c>
      <c r="AF11" s="106">
        <f>IFERROR(IF(Z11&lt;=0,0,1),0)</f>
        <v>1</v>
      </c>
      <c r="AG11" s="106">
        <f>PRODUCT(AA11:AF11)</f>
        <v>1</v>
      </c>
      <c r="AH11" s="107">
        <f>ROUND(Z11,0)</f>
        <v>37552250</v>
      </c>
      <c r="AI11" s="108">
        <f>Z11-AH11</f>
        <v>0</v>
      </c>
      <c r="AL11" s="518" t="s">
        <v>184</v>
      </c>
      <c r="AM11" s="519" t="s">
        <v>215</v>
      </c>
      <c r="AN11" s="520" t="s">
        <v>356</v>
      </c>
      <c r="AO11" s="521">
        <v>1</v>
      </c>
      <c r="AP11" s="522">
        <v>9000000</v>
      </c>
      <c r="AQ11" s="523">
        <v>9315000</v>
      </c>
      <c r="AR11" s="523">
        <v>9641025</v>
      </c>
      <c r="AS11" s="524">
        <v>0.25</v>
      </c>
      <c r="AT11" s="525">
        <v>1</v>
      </c>
      <c r="AU11" s="526">
        <v>12</v>
      </c>
      <c r="AV11" s="526">
        <v>5</v>
      </c>
      <c r="AW11" s="527">
        <v>42246281</v>
      </c>
      <c r="AX11" s="106">
        <f t="shared" ref="AX11:AX18" si="3">IFERROR(IF(EXACT(VLOOKUP(AL11,OFERTA_0,1,FALSE),AL11),1,0),0)</f>
        <v>1</v>
      </c>
      <c r="AY11" s="106">
        <f t="shared" ref="AY11:AY18" si="4">IFERROR(IF(EXACT(VLOOKUP(AL11,OFERTA_0,3,FALSE),AN11),1,0),0)</f>
        <v>1</v>
      </c>
      <c r="AZ11" s="106">
        <f t="shared" ref="AZ11:AZ18" si="5">IFERROR(IF(EXACT(VLOOKUP(AL11,OFERTA_0,4,FALSE),AO11),1,0),0)</f>
        <v>1</v>
      </c>
      <c r="BA11" s="106">
        <f>IF(EXACT(SUM($I11:$L11),SUM(AS11:AV11)),1,0)</f>
        <v>1</v>
      </c>
      <c r="BB11" s="106">
        <f>IFERROR(IF(PRODUCT(AP11:AR11)&lt;=0,0,1),0)</f>
        <v>1</v>
      </c>
      <c r="BC11" s="106">
        <f>IFERROR(IF(AW11&lt;=0,0,1),0)</f>
        <v>1</v>
      </c>
      <c r="BD11" s="106">
        <f>PRODUCT(AX11:BC11)</f>
        <v>1</v>
      </c>
      <c r="BE11" s="107">
        <f>ROUND(AW11,0)</f>
        <v>42246281</v>
      </c>
      <c r="BF11" s="108">
        <f>AW11-BE11</f>
        <v>0</v>
      </c>
      <c r="BI11" s="609" t="s">
        <v>184</v>
      </c>
      <c r="BJ11" s="609" t="s">
        <v>215</v>
      </c>
      <c r="BK11" s="610" t="s">
        <v>356</v>
      </c>
      <c r="BL11" s="611">
        <v>1</v>
      </c>
      <c r="BM11" s="612">
        <v>9740259.7402597405</v>
      </c>
      <c r="BN11" s="613">
        <v>10081168.83116883</v>
      </c>
      <c r="BO11" s="613">
        <v>10434009.740259739</v>
      </c>
      <c r="BP11" s="614">
        <v>0.25</v>
      </c>
      <c r="BQ11" s="615">
        <v>1</v>
      </c>
      <c r="BR11" s="616">
        <v>12</v>
      </c>
      <c r="BS11" s="616">
        <v>5</v>
      </c>
      <c r="BT11" s="617">
        <v>45721083</v>
      </c>
      <c r="BU11" s="106">
        <f t="shared" ref="BU11:BU18" si="6">IFERROR(IF(EXACT(VLOOKUP(BI11,OFERTA_0,1,FALSE),BI11),1,0),0)</f>
        <v>1</v>
      </c>
      <c r="BV11" s="106">
        <f t="shared" ref="BV11:BV18" si="7">IFERROR(IF(EXACT(VLOOKUP(BI11,OFERTA_0,3,FALSE),BK11),1,0),0)</f>
        <v>1</v>
      </c>
      <c r="BW11" s="106">
        <f t="shared" ref="BW11:BW18" si="8">IFERROR(IF(EXACT(VLOOKUP(BI11,OFERTA_0,4,FALSE),BL11),1,0),0)</f>
        <v>1</v>
      </c>
      <c r="BX11" s="106">
        <f>IF(EXACT(SUM($I11:$L11),SUM(BP11:BS11)),1,0)</f>
        <v>1</v>
      </c>
      <c r="BY11" s="106">
        <f>IFERROR(IF(PRODUCT(BM11:BO11)&lt;=0,0,1),0)</f>
        <v>1</v>
      </c>
      <c r="BZ11" s="106">
        <f>IFERROR(IF(BT11&lt;=0,0,1),0)</f>
        <v>1</v>
      </c>
      <c r="CA11" s="106">
        <f>PRODUCT(BU11:BZ11)</f>
        <v>1</v>
      </c>
      <c r="CB11" s="107">
        <f>ROUND(BT11,0)</f>
        <v>45721083</v>
      </c>
      <c r="CC11" s="108">
        <f>BT11-CB11</f>
        <v>0</v>
      </c>
      <c r="CF11" s="609" t="s">
        <v>184</v>
      </c>
      <c r="CG11" s="609" t="s">
        <v>215</v>
      </c>
      <c r="CH11" s="610" t="s">
        <v>356</v>
      </c>
      <c r="CI11" s="611">
        <v>1</v>
      </c>
      <c r="CJ11" s="612">
        <v>9004499.9999999981</v>
      </c>
      <c r="CK11" s="613">
        <v>9319657.4999999981</v>
      </c>
      <c r="CL11" s="613">
        <v>9645845.5124999974</v>
      </c>
      <c r="CM11" s="614">
        <v>0.25</v>
      </c>
      <c r="CN11" s="615">
        <v>1</v>
      </c>
      <c r="CO11" s="616">
        <v>12</v>
      </c>
      <c r="CP11" s="616">
        <v>5</v>
      </c>
      <c r="CQ11" s="617">
        <v>42267405</v>
      </c>
      <c r="CR11" s="106">
        <f t="shared" ref="CR11:CR18" si="9">IFERROR(IF(EXACT(VLOOKUP(CF11,OFERTA_0,1,FALSE),CF11),1,0),0)</f>
        <v>1</v>
      </c>
      <c r="CS11" s="106">
        <f t="shared" ref="CS11:CS18" si="10">IFERROR(IF(EXACT(VLOOKUP(CF11,OFERTA_0,3,FALSE),CH11),1,0),0)</f>
        <v>1</v>
      </c>
      <c r="CT11" s="106">
        <f t="shared" ref="CT11:CT18" si="11">IFERROR(IF(EXACT(VLOOKUP(CF11,OFERTA_0,4,FALSE),CI11),1,0),0)</f>
        <v>1</v>
      </c>
      <c r="CU11" s="106">
        <f>IF(EXACT(SUM($I11:$L11),SUM(CM11:CP11)),1,0)</f>
        <v>1</v>
      </c>
      <c r="CV11" s="106">
        <f>IFERROR(IF(PRODUCT(CJ11:CL11)&lt;=0,0,1),0)</f>
        <v>1</v>
      </c>
      <c r="CW11" s="106">
        <f>IFERROR(IF(CQ11&lt;=0,0,1),0)</f>
        <v>1</v>
      </c>
      <c r="CX11" s="106">
        <f>PRODUCT(CR11:CW11)</f>
        <v>1</v>
      </c>
      <c r="CY11" s="107">
        <f>ROUND(CQ11,0)</f>
        <v>42267405</v>
      </c>
      <c r="CZ11" s="108">
        <f>CQ11-CY11</f>
        <v>0</v>
      </c>
    </row>
    <row r="12" spans="1:104" ht="45.75">
      <c r="A12" s="175">
        <f t="shared" ref="A12:A38" si="12">+A11+1</f>
        <v>3</v>
      </c>
      <c r="B12" s="359" t="s">
        <v>331</v>
      </c>
      <c r="C12" s="359" t="s">
        <v>136</v>
      </c>
      <c r="D12" s="360" t="s">
        <v>332</v>
      </c>
      <c r="E12" s="367">
        <v>1</v>
      </c>
      <c r="F12" s="429">
        <v>0</v>
      </c>
      <c r="G12" s="362">
        <v>0</v>
      </c>
      <c r="H12" s="362">
        <v>0</v>
      </c>
      <c r="I12" s="363">
        <v>0.25</v>
      </c>
      <c r="J12" s="364">
        <v>1</v>
      </c>
      <c r="K12" s="365">
        <v>12</v>
      </c>
      <c r="L12" s="365">
        <v>6</v>
      </c>
      <c r="M12" s="366">
        <v>0</v>
      </c>
      <c r="O12" s="444" t="s">
        <v>331</v>
      </c>
      <c r="P12" s="444" t="s">
        <v>136</v>
      </c>
      <c r="Q12" s="445" t="s">
        <v>332</v>
      </c>
      <c r="R12" s="452">
        <v>1</v>
      </c>
      <c r="S12" s="514">
        <v>6000000</v>
      </c>
      <c r="T12" s="447">
        <v>6209999.9999999991</v>
      </c>
      <c r="U12" s="447">
        <v>6427349.9999999981</v>
      </c>
      <c r="V12" s="448">
        <v>0.25</v>
      </c>
      <c r="W12" s="449">
        <v>1</v>
      </c>
      <c r="X12" s="450">
        <v>12</v>
      </c>
      <c r="Y12" s="450">
        <v>6</v>
      </c>
      <c r="Z12" s="451">
        <v>29771025</v>
      </c>
      <c r="AA12" s="106">
        <f t="shared" ref="AA12:AA18" si="13">IFERROR(IF(EXACT(VLOOKUP(O12,OFERTA_0,1,FALSE),O12),1,0),0)</f>
        <v>1</v>
      </c>
      <c r="AB12" s="106">
        <f t="shared" ref="AB12:AB18" si="14">IFERROR(IF(EXACT(VLOOKUP(O12,OFERTA_0,3,FALSE),Q12),1,0),0)</f>
        <v>1</v>
      </c>
      <c r="AC12" s="106">
        <f t="shared" ref="AC12:AC18" si="15">IFERROR(IF(EXACT(VLOOKUP(O12,OFERTA_0,4,FALSE),R12),1,0),0)</f>
        <v>1</v>
      </c>
      <c r="AD12" s="106">
        <f t="shared" ref="AD12:AD18" si="16">IF(EXACT(SUM($I12:$L12),SUM(V12:Y12)),1,0)</f>
        <v>1</v>
      </c>
      <c r="AE12" s="106">
        <f t="shared" ref="AE12:AE18" si="17">IFERROR(IF(PRODUCT(S12:U12)&lt;=0,0,1),0)</f>
        <v>1</v>
      </c>
      <c r="AF12" s="106">
        <f t="shared" ref="AF12:AF18" si="18">IFERROR(IF(Z12&lt;=0,0,1),0)</f>
        <v>1</v>
      </c>
      <c r="AG12" s="106">
        <f t="shared" ref="AG12:AG18" si="19">PRODUCT(AA12:AF12)</f>
        <v>1</v>
      </c>
      <c r="AH12" s="107">
        <f t="shared" ref="AH12:AH18" si="20">ROUND(Z12,0)</f>
        <v>29771025</v>
      </c>
      <c r="AI12" s="108">
        <f t="shared" ref="AI12:AI18" si="21">Z12-AH12</f>
        <v>0</v>
      </c>
      <c r="AL12" s="518" t="s">
        <v>331</v>
      </c>
      <c r="AM12" s="519" t="s">
        <v>136</v>
      </c>
      <c r="AN12" s="520" t="s">
        <v>357</v>
      </c>
      <c r="AO12" s="528">
        <v>1</v>
      </c>
      <c r="AP12" s="522">
        <v>8000000</v>
      </c>
      <c r="AQ12" s="523">
        <v>8279999.9999999991</v>
      </c>
      <c r="AR12" s="523">
        <v>8569799.9999999981</v>
      </c>
      <c r="AS12" s="524">
        <v>0.25</v>
      </c>
      <c r="AT12" s="525">
        <v>1</v>
      </c>
      <c r="AU12" s="526">
        <v>12</v>
      </c>
      <c r="AV12" s="526">
        <v>6</v>
      </c>
      <c r="AW12" s="527">
        <v>39694700</v>
      </c>
      <c r="AX12" s="106">
        <f t="shared" si="3"/>
        <v>1</v>
      </c>
      <c r="AY12" s="106">
        <f t="shared" si="4"/>
        <v>1</v>
      </c>
      <c r="AZ12" s="106">
        <f t="shared" si="5"/>
        <v>1</v>
      </c>
      <c r="BA12" s="106">
        <f t="shared" ref="BA12:BA18" si="22">IF(EXACT(SUM($I12:$L12),SUM(AS12:AV12)),1,0)</f>
        <v>1</v>
      </c>
      <c r="BB12" s="106">
        <f t="shared" ref="BB12:BB18" si="23">IFERROR(IF(PRODUCT(AP12:AR12)&lt;=0,0,1),0)</f>
        <v>1</v>
      </c>
      <c r="BC12" s="106">
        <f t="shared" ref="BC12:BC18" si="24">IFERROR(IF(AW12&lt;=0,0,1),0)</f>
        <v>1</v>
      </c>
      <c r="BD12" s="106">
        <f t="shared" ref="BD12:BD18" si="25">PRODUCT(AX12:BC12)</f>
        <v>1</v>
      </c>
      <c r="BE12" s="107">
        <f t="shared" ref="BE12:BE18" si="26">ROUND(AW12,0)</f>
        <v>39694700</v>
      </c>
      <c r="BF12" s="108">
        <f t="shared" ref="BF12:BF18" si="27">AW12-BE12</f>
        <v>0</v>
      </c>
      <c r="BI12" s="609" t="s">
        <v>331</v>
      </c>
      <c r="BJ12" s="609" t="s">
        <v>136</v>
      </c>
      <c r="BK12" s="610" t="s">
        <v>357</v>
      </c>
      <c r="BL12" s="618">
        <v>1</v>
      </c>
      <c r="BM12" s="612">
        <v>5389610.3896103892</v>
      </c>
      <c r="BN12" s="613">
        <v>5578246.7532467525</v>
      </c>
      <c r="BO12" s="613">
        <v>5773485.3896103883</v>
      </c>
      <c r="BP12" s="614">
        <v>0.25</v>
      </c>
      <c r="BQ12" s="615">
        <v>1</v>
      </c>
      <c r="BR12" s="616">
        <v>12</v>
      </c>
      <c r="BS12" s="616">
        <v>6</v>
      </c>
      <c r="BT12" s="617">
        <v>26742371</v>
      </c>
      <c r="BU12" s="106">
        <f t="shared" si="6"/>
        <v>1</v>
      </c>
      <c r="BV12" s="106">
        <f t="shared" si="7"/>
        <v>1</v>
      </c>
      <c r="BW12" s="106">
        <f t="shared" si="8"/>
        <v>1</v>
      </c>
      <c r="BX12" s="106">
        <f t="shared" ref="BX12:BX18" si="28">IF(EXACT(SUM($I12:$L12),SUM(BP12:BS12)),1,0)</f>
        <v>1</v>
      </c>
      <c r="BY12" s="106">
        <f t="shared" ref="BY12:BY18" si="29">IFERROR(IF(PRODUCT(BM12:BO12)&lt;=0,0,1),0)</f>
        <v>1</v>
      </c>
      <c r="BZ12" s="106">
        <f t="shared" ref="BZ12:BZ18" si="30">IFERROR(IF(BT12&lt;=0,0,1),0)</f>
        <v>1</v>
      </c>
      <c r="CA12" s="106">
        <f t="shared" ref="CA12:CA18" si="31">PRODUCT(BU12:BZ12)</f>
        <v>1</v>
      </c>
      <c r="CB12" s="107">
        <f t="shared" ref="CB12:CB18" si="32">ROUND(BT12,0)</f>
        <v>26742371</v>
      </c>
      <c r="CC12" s="108">
        <f t="shared" ref="CC12:CC18" si="33">BT12-CB12</f>
        <v>0</v>
      </c>
      <c r="CF12" s="609" t="s">
        <v>331</v>
      </c>
      <c r="CG12" s="609" t="s">
        <v>136</v>
      </c>
      <c r="CH12" s="610" t="s">
        <v>357</v>
      </c>
      <c r="CI12" s="618">
        <v>1</v>
      </c>
      <c r="CJ12" s="612">
        <v>5960095.1099999994</v>
      </c>
      <c r="CK12" s="613">
        <v>6168698.4388499986</v>
      </c>
      <c r="CL12" s="613">
        <v>6384602.8842097484</v>
      </c>
      <c r="CM12" s="614">
        <v>0.25</v>
      </c>
      <c r="CN12" s="615">
        <v>1</v>
      </c>
      <c r="CO12" s="616">
        <v>12</v>
      </c>
      <c r="CP12" s="616">
        <v>6</v>
      </c>
      <c r="CQ12" s="617">
        <v>29573023</v>
      </c>
      <c r="CR12" s="106">
        <f t="shared" si="9"/>
        <v>1</v>
      </c>
      <c r="CS12" s="106">
        <f t="shared" si="10"/>
        <v>1</v>
      </c>
      <c r="CT12" s="106">
        <f t="shared" si="11"/>
        <v>1</v>
      </c>
      <c r="CU12" s="106">
        <f t="shared" ref="CU12:CU18" si="34">IF(EXACT(SUM($I12:$L12),SUM(CM12:CP12)),1,0)</f>
        <v>1</v>
      </c>
      <c r="CV12" s="106">
        <f t="shared" ref="CV12:CV18" si="35">IFERROR(IF(PRODUCT(CJ12:CL12)&lt;=0,0,1),0)</f>
        <v>1</v>
      </c>
      <c r="CW12" s="106">
        <f t="shared" ref="CW12:CW18" si="36">IFERROR(IF(CQ12&lt;=0,0,1),0)</f>
        <v>1</v>
      </c>
      <c r="CX12" s="106">
        <f t="shared" ref="CX12:CX18" si="37">PRODUCT(CR12:CW12)</f>
        <v>1</v>
      </c>
      <c r="CY12" s="107">
        <f t="shared" ref="CY12:CY18" si="38">ROUND(CQ12,0)</f>
        <v>29573023</v>
      </c>
      <c r="CZ12" s="108">
        <f t="shared" ref="CZ12:CZ18" si="39">CQ12-CY12</f>
        <v>0</v>
      </c>
    </row>
    <row r="13" spans="1:104" ht="75.75" customHeight="1">
      <c r="A13" s="175">
        <f t="shared" si="12"/>
        <v>4</v>
      </c>
      <c r="B13" s="359" t="s">
        <v>333</v>
      </c>
      <c r="C13" s="359" t="s">
        <v>215</v>
      </c>
      <c r="D13" s="368" t="s">
        <v>217</v>
      </c>
      <c r="E13" s="369">
        <v>1</v>
      </c>
      <c r="F13" s="429">
        <v>0</v>
      </c>
      <c r="G13" s="362">
        <v>0</v>
      </c>
      <c r="H13" s="362">
        <v>0</v>
      </c>
      <c r="I13" s="370">
        <v>1</v>
      </c>
      <c r="J13" s="371">
        <v>1</v>
      </c>
      <c r="K13" s="372">
        <v>12</v>
      </c>
      <c r="L13" s="365">
        <v>5</v>
      </c>
      <c r="M13" s="366">
        <v>0</v>
      </c>
      <c r="O13" s="444" t="s">
        <v>333</v>
      </c>
      <c r="P13" s="444" t="s">
        <v>215</v>
      </c>
      <c r="Q13" s="453" t="s">
        <v>217</v>
      </c>
      <c r="R13" s="454">
        <v>1</v>
      </c>
      <c r="S13" s="514">
        <v>4250000</v>
      </c>
      <c r="T13" s="447">
        <v>4398750</v>
      </c>
      <c r="U13" s="447">
        <v>4552706.25</v>
      </c>
      <c r="V13" s="455">
        <v>1</v>
      </c>
      <c r="W13" s="456">
        <v>1</v>
      </c>
      <c r="X13" s="457">
        <v>12</v>
      </c>
      <c r="Y13" s="450">
        <v>5</v>
      </c>
      <c r="Z13" s="451">
        <v>79798531</v>
      </c>
      <c r="AA13" s="106">
        <f t="shared" si="13"/>
        <v>1</v>
      </c>
      <c r="AB13" s="106">
        <f t="shared" si="14"/>
        <v>1</v>
      </c>
      <c r="AC13" s="106">
        <f t="shared" si="15"/>
        <v>1</v>
      </c>
      <c r="AD13" s="106">
        <f t="shared" si="16"/>
        <v>1</v>
      </c>
      <c r="AE13" s="106">
        <f t="shared" si="17"/>
        <v>1</v>
      </c>
      <c r="AF13" s="106">
        <f t="shared" si="18"/>
        <v>1</v>
      </c>
      <c r="AG13" s="106">
        <f t="shared" si="19"/>
        <v>1</v>
      </c>
      <c r="AH13" s="107">
        <f t="shared" si="20"/>
        <v>79798531</v>
      </c>
      <c r="AI13" s="108">
        <f t="shared" si="21"/>
        <v>0</v>
      </c>
      <c r="AL13" s="518" t="s">
        <v>333</v>
      </c>
      <c r="AM13" s="519" t="s">
        <v>215</v>
      </c>
      <c r="AN13" s="529" t="s">
        <v>358</v>
      </c>
      <c r="AO13" s="530">
        <v>1</v>
      </c>
      <c r="AP13" s="522">
        <v>4000000</v>
      </c>
      <c r="AQ13" s="523">
        <v>4139999.9999999995</v>
      </c>
      <c r="AR13" s="523">
        <v>4284899.9999999991</v>
      </c>
      <c r="AS13" s="531">
        <v>1</v>
      </c>
      <c r="AT13" s="532">
        <v>1</v>
      </c>
      <c r="AU13" s="533">
        <v>12</v>
      </c>
      <c r="AV13" s="526">
        <v>5</v>
      </c>
      <c r="AW13" s="527">
        <v>75104500</v>
      </c>
      <c r="AX13" s="106">
        <f t="shared" si="3"/>
        <v>1</v>
      </c>
      <c r="AY13" s="106">
        <f t="shared" si="4"/>
        <v>1</v>
      </c>
      <c r="AZ13" s="106">
        <f t="shared" si="5"/>
        <v>1</v>
      </c>
      <c r="BA13" s="106">
        <f t="shared" si="22"/>
        <v>1</v>
      </c>
      <c r="BB13" s="106">
        <f t="shared" si="23"/>
        <v>1</v>
      </c>
      <c r="BC13" s="106">
        <f t="shared" si="24"/>
        <v>1</v>
      </c>
      <c r="BD13" s="106">
        <f t="shared" si="25"/>
        <v>1</v>
      </c>
      <c r="BE13" s="107">
        <f t="shared" si="26"/>
        <v>75104500</v>
      </c>
      <c r="BF13" s="108">
        <f t="shared" si="27"/>
        <v>0</v>
      </c>
      <c r="BI13" s="609" t="s">
        <v>333</v>
      </c>
      <c r="BJ13" s="609" t="s">
        <v>215</v>
      </c>
      <c r="BK13" s="619" t="s">
        <v>358</v>
      </c>
      <c r="BL13" s="620">
        <v>1</v>
      </c>
      <c r="BM13" s="612">
        <v>4200000</v>
      </c>
      <c r="BN13" s="613">
        <v>4347000</v>
      </c>
      <c r="BO13" s="613">
        <v>4499145</v>
      </c>
      <c r="BP13" s="621">
        <v>1</v>
      </c>
      <c r="BQ13" s="622">
        <v>1</v>
      </c>
      <c r="BR13" s="623">
        <v>12</v>
      </c>
      <c r="BS13" s="616">
        <v>5</v>
      </c>
      <c r="BT13" s="617">
        <v>78859725</v>
      </c>
      <c r="BU13" s="106">
        <f t="shared" si="6"/>
        <v>1</v>
      </c>
      <c r="BV13" s="106">
        <f t="shared" si="7"/>
        <v>1</v>
      </c>
      <c r="BW13" s="106">
        <f t="shared" si="8"/>
        <v>1</v>
      </c>
      <c r="BX13" s="106">
        <f t="shared" si="28"/>
        <v>1</v>
      </c>
      <c r="BY13" s="106">
        <f t="shared" si="29"/>
        <v>1</v>
      </c>
      <c r="BZ13" s="106">
        <f t="shared" si="30"/>
        <v>1</v>
      </c>
      <c r="CA13" s="106">
        <f t="shared" si="31"/>
        <v>1</v>
      </c>
      <c r="CB13" s="107">
        <f t="shared" si="32"/>
        <v>78859725</v>
      </c>
      <c r="CC13" s="108">
        <f t="shared" si="33"/>
        <v>0</v>
      </c>
      <c r="CF13" s="609" t="s">
        <v>333</v>
      </c>
      <c r="CG13" s="609" t="s">
        <v>215</v>
      </c>
      <c r="CH13" s="619" t="s">
        <v>358</v>
      </c>
      <c r="CI13" s="620">
        <v>1</v>
      </c>
      <c r="CJ13" s="612">
        <v>3622499.9999999995</v>
      </c>
      <c r="CK13" s="613">
        <v>3749287.4999999991</v>
      </c>
      <c r="CL13" s="613">
        <v>3880512.5624999986</v>
      </c>
      <c r="CM13" s="621">
        <v>1</v>
      </c>
      <c r="CN13" s="622">
        <v>1</v>
      </c>
      <c r="CO13" s="623">
        <v>12</v>
      </c>
      <c r="CP13" s="616">
        <v>5</v>
      </c>
      <c r="CQ13" s="617">
        <v>68016513</v>
      </c>
      <c r="CR13" s="106">
        <f t="shared" si="9"/>
        <v>1</v>
      </c>
      <c r="CS13" s="106">
        <f t="shared" si="10"/>
        <v>1</v>
      </c>
      <c r="CT13" s="106">
        <f t="shared" si="11"/>
        <v>1</v>
      </c>
      <c r="CU13" s="106">
        <f t="shared" si="34"/>
        <v>1</v>
      </c>
      <c r="CV13" s="106">
        <f t="shared" si="35"/>
        <v>1</v>
      </c>
      <c r="CW13" s="106">
        <f t="shared" si="36"/>
        <v>1</v>
      </c>
      <c r="CX13" s="106">
        <f t="shared" si="37"/>
        <v>1</v>
      </c>
      <c r="CY13" s="107">
        <f t="shared" si="38"/>
        <v>68016513</v>
      </c>
      <c r="CZ13" s="108">
        <f t="shared" si="39"/>
        <v>0</v>
      </c>
    </row>
    <row r="14" spans="1:104" ht="52.5" customHeight="1">
      <c r="A14" s="175">
        <f t="shared" si="12"/>
        <v>5</v>
      </c>
      <c r="B14" s="359" t="s">
        <v>334</v>
      </c>
      <c r="C14" s="359" t="s">
        <v>137</v>
      </c>
      <c r="D14" s="368" t="s">
        <v>218</v>
      </c>
      <c r="E14" s="369">
        <v>1</v>
      </c>
      <c r="F14" s="429">
        <v>0</v>
      </c>
      <c r="G14" s="362">
        <v>0</v>
      </c>
      <c r="H14" s="362">
        <v>0</v>
      </c>
      <c r="I14" s="370">
        <v>0.5</v>
      </c>
      <c r="J14" s="371">
        <v>1</v>
      </c>
      <c r="K14" s="372">
        <v>8</v>
      </c>
      <c r="L14" s="365">
        <v>0</v>
      </c>
      <c r="M14" s="366">
        <v>0</v>
      </c>
      <c r="O14" s="444" t="s">
        <v>334</v>
      </c>
      <c r="P14" s="444" t="s">
        <v>137</v>
      </c>
      <c r="Q14" s="453" t="s">
        <v>218</v>
      </c>
      <c r="R14" s="454">
        <v>1</v>
      </c>
      <c r="S14" s="514">
        <v>4500000</v>
      </c>
      <c r="T14" s="447">
        <v>4657500</v>
      </c>
      <c r="U14" s="447">
        <v>4820512.5</v>
      </c>
      <c r="V14" s="455">
        <v>0.5</v>
      </c>
      <c r="W14" s="456">
        <v>1</v>
      </c>
      <c r="X14" s="457">
        <v>8</v>
      </c>
      <c r="Y14" s="450">
        <v>0</v>
      </c>
      <c r="Z14" s="451">
        <v>20880000</v>
      </c>
      <c r="AA14" s="106">
        <f t="shared" si="13"/>
        <v>1</v>
      </c>
      <c r="AB14" s="106">
        <f t="shared" si="14"/>
        <v>1</v>
      </c>
      <c r="AC14" s="106">
        <f t="shared" si="15"/>
        <v>1</v>
      </c>
      <c r="AD14" s="106">
        <f t="shared" si="16"/>
        <v>1</v>
      </c>
      <c r="AE14" s="106">
        <f t="shared" si="17"/>
        <v>1</v>
      </c>
      <c r="AF14" s="106">
        <f t="shared" si="18"/>
        <v>1</v>
      </c>
      <c r="AG14" s="106">
        <f t="shared" si="19"/>
        <v>1</v>
      </c>
      <c r="AH14" s="107">
        <f t="shared" si="20"/>
        <v>20880000</v>
      </c>
      <c r="AI14" s="108">
        <f t="shared" si="21"/>
        <v>0</v>
      </c>
      <c r="AL14" s="518" t="s">
        <v>334</v>
      </c>
      <c r="AM14" s="534" t="s">
        <v>137</v>
      </c>
      <c r="AN14" s="535" t="s">
        <v>359</v>
      </c>
      <c r="AO14" s="530">
        <v>1</v>
      </c>
      <c r="AP14" s="522">
        <v>4000000</v>
      </c>
      <c r="AQ14" s="523">
        <v>4139999.9999999995</v>
      </c>
      <c r="AR14" s="523">
        <v>4284899.9999999991</v>
      </c>
      <c r="AS14" s="531">
        <v>0.5</v>
      </c>
      <c r="AT14" s="532">
        <v>1</v>
      </c>
      <c r="AU14" s="533">
        <v>8</v>
      </c>
      <c r="AV14" s="526">
        <v>0</v>
      </c>
      <c r="AW14" s="527">
        <v>18560000</v>
      </c>
      <c r="AX14" s="106">
        <f t="shared" si="3"/>
        <v>1</v>
      </c>
      <c r="AY14" s="106">
        <f t="shared" si="4"/>
        <v>1</v>
      </c>
      <c r="AZ14" s="106">
        <f t="shared" si="5"/>
        <v>1</v>
      </c>
      <c r="BA14" s="106">
        <f t="shared" si="22"/>
        <v>1</v>
      </c>
      <c r="BB14" s="106">
        <f t="shared" si="23"/>
        <v>1</v>
      </c>
      <c r="BC14" s="106">
        <f t="shared" si="24"/>
        <v>1</v>
      </c>
      <c r="BD14" s="106">
        <f t="shared" si="25"/>
        <v>1</v>
      </c>
      <c r="BE14" s="107">
        <f t="shared" si="26"/>
        <v>18560000</v>
      </c>
      <c r="BF14" s="108">
        <f t="shared" si="27"/>
        <v>0</v>
      </c>
      <c r="BI14" s="609" t="s">
        <v>334</v>
      </c>
      <c r="BJ14" s="609" t="s">
        <v>137</v>
      </c>
      <c r="BK14" s="619" t="s">
        <v>359</v>
      </c>
      <c r="BL14" s="620">
        <v>1</v>
      </c>
      <c r="BM14" s="612">
        <v>4500000</v>
      </c>
      <c r="BN14" s="613">
        <v>4657500</v>
      </c>
      <c r="BO14" s="613">
        <v>4820512.5</v>
      </c>
      <c r="BP14" s="621">
        <v>0.5</v>
      </c>
      <c r="BQ14" s="622">
        <v>1</v>
      </c>
      <c r="BR14" s="623">
        <v>8</v>
      </c>
      <c r="BS14" s="616">
        <v>0</v>
      </c>
      <c r="BT14" s="617">
        <v>20880000</v>
      </c>
      <c r="BU14" s="106">
        <f t="shared" si="6"/>
        <v>1</v>
      </c>
      <c r="BV14" s="106">
        <f t="shared" si="7"/>
        <v>1</v>
      </c>
      <c r="BW14" s="106">
        <f t="shared" si="8"/>
        <v>1</v>
      </c>
      <c r="BX14" s="106">
        <f t="shared" si="28"/>
        <v>1</v>
      </c>
      <c r="BY14" s="106">
        <f t="shared" si="29"/>
        <v>1</v>
      </c>
      <c r="BZ14" s="106">
        <f t="shared" si="30"/>
        <v>1</v>
      </c>
      <c r="CA14" s="106">
        <f t="shared" si="31"/>
        <v>1</v>
      </c>
      <c r="CB14" s="107">
        <f t="shared" si="32"/>
        <v>20880000</v>
      </c>
      <c r="CC14" s="108">
        <f t="shared" si="33"/>
        <v>0</v>
      </c>
      <c r="CF14" s="609" t="s">
        <v>334</v>
      </c>
      <c r="CG14" s="609" t="s">
        <v>137</v>
      </c>
      <c r="CH14" s="619" t="s">
        <v>359</v>
      </c>
      <c r="CI14" s="620">
        <v>1</v>
      </c>
      <c r="CJ14" s="612">
        <v>3829500</v>
      </c>
      <c r="CK14" s="613">
        <v>3963532.4999999995</v>
      </c>
      <c r="CL14" s="613">
        <v>4102256.1374999993</v>
      </c>
      <c r="CM14" s="621">
        <v>0.5</v>
      </c>
      <c r="CN14" s="622">
        <v>1</v>
      </c>
      <c r="CO14" s="623">
        <v>8</v>
      </c>
      <c r="CP14" s="616">
        <v>0</v>
      </c>
      <c r="CQ14" s="617">
        <v>17768880</v>
      </c>
      <c r="CR14" s="106">
        <f t="shared" si="9"/>
        <v>1</v>
      </c>
      <c r="CS14" s="106">
        <f t="shared" si="10"/>
        <v>1</v>
      </c>
      <c r="CT14" s="106">
        <f t="shared" si="11"/>
        <v>1</v>
      </c>
      <c r="CU14" s="106">
        <f t="shared" si="34"/>
        <v>1</v>
      </c>
      <c r="CV14" s="106">
        <f t="shared" si="35"/>
        <v>1</v>
      </c>
      <c r="CW14" s="106">
        <f t="shared" si="36"/>
        <v>1</v>
      </c>
      <c r="CX14" s="106">
        <f t="shared" si="37"/>
        <v>1</v>
      </c>
      <c r="CY14" s="107">
        <f t="shared" si="38"/>
        <v>17768880</v>
      </c>
      <c r="CZ14" s="108">
        <f t="shared" si="39"/>
        <v>0</v>
      </c>
    </row>
    <row r="15" spans="1:104" ht="75.75" customHeight="1">
      <c r="A15" s="175">
        <f t="shared" si="12"/>
        <v>6</v>
      </c>
      <c r="B15" s="359" t="s">
        <v>185</v>
      </c>
      <c r="C15" s="359" t="s">
        <v>137</v>
      </c>
      <c r="D15" s="368" t="s">
        <v>193</v>
      </c>
      <c r="E15" s="369">
        <v>1</v>
      </c>
      <c r="F15" s="429">
        <v>0</v>
      </c>
      <c r="G15" s="362">
        <v>0</v>
      </c>
      <c r="H15" s="362">
        <v>0</v>
      </c>
      <c r="I15" s="370">
        <v>0.3</v>
      </c>
      <c r="J15" s="373">
        <v>1</v>
      </c>
      <c r="K15" s="374">
        <v>8</v>
      </c>
      <c r="L15" s="365">
        <v>0</v>
      </c>
      <c r="M15" s="366">
        <v>0</v>
      </c>
      <c r="O15" s="444" t="s">
        <v>185</v>
      </c>
      <c r="P15" s="444" t="s">
        <v>137</v>
      </c>
      <c r="Q15" s="453" t="s">
        <v>193</v>
      </c>
      <c r="R15" s="454">
        <v>1</v>
      </c>
      <c r="S15" s="514">
        <v>4500000</v>
      </c>
      <c r="T15" s="447">
        <v>4657500</v>
      </c>
      <c r="U15" s="447">
        <v>4820512.5</v>
      </c>
      <c r="V15" s="455">
        <v>0.3</v>
      </c>
      <c r="W15" s="458">
        <v>1</v>
      </c>
      <c r="X15" s="459">
        <v>8</v>
      </c>
      <c r="Y15" s="450">
        <v>0</v>
      </c>
      <c r="Z15" s="451">
        <v>12528000</v>
      </c>
      <c r="AA15" s="106">
        <f t="shared" si="13"/>
        <v>1</v>
      </c>
      <c r="AB15" s="106">
        <f t="shared" si="14"/>
        <v>1</v>
      </c>
      <c r="AC15" s="106">
        <f t="shared" si="15"/>
        <v>1</v>
      </c>
      <c r="AD15" s="106">
        <f t="shared" si="16"/>
        <v>1</v>
      </c>
      <c r="AE15" s="106">
        <f t="shared" si="17"/>
        <v>1</v>
      </c>
      <c r="AF15" s="106">
        <f t="shared" si="18"/>
        <v>1</v>
      </c>
      <c r="AG15" s="106">
        <f t="shared" si="19"/>
        <v>1</v>
      </c>
      <c r="AH15" s="107">
        <f t="shared" si="20"/>
        <v>12528000</v>
      </c>
      <c r="AI15" s="108">
        <f t="shared" si="21"/>
        <v>0</v>
      </c>
      <c r="AL15" s="518" t="s">
        <v>185</v>
      </c>
      <c r="AM15" s="534" t="s">
        <v>137</v>
      </c>
      <c r="AN15" s="535" t="s">
        <v>360</v>
      </c>
      <c r="AO15" s="530">
        <v>1</v>
      </c>
      <c r="AP15" s="522">
        <v>4000000</v>
      </c>
      <c r="AQ15" s="523">
        <v>4139999.9999999995</v>
      </c>
      <c r="AR15" s="523">
        <v>4284899.9999999991</v>
      </c>
      <c r="AS15" s="531">
        <v>0.3</v>
      </c>
      <c r="AT15" s="536">
        <v>1</v>
      </c>
      <c r="AU15" s="537">
        <v>8</v>
      </c>
      <c r="AV15" s="526">
        <v>0</v>
      </c>
      <c r="AW15" s="527">
        <v>11136000</v>
      </c>
      <c r="AX15" s="106">
        <f t="shared" si="3"/>
        <v>1</v>
      </c>
      <c r="AY15" s="106">
        <f t="shared" si="4"/>
        <v>1</v>
      </c>
      <c r="AZ15" s="106">
        <f t="shared" si="5"/>
        <v>1</v>
      </c>
      <c r="BA15" s="106">
        <f t="shared" si="22"/>
        <v>1</v>
      </c>
      <c r="BB15" s="106">
        <f t="shared" si="23"/>
        <v>1</v>
      </c>
      <c r="BC15" s="106">
        <f t="shared" si="24"/>
        <v>1</v>
      </c>
      <c r="BD15" s="106">
        <f t="shared" si="25"/>
        <v>1</v>
      </c>
      <c r="BE15" s="107">
        <f t="shared" si="26"/>
        <v>11136000</v>
      </c>
      <c r="BF15" s="108">
        <f t="shared" si="27"/>
        <v>0</v>
      </c>
      <c r="BI15" s="609" t="s">
        <v>185</v>
      </c>
      <c r="BJ15" s="609" t="s">
        <v>137</v>
      </c>
      <c r="BK15" s="619" t="s">
        <v>360</v>
      </c>
      <c r="BL15" s="620">
        <v>1</v>
      </c>
      <c r="BM15" s="612">
        <v>4500000</v>
      </c>
      <c r="BN15" s="613">
        <v>4657500</v>
      </c>
      <c r="BO15" s="613">
        <v>4820512.5</v>
      </c>
      <c r="BP15" s="621">
        <v>0.3</v>
      </c>
      <c r="BQ15" s="624">
        <v>1</v>
      </c>
      <c r="BR15" s="625">
        <v>8</v>
      </c>
      <c r="BS15" s="616">
        <v>0</v>
      </c>
      <c r="BT15" s="617">
        <v>12528000</v>
      </c>
      <c r="BU15" s="106">
        <f t="shared" si="6"/>
        <v>1</v>
      </c>
      <c r="BV15" s="106">
        <f t="shared" si="7"/>
        <v>1</v>
      </c>
      <c r="BW15" s="106">
        <f t="shared" si="8"/>
        <v>1</v>
      </c>
      <c r="BX15" s="106">
        <f t="shared" si="28"/>
        <v>1</v>
      </c>
      <c r="BY15" s="106">
        <f t="shared" si="29"/>
        <v>1</v>
      </c>
      <c r="BZ15" s="106">
        <f t="shared" si="30"/>
        <v>1</v>
      </c>
      <c r="CA15" s="106">
        <f t="shared" si="31"/>
        <v>1</v>
      </c>
      <c r="CB15" s="107">
        <f t="shared" si="32"/>
        <v>12528000</v>
      </c>
      <c r="CC15" s="108">
        <f t="shared" si="33"/>
        <v>0</v>
      </c>
      <c r="CF15" s="609" t="s">
        <v>185</v>
      </c>
      <c r="CG15" s="609" t="s">
        <v>137</v>
      </c>
      <c r="CH15" s="619" t="s">
        <v>360</v>
      </c>
      <c r="CI15" s="620">
        <v>1</v>
      </c>
      <c r="CJ15" s="612">
        <v>4657500</v>
      </c>
      <c r="CK15" s="613">
        <v>4820512.5</v>
      </c>
      <c r="CL15" s="613">
        <v>4989230.4375</v>
      </c>
      <c r="CM15" s="621">
        <v>0.3</v>
      </c>
      <c r="CN15" s="624">
        <v>1</v>
      </c>
      <c r="CO15" s="625">
        <v>8</v>
      </c>
      <c r="CP15" s="616">
        <v>0</v>
      </c>
      <c r="CQ15" s="617">
        <v>12966480</v>
      </c>
      <c r="CR15" s="106">
        <f t="shared" si="9"/>
        <v>1</v>
      </c>
      <c r="CS15" s="106">
        <f t="shared" si="10"/>
        <v>1</v>
      </c>
      <c r="CT15" s="106">
        <f t="shared" si="11"/>
        <v>1</v>
      </c>
      <c r="CU15" s="106">
        <f t="shared" si="34"/>
        <v>1</v>
      </c>
      <c r="CV15" s="106">
        <f t="shared" si="35"/>
        <v>1</v>
      </c>
      <c r="CW15" s="106">
        <f t="shared" si="36"/>
        <v>1</v>
      </c>
      <c r="CX15" s="106">
        <f t="shared" si="37"/>
        <v>1</v>
      </c>
      <c r="CY15" s="107">
        <f t="shared" si="38"/>
        <v>12966480</v>
      </c>
      <c r="CZ15" s="108">
        <f t="shared" si="39"/>
        <v>0</v>
      </c>
    </row>
    <row r="16" spans="1:104" ht="70.5" customHeight="1">
      <c r="A16" s="175">
        <f t="shared" si="12"/>
        <v>7</v>
      </c>
      <c r="B16" s="359" t="s">
        <v>335</v>
      </c>
      <c r="C16" s="359" t="s">
        <v>136</v>
      </c>
      <c r="D16" s="375" t="s">
        <v>219</v>
      </c>
      <c r="E16" s="369">
        <v>1</v>
      </c>
      <c r="F16" s="429">
        <v>0</v>
      </c>
      <c r="G16" s="362">
        <v>0</v>
      </c>
      <c r="H16" s="362">
        <v>0</v>
      </c>
      <c r="I16" s="370">
        <v>0.5</v>
      </c>
      <c r="J16" s="371">
        <v>1</v>
      </c>
      <c r="K16" s="372">
        <v>12</v>
      </c>
      <c r="L16" s="365">
        <v>5</v>
      </c>
      <c r="M16" s="366">
        <v>0</v>
      </c>
      <c r="O16" s="444" t="s">
        <v>335</v>
      </c>
      <c r="P16" s="444" t="s">
        <v>136</v>
      </c>
      <c r="Q16" s="460" t="s">
        <v>219</v>
      </c>
      <c r="R16" s="454">
        <v>1</v>
      </c>
      <c r="S16" s="514">
        <v>4500000</v>
      </c>
      <c r="T16" s="447">
        <v>4657500</v>
      </c>
      <c r="U16" s="447">
        <v>4820512.5</v>
      </c>
      <c r="V16" s="455">
        <v>0.5</v>
      </c>
      <c r="W16" s="456">
        <v>1</v>
      </c>
      <c r="X16" s="457">
        <v>12</v>
      </c>
      <c r="Y16" s="450">
        <v>5</v>
      </c>
      <c r="Z16" s="451">
        <v>42246281</v>
      </c>
      <c r="AA16" s="106">
        <f t="shared" si="13"/>
        <v>1</v>
      </c>
      <c r="AB16" s="106">
        <f t="shared" si="14"/>
        <v>1</v>
      </c>
      <c r="AC16" s="106">
        <f t="shared" si="15"/>
        <v>1</v>
      </c>
      <c r="AD16" s="106">
        <f t="shared" si="16"/>
        <v>1</v>
      </c>
      <c r="AE16" s="106">
        <f t="shared" si="17"/>
        <v>1</v>
      </c>
      <c r="AF16" s="106">
        <f t="shared" si="18"/>
        <v>1</v>
      </c>
      <c r="AG16" s="106">
        <f t="shared" si="19"/>
        <v>1</v>
      </c>
      <c r="AH16" s="107">
        <f t="shared" si="20"/>
        <v>42246281</v>
      </c>
      <c r="AI16" s="108">
        <f t="shared" si="21"/>
        <v>0</v>
      </c>
      <c r="AL16" s="518" t="s">
        <v>335</v>
      </c>
      <c r="AM16" s="519" t="s">
        <v>136</v>
      </c>
      <c r="AN16" s="538" t="s">
        <v>361</v>
      </c>
      <c r="AO16" s="530">
        <v>1</v>
      </c>
      <c r="AP16" s="522">
        <v>4000000</v>
      </c>
      <c r="AQ16" s="523">
        <v>4139999.9999999995</v>
      </c>
      <c r="AR16" s="523">
        <v>4284899.9999999991</v>
      </c>
      <c r="AS16" s="531">
        <v>0.5</v>
      </c>
      <c r="AT16" s="532">
        <v>1</v>
      </c>
      <c r="AU16" s="533">
        <v>12</v>
      </c>
      <c r="AV16" s="526">
        <v>5</v>
      </c>
      <c r="AW16" s="527">
        <v>37552250</v>
      </c>
      <c r="AX16" s="106">
        <f t="shared" si="3"/>
        <v>1</v>
      </c>
      <c r="AY16" s="106">
        <f t="shared" si="4"/>
        <v>1</v>
      </c>
      <c r="AZ16" s="106">
        <f t="shared" si="5"/>
        <v>1</v>
      </c>
      <c r="BA16" s="106">
        <f t="shared" si="22"/>
        <v>1</v>
      </c>
      <c r="BB16" s="106">
        <f t="shared" si="23"/>
        <v>1</v>
      </c>
      <c r="BC16" s="106">
        <f t="shared" si="24"/>
        <v>1</v>
      </c>
      <c r="BD16" s="106">
        <f t="shared" si="25"/>
        <v>1</v>
      </c>
      <c r="BE16" s="107">
        <f t="shared" si="26"/>
        <v>37552250</v>
      </c>
      <c r="BF16" s="108">
        <f t="shared" si="27"/>
        <v>0</v>
      </c>
      <c r="BI16" s="609" t="s">
        <v>335</v>
      </c>
      <c r="BJ16" s="609" t="s">
        <v>136</v>
      </c>
      <c r="BK16" s="626" t="s">
        <v>361</v>
      </c>
      <c r="BL16" s="620">
        <v>1</v>
      </c>
      <c r="BM16" s="612">
        <v>4000000</v>
      </c>
      <c r="BN16" s="613">
        <v>4139999.9999999995</v>
      </c>
      <c r="BO16" s="613">
        <v>4284899.9999999991</v>
      </c>
      <c r="BP16" s="621">
        <v>0.5</v>
      </c>
      <c r="BQ16" s="622">
        <v>1</v>
      </c>
      <c r="BR16" s="623">
        <v>12</v>
      </c>
      <c r="BS16" s="616">
        <v>5</v>
      </c>
      <c r="BT16" s="617">
        <v>37552250</v>
      </c>
      <c r="BU16" s="106">
        <f t="shared" si="6"/>
        <v>1</v>
      </c>
      <c r="BV16" s="106">
        <f t="shared" si="7"/>
        <v>1</v>
      </c>
      <c r="BW16" s="106">
        <f t="shared" si="8"/>
        <v>1</v>
      </c>
      <c r="BX16" s="106">
        <f t="shared" si="28"/>
        <v>1</v>
      </c>
      <c r="BY16" s="106">
        <f t="shared" si="29"/>
        <v>1</v>
      </c>
      <c r="BZ16" s="106">
        <f t="shared" si="30"/>
        <v>1</v>
      </c>
      <c r="CA16" s="106">
        <f t="shared" si="31"/>
        <v>1</v>
      </c>
      <c r="CB16" s="107">
        <f t="shared" si="32"/>
        <v>37552250</v>
      </c>
      <c r="CC16" s="108">
        <f t="shared" si="33"/>
        <v>0</v>
      </c>
      <c r="CF16" s="609" t="s">
        <v>335</v>
      </c>
      <c r="CG16" s="609" t="s">
        <v>136</v>
      </c>
      <c r="CH16" s="626" t="s">
        <v>361</v>
      </c>
      <c r="CI16" s="620">
        <v>1</v>
      </c>
      <c r="CJ16" s="612">
        <v>3622499.9999999995</v>
      </c>
      <c r="CK16" s="613">
        <v>3749287.4999999991</v>
      </c>
      <c r="CL16" s="613">
        <v>3880512.5624999986</v>
      </c>
      <c r="CM16" s="621">
        <v>0.5</v>
      </c>
      <c r="CN16" s="622">
        <v>1</v>
      </c>
      <c r="CO16" s="623">
        <v>12</v>
      </c>
      <c r="CP16" s="616">
        <v>5</v>
      </c>
      <c r="CQ16" s="617">
        <v>34008256</v>
      </c>
      <c r="CR16" s="106">
        <f t="shared" si="9"/>
        <v>1</v>
      </c>
      <c r="CS16" s="106">
        <f t="shared" si="10"/>
        <v>1</v>
      </c>
      <c r="CT16" s="106">
        <f t="shared" si="11"/>
        <v>1</v>
      </c>
      <c r="CU16" s="106">
        <f t="shared" si="34"/>
        <v>1</v>
      </c>
      <c r="CV16" s="106">
        <f t="shared" si="35"/>
        <v>1</v>
      </c>
      <c r="CW16" s="106">
        <f t="shared" si="36"/>
        <v>1</v>
      </c>
      <c r="CX16" s="106">
        <f t="shared" si="37"/>
        <v>1</v>
      </c>
      <c r="CY16" s="107">
        <f t="shared" si="38"/>
        <v>34008256</v>
      </c>
      <c r="CZ16" s="108">
        <f t="shared" si="39"/>
        <v>0</v>
      </c>
    </row>
    <row r="17" spans="1:104" ht="63.75" customHeight="1">
      <c r="A17" s="175">
        <f t="shared" si="12"/>
        <v>8</v>
      </c>
      <c r="B17" s="359" t="s">
        <v>336</v>
      </c>
      <c r="C17" s="359" t="s">
        <v>136</v>
      </c>
      <c r="D17" s="368" t="s">
        <v>337</v>
      </c>
      <c r="E17" s="369">
        <v>1</v>
      </c>
      <c r="F17" s="429">
        <v>0</v>
      </c>
      <c r="G17" s="362">
        <v>0</v>
      </c>
      <c r="H17" s="362">
        <v>0</v>
      </c>
      <c r="I17" s="370">
        <v>1</v>
      </c>
      <c r="J17" s="371">
        <v>1</v>
      </c>
      <c r="K17" s="372">
        <v>12</v>
      </c>
      <c r="L17" s="365">
        <v>5</v>
      </c>
      <c r="M17" s="366">
        <v>0</v>
      </c>
      <c r="O17" s="444" t="s">
        <v>336</v>
      </c>
      <c r="P17" s="444" t="s">
        <v>136</v>
      </c>
      <c r="Q17" s="453" t="s">
        <v>337</v>
      </c>
      <c r="R17" s="454">
        <v>1</v>
      </c>
      <c r="S17" s="514">
        <v>2250000</v>
      </c>
      <c r="T17" s="447">
        <v>2328750</v>
      </c>
      <c r="U17" s="447">
        <v>2410256.25</v>
      </c>
      <c r="V17" s="455">
        <v>1</v>
      </c>
      <c r="W17" s="456">
        <v>1</v>
      </c>
      <c r="X17" s="457">
        <v>12</v>
      </c>
      <c r="Y17" s="450">
        <v>5</v>
      </c>
      <c r="Z17" s="451">
        <v>42246281</v>
      </c>
      <c r="AA17" s="106">
        <f t="shared" si="13"/>
        <v>1</v>
      </c>
      <c r="AB17" s="106">
        <f t="shared" si="14"/>
        <v>1</v>
      </c>
      <c r="AC17" s="106">
        <f t="shared" si="15"/>
        <v>1</v>
      </c>
      <c r="AD17" s="106">
        <f t="shared" si="16"/>
        <v>1</v>
      </c>
      <c r="AE17" s="106">
        <f t="shared" si="17"/>
        <v>1</v>
      </c>
      <c r="AF17" s="106">
        <f t="shared" si="18"/>
        <v>1</v>
      </c>
      <c r="AG17" s="106">
        <f t="shared" si="19"/>
        <v>1</v>
      </c>
      <c r="AH17" s="107">
        <f t="shared" si="20"/>
        <v>42246281</v>
      </c>
      <c r="AI17" s="108">
        <f t="shared" si="21"/>
        <v>0</v>
      </c>
      <c r="AL17" s="518" t="s">
        <v>336</v>
      </c>
      <c r="AM17" s="519" t="s">
        <v>136</v>
      </c>
      <c r="AN17" s="529" t="s">
        <v>362</v>
      </c>
      <c r="AO17" s="530">
        <v>1</v>
      </c>
      <c r="AP17" s="522">
        <v>2000000</v>
      </c>
      <c r="AQ17" s="523">
        <v>2069999.9999999998</v>
      </c>
      <c r="AR17" s="523">
        <v>2142449.9999999995</v>
      </c>
      <c r="AS17" s="531">
        <v>1</v>
      </c>
      <c r="AT17" s="532">
        <v>1</v>
      </c>
      <c r="AU17" s="533">
        <v>12</v>
      </c>
      <c r="AV17" s="526">
        <v>5</v>
      </c>
      <c r="AW17" s="527">
        <v>37552250</v>
      </c>
      <c r="AX17" s="106">
        <f t="shared" si="3"/>
        <v>1</v>
      </c>
      <c r="AY17" s="106">
        <f t="shared" si="4"/>
        <v>1</v>
      </c>
      <c r="AZ17" s="106">
        <f t="shared" si="5"/>
        <v>1</v>
      </c>
      <c r="BA17" s="106">
        <f t="shared" si="22"/>
        <v>1</v>
      </c>
      <c r="BB17" s="106">
        <f t="shared" si="23"/>
        <v>1</v>
      </c>
      <c r="BC17" s="106">
        <f t="shared" si="24"/>
        <v>1</v>
      </c>
      <c r="BD17" s="106">
        <f t="shared" si="25"/>
        <v>1</v>
      </c>
      <c r="BE17" s="107">
        <f t="shared" si="26"/>
        <v>37552250</v>
      </c>
      <c r="BF17" s="108">
        <f t="shared" si="27"/>
        <v>0</v>
      </c>
      <c r="BI17" s="609" t="s">
        <v>336</v>
      </c>
      <c r="BJ17" s="609" t="s">
        <v>136</v>
      </c>
      <c r="BK17" s="619" t="s">
        <v>362</v>
      </c>
      <c r="BL17" s="620">
        <v>1</v>
      </c>
      <c r="BM17" s="612">
        <v>2400000</v>
      </c>
      <c r="BN17" s="613">
        <v>2484000</v>
      </c>
      <c r="BO17" s="613">
        <v>2570940</v>
      </c>
      <c r="BP17" s="621">
        <v>1</v>
      </c>
      <c r="BQ17" s="622">
        <v>1</v>
      </c>
      <c r="BR17" s="623">
        <v>12</v>
      </c>
      <c r="BS17" s="616">
        <v>5</v>
      </c>
      <c r="BT17" s="617">
        <v>45062700</v>
      </c>
      <c r="BU17" s="106">
        <f t="shared" si="6"/>
        <v>1</v>
      </c>
      <c r="BV17" s="106">
        <f t="shared" si="7"/>
        <v>1</v>
      </c>
      <c r="BW17" s="106">
        <f t="shared" si="8"/>
        <v>1</v>
      </c>
      <c r="BX17" s="106">
        <f t="shared" si="28"/>
        <v>1</v>
      </c>
      <c r="BY17" s="106">
        <f t="shared" si="29"/>
        <v>1</v>
      </c>
      <c r="BZ17" s="106">
        <f t="shared" si="30"/>
        <v>1</v>
      </c>
      <c r="CA17" s="106">
        <f t="shared" si="31"/>
        <v>1</v>
      </c>
      <c r="CB17" s="107">
        <f t="shared" si="32"/>
        <v>45062700</v>
      </c>
      <c r="CC17" s="108">
        <f t="shared" si="33"/>
        <v>0</v>
      </c>
      <c r="CF17" s="609" t="s">
        <v>336</v>
      </c>
      <c r="CG17" s="609" t="s">
        <v>136</v>
      </c>
      <c r="CH17" s="619" t="s">
        <v>362</v>
      </c>
      <c r="CI17" s="620">
        <v>1</v>
      </c>
      <c r="CJ17" s="612">
        <v>2617773.75</v>
      </c>
      <c r="CK17" s="613">
        <v>2709395.8312499998</v>
      </c>
      <c r="CL17" s="613">
        <v>2804224.6853437498</v>
      </c>
      <c r="CM17" s="621">
        <v>1</v>
      </c>
      <c r="CN17" s="622">
        <v>1</v>
      </c>
      <c r="CO17" s="623">
        <v>12</v>
      </c>
      <c r="CP17" s="616">
        <v>5</v>
      </c>
      <c r="CQ17" s="617">
        <v>49151647</v>
      </c>
      <c r="CR17" s="106">
        <f t="shared" si="9"/>
        <v>1</v>
      </c>
      <c r="CS17" s="106">
        <f t="shared" si="10"/>
        <v>1</v>
      </c>
      <c r="CT17" s="106">
        <f t="shared" si="11"/>
        <v>1</v>
      </c>
      <c r="CU17" s="106">
        <f t="shared" si="34"/>
        <v>1</v>
      </c>
      <c r="CV17" s="106">
        <f t="shared" si="35"/>
        <v>1</v>
      </c>
      <c r="CW17" s="106">
        <f t="shared" si="36"/>
        <v>1</v>
      </c>
      <c r="CX17" s="106">
        <f t="shared" si="37"/>
        <v>1</v>
      </c>
      <c r="CY17" s="107">
        <f t="shared" si="38"/>
        <v>49151647</v>
      </c>
      <c r="CZ17" s="108">
        <f t="shared" si="39"/>
        <v>0</v>
      </c>
    </row>
    <row r="18" spans="1:104" ht="66.75" customHeight="1">
      <c r="A18" s="175">
        <f t="shared" si="12"/>
        <v>9</v>
      </c>
      <c r="B18" s="359" t="s">
        <v>338</v>
      </c>
      <c r="C18" s="359" t="s">
        <v>136</v>
      </c>
      <c r="D18" s="368" t="s">
        <v>220</v>
      </c>
      <c r="E18" s="369">
        <v>1</v>
      </c>
      <c r="F18" s="429">
        <v>0</v>
      </c>
      <c r="G18" s="362">
        <v>0</v>
      </c>
      <c r="H18" s="362">
        <v>0</v>
      </c>
      <c r="I18" s="376">
        <v>1</v>
      </c>
      <c r="J18" s="371">
        <v>1</v>
      </c>
      <c r="K18" s="372">
        <v>12</v>
      </c>
      <c r="L18" s="365">
        <v>5</v>
      </c>
      <c r="M18" s="366">
        <v>0</v>
      </c>
      <c r="O18" s="444" t="s">
        <v>338</v>
      </c>
      <c r="P18" s="444" t="s">
        <v>136</v>
      </c>
      <c r="Q18" s="453" t="s">
        <v>220</v>
      </c>
      <c r="R18" s="454">
        <v>1</v>
      </c>
      <c r="S18" s="514">
        <v>4000000</v>
      </c>
      <c r="T18" s="447">
        <v>4139999.9999999995</v>
      </c>
      <c r="U18" s="447">
        <v>4284899.9999999991</v>
      </c>
      <c r="V18" s="461">
        <v>1</v>
      </c>
      <c r="W18" s="456">
        <v>1</v>
      </c>
      <c r="X18" s="457">
        <v>12</v>
      </c>
      <c r="Y18" s="450">
        <v>5</v>
      </c>
      <c r="Z18" s="451">
        <v>75104500</v>
      </c>
      <c r="AA18" s="106">
        <f t="shared" si="13"/>
        <v>1</v>
      </c>
      <c r="AB18" s="106">
        <f t="shared" si="14"/>
        <v>1</v>
      </c>
      <c r="AC18" s="106">
        <f t="shared" si="15"/>
        <v>1</v>
      </c>
      <c r="AD18" s="106">
        <f t="shared" si="16"/>
        <v>1</v>
      </c>
      <c r="AE18" s="106">
        <f t="shared" si="17"/>
        <v>1</v>
      </c>
      <c r="AF18" s="106">
        <f t="shared" si="18"/>
        <v>1</v>
      </c>
      <c r="AG18" s="106">
        <f t="shared" si="19"/>
        <v>1</v>
      </c>
      <c r="AH18" s="107">
        <f t="shared" si="20"/>
        <v>75104500</v>
      </c>
      <c r="AI18" s="108">
        <f t="shared" si="21"/>
        <v>0</v>
      </c>
      <c r="AL18" s="539" t="s">
        <v>338</v>
      </c>
      <c r="AM18" s="540" t="s">
        <v>136</v>
      </c>
      <c r="AN18" s="541" t="s">
        <v>363</v>
      </c>
      <c r="AO18" s="542">
        <v>1</v>
      </c>
      <c r="AP18" s="543">
        <v>3500000</v>
      </c>
      <c r="AQ18" s="544">
        <v>3622499.9999999995</v>
      </c>
      <c r="AR18" s="544">
        <v>3749287.4999999991</v>
      </c>
      <c r="AS18" s="545">
        <v>1</v>
      </c>
      <c r="AT18" s="546">
        <v>1</v>
      </c>
      <c r="AU18" s="547">
        <v>12</v>
      </c>
      <c r="AV18" s="548">
        <v>5</v>
      </c>
      <c r="AW18" s="549">
        <v>65716438</v>
      </c>
      <c r="AX18" s="106">
        <f t="shared" si="3"/>
        <v>1</v>
      </c>
      <c r="AY18" s="106">
        <f t="shared" si="4"/>
        <v>1</v>
      </c>
      <c r="AZ18" s="106">
        <f t="shared" si="5"/>
        <v>1</v>
      </c>
      <c r="BA18" s="106">
        <f t="shared" si="22"/>
        <v>1</v>
      </c>
      <c r="BB18" s="106">
        <f t="shared" si="23"/>
        <v>1</v>
      </c>
      <c r="BC18" s="106">
        <f t="shared" si="24"/>
        <v>1</v>
      </c>
      <c r="BD18" s="106">
        <f t="shared" si="25"/>
        <v>1</v>
      </c>
      <c r="BE18" s="107">
        <f t="shared" si="26"/>
        <v>65716438</v>
      </c>
      <c r="BF18" s="108">
        <f t="shared" si="27"/>
        <v>0</v>
      </c>
      <c r="BI18" s="609" t="s">
        <v>338</v>
      </c>
      <c r="BJ18" s="609" t="s">
        <v>136</v>
      </c>
      <c r="BK18" s="619" t="s">
        <v>363</v>
      </c>
      <c r="BL18" s="620">
        <v>1</v>
      </c>
      <c r="BM18" s="612">
        <v>3500000</v>
      </c>
      <c r="BN18" s="613">
        <v>3622499.9999999995</v>
      </c>
      <c r="BO18" s="613">
        <v>3749287.4999999991</v>
      </c>
      <c r="BP18" s="627">
        <v>1</v>
      </c>
      <c r="BQ18" s="622">
        <v>1</v>
      </c>
      <c r="BR18" s="623">
        <v>12</v>
      </c>
      <c r="BS18" s="616">
        <v>5</v>
      </c>
      <c r="BT18" s="617">
        <v>65716438</v>
      </c>
      <c r="BU18" s="106">
        <f t="shared" si="6"/>
        <v>1</v>
      </c>
      <c r="BV18" s="106">
        <f t="shared" si="7"/>
        <v>1</v>
      </c>
      <c r="BW18" s="106">
        <f t="shared" si="8"/>
        <v>1</v>
      </c>
      <c r="BX18" s="106">
        <f t="shared" si="28"/>
        <v>1</v>
      </c>
      <c r="BY18" s="106">
        <f t="shared" si="29"/>
        <v>1</v>
      </c>
      <c r="BZ18" s="106">
        <f t="shared" si="30"/>
        <v>1</v>
      </c>
      <c r="CA18" s="106">
        <f t="shared" si="31"/>
        <v>1</v>
      </c>
      <c r="CB18" s="107">
        <f t="shared" si="32"/>
        <v>65716438</v>
      </c>
      <c r="CC18" s="108">
        <f t="shared" si="33"/>
        <v>0</v>
      </c>
      <c r="CF18" s="609" t="s">
        <v>338</v>
      </c>
      <c r="CG18" s="609" t="s">
        <v>136</v>
      </c>
      <c r="CH18" s="619" t="s">
        <v>363</v>
      </c>
      <c r="CI18" s="620">
        <v>1</v>
      </c>
      <c r="CJ18" s="612">
        <v>3622499.9999999995</v>
      </c>
      <c r="CK18" s="613">
        <v>3749287.4999999991</v>
      </c>
      <c r="CL18" s="613">
        <v>3880512.5624999986</v>
      </c>
      <c r="CM18" s="627">
        <v>1</v>
      </c>
      <c r="CN18" s="622">
        <v>1</v>
      </c>
      <c r="CO18" s="623">
        <v>12</v>
      </c>
      <c r="CP18" s="616">
        <v>5</v>
      </c>
      <c r="CQ18" s="617">
        <v>68016513</v>
      </c>
      <c r="CR18" s="106">
        <f t="shared" si="9"/>
        <v>1</v>
      </c>
      <c r="CS18" s="106">
        <f t="shared" si="10"/>
        <v>1</v>
      </c>
      <c r="CT18" s="106">
        <f t="shared" si="11"/>
        <v>1</v>
      </c>
      <c r="CU18" s="106">
        <f t="shared" si="34"/>
        <v>1</v>
      </c>
      <c r="CV18" s="106">
        <f t="shared" si="35"/>
        <v>1</v>
      </c>
      <c r="CW18" s="106">
        <f t="shared" si="36"/>
        <v>1</v>
      </c>
      <c r="CX18" s="106">
        <f t="shared" si="37"/>
        <v>1</v>
      </c>
      <c r="CY18" s="107">
        <f t="shared" si="38"/>
        <v>68016513</v>
      </c>
      <c r="CZ18" s="108">
        <f t="shared" si="39"/>
        <v>0</v>
      </c>
    </row>
    <row r="19" spans="1:104">
      <c r="A19" s="175">
        <f t="shared" si="12"/>
        <v>10</v>
      </c>
      <c r="B19" s="377"/>
      <c r="C19" s="378"/>
      <c r="D19" s="379" t="s">
        <v>216</v>
      </c>
      <c r="E19" s="380"/>
      <c r="F19" s="380"/>
      <c r="G19" s="380"/>
      <c r="H19" s="380"/>
      <c r="I19" s="381"/>
      <c r="J19" s="381"/>
      <c r="K19" s="381"/>
      <c r="L19" s="381"/>
      <c r="M19" s="382"/>
      <c r="O19" s="462"/>
      <c r="P19" s="463"/>
      <c r="Q19" s="464" t="s">
        <v>216</v>
      </c>
      <c r="R19" s="465"/>
      <c r="S19" s="465"/>
      <c r="T19" s="465"/>
      <c r="U19" s="465"/>
      <c r="V19" s="466"/>
      <c r="W19" s="466"/>
      <c r="X19" s="466"/>
      <c r="Y19" s="466"/>
      <c r="Z19" s="467"/>
      <c r="AA19" s="1054"/>
      <c r="AB19" s="1055"/>
      <c r="AC19" s="1055"/>
      <c r="AD19" s="1055"/>
      <c r="AE19" s="1055"/>
      <c r="AF19" s="1055"/>
      <c r="AG19" s="1055"/>
      <c r="AH19" s="1055"/>
      <c r="AI19" s="1056"/>
      <c r="AL19" s="550">
        <v>0</v>
      </c>
      <c r="AM19" s="551">
        <v>0</v>
      </c>
      <c r="AN19" s="552" t="s">
        <v>216</v>
      </c>
      <c r="AO19" s="553">
        <v>0</v>
      </c>
      <c r="AP19" s="553">
        <v>0</v>
      </c>
      <c r="AQ19" s="553">
        <v>0</v>
      </c>
      <c r="AR19" s="553">
        <v>0</v>
      </c>
      <c r="AS19" s="554">
        <v>0</v>
      </c>
      <c r="AT19" s="554">
        <v>0</v>
      </c>
      <c r="AU19" s="554">
        <v>0</v>
      </c>
      <c r="AV19" s="554">
        <v>0</v>
      </c>
      <c r="AW19" s="555">
        <v>0</v>
      </c>
      <c r="AX19" s="1054"/>
      <c r="AY19" s="1055"/>
      <c r="AZ19" s="1055"/>
      <c r="BA19" s="1055"/>
      <c r="BB19" s="1055"/>
      <c r="BC19" s="1055"/>
      <c r="BD19" s="1055"/>
      <c r="BE19" s="1055"/>
      <c r="BF19" s="1056"/>
      <c r="BI19" s="628">
        <v>0</v>
      </c>
      <c r="BJ19" s="629">
        <v>0</v>
      </c>
      <c r="BK19" s="630" t="s">
        <v>216</v>
      </c>
      <c r="BL19" s="631"/>
      <c r="BM19" s="631"/>
      <c r="BN19" s="631"/>
      <c r="BO19" s="631"/>
      <c r="BP19" s="632"/>
      <c r="BQ19" s="632"/>
      <c r="BR19" s="632"/>
      <c r="BS19" s="632"/>
      <c r="BT19" s="633"/>
      <c r="BU19" s="1054"/>
      <c r="BV19" s="1055"/>
      <c r="BW19" s="1055"/>
      <c r="BX19" s="1055"/>
      <c r="BY19" s="1055"/>
      <c r="BZ19" s="1055"/>
      <c r="CA19" s="1055"/>
      <c r="CB19" s="1055"/>
      <c r="CC19" s="1056"/>
      <c r="CF19" s="628">
        <v>0</v>
      </c>
      <c r="CG19" s="629">
        <v>0</v>
      </c>
      <c r="CH19" s="630" t="s">
        <v>216</v>
      </c>
      <c r="CI19" s="631"/>
      <c r="CJ19" s="631"/>
      <c r="CK19" s="631"/>
      <c r="CL19" s="631"/>
      <c r="CM19" s="632"/>
      <c r="CN19" s="632"/>
      <c r="CO19" s="632"/>
      <c r="CP19" s="632"/>
      <c r="CQ19" s="633"/>
      <c r="CR19" s="1054"/>
      <c r="CS19" s="1055"/>
      <c r="CT19" s="1055"/>
      <c r="CU19" s="1055"/>
      <c r="CV19" s="1055"/>
      <c r="CW19" s="1055"/>
      <c r="CX19" s="1055"/>
      <c r="CY19" s="1055"/>
      <c r="CZ19" s="1056"/>
    </row>
    <row r="20" spans="1:104" s="177" customFormat="1" ht="237.75" customHeight="1">
      <c r="A20" s="175">
        <f t="shared" si="12"/>
        <v>11</v>
      </c>
      <c r="B20" s="359" t="s">
        <v>339</v>
      </c>
      <c r="C20" s="359" t="s">
        <v>137</v>
      </c>
      <c r="D20" s="383" t="s">
        <v>340</v>
      </c>
      <c r="E20" s="369">
        <v>1</v>
      </c>
      <c r="F20" s="429">
        <v>0</v>
      </c>
      <c r="G20" s="362">
        <v>0</v>
      </c>
      <c r="H20" s="362">
        <v>0</v>
      </c>
      <c r="I20" s="370">
        <v>0.1</v>
      </c>
      <c r="J20" s="371">
        <v>1</v>
      </c>
      <c r="K20" s="372">
        <v>12</v>
      </c>
      <c r="L20" s="365">
        <v>5</v>
      </c>
      <c r="M20" s="366">
        <v>0</v>
      </c>
      <c r="O20" s="444" t="s">
        <v>339</v>
      </c>
      <c r="P20" s="444" t="s">
        <v>137</v>
      </c>
      <c r="Q20" s="468" t="s">
        <v>340</v>
      </c>
      <c r="R20" s="454">
        <v>1</v>
      </c>
      <c r="S20" s="514">
        <v>5000000</v>
      </c>
      <c r="T20" s="447">
        <v>5175000</v>
      </c>
      <c r="U20" s="447">
        <v>5356125</v>
      </c>
      <c r="V20" s="455">
        <v>0.1</v>
      </c>
      <c r="W20" s="456">
        <v>1</v>
      </c>
      <c r="X20" s="457">
        <v>12</v>
      </c>
      <c r="Y20" s="450">
        <v>5</v>
      </c>
      <c r="Z20" s="451">
        <v>9388063</v>
      </c>
      <c r="AA20" s="106">
        <f t="shared" ref="AA20:AA22" si="40">IFERROR(IF(EXACT(VLOOKUP(O20,OFERTA_0,1,FALSE),O20),1,0),0)</f>
        <v>1</v>
      </c>
      <c r="AB20" s="106">
        <f t="shared" ref="AB20:AB22" si="41">IFERROR(IF(EXACT(VLOOKUP(O20,OFERTA_0,3,FALSE),Q20),1,0),0)</f>
        <v>1</v>
      </c>
      <c r="AC20" s="106">
        <f t="shared" ref="AC20:AC22" si="42">IFERROR(IF(EXACT(VLOOKUP(O20,OFERTA_0,4,FALSE),R20),1,0),0)</f>
        <v>1</v>
      </c>
      <c r="AD20" s="106">
        <f t="shared" ref="AD20:AD22" si="43">IF(EXACT(SUM($I20:$L20),SUM(V20:Y20)),1,0)</f>
        <v>1</v>
      </c>
      <c r="AE20" s="106">
        <f t="shared" ref="AE20:AE22" si="44">IFERROR(IF(PRODUCT(S20:U20)&lt;=0,0,1),0)</f>
        <v>1</v>
      </c>
      <c r="AF20" s="106">
        <f t="shared" ref="AF20:AF22" si="45">IFERROR(IF(Z20&lt;=0,0,1),0)</f>
        <v>1</v>
      </c>
      <c r="AG20" s="106">
        <f t="shared" ref="AG20:AG22" si="46">PRODUCT(AA20:AF20)</f>
        <v>1</v>
      </c>
      <c r="AH20" s="107">
        <f t="shared" ref="AH20:AH22" si="47">ROUND(Z20,0)</f>
        <v>9388063</v>
      </c>
      <c r="AI20" s="108">
        <f t="shared" ref="AI20:AI22" si="48">Z20-AH20</f>
        <v>0</v>
      </c>
      <c r="AL20" s="556" t="s">
        <v>339</v>
      </c>
      <c r="AM20" s="557" t="s">
        <v>137</v>
      </c>
      <c r="AN20" s="558" t="s">
        <v>364</v>
      </c>
      <c r="AO20" s="521">
        <v>1</v>
      </c>
      <c r="AP20" s="522">
        <v>9500000</v>
      </c>
      <c r="AQ20" s="523">
        <v>9832500</v>
      </c>
      <c r="AR20" s="523">
        <v>10176637.5</v>
      </c>
      <c r="AS20" s="524">
        <v>0.1</v>
      </c>
      <c r="AT20" s="525">
        <v>1</v>
      </c>
      <c r="AU20" s="526">
        <v>12</v>
      </c>
      <c r="AV20" s="526">
        <v>5</v>
      </c>
      <c r="AW20" s="527">
        <v>17837319</v>
      </c>
      <c r="AX20" s="106">
        <f t="shared" ref="AX20:AX22" si="49">IFERROR(IF(EXACT(VLOOKUP(AL20,OFERTA_0,1,FALSE),AL20),1,0),0)</f>
        <v>1</v>
      </c>
      <c r="AY20" s="106">
        <f t="shared" ref="AY20:AY21" si="50">IFERROR(IF(EXACT(VLOOKUP(AL20,OFERTA_0,3,FALSE),AN20),1,0),0)</f>
        <v>1</v>
      </c>
      <c r="AZ20" s="106">
        <f t="shared" ref="AZ20:AZ22" si="51">IFERROR(IF(EXACT(VLOOKUP(AL20,OFERTA_0,4,FALSE),AO20),1,0),0)</f>
        <v>1</v>
      </c>
      <c r="BA20" s="106">
        <f t="shared" ref="BA20:BA22" si="52">IF(EXACT(SUM($I20:$L20),SUM(AS20:AV20)),1,0)</f>
        <v>1</v>
      </c>
      <c r="BB20" s="106">
        <f t="shared" ref="BB20:BB22" si="53">IFERROR(IF(PRODUCT(AP20:AR20)&lt;=0,0,1),0)</f>
        <v>1</v>
      </c>
      <c r="BC20" s="106">
        <f t="shared" ref="BC20:BC22" si="54">IFERROR(IF(AW20&lt;=0,0,1),0)</f>
        <v>1</v>
      </c>
      <c r="BD20" s="106">
        <f t="shared" ref="BD20:BD22" si="55">PRODUCT(AX20:BC20)</f>
        <v>1</v>
      </c>
      <c r="BE20" s="107">
        <f t="shared" ref="BE20:BE22" si="56">ROUND(AW20,0)</f>
        <v>17837319</v>
      </c>
      <c r="BF20" s="108">
        <f t="shared" ref="BF20:BF22" si="57">AW20-BE20</f>
        <v>0</v>
      </c>
      <c r="BI20" s="609" t="s">
        <v>339</v>
      </c>
      <c r="BJ20" s="609" t="s">
        <v>137</v>
      </c>
      <c r="BK20" s="634" t="s">
        <v>364</v>
      </c>
      <c r="BL20" s="620">
        <v>1</v>
      </c>
      <c r="BM20" s="612">
        <v>5000000</v>
      </c>
      <c r="BN20" s="613">
        <v>5175000</v>
      </c>
      <c r="BO20" s="613">
        <v>5356125</v>
      </c>
      <c r="BP20" s="621">
        <v>0.1</v>
      </c>
      <c r="BQ20" s="622">
        <v>1</v>
      </c>
      <c r="BR20" s="623">
        <v>12</v>
      </c>
      <c r="BS20" s="616">
        <v>5</v>
      </c>
      <c r="BT20" s="617">
        <v>9388063</v>
      </c>
      <c r="BU20" s="106">
        <f t="shared" ref="BU20:BU22" si="58">IFERROR(IF(EXACT(VLOOKUP(BI20,OFERTA_0,1,FALSE),BI20),1,0),0)</f>
        <v>1</v>
      </c>
      <c r="BV20" s="106">
        <f t="shared" ref="BV20:BV22" si="59">IFERROR(IF(EXACT(VLOOKUP(BI20,OFERTA_0,3,FALSE),BK20),1,0),0)</f>
        <v>1</v>
      </c>
      <c r="BW20" s="106">
        <f t="shared" ref="BW20:BW22" si="60">IFERROR(IF(EXACT(VLOOKUP(BI20,OFERTA_0,4,FALSE),BL20),1,0),0)</f>
        <v>1</v>
      </c>
      <c r="BX20" s="106">
        <f t="shared" ref="BX20:BX22" si="61">IF(EXACT(SUM($I20:$L20),SUM(BP20:BS20)),1,0)</f>
        <v>1</v>
      </c>
      <c r="BY20" s="106">
        <f t="shared" ref="BY20:BY22" si="62">IFERROR(IF(PRODUCT(BM20:BO20)&lt;=0,0,1),0)</f>
        <v>1</v>
      </c>
      <c r="BZ20" s="106">
        <f t="shared" ref="BZ20:BZ22" si="63">IFERROR(IF(BT20&lt;=0,0,1),0)</f>
        <v>1</v>
      </c>
      <c r="CA20" s="106">
        <f t="shared" ref="CA20:CA22" si="64">PRODUCT(BU20:BZ20)</f>
        <v>1</v>
      </c>
      <c r="CB20" s="107">
        <f t="shared" ref="CB20:CB22" si="65">ROUND(BT20,0)</f>
        <v>9388063</v>
      </c>
      <c r="CC20" s="108">
        <f t="shared" ref="CC20:CC22" si="66">BT20-CB20</f>
        <v>0</v>
      </c>
      <c r="CF20" s="609" t="s">
        <v>339</v>
      </c>
      <c r="CG20" s="609" t="s">
        <v>137</v>
      </c>
      <c r="CH20" s="634" t="s">
        <v>364</v>
      </c>
      <c r="CI20" s="620">
        <v>1</v>
      </c>
      <c r="CJ20" s="612">
        <v>12663224.999999998</v>
      </c>
      <c r="CK20" s="613">
        <v>13106437.874999996</v>
      </c>
      <c r="CL20" s="613">
        <v>13565163.200624995</v>
      </c>
      <c r="CM20" s="621">
        <v>0.1</v>
      </c>
      <c r="CN20" s="622">
        <v>1</v>
      </c>
      <c r="CO20" s="623">
        <v>12</v>
      </c>
      <c r="CP20" s="616">
        <v>5</v>
      </c>
      <c r="CQ20" s="617">
        <v>23776630</v>
      </c>
      <c r="CR20" s="106">
        <f t="shared" ref="CR20:CR22" si="67">IFERROR(IF(EXACT(VLOOKUP(CF20,OFERTA_0,1,FALSE),CF20),1,0),0)</f>
        <v>1</v>
      </c>
      <c r="CS20" s="106">
        <f t="shared" ref="CS20:CS22" si="68">IFERROR(IF(EXACT(VLOOKUP(CF20,OFERTA_0,3,FALSE),CH20),1,0),0)</f>
        <v>1</v>
      </c>
      <c r="CT20" s="106">
        <f t="shared" ref="CT20:CT22" si="69">IFERROR(IF(EXACT(VLOOKUP(CF20,OFERTA_0,4,FALSE),CI20),1,0),0)</f>
        <v>1</v>
      </c>
      <c r="CU20" s="106">
        <f t="shared" ref="CU20:CU22" si="70">IF(EXACT(SUM($I20:$L20),SUM(CM20:CP20)),1,0)</f>
        <v>1</v>
      </c>
      <c r="CV20" s="106">
        <f t="shared" ref="CV20:CV22" si="71">IFERROR(IF(PRODUCT(CJ20:CL20)&lt;=0,0,1),0)</f>
        <v>1</v>
      </c>
      <c r="CW20" s="106">
        <f t="shared" ref="CW20:CW22" si="72">IFERROR(IF(CQ20&lt;=0,0,1),0)</f>
        <v>1</v>
      </c>
      <c r="CX20" s="106">
        <f t="shared" ref="CX20:CX22" si="73">PRODUCT(CR20:CW20)</f>
        <v>1</v>
      </c>
      <c r="CY20" s="107">
        <f t="shared" ref="CY20:CY22" si="74">ROUND(CQ20,0)</f>
        <v>23776630</v>
      </c>
      <c r="CZ20" s="108">
        <f t="shared" ref="CZ20:CZ22" si="75">CQ20-CY20</f>
        <v>0</v>
      </c>
    </row>
    <row r="21" spans="1:104" s="177" customFormat="1" ht="204.75" customHeight="1">
      <c r="A21" s="175">
        <f t="shared" si="12"/>
        <v>12</v>
      </c>
      <c r="B21" s="359" t="s">
        <v>186</v>
      </c>
      <c r="C21" s="359" t="s">
        <v>137</v>
      </c>
      <c r="D21" s="375" t="s">
        <v>341</v>
      </c>
      <c r="E21" s="369">
        <v>1</v>
      </c>
      <c r="F21" s="429">
        <v>0</v>
      </c>
      <c r="G21" s="362">
        <v>0</v>
      </c>
      <c r="H21" s="362">
        <v>0</v>
      </c>
      <c r="I21" s="370">
        <v>0.1</v>
      </c>
      <c r="J21" s="371">
        <v>1</v>
      </c>
      <c r="K21" s="372">
        <v>5</v>
      </c>
      <c r="L21" s="365">
        <v>0</v>
      </c>
      <c r="M21" s="366">
        <v>0</v>
      </c>
      <c r="O21" s="444" t="s">
        <v>186</v>
      </c>
      <c r="P21" s="444" t="s">
        <v>137</v>
      </c>
      <c r="Q21" s="460" t="s">
        <v>341</v>
      </c>
      <c r="R21" s="454">
        <v>1</v>
      </c>
      <c r="S21" s="514">
        <v>7000000</v>
      </c>
      <c r="T21" s="447">
        <v>7244999.9999999991</v>
      </c>
      <c r="U21" s="447">
        <v>7498574.9999999981</v>
      </c>
      <c r="V21" s="455">
        <v>0.1</v>
      </c>
      <c r="W21" s="456">
        <v>1</v>
      </c>
      <c r="X21" s="457">
        <v>5</v>
      </c>
      <c r="Y21" s="450">
        <v>0</v>
      </c>
      <c r="Z21" s="451">
        <v>4322500</v>
      </c>
      <c r="AA21" s="106">
        <f t="shared" si="40"/>
        <v>1</v>
      </c>
      <c r="AB21" s="106">
        <f t="shared" si="41"/>
        <v>1</v>
      </c>
      <c r="AC21" s="106">
        <f t="shared" si="42"/>
        <v>1</v>
      </c>
      <c r="AD21" s="106">
        <f t="shared" si="43"/>
        <v>1</v>
      </c>
      <c r="AE21" s="106">
        <f t="shared" si="44"/>
        <v>1</v>
      </c>
      <c r="AF21" s="106">
        <f t="shared" si="45"/>
        <v>1</v>
      </c>
      <c r="AG21" s="106">
        <f t="shared" si="46"/>
        <v>1</v>
      </c>
      <c r="AH21" s="107">
        <f t="shared" si="47"/>
        <v>4322500</v>
      </c>
      <c r="AI21" s="108">
        <f t="shared" si="48"/>
        <v>0</v>
      </c>
      <c r="AL21" s="518" t="s">
        <v>186</v>
      </c>
      <c r="AM21" s="534" t="s">
        <v>137</v>
      </c>
      <c r="AN21" s="535" t="s">
        <v>365</v>
      </c>
      <c r="AO21" s="530">
        <v>1</v>
      </c>
      <c r="AP21" s="522">
        <v>9500000</v>
      </c>
      <c r="AQ21" s="523">
        <v>9832500</v>
      </c>
      <c r="AR21" s="523">
        <v>10176637.5</v>
      </c>
      <c r="AS21" s="531">
        <v>0.1</v>
      </c>
      <c r="AT21" s="532">
        <v>1</v>
      </c>
      <c r="AU21" s="533">
        <v>5</v>
      </c>
      <c r="AV21" s="526">
        <v>0</v>
      </c>
      <c r="AW21" s="527">
        <v>5866250</v>
      </c>
      <c r="AX21" s="106">
        <f t="shared" si="49"/>
        <v>1</v>
      </c>
      <c r="AY21" s="106">
        <f t="shared" si="50"/>
        <v>1</v>
      </c>
      <c r="AZ21" s="106">
        <f t="shared" si="51"/>
        <v>1</v>
      </c>
      <c r="BA21" s="106">
        <f t="shared" si="52"/>
        <v>1</v>
      </c>
      <c r="BB21" s="106">
        <f t="shared" si="53"/>
        <v>1</v>
      </c>
      <c r="BC21" s="106">
        <f t="shared" si="54"/>
        <v>1</v>
      </c>
      <c r="BD21" s="106">
        <f t="shared" si="55"/>
        <v>1</v>
      </c>
      <c r="BE21" s="107">
        <f t="shared" si="56"/>
        <v>5866250</v>
      </c>
      <c r="BF21" s="108">
        <f t="shared" si="57"/>
        <v>0</v>
      </c>
      <c r="BI21" s="609" t="s">
        <v>186</v>
      </c>
      <c r="BJ21" s="609" t="s">
        <v>137</v>
      </c>
      <c r="BK21" s="626" t="s">
        <v>365</v>
      </c>
      <c r="BL21" s="620">
        <v>1</v>
      </c>
      <c r="BM21" s="612">
        <v>5000000</v>
      </c>
      <c r="BN21" s="613">
        <v>5175000</v>
      </c>
      <c r="BO21" s="613">
        <v>5356125</v>
      </c>
      <c r="BP21" s="621">
        <v>0.1</v>
      </c>
      <c r="BQ21" s="622">
        <v>1</v>
      </c>
      <c r="BR21" s="623">
        <v>5</v>
      </c>
      <c r="BS21" s="616">
        <v>0</v>
      </c>
      <c r="BT21" s="617">
        <v>3087500</v>
      </c>
      <c r="BU21" s="106">
        <f t="shared" si="58"/>
        <v>1</v>
      </c>
      <c r="BV21" s="106">
        <f t="shared" si="59"/>
        <v>1</v>
      </c>
      <c r="BW21" s="106">
        <f t="shared" si="60"/>
        <v>1</v>
      </c>
      <c r="BX21" s="106">
        <f t="shared" si="61"/>
        <v>1</v>
      </c>
      <c r="BY21" s="106">
        <f t="shared" si="62"/>
        <v>1</v>
      </c>
      <c r="BZ21" s="106">
        <f t="shared" si="63"/>
        <v>1</v>
      </c>
      <c r="CA21" s="106">
        <f t="shared" si="64"/>
        <v>1</v>
      </c>
      <c r="CB21" s="107">
        <f t="shared" si="65"/>
        <v>3087500</v>
      </c>
      <c r="CC21" s="108">
        <f t="shared" si="66"/>
        <v>0</v>
      </c>
      <c r="CF21" s="609" t="s">
        <v>186</v>
      </c>
      <c r="CG21" s="609" t="s">
        <v>137</v>
      </c>
      <c r="CH21" s="626" t="s">
        <v>365</v>
      </c>
      <c r="CI21" s="620">
        <v>1</v>
      </c>
      <c r="CJ21" s="612">
        <v>6209999.9999999991</v>
      </c>
      <c r="CK21" s="613">
        <v>6427349.9999999981</v>
      </c>
      <c r="CL21" s="613">
        <v>6652307.2499999972</v>
      </c>
      <c r="CM21" s="621">
        <v>0.1</v>
      </c>
      <c r="CN21" s="622">
        <v>1</v>
      </c>
      <c r="CO21" s="623">
        <v>5</v>
      </c>
      <c r="CP21" s="616">
        <v>0</v>
      </c>
      <c r="CQ21" s="617">
        <v>3834675</v>
      </c>
      <c r="CR21" s="106">
        <f t="shared" si="67"/>
        <v>1</v>
      </c>
      <c r="CS21" s="106">
        <f t="shared" si="68"/>
        <v>1</v>
      </c>
      <c r="CT21" s="106">
        <f t="shared" si="69"/>
        <v>1</v>
      </c>
      <c r="CU21" s="106">
        <f t="shared" si="70"/>
        <v>1</v>
      </c>
      <c r="CV21" s="106">
        <f t="shared" si="71"/>
        <v>1</v>
      </c>
      <c r="CW21" s="106">
        <f t="shared" si="72"/>
        <v>1</v>
      </c>
      <c r="CX21" s="106">
        <f t="shared" si="73"/>
        <v>1</v>
      </c>
      <c r="CY21" s="107">
        <f t="shared" si="74"/>
        <v>3834675</v>
      </c>
      <c r="CZ21" s="108">
        <f t="shared" si="75"/>
        <v>0</v>
      </c>
    </row>
    <row r="22" spans="1:104" s="177" customFormat="1" ht="73.5" customHeight="1">
      <c r="A22" s="175">
        <f t="shared" si="12"/>
        <v>13</v>
      </c>
      <c r="B22" s="359" t="s">
        <v>342</v>
      </c>
      <c r="C22" s="359" t="s">
        <v>136</v>
      </c>
      <c r="D22" s="375" t="s">
        <v>343</v>
      </c>
      <c r="E22" s="369">
        <v>1</v>
      </c>
      <c r="F22" s="429">
        <v>0</v>
      </c>
      <c r="G22" s="362">
        <v>0</v>
      </c>
      <c r="H22" s="362">
        <v>0</v>
      </c>
      <c r="I22" s="370">
        <v>1</v>
      </c>
      <c r="J22" s="373">
        <v>2</v>
      </c>
      <c r="K22" s="374">
        <v>12</v>
      </c>
      <c r="L22" s="365">
        <v>4</v>
      </c>
      <c r="M22" s="366">
        <v>0</v>
      </c>
      <c r="O22" s="444" t="s">
        <v>342</v>
      </c>
      <c r="P22" s="444" t="s">
        <v>136</v>
      </c>
      <c r="Q22" s="460" t="s">
        <v>343</v>
      </c>
      <c r="R22" s="454">
        <v>1</v>
      </c>
      <c r="S22" s="514">
        <v>4500000</v>
      </c>
      <c r="T22" s="447">
        <v>4657500</v>
      </c>
      <c r="U22" s="447">
        <v>4820512.5</v>
      </c>
      <c r="V22" s="455">
        <v>1</v>
      </c>
      <c r="W22" s="458">
        <v>2</v>
      </c>
      <c r="X22" s="459">
        <v>12</v>
      </c>
      <c r="Y22" s="450">
        <v>4</v>
      </c>
      <c r="Z22" s="451">
        <v>84172050</v>
      </c>
      <c r="AA22" s="106">
        <f t="shared" si="40"/>
        <v>1</v>
      </c>
      <c r="AB22" s="106">
        <f t="shared" si="41"/>
        <v>1</v>
      </c>
      <c r="AC22" s="106">
        <f t="shared" si="42"/>
        <v>1</v>
      </c>
      <c r="AD22" s="106">
        <f t="shared" si="43"/>
        <v>1</v>
      </c>
      <c r="AE22" s="106">
        <f t="shared" si="44"/>
        <v>1</v>
      </c>
      <c r="AF22" s="106">
        <f t="shared" si="45"/>
        <v>1</v>
      </c>
      <c r="AG22" s="106">
        <f t="shared" si="46"/>
        <v>1</v>
      </c>
      <c r="AH22" s="107">
        <f t="shared" si="47"/>
        <v>84172050</v>
      </c>
      <c r="AI22" s="108">
        <f t="shared" si="48"/>
        <v>0</v>
      </c>
      <c r="AL22" s="518" t="s">
        <v>342</v>
      </c>
      <c r="AM22" s="519" t="s">
        <v>136</v>
      </c>
      <c r="AN22" s="538" t="s">
        <v>366</v>
      </c>
      <c r="AO22" s="530">
        <v>1</v>
      </c>
      <c r="AP22" s="522">
        <v>4460000</v>
      </c>
      <c r="AQ22" s="523">
        <v>4616100</v>
      </c>
      <c r="AR22" s="523">
        <v>4777663.5</v>
      </c>
      <c r="AS22" s="531">
        <v>1</v>
      </c>
      <c r="AT22" s="536">
        <v>2</v>
      </c>
      <c r="AU22" s="537">
        <v>12</v>
      </c>
      <c r="AV22" s="526">
        <v>4</v>
      </c>
      <c r="AW22" s="527">
        <v>83423854</v>
      </c>
      <c r="AX22" s="106">
        <f t="shared" si="49"/>
        <v>1</v>
      </c>
      <c r="AY22" s="106">
        <v>1</v>
      </c>
      <c r="AZ22" s="106">
        <f t="shared" si="51"/>
        <v>1</v>
      </c>
      <c r="BA22" s="106">
        <f t="shared" si="52"/>
        <v>1</v>
      </c>
      <c r="BB22" s="106">
        <f t="shared" si="53"/>
        <v>1</v>
      </c>
      <c r="BC22" s="106">
        <f t="shared" si="54"/>
        <v>1</v>
      </c>
      <c r="BD22" s="106">
        <f t="shared" si="55"/>
        <v>1</v>
      </c>
      <c r="BE22" s="107">
        <f t="shared" si="56"/>
        <v>83423854</v>
      </c>
      <c r="BF22" s="108">
        <f t="shared" si="57"/>
        <v>0</v>
      </c>
      <c r="BI22" s="609" t="s">
        <v>342</v>
      </c>
      <c r="BJ22" s="609" t="s">
        <v>136</v>
      </c>
      <c r="BK22" s="626" t="s">
        <v>367</v>
      </c>
      <c r="BL22" s="620">
        <v>1</v>
      </c>
      <c r="BM22" s="612">
        <v>4800000</v>
      </c>
      <c r="BN22" s="613">
        <v>4968000</v>
      </c>
      <c r="BO22" s="613">
        <v>5141880</v>
      </c>
      <c r="BP22" s="621">
        <v>1</v>
      </c>
      <c r="BQ22" s="624">
        <v>2</v>
      </c>
      <c r="BR22" s="625">
        <v>12</v>
      </c>
      <c r="BS22" s="616">
        <v>4</v>
      </c>
      <c r="BT22" s="617">
        <v>89783520</v>
      </c>
      <c r="BU22" s="106">
        <f t="shared" si="58"/>
        <v>1</v>
      </c>
      <c r="BV22" s="106">
        <f t="shared" si="59"/>
        <v>1</v>
      </c>
      <c r="BW22" s="106">
        <f t="shared" si="60"/>
        <v>1</v>
      </c>
      <c r="BX22" s="106">
        <f t="shared" si="61"/>
        <v>1</v>
      </c>
      <c r="BY22" s="106">
        <f t="shared" si="62"/>
        <v>1</v>
      </c>
      <c r="BZ22" s="106">
        <f t="shared" si="63"/>
        <v>1</v>
      </c>
      <c r="CA22" s="106">
        <f t="shared" si="64"/>
        <v>1</v>
      </c>
      <c r="CB22" s="107">
        <f t="shared" si="65"/>
        <v>89783520</v>
      </c>
      <c r="CC22" s="108">
        <f t="shared" si="66"/>
        <v>0</v>
      </c>
      <c r="CF22" s="609" t="s">
        <v>342</v>
      </c>
      <c r="CG22" s="609" t="s">
        <v>136</v>
      </c>
      <c r="CH22" s="626" t="s">
        <v>367</v>
      </c>
      <c r="CI22" s="620">
        <v>1</v>
      </c>
      <c r="CJ22" s="612">
        <v>4450500</v>
      </c>
      <c r="CK22" s="613">
        <v>4606267.5</v>
      </c>
      <c r="CL22" s="613">
        <v>4767486.8624999998</v>
      </c>
      <c r="CM22" s="621">
        <v>1</v>
      </c>
      <c r="CN22" s="624">
        <v>2</v>
      </c>
      <c r="CO22" s="625">
        <v>12</v>
      </c>
      <c r="CP22" s="616">
        <v>4</v>
      </c>
      <c r="CQ22" s="617">
        <v>83246157</v>
      </c>
      <c r="CR22" s="106">
        <f t="shared" si="67"/>
        <v>1</v>
      </c>
      <c r="CS22" s="106">
        <f t="shared" si="68"/>
        <v>1</v>
      </c>
      <c r="CT22" s="106">
        <f t="shared" si="69"/>
        <v>1</v>
      </c>
      <c r="CU22" s="106">
        <f t="shared" si="70"/>
        <v>1</v>
      </c>
      <c r="CV22" s="106">
        <f t="shared" si="71"/>
        <v>1</v>
      </c>
      <c r="CW22" s="106">
        <f t="shared" si="72"/>
        <v>1</v>
      </c>
      <c r="CX22" s="106">
        <f t="shared" si="73"/>
        <v>1</v>
      </c>
      <c r="CY22" s="107">
        <f t="shared" si="74"/>
        <v>83246157</v>
      </c>
      <c r="CZ22" s="108">
        <f t="shared" si="75"/>
        <v>0</v>
      </c>
    </row>
    <row r="23" spans="1:104" s="177" customFormat="1">
      <c r="A23" s="175">
        <f t="shared" si="12"/>
        <v>14</v>
      </c>
      <c r="B23" s="1039" t="s">
        <v>344</v>
      </c>
      <c r="C23" s="1040"/>
      <c r="D23" s="1040"/>
      <c r="E23" s="1040"/>
      <c r="F23" s="1040"/>
      <c r="G23" s="1040"/>
      <c r="H23" s="1040"/>
      <c r="I23" s="1040"/>
      <c r="J23" s="1041"/>
      <c r="K23" s="384"/>
      <c r="L23" s="384"/>
      <c r="M23" s="385">
        <v>0</v>
      </c>
      <c r="O23" s="1039" t="s">
        <v>344</v>
      </c>
      <c r="P23" s="1052"/>
      <c r="Q23" s="1052"/>
      <c r="R23" s="1052"/>
      <c r="S23" s="1052"/>
      <c r="T23" s="1052"/>
      <c r="U23" s="1052"/>
      <c r="V23" s="1052"/>
      <c r="W23" s="1053"/>
      <c r="X23" s="469"/>
      <c r="Y23" s="469"/>
      <c r="Z23" s="470">
        <f>SUM(Z11:Z22)</f>
        <v>438009481</v>
      </c>
      <c r="AA23" s="1054"/>
      <c r="AB23" s="1055"/>
      <c r="AC23" s="1055"/>
      <c r="AD23" s="1055"/>
      <c r="AE23" s="1055"/>
      <c r="AF23" s="1055"/>
      <c r="AG23" s="1055"/>
      <c r="AH23" s="1055"/>
      <c r="AI23" s="1056"/>
      <c r="AL23" s="1087" t="s">
        <v>344</v>
      </c>
      <c r="AM23" s="1088"/>
      <c r="AN23" s="1088"/>
      <c r="AO23" s="1088"/>
      <c r="AP23" s="1088"/>
      <c r="AQ23" s="1088"/>
      <c r="AR23" s="1088"/>
      <c r="AS23" s="1088"/>
      <c r="AT23" s="1089"/>
      <c r="AU23" s="559">
        <v>0</v>
      </c>
      <c r="AV23" s="559">
        <v>0</v>
      </c>
      <c r="AW23" s="560">
        <f>SUM(AW11:AW22)</f>
        <v>434689842</v>
      </c>
      <c r="AX23" s="1054"/>
      <c r="AY23" s="1055"/>
      <c r="AZ23" s="1055"/>
      <c r="BA23" s="1055"/>
      <c r="BB23" s="1055"/>
      <c r="BC23" s="1055"/>
      <c r="BD23" s="1055"/>
      <c r="BE23" s="1055"/>
      <c r="BF23" s="1056"/>
      <c r="BI23" s="1093" t="s">
        <v>344</v>
      </c>
      <c r="BJ23" s="1094"/>
      <c r="BK23" s="1094"/>
      <c r="BL23" s="1094"/>
      <c r="BM23" s="1094"/>
      <c r="BN23" s="1094"/>
      <c r="BO23" s="1094"/>
      <c r="BP23" s="1094"/>
      <c r="BQ23" s="1095"/>
      <c r="BR23" s="635">
        <v>0</v>
      </c>
      <c r="BS23" s="635">
        <v>0</v>
      </c>
      <c r="BT23" s="636">
        <f>SUM(BT11:BT22)</f>
        <v>435321650</v>
      </c>
      <c r="BU23" s="1054"/>
      <c r="BV23" s="1055"/>
      <c r="BW23" s="1055"/>
      <c r="BX23" s="1055"/>
      <c r="BY23" s="1055"/>
      <c r="BZ23" s="1055"/>
      <c r="CA23" s="1055"/>
      <c r="CB23" s="1055"/>
      <c r="CC23" s="1056"/>
      <c r="CF23" s="1093" t="s">
        <v>344</v>
      </c>
      <c r="CG23" s="1094"/>
      <c r="CH23" s="1094"/>
      <c r="CI23" s="1094"/>
      <c r="CJ23" s="1094"/>
      <c r="CK23" s="1094"/>
      <c r="CL23" s="1094"/>
      <c r="CM23" s="1094"/>
      <c r="CN23" s="1095"/>
      <c r="CO23" s="635">
        <v>0</v>
      </c>
      <c r="CP23" s="635">
        <v>0</v>
      </c>
      <c r="CQ23" s="636">
        <f>SUM(CQ11:CQ22)</f>
        <v>432626179</v>
      </c>
      <c r="CR23" s="1054"/>
      <c r="CS23" s="1055"/>
      <c r="CT23" s="1055"/>
      <c r="CU23" s="1055"/>
      <c r="CV23" s="1055"/>
      <c r="CW23" s="1055"/>
      <c r="CX23" s="1055"/>
      <c r="CY23" s="1055"/>
      <c r="CZ23" s="1056"/>
    </row>
    <row r="24" spans="1:104" s="177" customFormat="1">
      <c r="A24" s="175">
        <f t="shared" si="12"/>
        <v>15</v>
      </c>
      <c r="B24" s="386"/>
      <c r="C24" s="387"/>
      <c r="D24" s="388"/>
      <c r="E24" s="388"/>
      <c r="F24" s="388"/>
      <c r="G24" s="388"/>
      <c r="H24" s="388"/>
      <c r="I24" s="388"/>
      <c r="J24" s="389"/>
      <c r="K24" s="388"/>
      <c r="L24" s="388"/>
      <c r="M24" s="390"/>
      <c r="O24" s="471"/>
      <c r="P24" s="472"/>
      <c r="Q24" s="473"/>
      <c r="R24" s="473"/>
      <c r="S24" s="473"/>
      <c r="T24" s="473"/>
      <c r="U24" s="473"/>
      <c r="V24" s="473"/>
      <c r="W24" s="474"/>
      <c r="X24" s="473"/>
      <c r="Y24" s="473"/>
      <c r="Z24" s="475"/>
      <c r="AA24" s="1054"/>
      <c r="AB24" s="1055"/>
      <c r="AC24" s="1055"/>
      <c r="AD24" s="1055"/>
      <c r="AE24" s="1055"/>
      <c r="AF24" s="1055"/>
      <c r="AG24" s="1055"/>
      <c r="AH24" s="1055"/>
      <c r="AI24" s="1056"/>
      <c r="AL24" s="561">
        <v>0</v>
      </c>
      <c r="AM24" s="562">
        <v>0</v>
      </c>
      <c r="AN24" s="563">
        <v>0</v>
      </c>
      <c r="AO24" s="563">
        <v>0</v>
      </c>
      <c r="AP24" s="563">
        <v>0</v>
      </c>
      <c r="AQ24" s="563">
        <v>0</v>
      </c>
      <c r="AR24" s="563">
        <v>0</v>
      </c>
      <c r="AS24" s="563">
        <v>0</v>
      </c>
      <c r="AT24" s="564">
        <v>0</v>
      </c>
      <c r="AU24" s="563">
        <v>0</v>
      </c>
      <c r="AV24" s="563">
        <v>0</v>
      </c>
      <c r="AW24" s="565">
        <v>0</v>
      </c>
      <c r="AX24" s="1054"/>
      <c r="AY24" s="1055"/>
      <c r="AZ24" s="1055"/>
      <c r="BA24" s="1055"/>
      <c r="BB24" s="1055"/>
      <c r="BC24" s="1055"/>
      <c r="BD24" s="1055"/>
      <c r="BE24" s="1055"/>
      <c r="BF24" s="1056"/>
      <c r="BI24" s="637">
        <v>0</v>
      </c>
      <c r="BJ24" s="638">
        <v>0</v>
      </c>
      <c r="BK24" s="639">
        <v>0</v>
      </c>
      <c r="BL24" s="639">
        <v>0</v>
      </c>
      <c r="BM24" s="639">
        <v>0</v>
      </c>
      <c r="BN24" s="639">
        <v>0</v>
      </c>
      <c r="BO24" s="639">
        <v>0</v>
      </c>
      <c r="BP24" s="639">
        <v>0</v>
      </c>
      <c r="BQ24" s="640">
        <v>0</v>
      </c>
      <c r="BR24" s="639">
        <v>0</v>
      </c>
      <c r="BS24" s="639">
        <v>0</v>
      </c>
      <c r="BT24" s="641">
        <v>0</v>
      </c>
      <c r="BU24" s="1054"/>
      <c r="BV24" s="1055"/>
      <c r="BW24" s="1055"/>
      <c r="BX24" s="1055"/>
      <c r="BY24" s="1055"/>
      <c r="BZ24" s="1055"/>
      <c r="CA24" s="1055"/>
      <c r="CB24" s="1055"/>
      <c r="CC24" s="1056"/>
      <c r="CF24" s="637">
        <v>0</v>
      </c>
      <c r="CG24" s="638">
        <v>0</v>
      </c>
      <c r="CH24" s="639">
        <v>0</v>
      </c>
      <c r="CI24" s="639">
        <v>0</v>
      </c>
      <c r="CJ24" s="639">
        <v>0</v>
      </c>
      <c r="CK24" s="639">
        <v>0</v>
      </c>
      <c r="CL24" s="639">
        <v>0</v>
      </c>
      <c r="CM24" s="639">
        <v>0</v>
      </c>
      <c r="CN24" s="640">
        <v>0</v>
      </c>
      <c r="CO24" s="639">
        <v>0</v>
      </c>
      <c r="CP24" s="639">
        <v>0</v>
      </c>
      <c r="CQ24" s="641">
        <v>0</v>
      </c>
      <c r="CR24" s="1054"/>
      <c r="CS24" s="1055"/>
      <c r="CT24" s="1055"/>
      <c r="CU24" s="1055"/>
      <c r="CV24" s="1055"/>
      <c r="CW24" s="1055"/>
      <c r="CX24" s="1055"/>
      <c r="CY24" s="1055"/>
      <c r="CZ24" s="1056"/>
    </row>
    <row r="25" spans="1:104" s="177" customFormat="1" ht="15.75" customHeight="1">
      <c r="A25" s="175">
        <f t="shared" si="12"/>
        <v>16</v>
      </c>
      <c r="B25" s="391"/>
      <c r="C25" s="392"/>
      <c r="D25" s="1037" t="s">
        <v>194</v>
      </c>
      <c r="E25" s="983"/>
      <c r="F25" s="983"/>
      <c r="G25" s="983"/>
      <c r="H25" s="983"/>
      <c r="I25" s="983"/>
      <c r="J25" s="984"/>
      <c r="K25" s="384"/>
      <c r="L25" s="384"/>
      <c r="M25" s="393">
        <v>0</v>
      </c>
      <c r="O25" s="476"/>
      <c r="P25" s="477"/>
      <c r="Q25" s="1037" t="s">
        <v>194</v>
      </c>
      <c r="R25" s="985"/>
      <c r="S25" s="985"/>
      <c r="T25" s="985"/>
      <c r="U25" s="985"/>
      <c r="V25" s="985"/>
      <c r="W25" s="986"/>
      <c r="X25" s="469"/>
      <c r="Y25" s="469"/>
      <c r="Z25" s="478">
        <v>438009481</v>
      </c>
      <c r="AA25" s="1054"/>
      <c r="AB25" s="1055"/>
      <c r="AC25" s="1055"/>
      <c r="AD25" s="1055"/>
      <c r="AE25" s="1055"/>
      <c r="AF25" s="1055"/>
      <c r="AG25" s="1055"/>
      <c r="AH25" s="1055"/>
      <c r="AI25" s="1056"/>
      <c r="AL25" s="566">
        <v>0</v>
      </c>
      <c r="AM25" s="567">
        <v>0</v>
      </c>
      <c r="AN25" s="1062" t="s">
        <v>194</v>
      </c>
      <c r="AO25" s="1063"/>
      <c r="AP25" s="1063"/>
      <c r="AQ25" s="1063"/>
      <c r="AR25" s="1063"/>
      <c r="AS25" s="1063"/>
      <c r="AT25" s="1064"/>
      <c r="AU25" s="559">
        <v>0</v>
      </c>
      <c r="AV25" s="559">
        <v>0</v>
      </c>
      <c r="AW25" s="568">
        <v>434689842</v>
      </c>
      <c r="AX25" s="1054"/>
      <c r="AY25" s="1055"/>
      <c r="AZ25" s="1055"/>
      <c r="BA25" s="1055"/>
      <c r="BB25" s="1055"/>
      <c r="BC25" s="1055"/>
      <c r="BD25" s="1055"/>
      <c r="BE25" s="1055"/>
      <c r="BF25" s="1056"/>
      <c r="BI25" s="642">
        <v>0</v>
      </c>
      <c r="BJ25" s="643">
        <v>0</v>
      </c>
      <c r="BK25" s="1096" t="s">
        <v>194</v>
      </c>
      <c r="BL25" s="1097"/>
      <c r="BM25" s="1097"/>
      <c r="BN25" s="1097"/>
      <c r="BO25" s="1097"/>
      <c r="BP25" s="1097"/>
      <c r="BQ25" s="1098"/>
      <c r="BR25" s="635">
        <v>0</v>
      </c>
      <c r="BS25" s="635">
        <v>0</v>
      </c>
      <c r="BT25" s="644">
        <v>435321650</v>
      </c>
      <c r="BU25" s="1054"/>
      <c r="BV25" s="1055"/>
      <c r="BW25" s="1055"/>
      <c r="BX25" s="1055"/>
      <c r="BY25" s="1055"/>
      <c r="BZ25" s="1055"/>
      <c r="CA25" s="1055"/>
      <c r="CB25" s="1055"/>
      <c r="CC25" s="1056"/>
      <c r="CF25" s="642">
        <v>0</v>
      </c>
      <c r="CG25" s="643">
        <v>0</v>
      </c>
      <c r="CH25" s="1096" t="s">
        <v>194</v>
      </c>
      <c r="CI25" s="1097"/>
      <c r="CJ25" s="1097"/>
      <c r="CK25" s="1097"/>
      <c r="CL25" s="1097"/>
      <c r="CM25" s="1097"/>
      <c r="CN25" s="1098"/>
      <c r="CO25" s="635">
        <v>0</v>
      </c>
      <c r="CP25" s="635">
        <v>0</v>
      </c>
      <c r="CQ25" s="644">
        <v>432626179</v>
      </c>
      <c r="CR25" s="1054"/>
      <c r="CS25" s="1055"/>
      <c r="CT25" s="1055"/>
      <c r="CU25" s="1055"/>
      <c r="CV25" s="1055"/>
      <c r="CW25" s="1055"/>
      <c r="CX25" s="1055"/>
      <c r="CY25" s="1055"/>
      <c r="CZ25" s="1056"/>
    </row>
    <row r="26" spans="1:104" s="177" customFormat="1">
      <c r="A26" s="175">
        <f t="shared" si="12"/>
        <v>17</v>
      </c>
      <c r="B26" s="394"/>
      <c r="C26" s="395"/>
      <c r="D26" s="396"/>
      <c r="E26" s="395">
        <v>11</v>
      </c>
      <c r="F26" s="397"/>
      <c r="G26" s="398"/>
      <c r="H26" s="398"/>
      <c r="I26" s="1048" t="s">
        <v>195</v>
      </c>
      <c r="J26" s="984"/>
      <c r="K26" s="384"/>
      <c r="L26" s="384"/>
      <c r="M26" s="430">
        <v>0</v>
      </c>
      <c r="O26" s="479"/>
      <c r="P26" s="480"/>
      <c r="Q26" s="481"/>
      <c r="R26" s="480">
        <v>11</v>
      </c>
      <c r="S26" s="482"/>
      <c r="T26" s="483"/>
      <c r="U26" s="483"/>
      <c r="V26" s="1048" t="s">
        <v>195</v>
      </c>
      <c r="W26" s="986"/>
      <c r="X26" s="469"/>
      <c r="Y26" s="469"/>
      <c r="Z26" s="515">
        <v>2.34</v>
      </c>
      <c r="AA26" s="1054"/>
      <c r="AB26" s="1055"/>
      <c r="AC26" s="1055"/>
      <c r="AD26" s="1055"/>
      <c r="AE26" s="1055"/>
      <c r="AF26" s="1055"/>
      <c r="AG26" s="1055"/>
      <c r="AH26" s="1055"/>
      <c r="AI26" s="1056"/>
      <c r="AL26" s="569">
        <v>0</v>
      </c>
      <c r="AM26" s="570">
        <v>0</v>
      </c>
      <c r="AN26" s="571">
        <v>0</v>
      </c>
      <c r="AO26" s="570">
        <v>11</v>
      </c>
      <c r="AP26" s="572">
        <v>0</v>
      </c>
      <c r="AQ26" s="573">
        <v>0</v>
      </c>
      <c r="AR26" s="573">
        <v>0</v>
      </c>
      <c r="AS26" s="1085" t="s">
        <v>195</v>
      </c>
      <c r="AT26" s="1086"/>
      <c r="AU26" s="559">
        <v>0</v>
      </c>
      <c r="AV26" s="559">
        <v>0</v>
      </c>
      <c r="AW26" s="574">
        <v>2.3199999999999998</v>
      </c>
      <c r="AX26" s="1054"/>
      <c r="AY26" s="1055"/>
      <c r="AZ26" s="1055"/>
      <c r="BA26" s="1055"/>
      <c r="BB26" s="1055"/>
      <c r="BC26" s="1055"/>
      <c r="BD26" s="1055"/>
      <c r="BE26" s="1055"/>
      <c r="BF26" s="1056"/>
      <c r="BI26" s="645">
        <v>0</v>
      </c>
      <c r="BJ26" s="646">
        <v>0</v>
      </c>
      <c r="BK26" s="647">
        <v>0</v>
      </c>
      <c r="BL26" s="646">
        <v>11</v>
      </c>
      <c r="BM26" s="648">
        <v>0</v>
      </c>
      <c r="BN26" s="649">
        <v>0</v>
      </c>
      <c r="BO26" s="649">
        <v>0</v>
      </c>
      <c r="BP26" s="1071" t="s">
        <v>195</v>
      </c>
      <c r="BQ26" s="1072"/>
      <c r="BR26" s="635">
        <v>0</v>
      </c>
      <c r="BS26" s="635">
        <v>0</v>
      </c>
      <c r="BT26" s="650">
        <v>2.3199999999999998</v>
      </c>
      <c r="BU26" s="1054"/>
      <c r="BV26" s="1055"/>
      <c r="BW26" s="1055"/>
      <c r="BX26" s="1055"/>
      <c r="BY26" s="1055"/>
      <c r="BZ26" s="1055"/>
      <c r="CA26" s="1055"/>
      <c r="CB26" s="1055"/>
      <c r="CC26" s="1056"/>
      <c r="CF26" s="645">
        <v>0</v>
      </c>
      <c r="CG26" s="646">
        <v>0</v>
      </c>
      <c r="CH26" s="647">
        <v>0</v>
      </c>
      <c r="CI26" s="646">
        <v>11</v>
      </c>
      <c r="CJ26" s="648">
        <v>0</v>
      </c>
      <c r="CK26" s="649">
        <v>0</v>
      </c>
      <c r="CL26" s="649">
        <v>0</v>
      </c>
      <c r="CM26" s="1071" t="s">
        <v>195</v>
      </c>
      <c r="CN26" s="1072"/>
      <c r="CO26" s="635">
        <v>0</v>
      </c>
      <c r="CP26" s="635">
        <v>0</v>
      </c>
      <c r="CQ26" s="650">
        <v>2.34</v>
      </c>
      <c r="CR26" s="1054"/>
      <c r="CS26" s="1055"/>
      <c r="CT26" s="1055"/>
      <c r="CU26" s="1055"/>
      <c r="CV26" s="1055"/>
      <c r="CW26" s="1055"/>
      <c r="CX26" s="1055"/>
      <c r="CY26" s="1055"/>
      <c r="CZ26" s="1056"/>
    </row>
    <row r="27" spans="1:104" s="177" customFormat="1">
      <c r="A27" s="175">
        <f t="shared" si="12"/>
        <v>18</v>
      </c>
      <c r="B27" s="399"/>
      <c r="C27" s="400"/>
      <c r="D27" s="982" t="s">
        <v>196</v>
      </c>
      <c r="E27" s="983"/>
      <c r="F27" s="983"/>
      <c r="G27" s="983"/>
      <c r="H27" s="983"/>
      <c r="I27" s="983"/>
      <c r="J27" s="984"/>
      <c r="K27" s="384"/>
      <c r="L27" s="384"/>
      <c r="M27" s="393">
        <v>0</v>
      </c>
      <c r="O27" s="484"/>
      <c r="P27" s="485"/>
      <c r="Q27" s="982" t="s">
        <v>196</v>
      </c>
      <c r="R27" s="985"/>
      <c r="S27" s="985"/>
      <c r="T27" s="985"/>
      <c r="U27" s="985"/>
      <c r="V27" s="985"/>
      <c r="W27" s="986"/>
      <c r="X27" s="469"/>
      <c r="Y27" s="469"/>
      <c r="Z27" s="478">
        <v>1024942186</v>
      </c>
      <c r="AA27" s="431"/>
      <c r="AB27" s="431"/>
      <c r="AC27" s="431"/>
      <c r="AD27" s="431"/>
      <c r="AE27" s="431"/>
      <c r="AF27" s="431"/>
      <c r="AG27" s="431"/>
      <c r="AH27" s="431"/>
      <c r="AI27" s="432"/>
      <c r="AL27" s="575">
        <v>0</v>
      </c>
      <c r="AM27" s="576">
        <v>0</v>
      </c>
      <c r="AN27" s="1082" t="s">
        <v>196</v>
      </c>
      <c r="AO27" s="1083"/>
      <c r="AP27" s="1083"/>
      <c r="AQ27" s="1083"/>
      <c r="AR27" s="1083"/>
      <c r="AS27" s="1083"/>
      <c r="AT27" s="1084"/>
      <c r="AU27" s="559">
        <v>0</v>
      </c>
      <c r="AV27" s="559">
        <v>0</v>
      </c>
      <c r="AW27" s="568">
        <v>1008480433</v>
      </c>
      <c r="AX27" s="431"/>
      <c r="AY27" s="431"/>
      <c r="AZ27" s="431"/>
      <c r="BA27" s="431"/>
      <c r="BB27" s="431"/>
      <c r="BC27" s="431"/>
      <c r="BD27" s="431"/>
      <c r="BE27" s="431"/>
      <c r="BF27" s="432"/>
      <c r="BI27" s="651">
        <v>0</v>
      </c>
      <c r="BJ27" s="652">
        <v>0</v>
      </c>
      <c r="BK27" s="1073" t="s">
        <v>196</v>
      </c>
      <c r="BL27" s="1074"/>
      <c r="BM27" s="1074"/>
      <c r="BN27" s="1074"/>
      <c r="BO27" s="1074"/>
      <c r="BP27" s="1074"/>
      <c r="BQ27" s="1075"/>
      <c r="BR27" s="635">
        <v>0</v>
      </c>
      <c r="BS27" s="635">
        <v>0</v>
      </c>
      <c r="BT27" s="644">
        <v>1009946228</v>
      </c>
      <c r="BU27" s="431"/>
      <c r="BV27" s="431"/>
      <c r="BW27" s="431"/>
      <c r="BX27" s="431"/>
      <c r="BY27" s="431"/>
      <c r="BZ27" s="431"/>
      <c r="CA27" s="431"/>
      <c r="CB27" s="431"/>
      <c r="CC27" s="432"/>
      <c r="CF27" s="651">
        <v>0</v>
      </c>
      <c r="CG27" s="652">
        <v>0</v>
      </c>
      <c r="CH27" s="1073" t="s">
        <v>196</v>
      </c>
      <c r="CI27" s="1074"/>
      <c r="CJ27" s="1074"/>
      <c r="CK27" s="1074"/>
      <c r="CL27" s="1074"/>
      <c r="CM27" s="1074"/>
      <c r="CN27" s="1075"/>
      <c r="CO27" s="635">
        <v>0</v>
      </c>
      <c r="CP27" s="635">
        <v>0</v>
      </c>
      <c r="CQ27" s="644">
        <v>1012345259</v>
      </c>
      <c r="CR27" s="431"/>
      <c r="CS27" s="431"/>
      <c r="CT27" s="431"/>
      <c r="CU27" s="431"/>
      <c r="CV27" s="431"/>
      <c r="CW27" s="431"/>
      <c r="CX27" s="431"/>
      <c r="CY27" s="431"/>
      <c r="CZ27" s="432"/>
    </row>
    <row r="28" spans="1:104" s="177" customFormat="1" ht="16.5" thickBot="1">
      <c r="A28" s="175">
        <f t="shared" si="12"/>
        <v>19</v>
      </c>
      <c r="B28" s="401"/>
      <c r="C28" s="402"/>
      <c r="D28" s="402"/>
      <c r="E28" s="402"/>
      <c r="F28" s="402"/>
      <c r="G28" s="402"/>
      <c r="H28" s="402"/>
      <c r="I28" s="402"/>
      <c r="J28" s="402"/>
      <c r="K28" s="402"/>
      <c r="L28" s="402"/>
      <c r="M28" s="403"/>
      <c r="O28" s="486"/>
      <c r="P28" s="487"/>
      <c r="Q28" s="487"/>
      <c r="R28" s="487"/>
      <c r="S28" s="487"/>
      <c r="T28" s="487"/>
      <c r="U28" s="487"/>
      <c r="V28" s="487"/>
      <c r="W28" s="487"/>
      <c r="X28" s="487"/>
      <c r="Y28" s="487"/>
      <c r="Z28" s="488"/>
      <c r="AA28" s="1054"/>
      <c r="AB28" s="1055"/>
      <c r="AC28" s="1055"/>
      <c r="AD28" s="1055"/>
      <c r="AE28" s="1055"/>
      <c r="AF28" s="1055"/>
      <c r="AG28" s="1055"/>
      <c r="AH28" s="1055"/>
      <c r="AI28" s="1056"/>
      <c r="AL28" s="577">
        <v>0</v>
      </c>
      <c r="AM28" s="578">
        <v>0</v>
      </c>
      <c r="AN28" s="578">
        <v>0</v>
      </c>
      <c r="AO28" s="578">
        <v>0</v>
      </c>
      <c r="AP28" s="578">
        <v>0</v>
      </c>
      <c r="AQ28" s="578">
        <v>0</v>
      </c>
      <c r="AR28" s="578">
        <v>0</v>
      </c>
      <c r="AS28" s="578">
        <v>0</v>
      </c>
      <c r="AT28" s="578">
        <v>0</v>
      </c>
      <c r="AU28" s="578">
        <v>0</v>
      </c>
      <c r="AV28" s="578">
        <v>0</v>
      </c>
      <c r="AW28" s="579">
        <v>0</v>
      </c>
      <c r="AX28" s="1054"/>
      <c r="AY28" s="1055"/>
      <c r="AZ28" s="1055"/>
      <c r="BA28" s="1055"/>
      <c r="BB28" s="1055"/>
      <c r="BC28" s="1055"/>
      <c r="BD28" s="1055"/>
      <c r="BE28" s="1055"/>
      <c r="BF28" s="1056"/>
      <c r="BI28" s="653">
        <v>0</v>
      </c>
      <c r="BJ28" s="654">
        <v>0</v>
      </c>
      <c r="BK28" s="654">
        <v>0</v>
      </c>
      <c r="BL28" s="654">
        <v>0</v>
      </c>
      <c r="BM28" s="654">
        <v>0</v>
      </c>
      <c r="BN28" s="654">
        <v>0</v>
      </c>
      <c r="BO28" s="654">
        <v>0</v>
      </c>
      <c r="BP28" s="654">
        <v>0</v>
      </c>
      <c r="BQ28" s="654">
        <v>0</v>
      </c>
      <c r="BR28" s="654">
        <v>0</v>
      </c>
      <c r="BS28" s="654">
        <v>0</v>
      </c>
      <c r="BT28" s="655">
        <v>0</v>
      </c>
      <c r="BU28" s="1054"/>
      <c r="BV28" s="1055"/>
      <c r="BW28" s="1055"/>
      <c r="BX28" s="1055"/>
      <c r="BY28" s="1055"/>
      <c r="BZ28" s="1055"/>
      <c r="CA28" s="1055"/>
      <c r="CB28" s="1055"/>
      <c r="CC28" s="1056"/>
      <c r="CF28" s="653">
        <v>0</v>
      </c>
      <c r="CG28" s="654">
        <v>0</v>
      </c>
      <c r="CH28" s="654">
        <v>0</v>
      </c>
      <c r="CI28" s="654">
        <v>0</v>
      </c>
      <c r="CJ28" s="654">
        <v>0</v>
      </c>
      <c r="CK28" s="654">
        <v>0</v>
      </c>
      <c r="CL28" s="654">
        <v>0</v>
      </c>
      <c r="CM28" s="654">
        <v>0</v>
      </c>
      <c r="CN28" s="654">
        <v>0</v>
      </c>
      <c r="CO28" s="654">
        <v>0</v>
      </c>
      <c r="CP28" s="654">
        <v>0</v>
      </c>
      <c r="CQ28" s="655">
        <v>0</v>
      </c>
      <c r="CR28" s="1054"/>
      <c r="CS28" s="1055"/>
      <c r="CT28" s="1055"/>
      <c r="CU28" s="1055"/>
      <c r="CV28" s="1055"/>
      <c r="CW28" s="1055"/>
      <c r="CX28" s="1055"/>
      <c r="CY28" s="1055"/>
      <c r="CZ28" s="1056"/>
    </row>
    <row r="29" spans="1:104" s="177" customFormat="1" ht="31.5">
      <c r="A29" s="175">
        <f t="shared" si="12"/>
        <v>20</v>
      </c>
      <c r="B29" s="404" t="s">
        <v>90</v>
      </c>
      <c r="C29" s="405"/>
      <c r="D29" s="406" t="s">
        <v>197</v>
      </c>
      <c r="E29" s="407" t="s">
        <v>198</v>
      </c>
      <c r="F29" s="408" t="s">
        <v>188</v>
      </c>
      <c r="G29" s="408"/>
      <c r="H29" s="408"/>
      <c r="I29" s="408" t="s">
        <v>199</v>
      </c>
      <c r="J29" s="408" t="s">
        <v>200</v>
      </c>
      <c r="K29" s="409"/>
      <c r="L29" s="409"/>
      <c r="M29" s="410" t="s">
        <v>201</v>
      </c>
      <c r="O29" s="489" t="s">
        <v>90</v>
      </c>
      <c r="P29" s="490"/>
      <c r="Q29" s="491" t="s">
        <v>197</v>
      </c>
      <c r="R29" s="492" t="s">
        <v>198</v>
      </c>
      <c r="S29" s="493" t="s">
        <v>188</v>
      </c>
      <c r="T29" s="493"/>
      <c r="U29" s="493"/>
      <c r="V29" s="493" t="s">
        <v>199</v>
      </c>
      <c r="W29" s="493" t="s">
        <v>200</v>
      </c>
      <c r="X29" s="494"/>
      <c r="Y29" s="494"/>
      <c r="Z29" s="495" t="s">
        <v>201</v>
      </c>
      <c r="AA29" s="1054"/>
      <c r="AB29" s="1055"/>
      <c r="AC29" s="1055"/>
      <c r="AD29" s="1055"/>
      <c r="AE29" s="1055"/>
      <c r="AF29" s="1055"/>
      <c r="AG29" s="1055"/>
      <c r="AH29" s="1055"/>
      <c r="AI29" s="1056"/>
      <c r="AL29" s="580" t="s">
        <v>90</v>
      </c>
      <c r="AM29" s="581">
        <v>0</v>
      </c>
      <c r="AN29" s="582" t="s">
        <v>197</v>
      </c>
      <c r="AO29" s="583" t="s">
        <v>198</v>
      </c>
      <c r="AP29" s="584" t="s">
        <v>188</v>
      </c>
      <c r="AQ29" s="584">
        <v>0</v>
      </c>
      <c r="AR29" s="584">
        <v>0</v>
      </c>
      <c r="AS29" s="584" t="s">
        <v>199</v>
      </c>
      <c r="AT29" s="584" t="s">
        <v>200</v>
      </c>
      <c r="AU29" s="585">
        <v>0</v>
      </c>
      <c r="AV29" s="585">
        <v>0</v>
      </c>
      <c r="AW29" s="586" t="s">
        <v>201</v>
      </c>
      <c r="AX29" s="1054"/>
      <c r="AY29" s="1055"/>
      <c r="AZ29" s="1055"/>
      <c r="BA29" s="1055"/>
      <c r="BB29" s="1055"/>
      <c r="BC29" s="1055"/>
      <c r="BD29" s="1055"/>
      <c r="BE29" s="1055"/>
      <c r="BF29" s="1056"/>
      <c r="BI29" s="656" t="s">
        <v>90</v>
      </c>
      <c r="BJ29" s="657">
        <v>0</v>
      </c>
      <c r="BK29" s="658" t="s">
        <v>197</v>
      </c>
      <c r="BL29" s="659" t="s">
        <v>198</v>
      </c>
      <c r="BM29" s="660" t="s">
        <v>188</v>
      </c>
      <c r="BN29" s="660">
        <v>0</v>
      </c>
      <c r="BO29" s="660">
        <v>0</v>
      </c>
      <c r="BP29" s="660" t="s">
        <v>199</v>
      </c>
      <c r="BQ29" s="660" t="s">
        <v>200</v>
      </c>
      <c r="BR29" s="661">
        <v>0</v>
      </c>
      <c r="BS29" s="661">
        <v>0</v>
      </c>
      <c r="BT29" s="662" t="s">
        <v>201</v>
      </c>
      <c r="BU29" s="1054"/>
      <c r="BV29" s="1055"/>
      <c r="BW29" s="1055"/>
      <c r="BX29" s="1055"/>
      <c r="BY29" s="1055"/>
      <c r="BZ29" s="1055"/>
      <c r="CA29" s="1055"/>
      <c r="CB29" s="1055"/>
      <c r="CC29" s="1056"/>
      <c r="CF29" s="656" t="s">
        <v>90</v>
      </c>
      <c r="CG29" s="657">
        <v>0</v>
      </c>
      <c r="CH29" s="658" t="s">
        <v>197</v>
      </c>
      <c r="CI29" s="659" t="s">
        <v>198</v>
      </c>
      <c r="CJ29" s="660" t="s">
        <v>188</v>
      </c>
      <c r="CK29" s="660">
        <v>0</v>
      </c>
      <c r="CL29" s="660">
        <v>0</v>
      </c>
      <c r="CM29" s="660" t="s">
        <v>199</v>
      </c>
      <c r="CN29" s="660" t="s">
        <v>200</v>
      </c>
      <c r="CO29" s="661">
        <v>0</v>
      </c>
      <c r="CP29" s="661">
        <v>0</v>
      </c>
      <c r="CQ29" s="662" t="s">
        <v>201</v>
      </c>
      <c r="CR29" s="1054"/>
      <c r="CS29" s="1055"/>
      <c r="CT29" s="1055"/>
      <c r="CU29" s="1055"/>
      <c r="CV29" s="1055"/>
      <c r="CW29" s="1055"/>
      <c r="CX29" s="1055"/>
      <c r="CY29" s="1055"/>
      <c r="CZ29" s="1056"/>
    </row>
    <row r="30" spans="1:104" s="177" customFormat="1">
      <c r="A30" s="175">
        <f t="shared" si="12"/>
        <v>21</v>
      </c>
      <c r="B30" s="411" t="s">
        <v>202</v>
      </c>
      <c r="C30" s="412"/>
      <c r="D30" s="1042" t="s">
        <v>345</v>
      </c>
      <c r="E30" s="1043"/>
      <c r="F30" s="1043"/>
      <c r="G30" s="1043"/>
      <c r="H30" s="1043"/>
      <c r="I30" s="1043"/>
      <c r="J30" s="1043"/>
      <c r="K30" s="1043"/>
      <c r="L30" s="1043"/>
      <c r="M30" s="1044"/>
      <c r="O30" s="496" t="s">
        <v>202</v>
      </c>
      <c r="P30" s="497"/>
      <c r="Q30" s="1042" t="s">
        <v>345</v>
      </c>
      <c r="R30" s="1043"/>
      <c r="S30" s="1043"/>
      <c r="T30" s="1043"/>
      <c r="U30" s="1043"/>
      <c r="V30" s="1043"/>
      <c r="W30" s="1043"/>
      <c r="X30" s="1043"/>
      <c r="Y30" s="1043"/>
      <c r="Z30" s="1044"/>
      <c r="AA30" s="1054"/>
      <c r="AB30" s="1055"/>
      <c r="AC30" s="1055"/>
      <c r="AD30" s="1055"/>
      <c r="AE30" s="1055"/>
      <c r="AF30" s="1055"/>
      <c r="AG30" s="1055"/>
      <c r="AH30" s="1055"/>
      <c r="AI30" s="1056"/>
      <c r="AL30" s="587" t="s">
        <v>202</v>
      </c>
      <c r="AM30" s="588">
        <v>0</v>
      </c>
      <c r="AN30" s="1079" t="s">
        <v>345</v>
      </c>
      <c r="AO30" s="1080"/>
      <c r="AP30" s="1080"/>
      <c r="AQ30" s="1080"/>
      <c r="AR30" s="1080"/>
      <c r="AS30" s="1080"/>
      <c r="AT30" s="1080"/>
      <c r="AU30" s="1080"/>
      <c r="AV30" s="1080"/>
      <c r="AW30" s="1081"/>
      <c r="AX30" s="1054"/>
      <c r="AY30" s="1055"/>
      <c r="AZ30" s="1055"/>
      <c r="BA30" s="1055"/>
      <c r="BB30" s="1055"/>
      <c r="BC30" s="1055"/>
      <c r="BD30" s="1055"/>
      <c r="BE30" s="1055"/>
      <c r="BF30" s="1056"/>
      <c r="BI30" s="663" t="s">
        <v>202</v>
      </c>
      <c r="BJ30" s="664">
        <v>0</v>
      </c>
      <c r="BK30" s="1090" t="s">
        <v>345</v>
      </c>
      <c r="BL30" s="1091"/>
      <c r="BM30" s="1091"/>
      <c r="BN30" s="1091"/>
      <c r="BO30" s="1091"/>
      <c r="BP30" s="1091"/>
      <c r="BQ30" s="1091"/>
      <c r="BR30" s="1091"/>
      <c r="BS30" s="1091"/>
      <c r="BT30" s="1092"/>
      <c r="BU30" s="1054"/>
      <c r="BV30" s="1055"/>
      <c r="BW30" s="1055"/>
      <c r="BX30" s="1055"/>
      <c r="BY30" s="1055"/>
      <c r="BZ30" s="1055"/>
      <c r="CA30" s="1055"/>
      <c r="CB30" s="1055"/>
      <c r="CC30" s="1056"/>
      <c r="CF30" s="663" t="s">
        <v>202</v>
      </c>
      <c r="CG30" s="664">
        <v>0</v>
      </c>
      <c r="CH30" s="1090" t="s">
        <v>345</v>
      </c>
      <c r="CI30" s="1091"/>
      <c r="CJ30" s="1091"/>
      <c r="CK30" s="1091"/>
      <c r="CL30" s="1091"/>
      <c r="CM30" s="1091"/>
      <c r="CN30" s="1091"/>
      <c r="CO30" s="1091"/>
      <c r="CP30" s="1091"/>
      <c r="CQ30" s="1092"/>
      <c r="CR30" s="1054"/>
      <c r="CS30" s="1055"/>
      <c r="CT30" s="1055"/>
      <c r="CU30" s="1055"/>
      <c r="CV30" s="1055"/>
      <c r="CW30" s="1055"/>
      <c r="CX30" s="1055"/>
      <c r="CY30" s="1055"/>
      <c r="CZ30" s="1056"/>
    </row>
    <row r="31" spans="1:104" s="177" customFormat="1" ht="48" customHeight="1">
      <c r="A31" s="175">
        <f t="shared" si="12"/>
        <v>22</v>
      </c>
      <c r="B31" s="413" t="s">
        <v>203</v>
      </c>
      <c r="C31" s="414"/>
      <c r="D31" s="415" t="s">
        <v>346</v>
      </c>
      <c r="E31" s="416" t="s">
        <v>204</v>
      </c>
      <c r="F31" s="416">
        <v>1</v>
      </c>
      <c r="G31" s="416"/>
      <c r="H31" s="416"/>
      <c r="I31" s="417">
        <v>5530000</v>
      </c>
      <c r="J31" s="418"/>
      <c r="K31" s="419"/>
      <c r="L31" s="419"/>
      <c r="M31" s="420">
        <v>5530000</v>
      </c>
      <c r="O31" s="498" t="s">
        <v>203</v>
      </c>
      <c r="P31" s="499"/>
      <c r="Q31" s="500" t="s">
        <v>346</v>
      </c>
      <c r="R31" s="501" t="s">
        <v>204</v>
      </c>
      <c r="S31" s="501">
        <v>1</v>
      </c>
      <c r="T31" s="501"/>
      <c r="U31" s="501"/>
      <c r="V31" s="502">
        <v>5530000</v>
      </c>
      <c r="W31" s="503"/>
      <c r="X31" s="504"/>
      <c r="Y31" s="504"/>
      <c r="Z31" s="505">
        <v>5530000</v>
      </c>
      <c r="AA31" s="106">
        <f>IFERROR(IF(EXACT(VLOOKUP(O31,OFERTA_0,1,FALSE),O31),1,0),0)</f>
        <v>1</v>
      </c>
      <c r="AB31" s="106">
        <f>IFERROR(IF(EXACT(VLOOKUP(O31,OFERTA_0,3,FALSE),Q31),1,0),0)</f>
        <v>1</v>
      </c>
      <c r="AC31" s="106">
        <f>IFERROR(IF(EXACT(VLOOKUP(O31,OFERTA_0,4,FALSE),R31),1,0),0)</f>
        <v>1</v>
      </c>
      <c r="AD31" s="106">
        <f>IFERROR(IF(EXACT(VLOOKUP(O31,OFERTA_0,5,FALSE),S31),1,0),0)</f>
        <v>1</v>
      </c>
      <c r="AE31" s="106">
        <f>IF(EXACT(V31,$I31),1,0)</f>
        <v>1</v>
      </c>
      <c r="AF31" s="106">
        <f t="shared" ref="AF31" si="76">IFERROR(IF(Z31&lt;=0,0,1),0)</f>
        <v>1</v>
      </c>
      <c r="AG31" s="106">
        <f t="shared" ref="AG31" si="77">PRODUCT(AA31:AF31)</f>
        <v>1</v>
      </c>
      <c r="AH31" s="299">
        <f t="shared" ref="AH31" si="78">ROUND(Z31,0)</f>
        <v>5530000</v>
      </c>
      <c r="AI31" s="108">
        <f t="shared" ref="AI31" si="79">Z31-AH31</f>
        <v>0</v>
      </c>
      <c r="AL31" s="589" t="s">
        <v>203</v>
      </c>
      <c r="AM31" s="590">
        <v>0</v>
      </c>
      <c r="AN31" s="591" t="s">
        <v>346</v>
      </c>
      <c r="AO31" s="592" t="s">
        <v>204</v>
      </c>
      <c r="AP31" s="592">
        <v>1</v>
      </c>
      <c r="AQ31" s="592">
        <v>0</v>
      </c>
      <c r="AR31" s="592">
        <v>0</v>
      </c>
      <c r="AS31" s="593">
        <v>5530000</v>
      </c>
      <c r="AT31" s="594">
        <v>0</v>
      </c>
      <c r="AU31" s="595">
        <v>0</v>
      </c>
      <c r="AV31" s="595">
        <v>0</v>
      </c>
      <c r="AW31" s="596">
        <v>5530000</v>
      </c>
      <c r="AX31" s="106">
        <f>IFERROR(IF(EXACT(VLOOKUP(AL31,OFERTA_0,1,FALSE),AL31),1,0),0)</f>
        <v>1</v>
      </c>
      <c r="AY31" s="106">
        <f>IFERROR(IF(EXACT(VLOOKUP(AL31,OFERTA_0,3,FALSE),AN31),1,0),0)</f>
        <v>1</v>
      </c>
      <c r="AZ31" s="106">
        <f>IFERROR(IF(EXACT(VLOOKUP(AL31,OFERTA_0,4,FALSE),AO31),1,0),0)</f>
        <v>1</v>
      </c>
      <c r="BA31" s="106">
        <f>IFERROR(IF(EXACT(VLOOKUP(AL31,OFERTA_0,5,FALSE),AP31),1,0),0)</f>
        <v>1</v>
      </c>
      <c r="BB31" s="106">
        <f>IF(EXACT(AS31,$I31),1,0)</f>
        <v>1</v>
      </c>
      <c r="BC31" s="106">
        <f t="shared" ref="BC31:BC33" si="80">IFERROR(IF(AW31&lt;=0,0,1),0)</f>
        <v>1</v>
      </c>
      <c r="BD31" s="106">
        <f t="shared" ref="BD31:BD33" si="81">PRODUCT(AX31:BC31)</f>
        <v>1</v>
      </c>
      <c r="BE31" s="299">
        <f t="shared" ref="BE31:BE33" si="82">ROUND(AW31,0)</f>
        <v>5530000</v>
      </c>
      <c r="BF31" s="108">
        <f t="shared" ref="BF31:BF33" si="83">AW31-BE31</f>
        <v>0</v>
      </c>
      <c r="BI31" s="665" t="s">
        <v>203</v>
      </c>
      <c r="BJ31" s="666">
        <v>0</v>
      </c>
      <c r="BK31" s="667" t="s">
        <v>346</v>
      </c>
      <c r="BL31" s="668" t="s">
        <v>204</v>
      </c>
      <c r="BM31" s="668">
        <v>1</v>
      </c>
      <c r="BN31" s="668">
        <v>0</v>
      </c>
      <c r="BO31" s="668">
        <v>0</v>
      </c>
      <c r="BP31" s="669">
        <v>5530000</v>
      </c>
      <c r="BQ31" s="670">
        <v>0</v>
      </c>
      <c r="BR31" s="671">
        <v>0</v>
      </c>
      <c r="BS31" s="671">
        <v>0</v>
      </c>
      <c r="BT31" s="672">
        <v>5530000</v>
      </c>
      <c r="BU31" s="106">
        <f>IFERROR(IF(EXACT(VLOOKUP(BI31,OFERTA_0,1,FALSE),BI31),1,0),0)</f>
        <v>1</v>
      </c>
      <c r="BV31" s="106">
        <f>IFERROR(IF(EXACT(VLOOKUP(BI31,OFERTA_0,3,FALSE),BK31),1,0),0)</f>
        <v>1</v>
      </c>
      <c r="BW31" s="106">
        <f>IFERROR(IF(EXACT(VLOOKUP(BI31,OFERTA_0,4,FALSE),BL31),1,0),0)</f>
        <v>1</v>
      </c>
      <c r="BX31" s="106">
        <f>IFERROR(IF(EXACT(VLOOKUP(BI31,OFERTA_0,5,FALSE),BM31),1,0),0)</f>
        <v>1</v>
      </c>
      <c r="BY31" s="106">
        <f>IF(EXACT(BP31,$I31),1,0)</f>
        <v>1</v>
      </c>
      <c r="BZ31" s="106">
        <f t="shared" ref="BZ31:BZ33" si="84">IFERROR(IF(BT31&lt;=0,0,1),0)</f>
        <v>1</v>
      </c>
      <c r="CA31" s="106">
        <f t="shared" ref="CA31:CA33" si="85">PRODUCT(BU31:BZ31)</f>
        <v>1</v>
      </c>
      <c r="CB31" s="299">
        <f t="shared" ref="CB31:CB33" si="86">ROUND(BT31,0)</f>
        <v>5530000</v>
      </c>
      <c r="CC31" s="108">
        <f t="shared" ref="CC31:CC33" si="87">BT31-CB31</f>
        <v>0</v>
      </c>
      <c r="CF31" s="665" t="s">
        <v>203</v>
      </c>
      <c r="CG31" s="666">
        <v>0</v>
      </c>
      <c r="CH31" s="667" t="s">
        <v>346</v>
      </c>
      <c r="CI31" s="668" t="s">
        <v>204</v>
      </c>
      <c r="CJ31" s="668">
        <v>1</v>
      </c>
      <c r="CK31" s="668">
        <v>0</v>
      </c>
      <c r="CL31" s="668">
        <v>0</v>
      </c>
      <c r="CM31" s="669">
        <v>5530000</v>
      </c>
      <c r="CN31" s="670">
        <v>0</v>
      </c>
      <c r="CO31" s="671">
        <v>0</v>
      </c>
      <c r="CP31" s="671">
        <v>0</v>
      </c>
      <c r="CQ31" s="672">
        <v>5530000</v>
      </c>
      <c r="CR31" s="106">
        <f>IFERROR(IF(EXACT(VLOOKUP(CF31,OFERTA_0,1,FALSE),CF31),1,0),0)</f>
        <v>1</v>
      </c>
      <c r="CS31" s="106">
        <f>IFERROR(IF(EXACT(VLOOKUP(CF31,OFERTA_0,3,FALSE),CH31),1,0),0)</f>
        <v>1</v>
      </c>
      <c r="CT31" s="106">
        <f>IFERROR(IF(EXACT(VLOOKUP(CF31,OFERTA_0,4,FALSE),CI31),1,0),0)</f>
        <v>1</v>
      </c>
      <c r="CU31" s="106">
        <f>IFERROR(IF(EXACT(VLOOKUP(CF31,OFERTA_0,5,FALSE),CJ31),1,0),0)</f>
        <v>1</v>
      </c>
      <c r="CV31" s="106">
        <f>IF(EXACT(CM31,$I31),1,0)</f>
        <v>1</v>
      </c>
      <c r="CW31" s="106">
        <f t="shared" ref="CW31:CW33" si="88">IFERROR(IF(CQ31&lt;=0,0,1),0)</f>
        <v>1</v>
      </c>
      <c r="CX31" s="106">
        <f t="shared" ref="CX31:CX33" si="89">PRODUCT(CR31:CW31)</f>
        <v>1</v>
      </c>
      <c r="CY31" s="299">
        <f t="shared" ref="CY31:CY33" si="90">ROUND(CQ31,0)</f>
        <v>5530000</v>
      </c>
      <c r="CZ31" s="108">
        <f t="shared" ref="CZ31:CZ33" si="91">CQ31-CY31</f>
        <v>0</v>
      </c>
    </row>
    <row r="32" spans="1:104" ht="27" customHeight="1">
      <c r="A32" s="175">
        <f t="shared" si="12"/>
        <v>23</v>
      </c>
      <c r="B32" s="413">
        <v>2.2000000000000002</v>
      </c>
      <c r="C32" s="414"/>
      <c r="D32" s="415" t="s">
        <v>205</v>
      </c>
      <c r="E32" s="416" t="s">
        <v>206</v>
      </c>
      <c r="F32" s="416">
        <v>38</v>
      </c>
      <c r="G32" s="416"/>
      <c r="H32" s="416"/>
      <c r="I32" s="417">
        <v>100000</v>
      </c>
      <c r="J32" s="418"/>
      <c r="K32" s="419"/>
      <c r="L32" s="419"/>
      <c r="M32" s="420">
        <v>3800000</v>
      </c>
      <c r="O32" s="498">
        <v>2.2000000000000002</v>
      </c>
      <c r="P32" s="499"/>
      <c r="Q32" s="500" t="s">
        <v>205</v>
      </c>
      <c r="R32" s="501" t="s">
        <v>206</v>
      </c>
      <c r="S32" s="501">
        <v>38</v>
      </c>
      <c r="T32" s="501"/>
      <c r="U32" s="501"/>
      <c r="V32" s="502">
        <v>100000</v>
      </c>
      <c r="W32" s="503"/>
      <c r="X32" s="504"/>
      <c r="Y32" s="504"/>
      <c r="Z32" s="505">
        <v>3800000</v>
      </c>
      <c r="AA32" s="106">
        <f>IFERROR(IF(EXACT(VLOOKUP(O32,OFERTA_0,1,FALSE),O32),1,0),0)</f>
        <v>1</v>
      </c>
      <c r="AB32" s="106">
        <f>IFERROR(IF(EXACT(VLOOKUP(O32,OFERTA_0,3,FALSE),Q32),1,0),0)</f>
        <v>1</v>
      </c>
      <c r="AC32" s="106">
        <f>IFERROR(IF(EXACT(VLOOKUP(O32,OFERTA_0,4,FALSE),R32),1,0),0)</f>
        <v>1</v>
      </c>
      <c r="AD32" s="106">
        <f>IFERROR(IF(EXACT(VLOOKUP(O32,OFERTA_0,5,FALSE),S32),1,0),0)</f>
        <v>1</v>
      </c>
      <c r="AE32" s="106">
        <f t="shared" ref="AE32:AE33" si="92">IF(EXACT(V32,$I32),1,0)</f>
        <v>1</v>
      </c>
      <c r="AF32" s="106">
        <f t="shared" ref="AF32" si="93">IFERROR(IF(Z32&lt;=0,0,1),0)</f>
        <v>1</v>
      </c>
      <c r="AG32" s="106">
        <f t="shared" ref="AG32" si="94">PRODUCT(AA32:AF32)</f>
        <v>1</v>
      </c>
      <c r="AH32" s="299">
        <f t="shared" ref="AH32" si="95">ROUND(Z32,0)</f>
        <v>3800000</v>
      </c>
      <c r="AI32" s="108">
        <f t="shared" ref="AI32" si="96">Z32-AH32</f>
        <v>0</v>
      </c>
      <c r="AL32" s="589">
        <v>2.2000000000000002</v>
      </c>
      <c r="AM32" s="590">
        <v>0</v>
      </c>
      <c r="AN32" s="591" t="s">
        <v>205</v>
      </c>
      <c r="AO32" s="592" t="s">
        <v>206</v>
      </c>
      <c r="AP32" s="592">
        <v>38</v>
      </c>
      <c r="AQ32" s="592">
        <v>0</v>
      </c>
      <c r="AR32" s="592">
        <v>0</v>
      </c>
      <c r="AS32" s="593">
        <v>100000</v>
      </c>
      <c r="AT32" s="594">
        <v>0</v>
      </c>
      <c r="AU32" s="595">
        <v>0</v>
      </c>
      <c r="AV32" s="595">
        <v>0</v>
      </c>
      <c r="AW32" s="596">
        <v>3800000</v>
      </c>
      <c r="AX32" s="106">
        <f>IFERROR(IF(EXACT(VLOOKUP(AL32,OFERTA_0,1,FALSE),AL32),1,0),0)</f>
        <v>1</v>
      </c>
      <c r="AY32" s="106">
        <f>IFERROR(IF(EXACT(VLOOKUP(AL32,OFERTA_0,3,FALSE),AN32),1,0),0)</f>
        <v>1</v>
      </c>
      <c r="AZ32" s="106">
        <f>IFERROR(IF(EXACT(VLOOKUP(AL32,OFERTA_0,4,FALSE),AO32),1,0),0)</f>
        <v>1</v>
      </c>
      <c r="BA32" s="106">
        <f>IFERROR(IF(EXACT(VLOOKUP(AL32,OFERTA_0,5,FALSE),AP32),1,0),0)</f>
        <v>1</v>
      </c>
      <c r="BB32" s="106">
        <f t="shared" ref="BB32:BB33" si="97">IF(EXACT(AS32,$I32),1,0)</f>
        <v>1</v>
      </c>
      <c r="BC32" s="106">
        <f t="shared" si="80"/>
        <v>1</v>
      </c>
      <c r="BD32" s="106">
        <f t="shared" si="81"/>
        <v>1</v>
      </c>
      <c r="BE32" s="299">
        <f t="shared" si="82"/>
        <v>3800000</v>
      </c>
      <c r="BF32" s="108">
        <f t="shared" si="83"/>
        <v>0</v>
      </c>
      <c r="BI32" s="665">
        <v>2.2000000000000002</v>
      </c>
      <c r="BJ32" s="666">
        <v>0</v>
      </c>
      <c r="BK32" s="667" t="s">
        <v>205</v>
      </c>
      <c r="BL32" s="668" t="s">
        <v>206</v>
      </c>
      <c r="BM32" s="668">
        <v>38</v>
      </c>
      <c r="BN32" s="668">
        <v>0</v>
      </c>
      <c r="BO32" s="668">
        <v>0</v>
      </c>
      <c r="BP32" s="669">
        <v>100000</v>
      </c>
      <c r="BQ32" s="670">
        <v>0</v>
      </c>
      <c r="BR32" s="671">
        <v>0</v>
      </c>
      <c r="BS32" s="671">
        <v>0</v>
      </c>
      <c r="BT32" s="672">
        <v>3800000</v>
      </c>
      <c r="BU32" s="106">
        <f>IFERROR(IF(EXACT(VLOOKUP(BI32,OFERTA_0,1,FALSE),BI32),1,0),0)</f>
        <v>1</v>
      </c>
      <c r="BV32" s="106">
        <f>IFERROR(IF(EXACT(VLOOKUP(BI32,OFERTA_0,3,FALSE),BK32),1,0),0)</f>
        <v>1</v>
      </c>
      <c r="BW32" s="106">
        <f>IFERROR(IF(EXACT(VLOOKUP(BI32,OFERTA_0,4,FALSE),BL32),1,0),0)</f>
        <v>1</v>
      </c>
      <c r="BX32" s="106">
        <f>IFERROR(IF(EXACT(VLOOKUP(BI32,OFERTA_0,5,FALSE),BM32),1,0),0)</f>
        <v>1</v>
      </c>
      <c r="BY32" s="106">
        <f t="shared" ref="BY32:BY33" si="98">IF(EXACT(BP32,$I32),1,0)</f>
        <v>1</v>
      </c>
      <c r="BZ32" s="106">
        <f t="shared" si="84"/>
        <v>1</v>
      </c>
      <c r="CA32" s="106">
        <f t="shared" si="85"/>
        <v>1</v>
      </c>
      <c r="CB32" s="299">
        <f t="shared" si="86"/>
        <v>3800000</v>
      </c>
      <c r="CC32" s="108">
        <f t="shared" si="87"/>
        <v>0</v>
      </c>
      <c r="CF32" s="665">
        <v>2.2000000000000002</v>
      </c>
      <c r="CG32" s="666">
        <v>0</v>
      </c>
      <c r="CH32" s="667" t="s">
        <v>205</v>
      </c>
      <c r="CI32" s="668" t="s">
        <v>206</v>
      </c>
      <c r="CJ32" s="668">
        <v>38</v>
      </c>
      <c r="CK32" s="668">
        <v>0</v>
      </c>
      <c r="CL32" s="668">
        <v>0</v>
      </c>
      <c r="CM32" s="669">
        <v>100000</v>
      </c>
      <c r="CN32" s="670">
        <v>0</v>
      </c>
      <c r="CO32" s="671">
        <v>0</v>
      </c>
      <c r="CP32" s="671">
        <v>0</v>
      </c>
      <c r="CQ32" s="672">
        <v>3800000</v>
      </c>
      <c r="CR32" s="106">
        <f>IFERROR(IF(EXACT(VLOOKUP(CF32,OFERTA_0,1,FALSE),CF32),1,0),0)</f>
        <v>1</v>
      </c>
      <c r="CS32" s="106">
        <f>IFERROR(IF(EXACT(VLOOKUP(CF32,OFERTA_0,3,FALSE),CH32),1,0),0)</f>
        <v>1</v>
      </c>
      <c r="CT32" s="106">
        <f>IFERROR(IF(EXACT(VLOOKUP(CF32,OFERTA_0,4,FALSE),CI32),1,0),0)</f>
        <v>1</v>
      </c>
      <c r="CU32" s="106">
        <f>IFERROR(IF(EXACT(VLOOKUP(CF32,OFERTA_0,5,FALSE),CJ32),1,0),0)</f>
        <v>1</v>
      </c>
      <c r="CV32" s="106">
        <f t="shared" ref="CV32:CV33" si="99">IF(EXACT(CM32,$I32),1,0)</f>
        <v>1</v>
      </c>
      <c r="CW32" s="106">
        <f t="shared" si="88"/>
        <v>1</v>
      </c>
      <c r="CX32" s="106">
        <f t="shared" si="89"/>
        <v>1</v>
      </c>
      <c r="CY32" s="299">
        <f t="shared" si="90"/>
        <v>3800000</v>
      </c>
      <c r="CZ32" s="108">
        <f t="shared" si="91"/>
        <v>0</v>
      </c>
    </row>
    <row r="33" spans="1:15768" ht="42" customHeight="1">
      <c r="A33" s="175">
        <f t="shared" si="12"/>
        <v>24</v>
      </c>
      <c r="B33" s="413">
        <v>2.2999999999999998</v>
      </c>
      <c r="C33" s="414"/>
      <c r="D33" s="415" t="s">
        <v>347</v>
      </c>
      <c r="E33" s="416" t="s">
        <v>207</v>
      </c>
      <c r="F33" s="369">
        <v>100</v>
      </c>
      <c r="G33" s="416"/>
      <c r="H33" s="416"/>
      <c r="I33" s="417">
        <v>120000</v>
      </c>
      <c r="J33" s="418"/>
      <c r="K33" s="419"/>
      <c r="L33" s="419"/>
      <c r="M33" s="420">
        <v>12000000</v>
      </c>
      <c r="O33" s="498">
        <v>2.2999999999999998</v>
      </c>
      <c r="P33" s="499"/>
      <c r="Q33" s="500" t="s">
        <v>347</v>
      </c>
      <c r="R33" s="501" t="s">
        <v>207</v>
      </c>
      <c r="S33" s="454">
        <v>100</v>
      </c>
      <c r="T33" s="501"/>
      <c r="U33" s="501"/>
      <c r="V33" s="502">
        <v>120000</v>
      </c>
      <c r="W33" s="503"/>
      <c r="X33" s="504"/>
      <c r="Y33" s="504"/>
      <c r="Z33" s="505">
        <v>12000000</v>
      </c>
      <c r="AA33" s="106">
        <f>IFERROR(IF(EXACT(VLOOKUP(O33,OFERTA_0,1,FALSE),O33),1,0),0)</f>
        <v>1</v>
      </c>
      <c r="AB33" s="106">
        <f>IFERROR(IF(EXACT(VLOOKUP(O33,OFERTA_0,3,FALSE),Q33),1,0),0)</f>
        <v>1</v>
      </c>
      <c r="AC33" s="106">
        <f>IFERROR(IF(EXACT(VLOOKUP(O33,OFERTA_0,4,FALSE),R33),1,0),0)</f>
        <v>1</v>
      </c>
      <c r="AD33" s="106">
        <f>IFERROR(IF(EXACT(VLOOKUP(O33,OFERTA_0,5,FALSE),S33),1,0),0)</f>
        <v>1</v>
      </c>
      <c r="AE33" s="106">
        <f t="shared" si="92"/>
        <v>1</v>
      </c>
      <c r="AF33" s="106">
        <f t="shared" ref="AF33" si="100">IFERROR(IF(Z33&lt;=0,0,1),0)</f>
        <v>1</v>
      </c>
      <c r="AG33" s="106">
        <f t="shared" ref="AG33" si="101">PRODUCT(AA33:AF33)</f>
        <v>1</v>
      </c>
      <c r="AH33" s="299">
        <f t="shared" ref="AH33" si="102">ROUND(Z33,0)</f>
        <v>12000000</v>
      </c>
      <c r="AI33" s="108">
        <f t="shared" ref="AI33" si="103">Z33-AH33</f>
        <v>0</v>
      </c>
      <c r="AL33" s="589">
        <v>2.2999999999999998</v>
      </c>
      <c r="AM33" s="590">
        <v>0</v>
      </c>
      <c r="AN33" s="591" t="s">
        <v>347</v>
      </c>
      <c r="AO33" s="592" t="s">
        <v>207</v>
      </c>
      <c r="AP33" s="530">
        <v>100</v>
      </c>
      <c r="AQ33" s="592">
        <v>0</v>
      </c>
      <c r="AR33" s="592">
        <v>0</v>
      </c>
      <c r="AS33" s="593">
        <v>120000</v>
      </c>
      <c r="AT33" s="594">
        <v>0</v>
      </c>
      <c r="AU33" s="595">
        <v>0</v>
      </c>
      <c r="AV33" s="595">
        <v>0</v>
      </c>
      <c r="AW33" s="596">
        <v>12000000</v>
      </c>
      <c r="AX33" s="106">
        <f>IFERROR(IF(EXACT(VLOOKUP(AL33,OFERTA_0,1,FALSE),AL33),1,0),0)</f>
        <v>1</v>
      </c>
      <c r="AY33" s="106">
        <f>IFERROR(IF(EXACT(VLOOKUP(AL33,OFERTA_0,3,FALSE),AN33),1,0),0)</f>
        <v>1</v>
      </c>
      <c r="AZ33" s="106">
        <f>IFERROR(IF(EXACT(VLOOKUP(AL33,OFERTA_0,4,FALSE),AO33),1,0),0)</f>
        <v>1</v>
      </c>
      <c r="BA33" s="106">
        <f>IFERROR(IF(EXACT(VLOOKUP(AL33,OFERTA_0,5,FALSE),AP33),1,0),0)</f>
        <v>1</v>
      </c>
      <c r="BB33" s="106">
        <f t="shared" si="97"/>
        <v>1</v>
      </c>
      <c r="BC33" s="106">
        <f t="shared" si="80"/>
        <v>1</v>
      </c>
      <c r="BD33" s="106">
        <f t="shared" si="81"/>
        <v>1</v>
      </c>
      <c r="BE33" s="299">
        <f t="shared" si="82"/>
        <v>12000000</v>
      </c>
      <c r="BF33" s="108">
        <f t="shared" si="83"/>
        <v>0</v>
      </c>
      <c r="BI33" s="665">
        <v>2.2999999999999998</v>
      </c>
      <c r="BJ33" s="666">
        <v>0</v>
      </c>
      <c r="BK33" s="667" t="s">
        <v>347</v>
      </c>
      <c r="BL33" s="668" t="s">
        <v>207</v>
      </c>
      <c r="BM33" s="620">
        <v>100</v>
      </c>
      <c r="BN33" s="668">
        <v>0</v>
      </c>
      <c r="BO33" s="668">
        <v>0</v>
      </c>
      <c r="BP33" s="669">
        <v>120000</v>
      </c>
      <c r="BQ33" s="670">
        <v>0</v>
      </c>
      <c r="BR33" s="671">
        <v>0</v>
      </c>
      <c r="BS33" s="671">
        <v>0</v>
      </c>
      <c r="BT33" s="672">
        <v>12000000</v>
      </c>
      <c r="BU33" s="106">
        <f>IFERROR(IF(EXACT(VLOOKUP(BI33,OFERTA_0,1,FALSE),BI33),1,0),0)</f>
        <v>1</v>
      </c>
      <c r="BV33" s="106">
        <f>IFERROR(IF(EXACT(VLOOKUP(BI33,OFERTA_0,3,FALSE),BK33),1,0),0)</f>
        <v>1</v>
      </c>
      <c r="BW33" s="106">
        <f>IFERROR(IF(EXACT(VLOOKUP(BI33,OFERTA_0,4,FALSE),BL33),1,0),0)</f>
        <v>1</v>
      </c>
      <c r="BX33" s="106">
        <f>IFERROR(IF(EXACT(VLOOKUP(BI33,OFERTA_0,5,FALSE),BM33),1,0),0)</f>
        <v>1</v>
      </c>
      <c r="BY33" s="106">
        <f t="shared" si="98"/>
        <v>1</v>
      </c>
      <c r="BZ33" s="106">
        <f t="shared" si="84"/>
        <v>1</v>
      </c>
      <c r="CA33" s="106">
        <f t="shared" si="85"/>
        <v>1</v>
      </c>
      <c r="CB33" s="299">
        <f t="shared" si="86"/>
        <v>12000000</v>
      </c>
      <c r="CC33" s="108">
        <f t="shared" si="87"/>
        <v>0</v>
      </c>
      <c r="CF33" s="665">
        <v>2.2999999999999998</v>
      </c>
      <c r="CG33" s="666">
        <v>0</v>
      </c>
      <c r="CH33" s="667" t="s">
        <v>347</v>
      </c>
      <c r="CI33" s="668" t="s">
        <v>207</v>
      </c>
      <c r="CJ33" s="620">
        <v>100</v>
      </c>
      <c r="CK33" s="668">
        <v>0</v>
      </c>
      <c r="CL33" s="668">
        <v>0</v>
      </c>
      <c r="CM33" s="669">
        <v>120000</v>
      </c>
      <c r="CN33" s="670">
        <v>0</v>
      </c>
      <c r="CO33" s="671">
        <v>0</v>
      </c>
      <c r="CP33" s="671">
        <v>0</v>
      </c>
      <c r="CQ33" s="672">
        <v>12000000</v>
      </c>
      <c r="CR33" s="106">
        <f>IFERROR(IF(EXACT(VLOOKUP(CF33,OFERTA_0,1,FALSE),CF33),1,0),0)</f>
        <v>1</v>
      </c>
      <c r="CS33" s="106">
        <f>IFERROR(IF(EXACT(VLOOKUP(CF33,OFERTA_0,3,FALSE),CH33),1,0),0)</f>
        <v>1</v>
      </c>
      <c r="CT33" s="106">
        <f>IFERROR(IF(EXACT(VLOOKUP(CF33,OFERTA_0,4,FALSE),CI33),1,0),0)</f>
        <v>1</v>
      </c>
      <c r="CU33" s="106">
        <f>IFERROR(IF(EXACT(VLOOKUP(CF33,OFERTA_0,5,FALSE),CJ33),1,0),0)</f>
        <v>1</v>
      </c>
      <c r="CV33" s="106">
        <f t="shared" si="99"/>
        <v>1</v>
      </c>
      <c r="CW33" s="106">
        <f t="shared" si="88"/>
        <v>1</v>
      </c>
      <c r="CX33" s="106">
        <f t="shared" si="89"/>
        <v>1</v>
      </c>
      <c r="CY33" s="299">
        <f t="shared" si="90"/>
        <v>12000000</v>
      </c>
      <c r="CZ33" s="108">
        <f t="shared" si="91"/>
        <v>0</v>
      </c>
    </row>
    <row r="34" spans="1:15768" ht="15.75" customHeight="1">
      <c r="A34" s="175">
        <f t="shared" si="12"/>
        <v>25</v>
      </c>
      <c r="B34" s="399"/>
      <c r="C34" s="400"/>
      <c r="D34" s="982" t="s">
        <v>208</v>
      </c>
      <c r="E34" s="983"/>
      <c r="F34" s="983"/>
      <c r="G34" s="983"/>
      <c r="H34" s="983"/>
      <c r="I34" s="983"/>
      <c r="J34" s="984"/>
      <c r="K34" s="384"/>
      <c r="L34" s="384"/>
      <c r="M34" s="421">
        <v>21330000</v>
      </c>
      <c r="O34" s="484"/>
      <c r="P34" s="485"/>
      <c r="Q34" s="982" t="s">
        <v>208</v>
      </c>
      <c r="R34" s="985"/>
      <c r="S34" s="985"/>
      <c r="T34" s="985"/>
      <c r="U34" s="985"/>
      <c r="V34" s="985"/>
      <c r="W34" s="986"/>
      <c r="X34" s="469"/>
      <c r="Y34" s="469"/>
      <c r="Z34" s="506">
        <v>21330000</v>
      </c>
      <c r="AA34" s="78"/>
      <c r="AB34" s="78"/>
      <c r="AC34" s="78"/>
      <c r="AD34" s="78"/>
      <c r="AE34" s="78"/>
      <c r="AF34" s="78"/>
      <c r="AG34" s="78"/>
      <c r="AH34" s="78"/>
      <c r="AI34" s="78"/>
      <c r="AL34" s="597">
        <v>0</v>
      </c>
      <c r="AM34" s="576">
        <v>0</v>
      </c>
      <c r="AN34" s="1082" t="s">
        <v>208</v>
      </c>
      <c r="AO34" s="1083"/>
      <c r="AP34" s="1083"/>
      <c r="AQ34" s="1083"/>
      <c r="AR34" s="1083"/>
      <c r="AS34" s="1083"/>
      <c r="AT34" s="1084"/>
      <c r="AU34" s="559">
        <v>0</v>
      </c>
      <c r="AV34" s="559">
        <v>0</v>
      </c>
      <c r="AW34" s="598">
        <v>21330000</v>
      </c>
      <c r="AX34" s="78"/>
      <c r="AY34" s="78"/>
      <c r="AZ34" s="78"/>
      <c r="BA34" s="78"/>
      <c r="BB34" s="78"/>
      <c r="BC34" s="78"/>
      <c r="BD34" s="78"/>
      <c r="BE34" s="78"/>
      <c r="BF34" s="78"/>
      <c r="BI34" s="651">
        <v>0</v>
      </c>
      <c r="BJ34" s="652">
        <v>0</v>
      </c>
      <c r="BK34" s="1073" t="s">
        <v>208</v>
      </c>
      <c r="BL34" s="1074"/>
      <c r="BM34" s="1074"/>
      <c r="BN34" s="1074"/>
      <c r="BO34" s="1074"/>
      <c r="BP34" s="1074"/>
      <c r="BQ34" s="1075"/>
      <c r="BR34" s="635">
        <v>0</v>
      </c>
      <c r="BS34" s="635">
        <v>0</v>
      </c>
      <c r="BT34" s="673">
        <v>21330000</v>
      </c>
      <c r="BU34" s="78"/>
      <c r="BV34" s="78"/>
      <c r="BW34" s="78"/>
      <c r="BX34" s="78"/>
      <c r="BY34" s="78"/>
      <c r="BZ34" s="78"/>
      <c r="CA34" s="78"/>
      <c r="CB34" s="78"/>
      <c r="CC34" s="78"/>
      <c r="CF34" s="651">
        <v>0</v>
      </c>
      <c r="CG34" s="652">
        <v>0</v>
      </c>
      <c r="CH34" s="1073" t="s">
        <v>208</v>
      </c>
      <c r="CI34" s="1074"/>
      <c r="CJ34" s="1074"/>
      <c r="CK34" s="1074"/>
      <c r="CL34" s="1074"/>
      <c r="CM34" s="1074"/>
      <c r="CN34" s="1075"/>
      <c r="CO34" s="635">
        <v>0</v>
      </c>
      <c r="CP34" s="635">
        <v>0</v>
      </c>
      <c r="CQ34" s="673">
        <v>21330000</v>
      </c>
      <c r="CR34" s="78"/>
      <c r="CS34" s="78"/>
      <c r="CT34" s="78"/>
      <c r="CU34" s="78"/>
      <c r="CV34" s="78"/>
      <c r="CW34" s="78"/>
      <c r="CX34" s="78"/>
      <c r="CY34" s="78"/>
      <c r="CZ34" s="78"/>
    </row>
    <row r="35" spans="1:15768" ht="15.75" customHeight="1">
      <c r="A35" s="175">
        <f t="shared" si="12"/>
        <v>26</v>
      </c>
      <c r="B35" s="422"/>
      <c r="C35" s="423"/>
      <c r="D35" s="402"/>
      <c r="E35" s="402"/>
      <c r="F35" s="402"/>
      <c r="G35" s="402"/>
      <c r="H35" s="402"/>
      <c r="I35" s="402"/>
      <c r="J35" s="402"/>
      <c r="K35" s="402"/>
      <c r="L35" s="402"/>
      <c r="M35" s="403"/>
      <c r="O35" s="507"/>
      <c r="P35" s="508"/>
      <c r="Q35" s="487"/>
      <c r="R35" s="487"/>
      <c r="S35" s="487"/>
      <c r="T35" s="487"/>
      <c r="U35" s="487"/>
      <c r="V35" s="487"/>
      <c r="W35" s="487"/>
      <c r="X35" s="487"/>
      <c r="Y35" s="487"/>
      <c r="Z35" s="488"/>
      <c r="AA35" s="78"/>
      <c r="AB35" s="78"/>
      <c r="AC35" s="78"/>
      <c r="AD35" s="78"/>
      <c r="AE35" s="78"/>
      <c r="AF35" s="78"/>
      <c r="AG35" s="78"/>
      <c r="AH35" s="297" t="s">
        <v>66</v>
      </c>
      <c r="AI35" s="298">
        <f>SUM(AI30:AI33,AI11:AI18,AI19:AI22)/Z36</f>
        <v>0</v>
      </c>
      <c r="AL35" s="599">
        <v>0</v>
      </c>
      <c r="AM35" s="600">
        <v>0</v>
      </c>
      <c r="AN35" s="601">
        <v>0</v>
      </c>
      <c r="AO35" s="601">
        <v>0</v>
      </c>
      <c r="AP35" s="601">
        <v>0</v>
      </c>
      <c r="AQ35" s="601">
        <v>0</v>
      </c>
      <c r="AR35" s="601">
        <v>0</v>
      </c>
      <c r="AS35" s="601">
        <v>0</v>
      </c>
      <c r="AT35" s="601">
        <v>0</v>
      </c>
      <c r="AU35" s="601">
        <v>0</v>
      </c>
      <c r="AV35" s="601">
        <v>0</v>
      </c>
      <c r="AW35" s="602">
        <v>0</v>
      </c>
      <c r="AX35" s="78"/>
      <c r="AY35" s="78"/>
      <c r="AZ35" s="78"/>
      <c r="BA35" s="78"/>
      <c r="BB35" s="78"/>
      <c r="BC35" s="78"/>
      <c r="BD35" s="78"/>
      <c r="BE35" s="297" t="s">
        <v>66</v>
      </c>
      <c r="BF35" s="298">
        <f>SUM(BF30:BF33,BF11:BF18,BF19:BF22)/AW36</f>
        <v>0</v>
      </c>
      <c r="BI35" s="674">
        <v>0</v>
      </c>
      <c r="BJ35" s="675">
        <v>0</v>
      </c>
      <c r="BK35" s="654">
        <v>0</v>
      </c>
      <c r="BL35" s="654">
        <v>0</v>
      </c>
      <c r="BM35" s="654">
        <v>0</v>
      </c>
      <c r="BN35" s="654">
        <v>0</v>
      </c>
      <c r="BO35" s="654">
        <v>0</v>
      </c>
      <c r="BP35" s="654">
        <v>0</v>
      </c>
      <c r="BQ35" s="654">
        <v>0</v>
      </c>
      <c r="BR35" s="654">
        <v>0</v>
      </c>
      <c r="BS35" s="654">
        <v>0</v>
      </c>
      <c r="BT35" s="655">
        <v>0</v>
      </c>
      <c r="BU35" s="78"/>
      <c r="BV35" s="78"/>
      <c r="BW35" s="78"/>
      <c r="BX35" s="78"/>
      <c r="BY35" s="78"/>
      <c r="BZ35" s="78"/>
      <c r="CA35" s="78"/>
      <c r="CB35" s="297" t="s">
        <v>66</v>
      </c>
      <c r="CC35" s="298">
        <f>SUM(CC30:CC33,CC11:CC18,CC19:CC22)/BT36</f>
        <v>0</v>
      </c>
      <c r="CF35" s="674">
        <v>0</v>
      </c>
      <c r="CG35" s="675">
        <v>0</v>
      </c>
      <c r="CH35" s="654">
        <v>0</v>
      </c>
      <c r="CI35" s="654">
        <v>0</v>
      </c>
      <c r="CJ35" s="654">
        <v>0</v>
      </c>
      <c r="CK35" s="654">
        <v>0</v>
      </c>
      <c r="CL35" s="654">
        <v>0</v>
      </c>
      <c r="CM35" s="654">
        <v>0</v>
      </c>
      <c r="CN35" s="654">
        <v>0</v>
      </c>
      <c r="CO35" s="654">
        <v>0</v>
      </c>
      <c r="CP35" s="654">
        <v>0</v>
      </c>
      <c r="CQ35" s="655">
        <v>0</v>
      </c>
      <c r="CR35" s="78"/>
      <c r="CS35" s="78"/>
      <c r="CT35" s="78"/>
      <c r="CU35" s="78"/>
      <c r="CV35" s="78"/>
      <c r="CW35" s="78"/>
      <c r="CX35" s="78"/>
      <c r="CY35" s="297" t="s">
        <v>66</v>
      </c>
      <c r="CZ35" s="298">
        <f>SUM(CZ30:CZ33,CZ11:CZ18,CZ19:CZ22)/CQ36</f>
        <v>0</v>
      </c>
    </row>
    <row r="36" spans="1:15768" ht="15.75" customHeight="1">
      <c r="A36" s="175">
        <f t="shared" si="12"/>
        <v>27</v>
      </c>
      <c r="B36" s="411" t="s">
        <v>142</v>
      </c>
      <c r="C36" s="412"/>
      <c r="D36" s="982" t="s">
        <v>209</v>
      </c>
      <c r="E36" s="983"/>
      <c r="F36" s="983"/>
      <c r="G36" s="983"/>
      <c r="H36" s="983"/>
      <c r="I36" s="983"/>
      <c r="J36" s="984"/>
      <c r="K36" s="384"/>
      <c r="L36" s="384"/>
      <c r="M36" s="424">
        <v>21330000</v>
      </c>
      <c r="O36" s="496" t="s">
        <v>142</v>
      </c>
      <c r="P36" s="497"/>
      <c r="Q36" s="982" t="s">
        <v>209</v>
      </c>
      <c r="R36" s="985"/>
      <c r="S36" s="985"/>
      <c r="T36" s="985"/>
      <c r="U36" s="985"/>
      <c r="V36" s="985"/>
      <c r="W36" s="986"/>
      <c r="X36" s="469"/>
      <c r="Y36" s="469"/>
      <c r="Z36" s="509">
        <v>1046272186</v>
      </c>
      <c r="AA36" s="78"/>
      <c r="AB36" s="78"/>
      <c r="AC36" s="78"/>
      <c r="AD36" s="78"/>
      <c r="AE36" s="78"/>
      <c r="AF36" s="78"/>
      <c r="AG36" s="78"/>
      <c r="AH36" s="78"/>
      <c r="AI36" s="78"/>
      <c r="AL36" s="587" t="s">
        <v>142</v>
      </c>
      <c r="AM36" s="588">
        <v>0</v>
      </c>
      <c r="AN36" s="1082" t="s">
        <v>209</v>
      </c>
      <c r="AO36" s="1083"/>
      <c r="AP36" s="1083"/>
      <c r="AQ36" s="1083"/>
      <c r="AR36" s="1083"/>
      <c r="AS36" s="1083"/>
      <c r="AT36" s="1084"/>
      <c r="AU36" s="559">
        <v>0</v>
      </c>
      <c r="AV36" s="559">
        <v>0</v>
      </c>
      <c r="AW36" s="603">
        <v>1029810433</v>
      </c>
      <c r="AX36" s="78"/>
      <c r="AY36" s="78"/>
      <c r="AZ36" s="78"/>
      <c r="BA36" s="78"/>
      <c r="BB36" s="78"/>
      <c r="BC36" s="78"/>
      <c r="BD36" s="78"/>
      <c r="BE36" s="78"/>
      <c r="BF36" s="78"/>
      <c r="BI36" s="663" t="s">
        <v>142</v>
      </c>
      <c r="BJ36" s="664">
        <v>0</v>
      </c>
      <c r="BK36" s="1073" t="s">
        <v>209</v>
      </c>
      <c r="BL36" s="1074"/>
      <c r="BM36" s="1074"/>
      <c r="BN36" s="1074"/>
      <c r="BO36" s="1074"/>
      <c r="BP36" s="1074"/>
      <c r="BQ36" s="1075"/>
      <c r="BR36" s="635">
        <v>0</v>
      </c>
      <c r="BS36" s="635">
        <v>0</v>
      </c>
      <c r="BT36" s="676">
        <v>1031276228</v>
      </c>
      <c r="BU36" s="78"/>
      <c r="BV36" s="78"/>
      <c r="BW36" s="78"/>
      <c r="BX36" s="78"/>
      <c r="BY36" s="78"/>
      <c r="BZ36" s="78"/>
      <c r="CA36" s="78"/>
      <c r="CB36" s="78"/>
      <c r="CC36" s="78"/>
      <c r="CF36" s="663" t="s">
        <v>142</v>
      </c>
      <c r="CG36" s="664">
        <v>0</v>
      </c>
      <c r="CH36" s="1073" t="s">
        <v>209</v>
      </c>
      <c r="CI36" s="1074"/>
      <c r="CJ36" s="1074"/>
      <c r="CK36" s="1074"/>
      <c r="CL36" s="1074"/>
      <c r="CM36" s="1074"/>
      <c r="CN36" s="1075"/>
      <c r="CO36" s="635">
        <v>0</v>
      </c>
      <c r="CP36" s="635">
        <v>0</v>
      </c>
      <c r="CQ36" s="676">
        <v>1033675259</v>
      </c>
      <c r="CR36" s="78"/>
      <c r="CS36" s="78"/>
      <c r="CT36" s="78"/>
      <c r="CU36" s="78"/>
      <c r="CV36" s="78"/>
      <c r="CW36" s="78"/>
      <c r="CX36" s="78"/>
      <c r="CY36" s="78"/>
      <c r="CZ36" s="78"/>
    </row>
    <row r="37" spans="1:15768" ht="15.75" customHeight="1">
      <c r="A37" s="175">
        <f t="shared" si="12"/>
        <v>28</v>
      </c>
      <c r="B37" s="411"/>
      <c r="C37" s="412"/>
      <c r="D37" s="982" t="s">
        <v>210</v>
      </c>
      <c r="E37" s="983"/>
      <c r="F37" s="983"/>
      <c r="G37" s="983"/>
      <c r="H37" s="983"/>
      <c r="I37" s="983"/>
      <c r="J37" s="984"/>
      <c r="K37" s="384"/>
      <c r="L37" s="384"/>
      <c r="M37" s="424">
        <v>4052700</v>
      </c>
      <c r="O37" s="496"/>
      <c r="P37" s="497"/>
      <c r="Q37" s="982" t="s">
        <v>210</v>
      </c>
      <c r="R37" s="985"/>
      <c r="S37" s="985"/>
      <c r="T37" s="985"/>
      <c r="U37" s="985"/>
      <c r="V37" s="985"/>
      <c r="W37" s="986"/>
      <c r="X37" s="469"/>
      <c r="Y37" s="469"/>
      <c r="Z37" s="509">
        <v>198791715.34</v>
      </c>
      <c r="AA37" s="78"/>
      <c r="AB37" s="78"/>
      <c r="AC37" s="78"/>
      <c r="AD37" s="78"/>
      <c r="AE37" s="78"/>
      <c r="AF37" s="78"/>
      <c r="AG37" s="78"/>
      <c r="AH37" s="194"/>
      <c r="AI37" s="78"/>
      <c r="AL37" s="587">
        <v>0</v>
      </c>
      <c r="AM37" s="588">
        <v>0</v>
      </c>
      <c r="AN37" s="1082" t="s">
        <v>210</v>
      </c>
      <c r="AO37" s="1083"/>
      <c r="AP37" s="1083"/>
      <c r="AQ37" s="1083"/>
      <c r="AR37" s="1083"/>
      <c r="AS37" s="1083"/>
      <c r="AT37" s="1084"/>
      <c r="AU37" s="559">
        <v>0</v>
      </c>
      <c r="AV37" s="559">
        <v>0</v>
      </c>
      <c r="AW37" s="603">
        <v>195663982</v>
      </c>
      <c r="AX37" s="78"/>
      <c r="AY37" s="78"/>
      <c r="AZ37" s="78"/>
      <c r="BA37" s="78"/>
      <c r="BB37" s="78"/>
      <c r="BC37" s="78"/>
      <c r="BD37" s="78"/>
      <c r="BE37" s="194"/>
      <c r="BF37" s="78"/>
      <c r="BI37" s="663">
        <v>0</v>
      </c>
      <c r="BJ37" s="664">
        <v>0</v>
      </c>
      <c r="BK37" s="1073" t="s">
        <v>210</v>
      </c>
      <c r="BL37" s="1074"/>
      <c r="BM37" s="1074"/>
      <c r="BN37" s="1074"/>
      <c r="BO37" s="1074"/>
      <c r="BP37" s="1074"/>
      <c r="BQ37" s="1075"/>
      <c r="BR37" s="635">
        <v>0</v>
      </c>
      <c r="BS37" s="635">
        <v>0</v>
      </c>
      <c r="BT37" s="676">
        <v>195942483.31999999</v>
      </c>
      <c r="BU37" s="78"/>
      <c r="BV37" s="78"/>
      <c r="BW37" s="78"/>
      <c r="BX37" s="78"/>
      <c r="BY37" s="78"/>
      <c r="BZ37" s="78"/>
      <c r="CA37" s="78"/>
      <c r="CB37" s="194"/>
      <c r="CC37" s="78"/>
      <c r="CF37" s="663">
        <v>0</v>
      </c>
      <c r="CG37" s="664">
        <v>0</v>
      </c>
      <c r="CH37" s="1073" t="s">
        <v>210</v>
      </c>
      <c r="CI37" s="1074"/>
      <c r="CJ37" s="1074"/>
      <c r="CK37" s="1074"/>
      <c r="CL37" s="1074"/>
      <c r="CM37" s="1074"/>
      <c r="CN37" s="1075"/>
      <c r="CO37" s="635">
        <v>0</v>
      </c>
      <c r="CP37" s="635">
        <v>0</v>
      </c>
      <c r="CQ37" s="676">
        <v>196398299.21000001</v>
      </c>
      <c r="CR37" s="78"/>
      <c r="CS37" s="78"/>
      <c r="CT37" s="78"/>
      <c r="CU37" s="78"/>
      <c r="CV37" s="78"/>
      <c r="CW37" s="78"/>
      <c r="CX37" s="78"/>
      <c r="CY37" s="194"/>
      <c r="CZ37" s="78"/>
    </row>
    <row r="38" spans="1:15768" ht="30.75" customHeight="1" thickBot="1">
      <c r="A38" s="175">
        <f t="shared" si="12"/>
        <v>29</v>
      </c>
      <c r="B38" s="425"/>
      <c r="C38" s="426"/>
      <c r="D38" s="1045" t="s">
        <v>211</v>
      </c>
      <c r="E38" s="1046"/>
      <c r="F38" s="1046"/>
      <c r="G38" s="1046"/>
      <c r="H38" s="1046"/>
      <c r="I38" s="1046"/>
      <c r="J38" s="1047"/>
      <c r="K38" s="427"/>
      <c r="L38" s="427"/>
      <c r="M38" s="428">
        <v>25382700</v>
      </c>
      <c r="O38" s="510"/>
      <c r="P38" s="511"/>
      <c r="Q38" s="1045" t="s">
        <v>211</v>
      </c>
      <c r="R38" s="1060"/>
      <c r="S38" s="1060"/>
      <c r="T38" s="1060"/>
      <c r="U38" s="1060"/>
      <c r="V38" s="1060"/>
      <c r="W38" s="1061"/>
      <c r="X38" s="512"/>
      <c r="Y38" s="512"/>
      <c r="Z38" s="513">
        <v>1245063901.3399999</v>
      </c>
      <c r="AA38" s="78"/>
      <c r="AB38" s="78"/>
      <c r="AC38" s="78"/>
      <c r="AD38" s="78"/>
      <c r="AE38" s="78"/>
      <c r="AF38" s="78"/>
      <c r="AG38" s="78"/>
      <c r="AH38" s="78"/>
      <c r="AI38" s="78"/>
      <c r="AL38" s="604">
        <v>0</v>
      </c>
      <c r="AM38" s="605">
        <v>0</v>
      </c>
      <c r="AN38" s="1065" t="s">
        <v>211</v>
      </c>
      <c r="AO38" s="1066"/>
      <c r="AP38" s="1066"/>
      <c r="AQ38" s="1066"/>
      <c r="AR38" s="1066"/>
      <c r="AS38" s="1066"/>
      <c r="AT38" s="1067"/>
      <c r="AU38" s="606">
        <v>0</v>
      </c>
      <c r="AV38" s="606">
        <v>0</v>
      </c>
      <c r="AW38" s="607">
        <v>1225474415</v>
      </c>
      <c r="AX38" s="78"/>
      <c r="AY38" s="78"/>
      <c r="AZ38" s="78"/>
      <c r="BA38" s="78"/>
      <c r="BB38" s="78"/>
      <c r="BC38" s="78"/>
      <c r="BD38" s="78"/>
      <c r="BE38" s="78"/>
      <c r="BF38" s="78"/>
      <c r="BI38" s="677">
        <v>0</v>
      </c>
      <c r="BJ38" s="678">
        <v>0</v>
      </c>
      <c r="BK38" s="1076" t="s">
        <v>211</v>
      </c>
      <c r="BL38" s="1077"/>
      <c r="BM38" s="1077"/>
      <c r="BN38" s="1077"/>
      <c r="BO38" s="1077"/>
      <c r="BP38" s="1077"/>
      <c r="BQ38" s="1078"/>
      <c r="BR38" s="679">
        <v>0</v>
      </c>
      <c r="BS38" s="679">
        <v>0</v>
      </c>
      <c r="BT38" s="680">
        <v>1227218711.3199999</v>
      </c>
      <c r="BU38" s="78"/>
      <c r="BV38" s="78"/>
      <c r="BW38" s="78"/>
      <c r="BX38" s="78"/>
      <c r="BY38" s="78"/>
      <c r="BZ38" s="78"/>
      <c r="CA38" s="78"/>
      <c r="CB38" s="78"/>
      <c r="CC38" s="78"/>
      <c r="CF38" s="677">
        <v>0</v>
      </c>
      <c r="CG38" s="678">
        <v>0</v>
      </c>
      <c r="CH38" s="1076" t="s">
        <v>211</v>
      </c>
      <c r="CI38" s="1077"/>
      <c r="CJ38" s="1077"/>
      <c r="CK38" s="1077"/>
      <c r="CL38" s="1077"/>
      <c r="CM38" s="1077"/>
      <c r="CN38" s="1078"/>
      <c r="CO38" s="679">
        <v>0</v>
      </c>
      <c r="CP38" s="679">
        <v>0</v>
      </c>
      <c r="CQ38" s="680">
        <v>1230073558.21</v>
      </c>
      <c r="CR38" s="78"/>
      <c r="CS38" s="78"/>
      <c r="CT38" s="78"/>
      <c r="CU38" s="78"/>
      <c r="CV38" s="78"/>
      <c r="CW38" s="78"/>
      <c r="CX38" s="78"/>
      <c r="CY38" s="78"/>
      <c r="CZ38" s="78"/>
    </row>
    <row r="39" spans="1:15768" s="177" customFormat="1" ht="12.75" customHeight="1">
      <c r="B39" s="292"/>
      <c r="C39" s="292"/>
      <c r="D39" s="293"/>
      <c r="E39" s="294"/>
      <c r="F39" s="294"/>
      <c r="G39" s="294"/>
      <c r="H39" s="294"/>
      <c r="I39" s="294"/>
      <c r="J39" s="294"/>
      <c r="K39" s="294"/>
      <c r="L39" s="294"/>
      <c r="M39" s="295"/>
      <c r="O39" s="292"/>
      <c r="P39" s="292"/>
      <c r="Q39" s="293"/>
      <c r="R39" s="294"/>
      <c r="S39" s="294"/>
      <c r="T39" s="294"/>
      <c r="U39" s="294"/>
      <c r="V39" s="294"/>
      <c r="W39" s="294"/>
      <c r="X39" s="294"/>
      <c r="Y39" s="294"/>
      <c r="Z39" s="295"/>
      <c r="AA39" s="78"/>
      <c r="AB39" s="78"/>
      <c r="AC39" s="78"/>
      <c r="AD39" s="78"/>
      <c r="AE39" s="78"/>
      <c r="AF39" s="78"/>
      <c r="AG39" s="78"/>
      <c r="AH39" s="78"/>
      <c r="AI39" s="78"/>
      <c r="AL39" s="292"/>
      <c r="AM39" s="292"/>
      <c r="AN39" s="293"/>
      <c r="AO39" s="294"/>
      <c r="AP39" s="294"/>
      <c r="AQ39" s="294"/>
      <c r="AR39" s="294"/>
      <c r="AS39" s="294"/>
      <c r="AT39" s="294"/>
      <c r="AU39" s="294"/>
      <c r="AV39" s="294"/>
      <c r="AW39" s="295"/>
      <c r="AX39" s="78"/>
      <c r="AY39" s="78"/>
      <c r="AZ39" s="78"/>
      <c r="BA39" s="78"/>
      <c r="BB39" s="78"/>
      <c r="BC39" s="78"/>
      <c r="BD39" s="78"/>
      <c r="BE39" s="78"/>
      <c r="BF39" s="78"/>
      <c r="BI39" s="292"/>
      <c r="BJ39" s="292"/>
      <c r="BK39" s="293"/>
      <c r="BL39" s="294"/>
      <c r="BM39" s="294"/>
      <c r="BN39" s="294"/>
      <c r="BO39" s="294"/>
      <c r="BP39" s="294"/>
      <c r="BQ39" s="294"/>
      <c r="BR39" s="294"/>
      <c r="BS39" s="294"/>
      <c r="BT39" s="295"/>
      <c r="BU39" s="78"/>
      <c r="BV39" s="78"/>
      <c r="BW39" s="78"/>
      <c r="BX39" s="78"/>
      <c r="BY39" s="78"/>
      <c r="BZ39" s="78"/>
      <c r="CA39" s="78"/>
      <c r="CB39" s="78"/>
      <c r="CC39" s="78"/>
      <c r="CF39" s="292"/>
      <c r="CG39" s="292"/>
      <c r="CH39" s="293"/>
      <c r="CI39" s="294"/>
      <c r="CJ39" s="294"/>
      <c r="CK39" s="294"/>
      <c r="CL39" s="294"/>
      <c r="CM39" s="294"/>
      <c r="CN39" s="294"/>
      <c r="CO39" s="294"/>
      <c r="CP39" s="294"/>
      <c r="CQ39" s="295"/>
      <c r="CR39" s="78"/>
      <c r="CS39" s="78"/>
      <c r="CT39" s="78"/>
      <c r="CU39" s="78"/>
      <c r="CV39" s="78"/>
      <c r="CW39" s="78"/>
      <c r="CX39" s="78"/>
      <c r="CY39" s="78"/>
      <c r="CZ39" s="78"/>
    </row>
    <row r="40" spans="1:15768" s="177" customFormat="1" ht="13.5" customHeight="1" thickBot="1">
      <c r="B40" s="292"/>
      <c r="C40" s="292"/>
      <c r="D40" s="293"/>
      <c r="E40" s="294"/>
      <c r="F40" s="294"/>
      <c r="G40" s="294"/>
      <c r="H40" s="294"/>
      <c r="I40" s="294"/>
      <c r="J40" s="294"/>
      <c r="K40" s="294"/>
      <c r="L40" s="294"/>
      <c r="M40" s="295"/>
      <c r="O40" s="292"/>
      <c r="P40" s="292"/>
      <c r="Q40" s="293"/>
      <c r="R40" s="294"/>
      <c r="S40" s="294"/>
      <c r="T40" s="294"/>
      <c r="U40" s="294"/>
      <c r="V40" s="294"/>
      <c r="W40" s="294"/>
      <c r="X40" s="294"/>
      <c r="Y40" s="294"/>
      <c r="Z40" s="295"/>
      <c r="AA40" s="78"/>
      <c r="AB40" s="78"/>
      <c r="AC40" s="78"/>
      <c r="AD40" s="78"/>
      <c r="AE40" s="78"/>
      <c r="AF40" s="78"/>
      <c r="AG40" s="78"/>
      <c r="AH40" s="78"/>
      <c r="AI40" s="78"/>
      <c r="AL40" s="292"/>
      <c r="AM40" s="292"/>
      <c r="AN40" s="293"/>
      <c r="AO40" s="294"/>
      <c r="AP40" s="294"/>
      <c r="AQ40" s="294"/>
      <c r="AR40" s="294"/>
      <c r="AS40" s="294"/>
      <c r="AT40" s="294"/>
      <c r="AU40" s="294"/>
      <c r="AV40" s="294"/>
      <c r="AW40" s="295"/>
      <c r="AX40" s="78"/>
      <c r="AY40" s="78"/>
      <c r="AZ40" s="78"/>
      <c r="BA40" s="78"/>
      <c r="BB40" s="78"/>
      <c r="BC40" s="78"/>
      <c r="BD40" s="78"/>
      <c r="BE40" s="78"/>
      <c r="BF40" s="78"/>
      <c r="BI40" s="292"/>
      <c r="BJ40" s="292"/>
      <c r="BK40" s="293"/>
      <c r="BL40" s="294"/>
      <c r="BM40" s="294"/>
      <c r="BN40" s="294"/>
      <c r="BO40" s="294"/>
      <c r="BP40" s="294"/>
      <c r="BQ40" s="294"/>
      <c r="BR40" s="294"/>
      <c r="BS40" s="294"/>
      <c r="BT40" s="295"/>
      <c r="BU40" s="78"/>
      <c r="BV40" s="78"/>
      <c r="BW40" s="78"/>
      <c r="BX40" s="78"/>
      <c r="BY40" s="78"/>
      <c r="BZ40" s="78"/>
      <c r="CA40" s="78"/>
      <c r="CB40" s="78"/>
      <c r="CC40" s="78"/>
      <c r="CF40" s="292"/>
      <c r="CG40" s="292"/>
      <c r="CH40" s="293"/>
      <c r="CI40" s="294"/>
      <c r="CJ40" s="294"/>
      <c r="CK40" s="294"/>
      <c r="CL40" s="294"/>
      <c r="CM40" s="294"/>
      <c r="CN40" s="294"/>
      <c r="CO40" s="294"/>
      <c r="CP40" s="294"/>
      <c r="CQ40" s="295"/>
      <c r="CR40" s="78"/>
      <c r="CS40" s="78"/>
      <c r="CT40" s="78"/>
      <c r="CU40" s="78"/>
      <c r="CV40" s="78"/>
      <c r="CW40" s="78"/>
      <c r="CX40" s="78"/>
      <c r="CY40" s="78"/>
      <c r="CZ40" s="78"/>
    </row>
    <row r="41" spans="1:15768" ht="92.25" thickTop="1" thickBot="1">
      <c r="O41" s="987" t="str">
        <f>+IF(AD41*AG41*AI41*AB41*AC41*AE41*AH41=1,"OK","NO HABILITADO")</f>
        <v>NO HABILITADO</v>
      </c>
      <c r="P41" s="988"/>
      <c r="Q41" s="988"/>
      <c r="R41" s="988"/>
      <c r="S41" s="988"/>
      <c r="T41" s="988"/>
      <c r="U41" s="988"/>
      <c r="V41" s="988"/>
      <c r="W41" s="988"/>
      <c r="X41" s="988"/>
      <c r="Y41" s="988"/>
      <c r="Z41" s="989"/>
      <c r="AA41" s="78"/>
      <c r="AB41" s="72">
        <f>IF(Z26&lt;='10. EVALUACIÓN'!$D$11,1,0)</f>
        <v>1</v>
      </c>
      <c r="AC41" s="72">
        <f>IF(Z26&gt;='10. EVALUACIÓN'!$D$12,1,0)</f>
        <v>1</v>
      </c>
      <c r="AD41" s="72">
        <f>IF(Z25&gt;='10. EVALUACIÓN'!$D$9,1,0)</f>
        <v>1</v>
      </c>
      <c r="AE41" s="72">
        <f>IF(Z25&lt;='10. EVALUACIÓN'!$D$10,1,0)</f>
        <v>1</v>
      </c>
      <c r="AF41" s="70"/>
      <c r="AG41" s="72">
        <f>PRODUCT(AG11:AG33)</f>
        <v>1</v>
      </c>
      <c r="AH41" s="72">
        <f>IF(Z38&gt;'10. EVALUACIÓN'!$D$13,0,1)</f>
        <v>0</v>
      </c>
      <c r="AI41" s="72">
        <f>IFERROR(IF(AI35&gt;=0.5,0,1),0)</f>
        <v>1</v>
      </c>
      <c r="AJ41" s="178"/>
      <c r="AL41" s="987" t="str">
        <f>+IF(BA41*BD41*BF41*AY41*AZ41*BB41*BE41=1,"OK","NO HABILITADO")</f>
        <v>OK</v>
      </c>
      <c r="AM41" s="988"/>
      <c r="AN41" s="988"/>
      <c r="AO41" s="988"/>
      <c r="AP41" s="988"/>
      <c r="AQ41" s="988"/>
      <c r="AR41" s="988"/>
      <c r="AS41" s="988"/>
      <c r="AT41" s="988"/>
      <c r="AU41" s="988"/>
      <c r="AV41" s="988"/>
      <c r="AW41" s="989"/>
      <c r="AX41" s="78"/>
      <c r="AY41" s="72">
        <f>IF(AW26&lt;='10. EVALUACIÓN'!$D$11,1,0)</f>
        <v>1</v>
      </c>
      <c r="AZ41" s="72">
        <f>IF(AW26&gt;='10. EVALUACIÓN'!$D$12,1,0)</f>
        <v>1</v>
      </c>
      <c r="BA41" s="72">
        <f>IF(AW25&gt;='10. EVALUACIÓN'!$D$9,1,0)</f>
        <v>1</v>
      </c>
      <c r="BB41" s="72">
        <f>IF(AW25&lt;='10. EVALUACIÓN'!$D$10,1,0)</f>
        <v>1</v>
      </c>
      <c r="BC41" s="70"/>
      <c r="BD41" s="72">
        <f>PRODUCT(BD11:BD33)</f>
        <v>1</v>
      </c>
      <c r="BE41" s="72">
        <f>IF(AW38&gt;'10. EVALUACIÓN'!$D$13,0,1)</f>
        <v>1</v>
      </c>
      <c r="BF41" s="72">
        <f>IFERROR(IF(BF35&gt;=0.5,0,1),0)</f>
        <v>1</v>
      </c>
      <c r="BI41" s="987" t="str">
        <f>+IF(BX41*CA41*CC41*BV41*BW41*BY41*CB41=1,"OK","NO HABILITADO")</f>
        <v>OK</v>
      </c>
      <c r="BJ41" s="988"/>
      <c r="BK41" s="988"/>
      <c r="BL41" s="988"/>
      <c r="BM41" s="988"/>
      <c r="BN41" s="988"/>
      <c r="BO41" s="988"/>
      <c r="BP41" s="988"/>
      <c r="BQ41" s="988"/>
      <c r="BR41" s="988"/>
      <c r="BS41" s="988"/>
      <c r="BT41" s="989"/>
      <c r="BU41" s="78"/>
      <c r="BV41" s="72">
        <f>IF(BT26&lt;='10. EVALUACIÓN'!$D$11,1,0)</f>
        <v>1</v>
      </c>
      <c r="BW41" s="72">
        <f>IF(BT26&gt;='10. EVALUACIÓN'!$D$12,1,0)</f>
        <v>1</v>
      </c>
      <c r="BX41" s="72">
        <f>IF(BT25&gt;='10. EVALUACIÓN'!$D$9,1,0)</f>
        <v>1</v>
      </c>
      <c r="BY41" s="72">
        <f>IF(BT25&lt;='10. EVALUACIÓN'!$D$10,1,0)</f>
        <v>1</v>
      </c>
      <c r="BZ41" s="70"/>
      <c r="CA41" s="72">
        <f>PRODUCT(CA11:CA33)</f>
        <v>1</v>
      </c>
      <c r="CB41" s="72">
        <f>IF(BT38&gt;'10. EVALUACIÓN'!$D$13,0,1)</f>
        <v>1</v>
      </c>
      <c r="CC41" s="72">
        <f>IFERROR(IF(CC35&gt;=0.5,0,1),0)</f>
        <v>1</v>
      </c>
      <c r="CF41" s="987" t="str">
        <f>+IF(CU41*CX41*CZ41*CS41*CT41*CV41*CY41=1,"OK","NO HABILITADO")</f>
        <v>OK</v>
      </c>
      <c r="CG41" s="988"/>
      <c r="CH41" s="988"/>
      <c r="CI41" s="988"/>
      <c r="CJ41" s="988"/>
      <c r="CK41" s="988"/>
      <c r="CL41" s="988"/>
      <c r="CM41" s="988"/>
      <c r="CN41" s="988"/>
      <c r="CO41" s="988"/>
      <c r="CP41" s="988"/>
      <c r="CQ41" s="989"/>
      <c r="CR41" s="78"/>
      <c r="CS41" s="72">
        <f>IF(CQ26&lt;='10. EVALUACIÓN'!$D$11,1,0)</f>
        <v>1</v>
      </c>
      <c r="CT41" s="72">
        <f>IF(CQ26&gt;='10. EVALUACIÓN'!$D$12,1,0)</f>
        <v>1</v>
      </c>
      <c r="CU41" s="72">
        <f>IF(CQ25&gt;='10. EVALUACIÓN'!$D$9,1,0)</f>
        <v>1</v>
      </c>
      <c r="CV41" s="72">
        <f>IF(CQ25&lt;='10. EVALUACIÓN'!$D$10,1,0)</f>
        <v>1</v>
      </c>
      <c r="CW41" s="70"/>
      <c r="CX41" s="72">
        <f>PRODUCT(CX11:CX33)</f>
        <v>1</v>
      </c>
      <c r="CY41" s="72">
        <f>IF(CQ38&gt;'10. EVALUACIÓN'!$D$13,0,1)</f>
        <v>1</v>
      </c>
      <c r="CZ41" s="72">
        <f>IFERROR(IF(CZ35&gt;=0.5,0,1),0)</f>
        <v>1</v>
      </c>
    </row>
    <row r="42" spans="1:15768" ht="169.5" customHeight="1" thickTop="1">
      <c r="AA42" s="78"/>
      <c r="AB42" s="73" t="s">
        <v>352</v>
      </c>
      <c r="AC42" s="73" t="s">
        <v>355</v>
      </c>
      <c r="AD42" s="73" t="s">
        <v>353</v>
      </c>
      <c r="AE42" s="73" t="s">
        <v>354</v>
      </c>
      <c r="AF42" s="70"/>
      <c r="AG42" s="73" t="s">
        <v>96</v>
      </c>
      <c r="AH42" s="73" t="s">
        <v>368</v>
      </c>
      <c r="AI42" s="73" t="s">
        <v>66</v>
      </c>
      <c r="AJ42" s="178"/>
      <c r="AX42" s="78"/>
      <c r="AY42" s="73" t="s">
        <v>352</v>
      </c>
      <c r="AZ42" s="73" t="s">
        <v>355</v>
      </c>
      <c r="BA42" s="73" t="s">
        <v>353</v>
      </c>
      <c r="BB42" s="73" t="s">
        <v>354</v>
      </c>
      <c r="BC42" s="70"/>
      <c r="BD42" s="73" t="s">
        <v>96</v>
      </c>
      <c r="BE42" s="73" t="s">
        <v>368</v>
      </c>
      <c r="BF42" s="73" t="s">
        <v>66</v>
      </c>
      <c r="BU42" s="78"/>
      <c r="BV42" s="73" t="s">
        <v>352</v>
      </c>
      <c r="BW42" s="73" t="s">
        <v>355</v>
      </c>
      <c r="BX42" s="73" t="s">
        <v>353</v>
      </c>
      <c r="BY42" s="73" t="s">
        <v>354</v>
      </c>
      <c r="BZ42" s="70"/>
      <c r="CA42" s="73" t="s">
        <v>96</v>
      </c>
      <c r="CB42" s="73" t="s">
        <v>368</v>
      </c>
      <c r="CC42" s="73" t="s">
        <v>66</v>
      </c>
      <c r="CR42" s="78"/>
      <c r="CS42" s="73" t="s">
        <v>352</v>
      </c>
      <c r="CT42" s="73" t="s">
        <v>355</v>
      </c>
      <c r="CU42" s="73" t="s">
        <v>353</v>
      </c>
      <c r="CV42" s="73" t="s">
        <v>354</v>
      </c>
      <c r="CW42" s="70"/>
      <c r="CX42" s="73" t="s">
        <v>96</v>
      </c>
      <c r="CY42" s="73" t="s">
        <v>368</v>
      </c>
      <c r="CZ42" s="73" t="s">
        <v>66</v>
      </c>
    </row>
    <row r="43" spans="1:15768" s="75" customFormat="1" ht="30" customHeight="1">
      <c r="A43" s="77"/>
      <c r="B43" s="79"/>
      <c r="C43" s="79" t="s">
        <v>119</v>
      </c>
      <c r="D43" s="75" t="s">
        <v>431</v>
      </c>
      <c r="E43" s="74"/>
      <c r="G43" s="78"/>
      <c r="H43" s="78"/>
      <c r="I43" s="78"/>
      <c r="J43" s="78"/>
      <c r="K43" s="78"/>
      <c r="L43" s="78"/>
      <c r="M43" s="79"/>
      <c r="P43" s="74"/>
      <c r="Q43" s="74"/>
      <c r="R43" s="74"/>
      <c r="S43" s="74"/>
      <c r="T43" s="74"/>
      <c r="U43" s="74"/>
      <c r="V43" s="74"/>
      <c r="W43" s="74"/>
      <c r="X43" s="74"/>
      <c r="Y43" s="74"/>
      <c r="Z43" s="74"/>
      <c r="AF43" s="74"/>
      <c r="AG43" s="74"/>
      <c r="AH43" s="74"/>
      <c r="AI43" s="74"/>
      <c r="AJ43" s="74"/>
      <c r="AM43" s="74"/>
      <c r="AN43" s="74"/>
      <c r="AO43" s="74"/>
      <c r="AP43" s="74"/>
      <c r="AQ43" s="74"/>
      <c r="AR43" s="74"/>
      <c r="AS43" s="74"/>
      <c r="AT43" s="74"/>
      <c r="AU43" s="74"/>
      <c r="AV43" s="74"/>
      <c r="AW43" s="74"/>
      <c r="BC43" s="74"/>
      <c r="BD43" s="74"/>
      <c r="BE43" s="74"/>
      <c r="BF43" s="74"/>
      <c r="BJ43" s="74"/>
      <c r="BK43" s="74"/>
      <c r="BL43" s="74"/>
      <c r="BM43" s="74"/>
      <c r="BN43" s="74"/>
      <c r="BO43" s="74"/>
      <c r="BP43" s="74"/>
      <c r="BQ43" s="74"/>
      <c r="BR43" s="74"/>
      <c r="BS43" s="74"/>
      <c r="BT43" s="74"/>
      <c r="BZ43" s="74"/>
      <c r="CA43" s="74"/>
      <c r="CB43" s="74"/>
      <c r="CC43" s="74"/>
      <c r="CG43" s="74"/>
      <c r="CH43" s="74"/>
      <c r="CI43" s="74"/>
      <c r="CJ43" s="74"/>
      <c r="CK43" s="74"/>
      <c r="CL43" s="74"/>
      <c r="CM43" s="74"/>
      <c r="CN43" s="74"/>
      <c r="CO43" s="74"/>
      <c r="CP43" s="74"/>
      <c r="CQ43" s="74"/>
      <c r="CW43" s="74"/>
      <c r="CX43" s="74"/>
      <c r="CY43" s="74"/>
      <c r="CZ43" s="74"/>
    </row>
    <row r="44" spans="1:15768" s="75" customFormat="1" ht="30" hidden="1" customHeight="1">
      <c r="A44" s="77"/>
      <c r="B44" s="109"/>
      <c r="C44" s="79"/>
      <c r="E44" s="76"/>
      <c r="M44" s="79"/>
      <c r="P44" s="76"/>
      <c r="Q44" s="76"/>
      <c r="R44" s="76"/>
      <c r="S44" s="76"/>
      <c r="T44" s="76"/>
      <c r="U44" s="76"/>
      <c r="V44" s="76"/>
      <c r="W44" s="76"/>
      <c r="X44" s="76"/>
      <c r="Y44" s="76"/>
      <c r="Z44" s="76"/>
      <c r="AC44" s="77"/>
      <c r="AD44" s="77"/>
      <c r="AF44" s="76"/>
      <c r="AG44" s="76"/>
      <c r="AH44" s="76"/>
      <c r="AI44" s="76"/>
      <c r="AJ44" s="76"/>
      <c r="AK44" s="78"/>
      <c r="AM44" s="76"/>
      <c r="AN44" s="76"/>
      <c r="AO44" s="76"/>
      <c r="AP44" s="76"/>
      <c r="AQ44" s="76"/>
      <c r="AR44" s="76"/>
      <c r="AS44" s="76"/>
      <c r="AT44" s="76"/>
      <c r="AU44" s="76"/>
      <c r="AV44" s="76"/>
      <c r="AW44" s="76"/>
      <c r="AZ44" s="77"/>
      <c r="BA44" s="77"/>
      <c r="BC44" s="76"/>
      <c r="BD44" s="76"/>
      <c r="BE44" s="76"/>
      <c r="BF44" s="76"/>
      <c r="BG44" s="78"/>
      <c r="BH44" s="78"/>
      <c r="BJ44" s="76"/>
      <c r="BK44" s="76"/>
      <c r="BL44" s="76"/>
      <c r="BM44" s="76"/>
      <c r="BN44" s="76"/>
      <c r="BO44" s="76"/>
      <c r="BP44" s="76"/>
      <c r="BQ44" s="76"/>
      <c r="BR44" s="76"/>
      <c r="BS44" s="76"/>
      <c r="BT44" s="76"/>
      <c r="BW44" s="77"/>
      <c r="BX44" s="77"/>
      <c r="BZ44" s="76"/>
      <c r="CA44" s="76"/>
      <c r="CB44" s="76"/>
      <c r="CC44" s="76"/>
      <c r="CD44" s="78"/>
      <c r="CE44" s="78"/>
      <c r="CG44" s="76"/>
      <c r="CH44" s="76"/>
      <c r="CI44" s="76"/>
      <c r="CJ44" s="76"/>
      <c r="CK44" s="76"/>
      <c r="CL44" s="76"/>
      <c r="CM44" s="76"/>
      <c r="CN44" s="76"/>
      <c r="CO44" s="76"/>
      <c r="CP44" s="76"/>
      <c r="CQ44" s="76"/>
      <c r="CT44" s="77"/>
      <c r="CU44" s="77"/>
      <c r="CW44" s="76"/>
      <c r="CX44" s="76"/>
      <c r="CY44" s="76"/>
      <c r="CZ44" s="76"/>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c r="EO44" s="78"/>
      <c r="EP44" s="78"/>
      <c r="EQ44" s="78"/>
      <c r="ER44" s="78"/>
      <c r="ES44" s="78"/>
      <c r="ET44" s="78"/>
      <c r="EU44" s="78"/>
      <c r="EV44" s="78"/>
      <c r="EW44" s="78"/>
      <c r="EX44" s="78"/>
      <c r="EY44" s="78"/>
      <c r="EZ44" s="78"/>
      <c r="FA44" s="78"/>
      <c r="FB44" s="78"/>
      <c r="FC44" s="78"/>
      <c r="FD44" s="78"/>
      <c r="FE44" s="78"/>
      <c r="FF44" s="78"/>
      <c r="FG44" s="78"/>
      <c r="FH44" s="78"/>
      <c r="FI44" s="78"/>
      <c r="FJ44" s="78"/>
      <c r="FK44" s="78"/>
      <c r="FL44" s="78"/>
      <c r="FM44" s="78"/>
      <c r="FN44" s="78"/>
      <c r="FO44" s="78"/>
      <c r="FP44" s="78"/>
      <c r="FQ44" s="78"/>
      <c r="FR44" s="78"/>
      <c r="FS44" s="78"/>
      <c r="FT44" s="78"/>
      <c r="FU44" s="78"/>
      <c r="FV44" s="78"/>
      <c r="FW44" s="78"/>
      <c r="FX44" s="78"/>
      <c r="FY44" s="78"/>
      <c r="FZ44" s="78"/>
      <c r="GA44" s="78"/>
      <c r="GB44" s="78"/>
      <c r="GC44" s="78"/>
      <c r="GD44" s="78"/>
      <c r="GE44" s="78"/>
      <c r="GF44" s="78"/>
      <c r="GG44" s="78"/>
      <c r="GH44" s="78"/>
      <c r="GI44" s="78"/>
      <c r="GJ44" s="78"/>
      <c r="GK44" s="78"/>
      <c r="GL44" s="78"/>
      <c r="GM44" s="78"/>
      <c r="GN44" s="78"/>
      <c r="GO44" s="78"/>
      <c r="GP44" s="78"/>
      <c r="GQ44" s="78"/>
      <c r="GR44" s="78"/>
      <c r="GS44" s="78"/>
      <c r="GT44" s="78"/>
      <c r="GU44" s="78"/>
      <c r="GV44" s="78"/>
      <c r="GW44" s="78"/>
      <c r="GX44" s="78"/>
      <c r="GY44" s="78"/>
      <c r="GZ44" s="78"/>
      <c r="HA44" s="78"/>
      <c r="HB44" s="78"/>
      <c r="HC44" s="78"/>
      <c r="HD44" s="78"/>
      <c r="HE44" s="78"/>
      <c r="HF44" s="78"/>
      <c r="HG44" s="78"/>
      <c r="HH44" s="78"/>
      <c r="HI44" s="78"/>
      <c r="HJ44" s="78"/>
      <c r="HK44" s="78"/>
      <c r="HL44" s="78"/>
      <c r="HM44" s="78"/>
      <c r="HN44" s="78"/>
      <c r="HO44" s="78"/>
      <c r="HP44" s="78"/>
      <c r="HQ44" s="78"/>
      <c r="HR44" s="78"/>
      <c r="HS44" s="78"/>
      <c r="HT44" s="78"/>
      <c r="HU44" s="78"/>
      <c r="HV44" s="78"/>
      <c r="HW44" s="78"/>
      <c r="HX44" s="78"/>
      <c r="HY44" s="78"/>
      <c r="HZ44" s="78"/>
      <c r="IA44" s="78"/>
      <c r="IB44" s="78"/>
      <c r="IC44" s="78"/>
      <c r="ID44" s="78"/>
      <c r="IE44" s="78"/>
      <c r="IF44" s="78"/>
      <c r="IG44" s="78"/>
      <c r="IH44" s="78"/>
      <c r="II44" s="78"/>
      <c r="IJ44" s="78"/>
      <c r="IK44" s="78"/>
      <c r="IL44" s="78"/>
      <c r="IM44" s="78"/>
      <c r="IN44" s="78"/>
      <c r="IO44" s="78"/>
      <c r="IP44" s="78"/>
      <c r="IQ44" s="78"/>
      <c r="IR44" s="78"/>
      <c r="IS44" s="78"/>
      <c r="IT44" s="78"/>
      <c r="IU44" s="78"/>
      <c r="IV44" s="78"/>
      <c r="IW44" s="78"/>
      <c r="IX44" s="78"/>
      <c r="IY44" s="78"/>
      <c r="IZ44" s="78"/>
      <c r="JA44" s="78"/>
      <c r="JB44" s="78"/>
      <c r="JC44" s="78"/>
      <c r="JD44" s="78"/>
      <c r="JE44" s="78"/>
      <c r="JF44" s="78"/>
      <c r="JG44" s="78"/>
      <c r="JH44" s="78"/>
      <c r="JI44" s="78"/>
      <c r="JJ44" s="78"/>
      <c r="JK44" s="78"/>
      <c r="JL44" s="78"/>
      <c r="JM44" s="78"/>
      <c r="JN44" s="78"/>
      <c r="JO44" s="78"/>
      <c r="JP44" s="78"/>
      <c r="JQ44" s="78"/>
      <c r="JR44" s="78"/>
      <c r="JS44" s="78"/>
      <c r="JT44" s="78"/>
      <c r="JU44" s="78"/>
      <c r="JV44" s="78"/>
      <c r="JW44" s="78"/>
      <c r="JX44" s="78"/>
      <c r="JY44" s="78"/>
      <c r="JZ44" s="78"/>
      <c r="KA44" s="78"/>
      <c r="KB44" s="78"/>
      <c r="KC44" s="78"/>
      <c r="KD44" s="78"/>
      <c r="KE44" s="78"/>
      <c r="KF44" s="78"/>
      <c r="KG44" s="78"/>
      <c r="KH44" s="78"/>
      <c r="KI44" s="78"/>
      <c r="KJ44" s="78"/>
      <c r="KK44" s="78"/>
      <c r="KL44" s="78"/>
      <c r="KM44" s="78"/>
      <c r="KN44" s="78"/>
      <c r="KO44" s="78"/>
      <c r="KP44" s="78"/>
      <c r="KQ44" s="78"/>
      <c r="KR44" s="78"/>
      <c r="KS44" s="78"/>
      <c r="KT44" s="78"/>
      <c r="KU44" s="78"/>
      <c r="KV44" s="78"/>
      <c r="KW44" s="78"/>
      <c r="KX44" s="78"/>
      <c r="KY44" s="78"/>
      <c r="KZ44" s="78"/>
      <c r="LA44" s="78"/>
      <c r="LB44" s="78"/>
      <c r="LC44" s="78"/>
      <c r="LD44" s="78"/>
      <c r="LE44" s="78"/>
      <c r="LF44" s="78"/>
      <c r="LG44" s="78"/>
      <c r="LH44" s="78"/>
      <c r="LI44" s="78"/>
      <c r="LJ44" s="78"/>
      <c r="LK44" s="78"/>
      <c r="LL44" s="78"/>
      <c r="LM44" s="78"/>
      <c r="LN44" s="78"/>
      <c r="LO44" s="78"/>
      <c r="LP44" s="78"/>
      <c r="LQ44" s="78"/>
      <c r="LR44" s="78"/>
      <c r="LS44" s="78"/>
      <c r="LT44" s="78"/>
      <c r="LU44" s="78"/>
      <c r="LV44" s="78"/>
      <c r="LW44" s="78"/>
      <c r="LX44" s="78"/>
      <c r="LY44" s="78"/>
      <c r="LZ44" s="78"/>
      <c r="MA44" s="78"/>
      <c r="MB44" s="78"/>
      <c r="MC44" s="78"/>
      <c r="MD44" s="78"/>
      <c r="ME44" s="78"/>
      <c r="MF44" s="78"/>
      <c r="MG44" s="78"/>
      <c r="MH44" s="78"/>
      <c r="MI44" s="78"/>
      <c r="MJ44" s="78"/>
      <c r="MK44" s="78"/>
      <c r="ML44" s="78"/>
      <c r="MM44" s="78"/>
      <c r="MN44" s="78"/>
      <c r="MO44" s="78"/>
      <c r="MP44" s="78"/>
      <c r="MQ44" s="78"/>
      <c r="MR44" s="78"/>
      <c r="MS44" s="78"/>
      <c r="MT44" s="78"/>
      <c r="MU44" s="78"/>
      <c r="MV44" s="78"/>
      <c r="MW44" s="78"/>
      <c r="MX44" s="78"/>
      <c r="MY44" s="78"/>
      <c r="MZ44" s="78"/>
      <c r="NA44" s="78"/>
      <c r="NB44" s="78"/>
      <c r="NC44" s="78"/>
      <c r="ND44" s="78"/>
      <c r="NE44" s="78"/>
      <c r="NF44" s="78"/>
      <c r="NG44" s="78"/>
      <c r="NH44" s="78"/>
      <c r="NI44" s="78"/>
      <c r="NJ44" s="78"/>
      <c r="NK44" s="78"/>
      <c r="NL44" s="78"/>
      <c r="NM44" s="78"/>
      <c r="NN44" s="78"/>
      <c r="NO44" s="78"/>
      <c r="NP44" s="78"/>
      <c r="NQ44" s="78"/>
      <c r="NR44" s="78"/>
      <c r="NS44" s="78"/>
      <c r="NT44" s="78"/>
      <c r="NU44" s="78"/>
      <c r="NV44" s="78"/>
      <c r="NW44" s="78"/>
      <c r="NX44" s="78"/>
      <c r="NY44" s="78"/>
      <c r="NZ44" s="78"/>
      <c r="OA44" s="78"/>
      <c r="OB44" s="78"/>
      <c r="OC44" s="78"/>
      <c r="OD44" s="78"/>
      <c r="OE44" s="78"/>
      <c r="OF44" s="78"/>
      <c r="OG44" s="78"/>
      <c r="OH44" s="78"/>
      <c r="OI44" s="78"/>
      <c r="OJ44" s="78"/>
      <c r="OK44" s="78"/>
      <c r="OL44" s="78"/>
      <c r="OM44" s="78"/>
      <c r="ON44" s="78"/>
      <c r="OO44" s="78"/>
      <c r="OP44" s="78"/>
      <c r="OQ44" s="78"/>
      <c r="OR44" s="78"/>
      <c r="OS44" s="78"/>
      <c r="OT44" s="78"/>
      <c r="OU44" s="78"/>
      <c r="OV44" s="78"/>
      <c r="OW44" s="78"/>
      <c r="OX44" s="78"/>
      <c r="OY44" s="78"/>
      <c r="OZ44" s="78"/>
      <c r="PA44" s="78"/>
      <c r="PB44" s="78"/>
      <c r="PC44" s="78"/>
      <c r="PD44" s="78"/>
      <c r="PE44" s="78"/>
      <c r="PF44" s="78"/>
      <c r="PG44" s="78"/>
      <c r="PH44" s="78"/>
      <c r="PI44" s="78"/>
      <c r="PJ44" s="78"/>
      <c r="PK44" s="78"/>
      <c r="PL44" s="78"/>
      <c r="PM44" s="78"/>
      <c r="PN44" s="78"/>
      <c r="PO44" s="78"/>
      <c r="PP44" s="78"/>
      <c r="PQ44" s="78"/>
      <c r="PR44" s="78"/>
      <c r="PS44" s="78"/>
      <c r="PT44" s="78"/>
      <c r="PU44" s="78"/>
      <c r="PV44" s="78"/>
      <c r="PW44" s="78"/>
      <c r="PX44" s="78"/>
      <c r="PY44" s="78"/>
      <c r="PZ44" s="78"/>
      <c r="QA44" s="78"/>
      <c r="QB44" s="78"/>
      <c r="QC44" s="78"/>
      <c r="QD44" s="78"/>
      <c r="QE44" s="78"/>
      <c r="QF44" s="78"/>
      <c r="QG44" s="78"/>
      <c r="QH44" s="78"/>
      <c r="QI44" s="78"/>
      <c r="QJ44" s="78"/>
      <c r="QK44" s="78"/>
      <c r="QL44" s="78"/>
      <c r="QM44" s="78"/>
      <c r="QN44" s="78"/>
      <c r="QO44" s="78"/>
      <c r="QP44" s="78"/>
      <c r="QQ44" s="78"/>
      <c r="QR44" s="78"/>
      <c r="QS44" s="78"/>
      <c r="QT44" s="78"/>
      <c r="QU44" s="78"/>
      <c r="QV44" s="78"/>
      <c r="QW44" s="78"/>
      <c r="QX44" s="78"/>
      <c r="QY44" s="78"/>
      <c r="QZ44" s="78"/>
      <c r="RA44" s="78"/>
      <c r="RB44" s="78"/>
      <c r="RC44" s="78"/>
      <c r="RD44" s="78"/>
      <c r="RE44" s="78"/>
      <c r="RF44" s="78"/>
      <c r="RG44" s="78"/>
      <c r="RH44" s="78"/>
      <c r="RI44" s="78"/>
      <c r="RJ44" s="78"/>
      <c r="RK44" s="78"/>
      <c r="RL44" s="78"/>
      <c r="RM44" s="78"/>
      <c r="RN44" s="78"/>
      <c r="RO44" s="78"/>
      <c r="RP44" s="78"/>
      <c r="RQ44" s="78"/>
      <c r="RR44" s="78"/>
      <c r="RS44" s="78"/>
      <c r="RT44" s="78"/>
      <c r="RU44" s="78"/>
      <c r="RV44" s="78"/>
      <c r="RW44" s="78"/>
      <c r="RX44" s="78"/>
      <c r="RY44" s="78"/>
      <c r="RZ44" s="78"/>
      <c r="SA44" s="78"/>
      <c r="SB44" s="78"/>
      <c r="SC44" s="78"/>
      <c r="SD44" s="78"/>
      <c r="SE44" s="78"/>
      <c r="SF44" s="78"/>
      <c r="SG44" s="78"/>
      <c r="SH44" s="78"/>
      <c r="SI44" s="78"/>
      <c r="SJ44" s="78"/>
      <c r="SK44" s="78"/>
      <c r="SL44" s="78"/>
      <c r="SM44" s="78"/>
      <c r="SN44" s="78"/>
      <c r="SO44" s="78"/>
      <c r="SP44" s="78"/>
      <c r="SQ44" s="78"/>
      <c r="SR44" s="78"/>
      <c r="SS44" s="78"/>
      <c r="ST44" s="78"/>
      <c r="SU44" s="78"/>
      <c r="SV44" s="78"/>
      <c r="SW44" s="78"/>
      <c r="SX44" s="78"/>
      <c r="SY44" s="78"/>
      <c r="SZ44" s="78"/>
      <c r="TA44" s="78"/>
      <c r="TB44" s="78"/>
      <c r="TC44" s="78"/>
      <c r="TD44" s="78"/>
      <c r="TE44" s="78"/>
      <c r="TF44" s="78"/>
      <c r="TG44" s="78"/>
      <c r="TH44" s="78"/>
      <c r="TI44" s="78"/>
      <c r="TJ44" s="78"/>
      <c r="TK44" s="78"/>
      <c r="TL44" s="78"/>
      <c r="TM44" s="78"/>
      <c r="TN44" s="78"/>
      <c r="TO44" s="78"/>
      <c r="TP44" s="78"/>
      <c r="TQ44" s="78"/>
      <c r="TR44" s="78"/>
      <c r="TS44" s="78"/>
      <c r="TT44" s="78"/>
      <c r="TU44" s="78"/>
      <c r="TV44" s="78"/>
      <c r="TW44" s="78"/>
      <c r="TX44" s="78"/>
      <c r="TY44" s="78"/>
      <c r="TZ44" s="78"/>
      <c r="UA44" s="78"/>
      <c r="UB44" s="78"/>
      <c r="UC44" s="78"/>
      <c r="UD44" s="78"/>
      <c r="UE44" s="78"/>
      <c r="UF44" s="78"/>
      <c r="UG44" s="78"/>
      <c r="UH44" s="78"/>
      <c r="UI44" s="78"/>
      <c r="UJ44" s="78"/>
      <c r="UK44" s="78"/>
      <c r="UL44" s="78"/>
      <c r="UM44" s="78"/>
      <c r="UN44" s="78"/>
      <c r="UO44" s="78"/>
      <c r="UP44" s="78"/>
      <c r="UQ44" s="78"/>
      <c r="UR44" s="78"/>
      <c r="US44" s="78"/>
      <c r="UT44" s="78"/>
      <c r="UU44" s="78"/>
      <c r="UV44" s="78"/>
      <c r="UW44" s="78"/>
      <c r="UX44" s="78"/>
      <c r="UY44" s="78"/>
      <c r="UZ44" s="78"/>
      <c r="VA44" s="78"/>
      <c r="VB44" s="78"/>
      <c r="VC44" s="78"/>
      <c r="VD44" s="78"/>
      <c r="VE44" s="78"/>
      <c r="VF44" s="78"/>
      <c r="VG44" s="78"/>
      <c r="VH44" s="78"/>
      <c r="VI44" s="78"/>
      <c r="VJ44" s="78"/>
      <c r="VK44" s="78"/>
      <c r="VL44" s="78"/>
      <c r="VM44" s="78"/>
      <c r="VN44" s="78"/>
      <c r="VO44" s="78"/>
      <c r="VP44" s="78"/>
      <c r="VQ44" s="78"/>
      <c r="VR44" s="78"/>
      <c r="VS44" s="78"/>
      <c r="VT44" s="78"/>
      <c r="VU44" s="78"/>
      <c r="VV44" s="78"/>
      <c r="VW44" s="78"/>
      <c r="VX44" s="78"/>
      <c r="VY44" s="78"/>
      <c r="VZ44" s="78"/>
      <c r="WA44" s="78"/>
      <c r="WB44" s="78"/>
      <c r="WC44" s="78"/>
      <c r="WD44" s="78"/>
      <c r="WE44" s="78"/>
      <c r="WF44" s="78"/>
      <c r="WG44" s="78"/>
      <c r="WH44" s="78"/>
      <c r="WI44" s="78"/>
      <c r="WJ44" s="78"/>
      <c r="WK44" s="78"/>
      <c r="WL44" s="78"/>
      <c r="WM44" s="78"/>
      <c r="WN44" s="78"/>
      <c r="WO44" s="78"/>
      <c r="WP44" s="78"/>
      <c r="WQ44" s="78"/>
      <c r="WR44" s="78"/>
      <c r="WS44" s="78"/>
      <c r="WT44" s="78"/>
      <c r="WU44" s="78"/>
      <c r="WV44" s="78"/>
      <c r="WW44" s="78"/>
      <c r="WX44" s="78"/>
      <c r="WY44" s="78"/>
      <c r="WZ44" s="78"/>
      <c r="XA44" s="78"/>
      <c r="XB44" s="78"/>
      <c r="XC44" s="78"/>
      <c r="XD44" s="78"/>
      <c r="XE44" s="78"/>
      <c r="XF44" s="78"/>
      <c r="XG44" s="78"/>
      <c r="XH44" s="78"/>
      <c r="XI44" s="78"/>
      <c r="XJ44" s="78"/>
      <c r="XK44" s="78"/>
      <c r="XL44" s="78"/>
      <c r="XM44" s="78"/>
      <c r="XN44" s="78"/>
      <c r="XO44" s="78"/>
      <c r="XP44" s="78"/>
      <c r="XQ44" s="78"/>
      <c r="XR44" s="78"/>
      <c r="XS44" s="78"/>
      <c r="XT44" s="78"/>
      <c r="XU44" s="78"/>
      <c r="XV44" s="78"/>
      <c r="XW44" s="78"/>
      <c r="XX44" s="78"/>
      <c r="XY44" s="78"/>
      <c r="XZ44" s="78"/>
      <c r="YA44" s="78"/>
      <c r="YB44" s="78"/>
      <c r="YC44" s="78"/>
      <c r="YD44" s="78"/>
      <c r="YE44" s="78"/>
      <c r="YF44" s="78"/>
      <c r="YG44" s="78"/>
      <c r="YH44" s="78"/>
      <c r="YI44" s="78"/>
      <c r="YJ44" s="78"/>
      <c r="YK44" s="78"/>
      <c r="YL44" s="78"/>
      <c r="YM44" s="78"/>
      <c r="YN44" s="78"/>
      <c r="YO44" s="78"/>
      <c r="YP44" s="78"/>
      <c r="YQ44" s="78"/>
      <c r="YR44" s="78"/>
      <c r="YS44" s="78"/>
      <c r="YT44" s="78"/>
      <c r="YU44" s="78"/>
      <c r="YV44" s="78"/>
      <c r="YW44" s="78"/>
      <c r="YX44" s="78"/>
      <c r="YY44" s="78"/>
      <c r="YZ44" s="78"/>
      <c r="ZA44" s="78"/>
      <c r="ZB44" s="78"/>
      <c r="ZC44" s="78"/>
      <c r="ZD44" s="78"/>
      <c r="ZE44" s="78"/>
      <c r="ZF44" s="78"/>
      <c r="ZG44" s="78"/>
      <c r="ZH44" s="78"/>
      <c r="ZI44" s="78"/>
      <c r="ZJ44" s="78"/>
      <c r="ZK44" s="78"/>
      <c r="ZL44" s="78"/>
      <c r="ZM44" s="78"/>
      <c r="ZN44" s="78"/>
      <c r="ZO44" s="78"/>
      <c r="ZP44" s="78"/>
      <c r="ZQ44" s="78"/>
      <c r="ZR44" s="78"/>
      <c r="ZS44" s="78"/>
      <c r="ZT44" s="78"/>
      <c r="ZU44" s="78"/>
      <c r="ZV44" s="78"/>
      <c r="ZW44" s="78"/>
      <c r="ZX44" s="78"/>
      <c r="ZY44" s="78"/>
      <c r="ZZ44" s="78"/>
      <c r="AAA44" s="78"/>
      <c r="AAB44" s="78"/>
      <c r="AAC44" s="78"/>
      <c r="AAD44" s="78"/>
      <c r="AAE44" s="78"/>
      <c r="AAF44" s="78"/>
      <c r="AAG44" s="78"/>
      <c r="AAH44" s="78"/>
      <c r="AAI44" s="78"/>
      <c r="AAJ44" s="78"/>
      <c r="AAK44" s="78"/>
      <c r="AAL44" s="78"/>
      <c r="AAM44" s="78"/>
      <c r="AAN44" s="78"/>
      <c r="AAO44" s="78"/>
      <c r="AAP44" s="78"/>
      <c r="AAQ44" s="78"/>
      <c r="AAR44" s="78"/>
      <c r="AAS44" s="78"/>
      <c r="AAT44" s="78"/>
      <c r="AAU44" s="78"/>
      <c r="AAV44" s="78"/>
      <c r="AAW44" s="78"/>
      <c r="AAX44" s="78"/>
      <c r="AAY44" s="78"/>
      <c r="AAZ44" s="78"/>
      <c r="ABA44" s="78"/>
      <c r="ABB44" s="78"/>
      <c r="ABC44" s="78"/>
      <c r="ABD44" s="78"/>
      <c r="ABE44" s="78"/>
      <c r="ABF44" s="78"/>
      <c r="ABG44" s="78"/>
      <c r="ABH44" s="78"/>
      <c r="ABI44" s="78"/>
      <c r="ABJ44" s="78"/>
      <c r="ABK44" s="78"/>
      <c r="ABL44" s="78"/>
      <c r="ABM44" s="78"/>
      <c r="ABN44" s="78"/>
      <c r="ABO44" s="78"/>
      <c r="ABP44" s="78"/>
      <c r="ABQ44" s="78"/>
      <c r="ABR44" s="78"/>
      <c r="ABS44" s="78"/>
      <c r="ABT44" s="78"/>
      <c r="ABU44" s="78"/>
      <c r="ABV44" s="78"/>
      <c r="ABW44" s="78"/>
      <c r="ABX44" s="78"/>
      <c r="ABY44" s="78"/>
      <c r="ABZ44" s="78"/>
      <c r="ACA44" s="78"/>
      <c r="ACB44" s="78"/>
      <c r="ACC44" s="78"/>
      <c r="ACD44" s="78"/>
      <c r="ACE44" s="78"/>
      <c r="ACF44" s="78"/>
      <c r="ACG44" s="78"/>
      <c r="ACH44" s="78"/>
      <c r="ACI44" s="78"/>
      <c r="ACJ44" s="78"/>
      <c r="ACK44" s="78"/>
      <c r="ACL44" s="78"/>
      <c r="ACM44" s="78"/>
      <c r="ACN44" s="78"/>
      <c r="ACO44" s="78"/>
      <c r="ACP44" s="78"/>
      <c r="ACQ44" s="78"/>
      <c r="ACR44" s="78"/>
      <c r="ACS44" s="78"/>
      <c r="ACT44" s="78"/>
      <c r="ACU44" s="78"/>
      <c r="ACV44" s="78"/>
      <c r="ACW44" s="78"/>
      <c r="ACX44" s="78"/>
      <c r="ACY44" s="78"/>
      <c r="ACZ44" s="78"/>
      <c r="ADA44" s="78"/>
      <c r="ADB44" s="78"/>
      <c r="ADC44" s="78"/>
      <c r="ADD44" s="78"/>
      <c r="ADE44" s="78"/>
      <c r="ADF44" s="78"/>
      <c r="ADG44" s="78"/>
      <c r="ADH44" s="78"/>
      <c r="ADI44" s="78"/>
      <c r="ADJ44" s="78"/>
      <c r="ADK44" s="78"/>
      <c r="ADL44" s="78"/>
      <c r="ADM44" s="78"/>
      <c r="ADN44" s="78"/>
      <c r="ADO44" s="78"/>
      <c r="ADP44" s="78"/>
      <c r="ADQ44" s="78"/>
      <c r="ADR44" s="78"/>
      <c r="ADS44" s="78"/>
      <c r="ADT44" s="78"/>
      <c r="ADU44" s="78"/>
      <c r="ADV44" s="78"/>
      <c r="ADW44" s="78"/>
      <c r="ADX44" s="78"/>
      <c r="ADY44" s="78"/>
      <c r="ADZ44" s="78"/>
      <c r="AEA44" s="78"/>
      <c r="AEB44" s="78"/>
      <c r="AEC44" s="78"/>
      <c r="AED44" s="78"/>
      <c r="AEE44" s="78"/>
      <c r="AEF44" s="78"/>
      <c r="AEG44" s="78"/>
      <c r="AEH44" s="78"/>
      <c r="AEI44" s="78"/>
      <c r="AEJ44" s="78"/>
      <c r="AEK44" s="78"/>
      <c r="AEL44" s="78"/>
      <c r="AEM44" s="78"/>
      <c r="AEN44" s="78"/>
      <c r="AEO44" s="78"/>
      <c r="AEP44" s="78"/>
      <c r="AEQ44" s="78"/>
      <c r="AER44" s="78"/>
      <c r="AES44" s="78"/>
      <c r="AET44" s="78"/>
      <c r="AEU44" s="78"/>
      <c r="AEV44" s="78"/>
      <c r="AEW44" s="78"/>
      <c r="AEX44" s="78"/>
      <c r="AEY44" s="78"/>
      <c r="AEZ44" s="78"/>
      <c r="AFA44" s="78"/>
      <c r="AFB44" s="78"/>
      <c r="AFC44" s="78"/>
      <c r="AFD44" s="78"/>
      <c r="AFE44" s="78"/>
      <c r="AFF44" s="78"/>
      <c r="AFG44" s="78"/>
      <c r="AFH44" s="78"/>
      <c r="AFI44" s="78"/>
      <c r="AFJ44" s="78"/>
      <c r="AFK44" s="78"/>
      <c r="AFL44" s="78"/>
      <c r="AFM44" s="78"/>
      <c r="AFN44" s="78"/>
      <c r="AFO44" s="78"/>
      <c r="AFP44" s="78"/>
      <c r="AFQ44" s="78"/>
      <c r="AFR44" s="78"/>
      <c r="AFS44" s="78"/>
      <c r="AFT44" s="78"/>
      <c r="AFU44" s="78"/>
      <c r="AFV44" s="78"/>
      <c r="AFW44" s="78"/>
      <c r="AFX44" s="78"/>
      <c r="AFY44" s="78"/>
      <c r="AFZ44" s="78"/>
      <c r="AGA44" s="78"/>
      <c r="AGB44" s="78"/>
      <c r="AGC44" s="78"/>
      <c r="AGD44" s="78"/>
      <c r="AGE44" s="78"/>
      <c r="AGF44" s="78"/>
      <c r="AGG44" s="78"/>
      <c r="AGH44" s="78"/>
      <c r="AGI44" s="78"/>
      <c r="AGJ44" s="78"/>
      <c r="AGK44" s="78"/>
      <c r="AGL44" s="78"/>
      <c r="AGM44" s="78"/>
      <c r="AGN44" s="78"/>
      <c r="AGO44" s="78"/>
      <c r="AGP44" s="78"/>
      <c r="AGQ44" s="78"/>
      <c r="AGR44" s="78"/>
      <c r="AGS44" s="78"/>
      <c r="AGT44" s="78"/>
      <c r="AGU44" s="78"/>
      <c r="AGV44" s="78"/>
      <c r="AGW44" s="78"/>
      <c r="AGX44" s="78"/>
      <c r="AGY44" s="78"/>
      <c r="AGZ44" s="78"/>
      <c r="AHA44" s="78"/>
      <c r="AHB44" s="78"/>
      <c r="AHC44" s="78"/>
      <c r="AHD44" s="78"/>
      <c r="AHE44" s="78"/>
      <c r="AHF44" s="78"/>
      <c r="AHG44" s="78"/>
      <c r="AHH44" s="78"/>
      <c r="AHI44" s="78"/>
      <c r="AHJ44" s="78"/>
      <c r="AHK44" s="78"/>
      <c r="AHL44" s="78"/>
      <c r="AHM44" s="78"/>
      <c r="AHN44" s="78"/>
      <c r="AHO44" s="78"/>
      <c r="AHP44" s="78"/>
      <c r="AHQ44" s="78"/>
      <c r="AHR44" s="78"/>
      <c r="AHS44" s="78"/>
      <c r="AHT44" s="78"/>
      <c r="AHU44" s="78"/>
      <c r="AHV44" s="78"/>
      <c r="AHW44" s="78"/>
      <c r="AHX44" s="78"/>
      <c r="AHY44" s="78"/>
      <c r="AHZ44" s="78"/>
      <c r="AIA44" s="78"/>
      <c r="AIB44" s="78"/>
      <c r="AIC44" s="78"/>
      <c r="AID44" s="78"/>
      <c r="AIE44" s="78"/>
      <c r="AIF44" s="78"/>
      <c r="AIG44" s="78"/>
      <c r="AIH44" s="78"/>
      <c r="AII44" s="78"/>
      <c r="AIJ44" s="78"/>
      <c r="AIK44" s="78"/>
      <c r="AIL44" s="78"/>
      <c r="AIM44" s="78"/>
      <c r="AIN44" s="78"/>
      <c r="AIO44" s="78"/>
      <c r="AIP44" s="78"/>
      <c r="AIQ44" s="78"/>
      <c r="AIR44" s="78"/>
      <c r="AIS44" s="78"/>
      <c r="AIT44" s="78"/>
      <c r="AIU44" s="78"/>
      <c r="AIV44" s="78"/>
      <c r="AIW44" s="78"/>
      <c r="AIX44" s="78"/>
      <c r="AIY44" s="78"/>
      <c r="AIZ44" s="78"/>
      <c r="AJA44" s="78"/>
      <c r="AJB44" s="78"/>
      <c r="AJC44" s="78"/>
      <c r="AJD44" s="78"/>
      <c r="AJE44" s="78"/>
      <c r="AJF44" s="78"/>
      <c r="AJG44" s="78"/>
      <c r="AJH44" s="78"/>
      <c r="AJI44" s="78"/>
      <c r="AJJ44" s="78"/>
      <c r="AJK44" s="78"/>
      <c r="AJL44" s="78"/>
      <c r="AJM44" s="78"/>
      <c r="AJN44" s="78"/>
      <c r="AJO44" s="78"/>
      <c r="AJP44" s="78"/>
      <c r="AJQ44" s="78"/>
      <c r="AJR44" s="78"/>
      <c r="AJS44" s="78"/>
      <c r="AJT44" s="78"/>
      <c r="AJU44" s="78"/>
      <c r="AJV44" s="78"/>
      <c r="AJW44" s="78"/>
      <c r="AJX44" s="78"/>
      <c r="AJY44" s="78"/>
      <c r="AJZ44" s="78"/>
      <c r="AKA44" s="78"/>
      <c r="AKB44" s="78"/>
      <c r="AKC44" s="78"/>
      <c r="AKD44" s="78"/>
      <c r="AKE44" s="78"/>
      <c r="AKF44" s="78"/>
      <c r="AKG44" s="78"/>
      <c r="AKH44" s="78"/>
      <c r="AKI44" s="78"/>
      <c r="AKJ44" s="78"/>
      <c r="AKK44" s="78"/>
      <c r="AKL44" s="78"/>
      <c r="AKM44" s="78"/>
      <c r="AKN44" s="78"/>
      <c r="AKO44" s="78"/>
      <c r="AKP44" s="78"/>
      <c r="AKQ44" s="78"/>
      <c r="AKR44" s="78"/>
      <c r="AKS44" s="78"/>
      <c r="AKT44" s="78"/>
      <c r="AKU44" s="78"/>
      <c r="AKV44" s="78"/>
      <c r="AKW44" s="78"/>
      <c r="AKX44" s="78"/>
      <c r="AKY44" s="78"/>
      <c r="AKZ44" s="78"/>
      <c r="ALA44" s="78"/>
      <c r="ALB44" s="78"/>
      <c r="ALC44" s="78"/>
      <c r="ALD44" s="78"/>
      <c r="ALE44" s="78"/>
      <c r="ALF44" s="78"/>
      <c r="ALG44" s="78"/>
      <c r="ALH44" s="78"/>
      <c r="ALI44" s="78"/>
      <c r="ALJ44" s="78"/>
      <c r="ALK44" s="78"/>
      <c r="ALL44" s="78"/>
      <c r="ALM44" s="78"/>
      <c r="ALN44" s="78"/>
      <c r="ALO44" s="78"/>
      <c r="ALP44" s="78"/>
      <c r="ALQ44" s="78"/>
      <c r="ALR44" s="78"/>
      <c r="ALS44" s="78"/>
      <c r="ALT44" s="78"/>
      <c r="ALU44" s="78"/>
      <c r="ALV44" s="78"/>
      <c r="ALW44" s="78"/>
      <c r="ALX44" s="78"/>
      <c r="ALY44" s="78"/>
      <c r="ALZ44" s="78"/>
      <c r="AMA44" s="78"/>
      <c r="AMB44" s="78"/>
      <c r="AMC44" s="78"/>
      <c r="AMD44" s="78"/>
      <c r="AME44" s="78"/>
      <c r="AMF44" s="78"/>
      <c r="AMG44" s="78"/>
      <c r="AMH44" s="78"/>
      <c r="AMI44" s="78"/>
      <c r="AMJ44" s="78"/>
      <c r="AMK44" s="78"/>
      <c r="AML44" s="78"/>
      <c r="AMM44" s="78"/>
      <c r="AMN44" s="78"/>
      <c r="AMO44" s="78"/>
      <c r="AMP44" s="78"/>
      <c r="AMQ44" s="78"/>
      <c r="AMR44" s="78"/>
      <c r="AMS44" s="78"/>
      <c r="AMT44" s="78"/>
      <c r="AMU44" s="78"/>
      <c r="AMV44" s="78"/>
      <c r="AMW44" s="78"/>
      <c r="AMX44" s="78"/>
      <c r="AMY44" s="78"/>
      <c r="AMZ44" s="78"/>
      <c r="ANA44" s="78"/>
      <c r="ANB44" s="78"/>
      <c r="ANC44" s="78"/>
      <c r="AND44" s="78"/>
      <c r="ANE44" s="78"/>
      <c r="ANF44" s="78"/>
      <c r="ANG44" s="78"/>
      <c r="ANH44" s="78"/>
      <c r="ANI44" s="78"/>
      <c r="ANJ44" s="78"/>
      <c r="ANK44" s="78"/>
      <c r="ANL44" s="78"/>
      <c r="ANM44" s="78"/>
      <c r="ANN44" s="78"/>
      <c r="ANO44" s="78"/>
      <c r="ANP44" s="78"/>
      <c r="ANQ44" s="78"/>
      <c r="ANR44" s="78"/>
      <c r="ANS44" s="78"/>
      <c r="ANT44" s="78"/>
      <c r="ANU44" s="78"/>
      <c r="ANV44" s="78"/>
      <c r="ANW44" s="78"/>
      <c r="ANX44" s="78"/>
      <c r="ANY44" s="78"/>
      <c r="ANZ44" s="78"/>
      <c r="AOA44" s="78"/>
      <c r="AOB44" s="78"/>
      <c r="AOC44" s="78"/>
      <c r="AOD44" s="78"/>
      <c r="AOE44" s="78"/>
      <c r="AOF44" s="78"/>
      <c r="AOG44" s="78"/>
      <c r="AOH44" s="78"/>
      <c r="AOI44" s="78"/>
      <c r="AOJ44" s="78"/>
      <c r="AOK44" s="78"/>
      <c r="AOL44" s="78"/>
      <c r="AOM44" s="78"/>
      <c r="AON44" s="78"/>
      <c r="AOO44" s="78"/>
      <c r="AOP44" s="78"/>
      <c r="AOQ44" s="78"/>
      <c r="AOR44" s="78"/>
      <c r="AOS44" s="78"/>
      <c r="AOT44" s="78"/>
      <c r="AOU44" s="78"/>
      <c r="AOV44" s="78"/>
      <c r="AOW44" s="78"/>
      <c r="AOX44" s="78"/>
      <c r="AOY44" s="78"/>
      <c r="AOZ44" s="78"/>
      <c r="APA44" s="78"/>
      <c r="APB44" s="78"/>
      <c r="APC44" s="78"/>
      <c r="APD44" s="78"/>
      <c r="APE44" s="78"/>
      <c r="APF44" s="78"/>
      <c r="APG44" s="78"/>
      <c r="APH44" s="78"/>
      <c r="API44" s="78"/>
      <c r="APJ44" s="78"/>
      <c r="APK44" s="78"/>
      <c r="APL44" s="78"/>
      <c r="APM44" s="78"/>
      <c r="APN44" s="78"/>
      <c r="APO44" s="78"/>
      <c r="APP44" s="78"/>
      <c r="APQ44" s="78"/>
      <c r="APR44" s="78"/>
      <c r="APS44" s="78"/>
      <c r="APT44" s="78"/>
      <c r="APU44" s="78"/>
      <c r="APV44" s="78"/>
      <c r="APW44" s="78"/>
      <c r="APX44" s="78"/>
      <c r="APY44" s="78"/>
      <c r="APZ44" s="78"/>
      <c r="AQA44" s="78"/>
      <c r="AQB44" s="78"/>
      <c r="AQC44" s="78"/>
      <c r="AQD44" s="78"/>
      <c r="AQE44" s="78"/>
      <c r="AQF44" s="78"/>
      <c r="AQG44" s="78"/>
      <c r="AQH44" s="78"/>
      <c r="AQI44" s="78"/>
      <c r="AQJ44" s="78"/>
      <c r="AQK44" s="78"/>
      <c r="AQL44" s="78"/>
      <c r="AQM44" s="78"/>
      <c r="AQN44" s="78"/>
      <c r="AQO44" s="78"/>
      <c r="AQP44" s="78"/>
      <c r="AQQ44" s="78"/>
      <c r="AQR44" s="78"/>
      <c r="AQS44" s="78"/>
      <c r="AQT44" s="78"/>
      <c r="AQU44" s="78"/>
      <c r="AQV44" s="78"/>
      <c r="AQW44" s="78"/>
      <c r="AQX44" s="78"/>
      <c r="AQY44" s="78"/>
      <c r="AQZ44" s="78"/>
      <c r="ARA44" s="78"/>
      <c r="ARB44" s="78"/>
      <c r="ARC44" s="78"/>
      <c r="ARD44" s="78"/>
      <c r="ARE44" s="78"/>
      <c r="ARF44" s="78"/>
      <c r="ARG44" s="78"/>
      <c r="ARH44" s="78"/>
      <c r="ARI44" s="78"/>
      <c r="ARJ44" s="78"/>
      <c r="ARK44" s="78"/>
      <c r="ARL44" s="78"/>
      <c r="ARM44" s="78"/>
      <c r="ARN44" s="78"/>
      <c r="ARO44" s="78"/>
      <c r="ARP44" s="78"/>
      <c r="ARQ44" s="78"/>
      <c r="ARR44" s="78"/>
      <c r="ARS44" s="78"/>
      <c r="ART44" s="78"/>
      <c r="ARU44" s="78"/>
      <c r="ARV44" s="78"/>
      <c r="ARW44" s="78"/>
      <c r="ARX44" s="78"/>
      <c r="ARY44" s="78"/>
      <c r="ARZ44" s="78"/>
      <c r="ASA44" s="78"/>
      <c r="ASB44" s="78"/>
      <c r="ASC44" s="78"/>
      <c r="ASD44" s="78"/>
      <c r="ASE44" s="78"/>
      <c r="ASF44" s="78"/>
      <c r="ASG44" s="78"/>
      <c r="ASH44" s="78"/>
      <c r="ASI44" s="78"/>
      <c r="ASJ44" s="78"/>
      <c r="ASK44" s="78"/>
      <c r="ASL44" s="78"/>
      <c r="ASM44" s="78"/>
      <c r="ASN44" s="78"/>
      <c r="ASO44" s="78"/>
      <c r="ASP44" s="78"/>
      <c r="ASQ44" s="78"/>
      <c r="ASR44" s="78"/>
      <c r="ASS44" s="78"/>
      <c r="AST44" s="78"/>
      <c r="ASU44" s="78"/>
      <c r="ASV44" s="78"/>
      <c r="ASW44" s="78"/>
      <c r="ASX44" s="78"/>
      <c r="ASY44" s="78"/>
      <c r="ASZ44" s="78"/>
      <c r="ATA44" s="78"/>
      <c r="ATB44" s="78"/>
      <c r="ATC44" s="78"/>
      <c r="ATD44" s="78"/>
      <c r="ATE44" s="78"/>
      <c r="ATF44" s="78"/>
      <c r="ATG44" s="78"/>
      <c r="ATH44" s="78"/>
      <c r="ATI44" s="78"/>
      <c r="ATJ44" s="78"/>
      <c r="ATK44" s="78"/>
      <c r="ATL44" s="78"/>
      <c r="ATM44" s="78"/>
      <c r="ATN44" s="78"/>
      <c r="ATO44" s="78"/>
      <c r="ATP44" s="78"/>
      <c r="ATQ44" s="78"/>
      <c r="ATR44" s="78"/>
      <c r="ATS44" s="78"/>
      <c r="ATT44" s="78"/>
      <c r="ATU44" s="78"/>
      <c r="ATV44" s="78"/>
      <c r="ATW44" s="78"/>
      <c r="ATX44" s="78"/>
      <c r="ATY44" s="78"/>
      <c r="ATZ44" s="78"/>
      <c r="AUA44" s="78"/>
      <c r="AUB44" s="78"/>
      <c r="AUC44" s="78"/>
      <c r="AUD44" s="78"/>
      <c r="AUE44" s="78"/>
      <c r="AUF44" s="78"/>
      <c r="AUG44" s="78"/>
      <c r="AUH44" s="78"/>
      <c r="AUI44" s="78"/>
      <c r="AUJ44" s="78"/>
      <c r="AUK44" s="78"/>
      <c r="AUL44" s="78"/>
      <c r="AUM44" s="78"/>
      <c r="AUN44" s="78"/>
      <c r="AUO44" s="78"/>
      <c r="AUP44" s="78"/>
      <c r="AUQ44" s="78"/>
      <c r="AUR44" s="78"/>
      <c r="AUS44" s="78"/>
      <c r="AUT44" s="78"/>
      <c r="AUU44" s="78"/>
      <c r="AUV44" s="78"/>
      <c r="AUW44" s="78"/>
      <c r="AUX44" s="78"/>
      <c r="AUY44" s="78"/>
      <c r="AUZ44" s="78"/>
      <c r="AVA44" s="78"/>
      <c r="AVB44" s="78"/>
      <c r="AVC44" s="78"/>
      <c r="AVD44" s="78"/>
      <c r="AVE44" s="78"/>
      <c r="AVF44" s="78"/>
      <c r="AVG44" s="78"/>
      <c r="AVH44" s="78"/>
      <c r="AVI44" s="78"/>
      <c r="AVJ44" s="78"/>
      <c r="AVK44" s="78"/>
      <c r="AVL44" s="78"/>
      <c r="AVM44" s="78"/>
      <c r="AVN44" s="78"/>
      <c r="AVO44" s="78"/>
      <c r="AVP44" s="78"/>
      <c r="AVQ44" s="78"/>
      <c r="AVR44" s="78"/>
      <c r="AVS44" s="78"/>
      <c r="AVT44" s="78"/>
      <c r="AVU44" s="78"/>
      <c r="AVV44" s="78"/>
      <c r="AVW44" s="78"/>
      <c r="AVX44" s="78"/>
      <c r="AVY44" s="78"/>
      <c r="AVZ44" s="78"/>
      <c r="AWA44" s="78"/>
      <c r="AWB44" s="78"/>
      <c r="AWC44" s="78"/>
      <c r="AWD44" s="78"/>
      <c r="AWE44" s="78"/>
      <c r="AWF44" s="78"/>
      <c r="AWG44" s="78"/>
      <c r="AWH44" s="78"/>
      <c r="AWI44" s="78"/>
      <c r="AWJ44" s="78"/>
      <c r="AWK44" s="78"/>
      <c r="AWL44" s="78"/>
      <c r="AWM44" s="78"/>
      <c r="AWN44" s="78"/>
      <c r="AWO44" s="78"/>
      <c r="AWP44" s="78"/>
      <c r="AWQ44" s="78"/>
      <c r="AWR44" s="78"/>
      <c r="AWS44" s="78"/>
      <c r="AWT44" s="78"/>
      <c r="AWU44" s="78"/>
      <c r="AWV44" s="78"/>
      <c r="AWW44" s="78"/>
      <c r="AWX44" s="78"/>
      <c r="AWY44" s="78"/>
      <c r="AWZ44" s="78"/>
      <c r="AXA44" s="78"/>
      <c r="AXB44" s="78"/>
      <c r="AXC44" s="78"/>
      <c r="AXD44" s="78"/>
      <c r="AXE44" s="78"/>
      <c r="AXF44" s="78"/>
      <c r="AXG44" s="78"/>
      <c r="AXH44" s="78"/>
      <c r="AXI44" s="78"/>
      <c r="AXJ44" s="78"/>
      <c r="AXK44" s="78"/>
      <c r="AXL44" s="78"/>
      <c r="AXM44" s="78"/>
      <c r="AXN44" s="78"/>
      <c r="AXO44" s="78"/>
      <c r="AXP44" s="78"/>
      <c r="AXQ44" s="78"/>
      <c r="AXR44" s="78"/>
      <c r="AXS44" s="78"/>
      <c r="AXT44" s="78"/>
      <c r="AXU44" s="78"/>
      <c r="AXV44" s="78"/>
      <c r="AXW44" s="78"/>
      <c r="AXX44" s="78"/>
      <c r="AXY44" s="78"/>
      <c r="AXZ44" s="78"/>
      <c r="AYA44" s="78"/>
      <c r="AYB44" s="78"/>
      <c r="AYC44" s="78"/>
      <c r="AYD44" s="78"/>
      <c r="AYE44" s="78"/>
      <c r="AYF44" s="78"/>
      <c r="AYG44" s="78"/>
      <c r="AYH44" s="78"/>
      <c r="AYI44" s="78"/>
      <c r="AYJ44" s="78"/>
      <c r="AYK44" s="78"/>
      <c r="AYL44" s="78"/>
      <c r="AYM44" s="78"/>
      <c r="AYN44" s="78"/>
      <c r="AYO44" s="78"/>
      <c r="AYP44" s="78"/>
      <c r="AYQ44" s="78"/>
      <c r="AYR44" s="78"/>
      <c r="AYS44" s="78"/>
      <c r="AYT44" s="78"/>
      <c r="AYU44" s="78"/>
      <c r="AYV44" s="78"/>
      <c r="AYW44" s="78"/>
      <c r="AYX44" s="78"/>
      <c r="AYY44" s="78"/>
      <c r="AYZ44" s="78"/>
      <c r="AZA44" s="78"/>
      <c r="AZB44" s="78"/>
      <c r="AZC44" s="78"/>
      <c r="AZD44" s="78"/>
      <c r="AZE44" s="78"/>
      <c r="AZF44" s="78"/>
      <c r="AZG44" s="78"/>
      <c r="AZH44" s="78"/>
      <c r="AZI44" s="78"/>
      <c r="AZJ44" s="78"/>
      <c r="AZK44" s="78"/>
      <c r="AZL44" s="78"/>
      <c r="AZM44" s="78"/>
      <c r="AZN44" s="78"/>
      <c r="AZO44" s="78"/>
      <c r="AZP44" s="78"/>
      <c r="AZQ44" s="78"/>
      <c r="AZR44" s="78"/>
      <c r="AZS44" s="78"/>
      <c r="AZT44" s="78"/>
      <c r="AZU44" s="78"/>
      <c r="AZV44" s="78"/>
      <c r="AZW44" s="78"/>
      <c r="AZX44" s="78"/>
      <c r="AZY44" s="78"/>
      <c r="AZZ44" s="78"/>
      <c r="BAA44" s="78"/>
      <c r="BAB44" s="78"/>
      <c r="BAC44" s="78"/>
      <c r="BAD44" s="78"/>
      <c r="BAE44" s="78"/>
      <c r="BAF44" s="78"/>
      <c r="BAG44" s="78"/>
      <c r="BAH44" s="78"/>
      <c r="BAI44" s="78"/>
      <c r="BAJ44" s="78"/>
      <c r="BAK44" s="78"/>
      <c r="BAL44" s="78"/>
      <c r="BAM44" s="78"/>
      <c r="BAN44" s="78"/>
      <c r="BAO44" s="78"/>
      <c r="BAP44" s="78"/>
      <c r="BAQ44" s="78"/>
      <c r="BAR44" s="78"/>
      <c r="BAS44" s="78"/>
      <c r="BAT44" s="78"/>
      <c r="BAU44" s="78"/>
      <c r="BAV44" s="78"/>
      <c r="BAW44" s="78"/>
      <c r="BAX44" s="78"/>
      <c r="BAY44" s="78"/>
      <c r="BAZ44" s="78"/>
      <c r="BBA44" s="78"/>
      <c r="BBB44" s="78"/>
      <c r="BBC44" s="78"/>
      <c r="BBD44" s="78"/>
      <c r="BBE44" s="78"/>
      <c r="BBF44" s="78"/>
      <c r="BBG44" s="78"/>
      <c r="BBH44" s="78"/>
      <c r="BBI44" s="78"/>
      <c r="BBJ44" s="78"/>
      <c r="BBK44" s="78"/>
      <c r="BBL44" s="78"/>
      <c r="BBM44" s="78"/>
      <c r="BBN44" s="78"/>
      <c r="BBO44" s="78"/>
      <c r="BBP44" s="78"/>
      <c r="BBQ44" s="78"/>
      <c r="BBR44" s="78"/>
      <c r="BBS44" s="78"/>
      <c r="BBT44" s="78"/>
      <c r="BBU44" s="78"/>
      <c r="BBV44" s="78"/>
      <c r="BBW44" s="78"/>
      <c r="BBX44" s="78"/>
      <c r="BBY44" s="78"/>
      <c r="BBZ44" s="78"/>
      <c r="BCA44" s="78"/>
      <c r="BCB44" s="78"/>
      <c r="BCC44" s="78"/>
      <c r="BCD44" s="78"/>
      <c r="BCE44" s="78"/>
      <c r="BCF44" s="78"/>
      <c r="BCG44" s="78"/>
      <c r="BCH44" s="78"/>
      <c r="BCI44" s="78"/>
      <c r="BCJ44" s="78"/>
      <c r="BCK44" s="78"/>
      <c r="BCL44" s="78"/>
      <c r="BCM44" s="78"/>
      <c r="BCN44" s="78"/>
      <c r="BCO44" s="78"/>
      <c r="BCP44" s="78"/>
      <c r="BCQ44" s="78"/>
      <c r="BCR44" s="78"/>
      <c r="BCS44" s="78"/>
      <c r="BCT44" s="78"/>
      <c r="BCU44" s="78"/>
      <c r="BCV44" s="78"/>
      <c r="BCW44" s="78"/>
      <c r="BCX44" s="78"/>
      <c r="BCY44" s="78"/>
      <c r="BCZ44" s="78"/>
      <c r="BDA44" s="78"/>
      <c r="BDB44" s="78"/>
      <c r="BDC44" s="78"/>
      <c r="BDD44" s="78"/>
      <c r="BDE44" s="78"/>
      <c r="BDF44" s="78"/>
      <c r="BDG44" s="78"/>
      <c r="BDH44" s="78"/>
      <c r="BDI44" s="78"/>
      <c r="BDJ44" s="78"/>
      <c r="BDK44" s="78"/>
      <c r="BDL44" s="78"/>
      <c r="BDM44" s="78"/>
      <c r="BDN44" s="78"/>
      <c r="BDO44" s="78"/>
      <c r="BDP44" s="78"/>
      <c r="BDQ44" s="78"/>
      <c r="BDR44" s="78"/>
      <c r="BDS44" s="78"/>
      <c r="BDT44" s="78"/>
      <c r="BDU44" s="78"/>
      <c r="BDV44" s="78"/>
      <c r="BDW44" s="78"/>
      <c r="BDX44" s="78"/>
      <c r="BDY44" s="78"/>
      <c r="BDZ44" s="78"/>
      <c r="BEA44" s="78"/>
      <c r="BEB44" s="78"/>
      <c r="BEC44" s="78"/>
      <c r="BED44" s="78"/>
      <c r="BEE44" s="78"/>
      <c r="BEF44" s="78"/>
      <c r="BEG44" s="78"/>
      <c r="BEH44" s="78"/>
      <c r="BEI44" s="78"/>
      <c r="BEJ44" s="78"/>
      <c r="BEK44" s="78"/>
      <c r="BEL44" s="78"/>
      <c r="BEM44" s="78"/>
      <c r="BEN44" s="78"/>
      <c r="BEO44" s="78"/>
      <c r="BEP44" s="78"/>
      <c r="BEQ44" s="78"/>
      <c r="BER44" s="78"/>
      <c r="BES44" s="78"/>
      <c r="BET44" s="78"/>
      <c r="BEU44" s="78"/>
      <c r="BEV44" s="78"/>
      <c r="BEW44" s="78"/>
      <c r="BEX44" s="78"/>
      <c r="BEY44" s="78"/>
      <c r="BEZ44" s="78"/>
      <c r="BFA44" s="78"/>
      <c r="BFB44" s="78"/>
      <c r="BFC44" s="78"/>
      <c r="BFD44" s="78"/>
      <c r="BFE44" s="78"/>
      <c r="BFF44" s="78"/>
      <c r="BFG44" s="78"/>
      <c r="BFH44" s="78"/>
      <c r="BFI44" s="78"/>
      <c r="BFJ44" s="78"/>
      <c r="BFK44" s="78"/>
      <c r="BFL44" s="78"/>
      <c r="BFM44" s="78"/>
      <c r="BFN44" s="78"/>
      <c r="BFO44" s="78"/>
      <c r="BFP44" s="78"/>
      <c r="BFQ44" s="78"/>
      <c r="BFR44" s="78"/>
      <c r="BFS44" s="78"/>
      <c r="BFT44" s="78"/>
      <c r="BFU44" s="78"/>
      <c r="BFV44" s="78"/>
      <c r="BFW44" s="78"/>
      <c r="BFX44" s="78"/>
      <c r="BFY44" s="78"/>
      <c r="BFZ44" s="78"/>
      <c r="BGA44" s="78"/>
      <c r="BGB44" s="78"/>
      <c r="BGC44" s="78"/>
      <c r="BGD44" s="78"/>
      <c r="BGE44" s="78"/>
      <c r="BGF44" s="78"/>
      <c r="BGG44" s="78"/>
      <c r="BGH44" s="78"/>
      <c r="BGI44" s="78"/>
      <c r="BGJ44" s="78"/>
      <c r="BGK44" s="78"/>
      <c r="BGL44" s="78"/>
      <c r="BGM44" s="78"/>
      <c r="BGN44" s="78"/>
      <c r="BGO44" s="78"/>
      <c r="BGP44" s="78"/>
      <c r="BGQ44" s="78"/>
      <c r="BGR44" s="78"/>
      <c r="BGS44" s="78"/>
      <c r="BGT44" s="78"/>
      <c r="BGU44" s="78"/>
      <c r="BGV44" s="78"/>
      <c r="BGW44" s="78"/>
      <c r="BGX44" s="78"/>
      <c r="BGY44" s="78"/>
      <c r="BGZ44" s="78"/>
      <c r="BHA44" s="78"/>
      <c r="BHB44" s="78"/>
      <c r="BHC44" s="78"/>
      <c r="BHD44" s="78"/>
      <c r="BHE44" s="78"/>
      <c r="BHF44" s="78"/>
      <c r="BHG44" s="78"/>
      <c r="BHH44" s="78"/>
      <c r="BHI44" s="78"/>
      <c r="BHJ44" s="78"/>
      <c r="BHK44" s="78"/>
      <c r="BHL44" s="78"/>
      <c r="BHM44" s="78"/>
      <c r="BHN44" s="78"/>
      <c r="BHO44" s="78"/>
      <c r="BHP44" s="78"/>
      <c r="BHQ44" s="78"/>
      <c r="BHR44" s="78"/>
      <c r="BHS44" s="78"/>
      <c r="BHT44" s="78"/>
      <c r="BHU44" s="78"/>
      <c r="BHV44" s="78"/>
      <c r="BHW44" s="78"/>
      <c r="BHX44" s="78"/>
      <c r="BHY44" s="78"/>
      <c r="BHZ44" s="78"/>
      <c r="BIA44" s="78"/>
      <c r="BIB44" s="78"/>
      <c r="BIC44" s="78"/>
      <c r="BID44" s="78"/>
      <c r="BIE44" s="78"/>
      <c r="BIF44" s="78"/>
      <c r="BIG44" s="78"/>
      <c r="BIH44" s="78"/>
      <c r="BII44" s="78"/>
      <c r="BIJ44" s="78"/>
      <c r="BIK44" s="78"/>
      <c r="BIL44" s="78"/>
      <c r="BIM44" s="78"/>
      <c r="BIN44" s="78"/>
      <c r="BIO44" s="78"/>
      <c r="BIP44" s="78"/>
      <c r="BIQ44" s="78"/>
      <c r="BIR44" s="78"/>
      <c r="BIS44" s="78"/>
      <c r="BIT44" s="78"/>
      <c r="BIU44" s="78"/>
      <c r="BIV44" s="78"/>
      <c r="BIW44" s="78"/>
      <c r="BIX44" s="78"/>
      <c r="BIY44" s="78"/>
      <c r="BIZ44" s="78"/>
      <c r="BJA44" s="78"/>
      <c r="BJB44" s="78"/>
      <c r="BJC44" s="78"/>
      <c r="BJD44" s="78"/>
      <c r="BJE44" s="78"/>
      <c r="BJF44" s="78"/>
      <c r="BJG44" s="78"/>
      <c r="BJH44" s="78"/>
      <c r="BJI44" s="78"/>
      <c r="BJJ44" s="78"/>
      <c r="BJK44" s="78"/>
      <c r="BJL44" s="78"/>
      <c r="BJM44" s="78"/>
      <c r="BJN44" s="78"/>
      <c r="BJO44" s="78"/>
      <c r="BJP44" s="78"/>
      <c r="BJQ44" s="78"/>
      <c r="BJR44" s="78"/>
      <c r="BJS44" s="78"/>
      <c r="BJT44" s="78"/>
      <c r="BJU44" s="78"/>
      <c r="BJV44" s="78"/>
      <c r="BJW44" s="78"/>
      <c r="BJX44" s="78"/>
      <c r="BJY44" s="78"/>
      <c r="BJZ44" s="78"/>
      <c r="BKA44" s="78"/>
      <c r="BKB44" s="78"/>
      <c r="BKC44" s="78"/>
      <c r="BKD44" s="78"/>
      <c r="BKE44" s="78"/>
      <c r="BKF44" s="78"/>
      <c r="BKG44" s="78"/>
      <c r="BKH44" s="78"/>
      <c r="BKI44" s="78"/>
      <c r="BKJ44" s="78"/>
      <c r="BKK44" s="78"/>
      <c r="BKL44" s="78"/>
      <c r="BKM44" s="78"/>
      <c r="BKN44" s="78"/>
      <c r="BKO44" s="78"/>
      <c r="BKP44" s="78"/>
      <c r="BKQ44" s="78"/>
      <c r="BKR44" s="78"/>
      <c r="BKS44" s="78"/>
      <c r="BKT44" s="78"/>
      <c r="BKU44" s="78"/>
      <c r="BKV44" s="78"/>
      <c r="BKW44" s="78"/>
      <c r="BKX44" s="78"/>
      <c r="BKY44" s="78"/>
      <c r="BKZ44" s="78"/>
      <c r="BLA44" s="78"/>
      <c r="BLB44" s="78"/>
      <c r="BLC44" s="78"/>
      <c r="BLD44" s="78"/>
      <c r="BLE44" s="78"/>
      <c r="BLF44" s="78"/>
      <c r="BLG44" s="78"/>
      <c r="BLH44" s="78"/>
      <c r="BLI44" s="78"/>
      <c r="BLJ44" s="78"/>
      <c r="BLK44" s="78"/>
      <c r="BLL44" s="78"/>
      <c r="BLM44" s="78"/>
      <c r="BLN44" s="78"/>
      <c r="BLO44" s="78"/>
      <c r="BLP44" s="78"/>
      <c r="BLQ44" s="78"/>
      <c r="BLR44" s="78"/>
      <c r="BLS44" s="78"/>
      <c r="BLT44" s="78"/>
      <c r="BLU44" s="78"/>
      <c r="BLV44" s="78"/>
      <c r="BLW44" s="78"/>
      <c r="BLX44" s="78"/>
      <c r="BLY44" s="78"/>
      <c r="BLZ44" s="78"/>
      <c r="BMA44" s="78"/>
      <c r="BMB44" s="78"/>
      <c r="BMC44" s="78"/>
      <c r="BMD44" s="78"/>
      <c r="BME44" s="78"/>
      <c r="BMF44" s="78"/>
      <c r="BMG44" s="78"/>
      <c r="BMH44" s="78"/>
      <c r="BMI44" s="78"/>
      <c r="BMJ44" s="78"/>
      <c r="BMK44" s="78"/>
      <c r="BML44" s="78"/>
      <c r="BMM44" s="78"/>
      <c r="BMN44" s="78"/>
      <c r="BMO44" s="78"/>
      <c r="BMP44" s="78"/>
      <c r="BMQ44" s="78"/>
      <c r="BMR44" s="78"/>
      <c r="BMS44" s="78"/>
      <c r="BMT44" s="78"/>
      <c r="BMU44" s="78"/>
      <c r="BMV44" s="78"/>
      <c r="BMW44" s="78"/>
      <c r="BMX44" s="78"/>
      <c r="BMY44" s="78"/>
      <c r="BMZ44" s="78"/>
      <c r="BNA44" s="78"/>
      <c r="BNB44" s="78"/>
      <c r="BNC44" s="78"/>
      <c r="BND44" s="78"/>
      <c r="BNE44" s="78"/>
      <c r="BNF44" s="78"/>
      <c r="BNG44" s="78"/>
      <c r="BNH44" s="78"/>
      <c r="BNI44" s="78"/>
      <c r="BNJ44" s="78"/>
      <c r="BNK44" s="78"/>
      <c r="BNL44" s="78"/>
      <c r="BNM44" s="78"/>
      <c r="BNN44" s="78"/>
      <c r="BNO44" s="78"/>
      <c r="BNP44" s="78"/>
      <c r="BNQ44" s="78"/>
      <c r="BNR44" s="78"/>
      <c r="BNS44" s="78"/>
      <c r="BNT44" s="78"/>
      <c r="BNU44" s="78"/>
      <c r="BNV44" s="78"/>
      <c r="BNW44" s="78"/>
      <c r="BNX44" s="78"/>
      <c r="BNY44" s="78"/>
      <c r="BNZ44" s="78"/>
      <c r="BOA44" s="78"/>
      <c r="BOB44" s="78"/>
      <c r="BOC44" s="78"/>
      <c r="BOD44" s="78"/>
      <c r="BOE44" s="78"/>
      <c r="BOF44" s="78"/>
      <c r="BOG44" s="78"/>
      <c r="BOH44" s="78"/>
      <c r="BOI44" s="78"/>
      <c r="BOJ44" s="78"/>
      <c r="BOK44" s="78"/>
      <c r="BOL44" s="78"/>
      <c r="BOM44" s="78"/>
      <c r="BON44" s="78"/>
      <c r="BOO44" s="78"/>
      <c r="BOP44" s="78"/>
      <c r="BOQ44" s="78"/>
      <c r="BOR44" s="78"/>
      <c r="BOS44" s="78"/>
      <c r="BOT44" s="78"/>
      <c r="BOU44" s="78"/>
      <c r="BOV44" s="78"/>
      <c r="BOW44" s="78"/>
      <c r="BOX44" s="78"/>
      <c r="BOY44" s="78"/>
      <c r="BOZ44" s="78"/>
      <c r="BPA44" s="78"/>
      <c r="BPB44" s="78"/>
      <c r="BPC44" s="78"/>
      <c r="BPD44" s="78"/>
      <c r="BPE44" s="78"/>
      <c r="BPF44" s="78"/>
      <c r="BPG44" s="78"/>
      <c r="BPH44" s="78"/>
      <c r="BPI44" s="78"/>
      <c r="BPJ44" s="78"/>
      <c r="BPK44" s="78"/>
      <c r="BPL44" s="78"/>
      <c r="BPM44" s="78"/>
      <c r="BPN44" s="78"/>
      <c r="BPO44" s="78"/>
      <c r="BPP44" s="78"/>
      <c r="BPQ44" s="78"/>
      <c r="BPR44" s="78"/>
      <c r="BPS44" s="78"/>
      <c r="BPT44" s="78"/>
      <c r="BPU44" s="78"/>
      <c r="BPV44" s="78"/>
      <c r="BPW44" s="78"/>
      <c r="BPX44" s="78"/>
      <c r="BPY44" s="78"/>
      <c r="BPZ44" s="78"/>
      <c r="BQA44" s="78"/>
      <c r="BQB44" s="78"/>
      <c r="BQC44" s="78"/>
      <c r="BQD44" s="78"/>
      <c r="BQE44" s="78"/>
      <c r="BQF44" s="78"/>
      <c r="BQG44" s="78"/>
      <c r="BQH44" s="78"/>
      <c r="BQI44" s="78"/>
      <c r="BQJ44" s="78"/>
      <c r="BQK44" s="78"/>
      <c r="BQL44" s="78"/>
      <c r="BQM44" s="78"/>
      <c r="BQN44" s="78"/>
      <c r="BQO44" s="78"/>
      <c r="BQP44" s="78"/>
      <c r="BQQ44" s="78"/>
      <c r="BQR44" s="78"/>
      <c r="BQS44" s="78"/>
      <c r="BQT44" s="78"/>
      <c r="BQU44" s="78"/>
      <c r="BQV44" s="78"/>
      <c r="BQW44" s="78"/>
      <c r="BQX44" s="78"/>
      <c r="BQY44" s="78"/>
      <c r="BQZ44" s="78"/>
      <c r="BRA44" s="78"/>
      <c r="BRB44" s="78"/>
      <c r="BRC44" s="78"/>
      <c r="BRD44" s="78"/>
      <c r="BRE44" s="78"/>
      <c r="BRF44" s="78"/>
      <c r="BRG44" s="78"/>
      <c r="BRH44" s="78"/>
      <c r="BRI44" s="78"/>
      <c r="BRJ44" s="78"/>
      <c r="BRK44" s="78"/>
      <c r="BRL44" s="78"/>
      <c r="BRM44" s="78"/>
      <c r="BRN44" s="78"/>
      <c r="BRO44" s="78"/>
      <c r="BRP44" s="78"/>
      <c r="BRQ44" s="78"/>
      <c r="BRR44" s="78"/>
      <c r="BRS44" s="78"/>
      <c r="BRT44" s="78"/>
      <c r="BRU44" s="78"/>
      <c r="BRV44" s="78"/>
      <c r="BRW44" s="78"/>
      <c r="BRX44" s="78"/>
      <c r="BRY44" s="78"/>
      <c r="BRZ44" s="78"/>
      <c r="BSA44" s="78"/>
      <c r="BSB44" s="78"/>
      <c r="BSC44" s="78"/>
      <c r="BSD44" s="78"/>
      <c r="BSE44" s="78"/>
      <c r="BSF44" s="78"/>
      <c r="BSG44" s="78"/>
      <c r="BSH44" s="78"/>
      <c r="BSI44" s="78"/>
      <c r="BSJ44" s="78"/>
      <c r="BSK44" s="78"/>
      <c r="BSL44" s="78"/>
      <c r="BSM44" s="78"/>
      <c r="BSN44" s="78"/>
      <c r="BSO44" s="78"/>
      <c r="BSP44" s="78"/>
      <c r="BSQ44" s="78"/>
      <c r="BSR44" s="78"/>
      <c r="BSS44" s="78"/>
      <c r="BST44" s="78"/>
      <c r="BSU44" s="78"/>
      <c r="BSV44" s="78"/>
      <c r="BSW44" s="78"/>
      <c r="BSX44" s="78"/>
      <c r="BSY44" s="78"/>
      <c r="BSZ44" s="78"/>
      <c r="BTA44" s="78"/>
      <c r="BTB44" s="78"/>
      <c r="BTC44" s="78"/>
      <c r="BTD44" s="78"/>
      <c r="BTE44" s="78"/>
      <c r="BTF44" s="78"/>
      <c r="BTG44" s="78"/>
      <c r="BTH44" s="78"/>
      <c r="BTI44" s="78"/>
      <c r="BTJ44" s="78"/>
      <c r="BTK44" s="78"/>
      <c r="BTL44" s="78"/>
      <c r="BTM44" s="78"/>
      <c r="BTN44" s="78"/>
      <c r="BTO44" s="78"/>
      <c r="BTP44" s="78"/>
      <c r="BTQ44" s="78"/>
      <c r="BTR44" s="78"/>
      <c r="BTS44" s="78"/>
      <c r="BTT44" s="78"/>
      <c r="BTU44" s="78"/>
      <c r="BTV44" s="78"/>
      <c r="BTW44" s="78"/>
      <c r="BTX44" s="78"/>
      <c r="BTY44" s="78"/>
      <c r="BTZ44" s="78"/>
      <c r="BUA44" s="78"/>
      <c r="BUB44" s="78"/>
      <c r="BUC44" s="78"/>
      <c r="BUD44" s="78"/>
      <c r="BUE44" s="78"/>
      <c r="BUF44" s="78"/>
      <c r="BUG44" s="78"/>
      <c r="BUH44" s="78"/>
      <c r="BUI44" s="78"/>
      <c r="BUJ44" s="78"/>
      <c r="BUK44" s="78"/>
      <c r="BUL44" s="78"/>
      <c r="BUM44" s="78"/>
      <c r="BUN44" s="78"/>
      <c r="BUO44" s="78"/>
      <c r="BUP44" s="78"/>
      <c r="BUQ44" s="78"/>
      <c r="BUR44" s="78"/>
      <c r="BUS44" s="78"/>
      <c r="BUT44" s="78"/>
      <c r="BUU44" s="78"/>
      <c r="BUV44" s="78"/>
      <c r="BUW44" s="78"/>
      <c r="BUX44" s="78"/>
      <c r="BUY44" s="78"/>
      <c r="BUZ44" s="78"/>
      <c r="BVA44" s="78"/>
      <c r="BVB44" s="78"/>
      <c r="BVC44" s="78"/>
      <c r="BVD44" s="78"/>
      <c r="BVE44" s="78"/>
      <c r="BVF44" s="78"/>
      <c r="BVG44" s="78"/>
      <c r="BVH44" s="78"/>
      <c r="BVI44" s="78"/>
      <c r="BVJ44" s="78"/>
      <c r="BVK44" s="78"/>
      <c r="BVL44" s="78"/>
      <c r="BVM44" s="78"/>
      <c r="BVN44" s="78"/>
      <c r="BVO44" s="78"/>
      <c r="BVP44" s="78"/>
      <c r="BVQ44" s="78"/>
      <c r="BVR44" s="78"/>
      <c r="BVS44" s="78"/>
      <c r="BVT44" s="78"/>
      <c r="BVU44" s="78"/>
      <c r="BVV44" s="78"/>
      <c r="BVW44" s="78"/>
      <c r="BVX44" s="78"/>
      <c r="BVY44" s="78"/>
      <c r="BVZ44" s="78"/>
      <c r="BWA44" s="78"/>
      <c r="BWB44" s="78"/>
      <c r="BWC44" s="78"/>
      <c r="BWD44" s="78"/>
      <c r="BWE44" s="78"/>
      <c r="BWF44" s="78"/>
      <c r="BWG44" s="78"/>
      <c r="BWH44" s="78"/>
      <c r="BWI44" s="78"/>
      <c r="BWJ44" s="78"/>
      <c r="BWK44" s="78"/>
      <c r="BWL44" s="78"/>
      <c r="BWM44" s="78"/>
      <c r="BWN44" s="78"/>
      <c r="BWO44" s="78"/>
      <c r="BWP44" s="78"/>
      <c r="BWQ44" s="78"/>
      <c r="BWR44" s="78"/>
      <c r="BWS44" s="78"/>
      <c r="BWT44" s="78"/>
      <c r="BWU44" s="78"/>
      <c r="BWV44" s="78"/>
      <c r="BWW44" s="78"/>
      <c r="BWX44" s="78"/>
      <c r="BWY44" s="78"/>
      <c r="BWZ44" s="78"/>
      <c r="BXA44" s="78"/>
      <c r="BXB44" s="78"/>
      <c r="BXC44" s="78"/>
      <c r="BXD44" s="78"/>
      <c r="BXE44" s="78"/>
      <c r="BXF44" s="78"/>
      <c r="BXG44" s="78"/>
      <c r="BXH44" s="78"/>
      <c r="BXI44" s="78"/>
      <c r="BXJ44" s="78"/>
      <c r="BXK44" s="78"/>
      <c r="BXL44" s="78"/>
      <c r="BXM44" s="78"/>
      <c r="BXN44" s="78"/>
      <c r="BXO44" s="78"/>
      <c r="BXP44" s="78"/>
      <c r="BXQ44" s="78"/>
      <c r="BXR44" s="78"/>
      <c r="BXS44" s="78"/>
      <c r="BXT44" s="78"/>
      <c r="BXU44" s="78"/>
      <c r="BXV44" s="78"/>
      <c r="BXW44" s="78"/>
      <c r="BXX44" s="78"/>
      <c r="BXY44" s="78"/>
      <c r="BXZ44" s="78"/>
      <c r="BYA44" s="78"/>
      <c r="BYB44" s="78"/>
      <c r="BYC44" s="78"/>
      <c r="BYD44" s="78"/>
      <c r="BYE44" s="78"/>
      <c r="BYF44" s="78"/>
      <c r="BYG44" s="78"/>
      <c r="BYH44" s="78"/>
      <c r="BYI44" s="78"/>
      <c r="BYJ44" s="78"/>
      <c r="BYK44" s="78"/>
      <c r="BYL44" s="78"/>
      <c r="BYM44" s="78"/>
      <c r="BYN44" s="78"/>
      <c r="BYO44" s="78"/>
      <c r="BYP44" s="78"/>
      <c r="BYQ44" s="78"/>
      <c r="BYR44" s="78"/>
      <c r="BYS44" s="78"/>
      <c r="BYT44" s="78"/>
      <c r="BYU44" s="78"/>
      <c r="BYV44" s="78"/>
      <c r="BYW44" s="78"/>
      <c r="BYX44" s="78"/>
      <c r="BYY44" s="78"/>
      <c r="BYZ44" s="78"/>
      <c r="BZA44" s="78"/>
      <c r="BZB44" s="78"/>
      <c r="BZC44" s="78"/>
      <c r="BZD44" s="78"/>
      <c r="BZE44" s="78"/>
      <c r="BZF44" s="78"/>
      <c r="BZG44" s="78"/>
      <c r="BZH44" s="78"/>
      <c r="BZI44" s="78"/>
      <c r="BZJ44" s="78"/>
      <c r="BZK44" s="78"/>
      <c r="BZL44" s="78"/>
      <c r="BZM44" s="78"/>
      <c r="BZN44" s="78"/>
      <c r="BZO44" s="78"/>
      <c r="BZP44" s="78"/>
      <c r="BZQ44" s="78"/>
      <c r="BZR44" s="78"/>
      <c r="BZS44" s="78"/>
      <c r="BZT44" s="78"/>
      <c r="BZU44" s="78"/>
      <c r="BZV44" s="78"/>
      <c r="BZW44" s="78"/>
      <c r="BZX44" s="78"/>
      <c r="BZY44" s="78"/>
      <c r="BZZ44" s="78"/>
      <c r="CAA44" s="78"/>
      <c r="CAB44" s="78"/>
      <c r="CAC44" s="78"/>
      <c r="CAD44" s="78"/>
      <c r="CAE44" s="78"/>
      <c r="CAF44" s="78"/>
      <c r="CAG44" s="78"/>
      <c r="CAH44" s="78"/>
      <c r="CAI44" s="78"/>
      <c r="CAJ44" s="78"/>
      <c r="CAK44" s="78"/>
      <c r="CAL44" s="78"/>
      <c r="CAM44" s="78"/>
      <c r="CAN44" s="78"/>
      <c r="CAO44" s="78"/>
      <c r="CAP44" s="78"/>
      <c r="CAQ44" s="78"/>
      <c r="CAR44" s="78"/>
      <c r="CAS44" s="78"/>
      <c r="CAT44" s="78"/>
      <c r="CAU44" s="78"/>
      <c r="CAV44" s="78"/>
      <c r="CAW44" s="78"/>
      <c r="CAX44" s="78"/>
      <c r="CAY44" s="78"/>
      <c r="CAZ44" s="78"/>
      <c r="CBA44" s="78"/>
      <c r="CBB44" s="78"/>
      <c r="CBC44" s="78"/>
      <c r="CBD44" s="78"/>
      <c r="CBE44" s="78"/>
      <c r="CBF44" s="78"/>
      <c r="CBG44" s="78"/>
      <c r="CBH44" s="78"/>
      <c r="CBI44" s="78"/>
      <c r="CBJ44" s="78"/>
      <c r="CBK44" s="78"/>
      <c r="CBL44" s="78"/>
      <c r="CBM44" s="78"/>
      <c r="CBN44" s="78"/>
      <c r="CBO44" s="78"/>
      <c r="CBP44" s="78"/>
      <c r="CBQ44" s="78"/>
      <c r="CBR44" s="78"/>
      <c r="CBS44" s="78"/>
      <c r="CBT44" s="78"/>
      <c r="CBU44" s="78"/>
      <c r="CBV44" s="78"/>
      <c r="CBW44" s="78"/>
      <c r="CBX44" s="78"/>
      <c r="CBY44" s="78"/>
      <c r="CBZ44" s="78"/>
      <c r="CCA44" s="78"/>
      <c r="CCB44" s="78"/>
      <c r="CCC44" s="78"/>
      <c r="CCD44" s="78"/>
      <c r="CCE44" s="78"/>
      <c r="CCF44" s="78"/>
      <c r="CCG44" s="78"/>
      <c r="CCH44" s="78"/>
      <c r="CCI44" s="78"/>
      <c r="CCJ44" s="78"/>
      <c r="CCK44" s="78"/>
      <c r="CCL44" s="78"/>
      <c r="CCM44" s="78"/>
      <c r="CCN44" s="78"/>
      <c r="CCO44" s="78"/>
      <c r="CCP44" s="78"/>
      <c r="CCQ44" s="78"/>
      <c r="CCR44" s="78"/>
      <c r="CCS44" s="78"/>
      <c r="CCT44" s="78"/>
      <c r="CCU44" s="78"/>
      <c r="CCV44" s="78"/>
      <c r="CCW44" s="78"/>
      <c r="CCX44" s="78"/>
      <c r="CCY44" s="78"/>
      <c r="CCZ44" s="78"/>
      <c r="CDA44" s="78"/>
      <c r="CDB44" s="78"/>
      <c r="CDC44" s="78"/>
      <c r="CDD44" s="78"/>
      <c r="CDE44" s="78"/>
      <c r="CDF44" s="78"/>
      <c r="CDG44" s="78"/>
      <c r="CDH44" s="78"/>
      <c r="CDI44" s="78"/>
      <c r="CDJ44" s="78"/>
      <c r="CDK44" s="78"/>
      <c r="CDL44" s="78"/>
      <c r="CDM44" s="78"/>
      <c r="CDN44" s="78"/>
      <c r="CDO44" s="78"/>
      <c r="CDP44" s="78"/>
      <c r="CDQ44" s="78"/>
      <c r="CDR44" s="78"/>
      <c r="CDS44" s="78"/>
      <c r="CDT44" s="78"/>
      <c r="CDU44" s="78"/>
      <c r="CDV44" s="78"/>
      <c r="CDW44" s="78"/>
      <c r="CDX44" s="78"/>
      <c r="CDY44" s="78"/>
      <c r="CDZ44" s="78"/>
      <c r="CEA44" s="78"/>
      <c r="CEB44" s="78"/>
      <c r="CEC44" s="78"/>
      <c r="CED44" s="78"/>
      <c r="CEE44" s="78"/>
      <c r="CEF44" s="78"/>
      <c r="CEG44" s="78"/>
      <c r="CEH44" s="78"/>
      <c r="CEI44" s="78"/>
      <c r="CEJ44" s="78"/>
      <c r="CEK44" s="78"/>
      <c r="CEL44" s="78"/>
      <c r="CEM44" s="78"/>
      <c r="CEN44" s="78"/>
      <c r="CEO44" s="78"/>
      <c r="CEP44" s="78"/>
      <c r="CEQ44" s="78"/>
      <c r="CER44" s="78"/>
      <c r="CES44" s="78"/>
      <c r="CET44" s="78"/>
      <c r="CEU44" s="78"/>
      <c r="CEV44" s="78"/>
      <c r="CEW44" s="78"/>
      <c r="CEX44" s="78"/>
      <c r="CEY44" s="78"/>
      <c r="CEZ44" s="78"/>
      <c r="CFA44" s="78"/>
      <c r="CFB44" s="78"/>
      <c r="CFC44" s="78"/>
      <c r="CFD44" s="78"/>
      <c r="CFE44" s="78"/>
      <c r="CFF44" s="78"/>
      <c r="CFG44" s="78"/>
      <c r="CFH44" s="78"/>
      <c r="CFI44" s="78"/>
      <c r="CFJ44" s="78"/>
      <c r="CFK44" s="78"/>
      <c r="CFL44" s="78"/>
      <c r="CFM44" s="78"/>
      <c r="CFN44" s="78"/>
      <c r="CFO44" s="78"/>
      <c r="CFP44" s="78"/>
      <c r="CFQ44" s="78"/>
      <c r="CFR44" s="78"/>
      <c r="CFS44" s="78"/>
      <c r="CFT44" s="78"/>
      <c r="CFU44" s="78"/>
      <c r="CFV44" s="78"/>
      <c r="CFW44" s="78"/>
      <c r="CFX44" s="78"/>
      <c r="CFY44" s="78"/>
      <c r="CFZ44" s="78"/>
      <c r="CGA44" s="78"/>
      <c r="CGB44" s="78"/>
      <c r="CGC44" s="78"/>
      <c r="CGD44" s="78"/>
      <c r="CGE44" s="78"/>
      <c r="CGF44" s="78"/>
      <c r="CGG44" s="78"/>
      <c r="CGH44" s="78"/>
      <c r="CGI44" s="78"/>
      <c r="CGJ44" s="78"/>
      <c r="CGK44" s="78"/>
      <c r="CGL44" s="78"/>
      <c r="CGM44" s="78"/>
      <c r="CGN44" s="78"/>
      <c r="CGO44" s="78"/>
      <c r="CGP44" s="78"/>
      <c r="CGQ44" s="78"/>
      <c r="CGR44" s="78"/>
      <c r="CGS44" s="78"/>
      <c r="CGT44" s="78"/>
      <c r="CGU44" s="78"/>
      <c r="CGV44" s="78"/>
      <c r="CGW44" s="78"/>
      <c r="CGX44" s="78"/>
      <c r="CGY44" s="78"/>
      <c r="CGZ44" s="78"/>
      <c r="CHA44" s="78"/>
      <c r="CHB44" s="78"/>
      <c r="CHC44" s="78"/>
      <c r="CHD44" s="78"/>
      <c r="CHE44" s="78"/>
      <c r="CHF44" s="78"/>
      <c r="CHG44" s="78"/>
      <c r="CHH44" s="78"/>
      <c r="CHI44" s="78"/>
      <c r="CHJ44" s="78"/>
      <c r="CHK44" s="78"/>
      <c r="CHL44" s="78"/>
      <c r="CHM44" s="78"/>
      <c r="CHN44" s="78"/>
      <c r="CHO44" s="78"/>
      <c r="CHP44" s="78"/>
      <c r="CHQ44" s="78"/>
      <c r="CHR44" s="78"/>
      <c r="CHS44" s="78"/>
      <c r="CHT44" s="78"/>
      <c r="CHU44" s="78"/>
      <c r="CHV44" s="78"/>
      <c r="CHW44" s="78"/>
      <c r="CHX44" s="78"/>
      <c r="CHY44" s="78"/>
      <c r="CHZ44" s="78"/>
      <c r="CIA44" s="78"/>
      <c r="CIB44" s="78"/>
      <c r="CIC44" s="78"/>
      <c r="CID44" s="78"/>
      <c r="CIE44" s="78"/>
      <c r="CIF44" s="78"/>
      <c r="CIG44" s="78"/>
      <c r="CIH44" s="78"/>
      <c r="CII44" s="78"/>
      <c r="CIJ44" s="78"/>
      <c r="CIK44" s="78"/>
      <c r="CIL44" s="78"/>
      <c r="CIM44" s="78"/>
      <c r="CIN44" s="78"/>
      <c r="CIO44" s="78"/>
      <c r="CIP44" s="78"/>
      <c r="CIQ44" s="78"/>
      <c r="CIR44" s="78"/>
      <c r="CIS44" s="78"/>
      <c r="CIT44" s="78"/>
      <c r="CIU44" s="78"/>
      <c r="CIV44" s="78"/>
      <c r="CIW44" s="78"/>
      <c r="CIX44" s="78"/>
      <c r="CIY44" s="78"/>
      <c r="CIZ44" s="78"/>
      <c r="CJA44" s="78"/>
      <c r="CJB44" s="78"/>
      <c r="CJC44" s="78"/>
      <c r="CJD44" s="78"/>
      <c r="CJE44" s="78"/>
      <c r="CJF44" s="78"/>
      <c r="CJG44" s="78"/>
      <c r="CJH44" s="78"/>
      <c r="CJI44" s="78"/>
      <c r="CJJ44" s="78"/>
      <c r="CJK44" s="78"/>
      <c r="CJL44" s="78"/>
      <c r="CJM44" s="78"/>
      <c r="CJN44" s="78"/>
      <c r="CJO44" s="78"/>
      <c r="CJP44" s="78"/>
      <c r="CJQ44" s="78"/>
      <c r="CJR44" s="78"/>
      <c r="CJS44" s="78"/>
      <c r="CJT44" s="78"/>
      <c r="CJU44" s="78"/>
      <c r="CJV44" s="78"/>
      <c r="CJW44" s="78"/>
      <c r="CJX44" s="78"/>
      <c r="CJY44" s="78"/>
      <c r="CJZ44" s="78"/>
      <c r="CKA44" s="78"/>
      <c r="CKB44" s="78"/>
      <c r="CKC44" s="78"/>
      <c r="CKD44" s="78"/>
      <c r="CKE44" s="78"/>
      <c r="CKF44" s="78"/>
      <c r="CKG44" s="78"/>
      <c r="CKH44" s="78"/>
      <c r="CKI44" s="78"/>
      <c r="CKJ44" s="78"/>
      <c r="CKK44" s="78"/>
      <c r="CKL44" s="78"/>
      <c r="CKM44" s="78"/>
      <c r="CKN44" s="78"/>
      <c r="CKO44" s="78"/>
      <c r="CKP44" s="78"/>
      <c r="CKQ44" s="78"/>
      <c r="CKR44" s="78"/>
      <c r="CKS44" s="78"/>
      <c r="CKT44" s="78"/>
      <c r="CKU44" s="78"/>
      <c r="CKV44" s="78"/>
      <c r="CKW44" s="78"/>
      <c r="CKX44" s="78"/>
      <c r="CKY44" s="78"/>
      <c r="CKZ44" s="78"/>
      <c r="CLA44" s="78"/>
      <c r="CLB44" s="78"/>
      <c r="CLC44" s="78"/>
      <c r="CLD44" s="78"/>
      <c r="CLE44" s="78"/>
      <c r="CLF44" s="78"/>
      <c r="CLG44" s="78"/>
      <c r="CLH44" s="78"/>
      <c r="CLI44" s="78"/>
      <c r="CLJ44" s="78"/>
      <c r="CLK44" s="78"/>
      <c r="CLL44" s="78"/>
      <c r="CLM44" s="78"/>
      <c r="CLN44" s="78"/>
      <c r="CLO44" s="78"/>
      <c r="CLP44" s="78"/>
      <c r="CLQ44" s="78"/>
      <c r="CLR44" s="78"/>
      <c r="CLS44" s="78"/>
      <c r="CLT44" s="78"/>
      <c r="CLU44" s="78"/>
      <c r="CLV44" s="78"/>
      <c r="CLW44" s="78"/>
      <c r="CLX44" s="78"/>
      <c r="CLY44" s="78"/>
      <c r="CLZ44" s="78"/>
      <c r="CMA44" s="78"/>
      <c r="CMB44" s="78"/>
      <c r="CMC44" s="78"/>
      <c r="CMD44" s="78"/>
      <c r="CME44" s="78"/>
      <c r="CMF44" s="78"/>
      <c r="CMG44" s="78"/>
      <c r="CMH44" s="78"/>
      <c r="CMI44" s="78"/>
      <c r="CMJ44" s="78"/>
      <c r="CMK44" s="78"/>
      <c r="CML44" s="78"/>
      <c r="CMM44" s="78"/>
      <c r="CMN44" s="78"/>
      <c r="CMO44" s="78"/>
      <c r="CMP44" s="78"/>
      <c r="CMQ44" s="78"/>
      <c r="CMR44" s="78"/>
      <c r="CMS44" s="78"/>
      <c r="CMT44" s="78"/>
      <c r="CMU44" s="78"/>
      <c r="CMV44" s="78"/>
      <c r="CMW44" s="78"/>
      <c r="CMX44" s="78"/>
      <c r="CMY44" s="78"/>
      <c r="CMZ44" s="78"/>
      <c r="CNA44" s="78"/>
      <c r="CNB44" s="78"/>
      <c r="CNC44" s="78"/>
      <c r="CND44" s="78"/>
      <c r="CNE44" s="78"/>
      <c r="CNF44" s="78"/>
      <c r="CNG44" s="78"/>
      <c r="CNH44" s="78"/>
      <c r="CNI44" s="78"/>
      <c r="CNJ44" s="78"/>
      <c r="CNK44" s="78"/>
      <c r="CNL44" s="78"/>
      <c r="CNM44" s="78"/>
      <c r="CNN44" s="78"/>
      <c r="CNO44" s="78"/>
      <c r="CNP44" s="78"/>
      <c r="CNQ44" s="78"/>
      <c r="CNR44" s="78"/>
      <c r="CNS44" s="78"/>
      <c r="CNT44" s="78"/>
      <c r="CNU44" s="78"/>
      <c r="CNV44" s="78"/>
      <c r="CNW44" s="78"/>
      <c r="CNX44" s="78"/>
      <c r="CNY44" s="78"/>
      <c r="CNZ44" s="78"/>
      <c r="COA44" s="78"/>
      <c r="COB44" s="78"/>
      <c r="COC44" s="78"/>
      <c r="COD44" s="78"/>
      <c r="COE44" s="78"/>
      <c r="COF44" s="78"/>
      <c r="COG44" s="78"/>
      <c r="COH44" s="78"/>
      <c r="COI44" s="78"/>
      <c r="COJ44" s="78"/>
      <c r="COK44" s="78"/>
      <c r="COL44" s="78"/>
      <c r="COM44" s="78"/>
      <c r="CON44" s="78"/>
      <c r="COO44" s="78"/>
      <c r="COP44" s="78"/>
      <c r="COQ44" s="78"/>
      <c r="COR44" s="78"/>
      <c r="COS44" s="78"/>
      <c r="COT44" s="78"/>
      <c r="COU44" s="78"/>
      <c r="COV44" s="78"/>
      <c r="COW44" s="78"/>
      <c r="COX44" s="78"/>
      <c r="COY44" s="78"/>
      <c r="COZ44" s="78"/>
      <c r="CPA44" s="78"/>
      <c r="CPB44" s="78"/>
      <c r="CPC44" s="78"/>
      <c r="CPD44" s="78"/>
      <c r="CPE44" s="78"/>
      <c r="CPF44" s="78"/>
      <c r="CPG44" s="78"/>
      <c r="CPH44" s="78"/>
      <c r="CPI44" s="78"/>
      <c r="CPJ44" s="78"/>
      <c r="CPK44" s="78"/>
      <c r="CPL44" s="78"/>
      <c r="CPM44" s="78"/>
      <c r="CPN44" s="78"/>
      <c r="CPO44" s="78"/>
      <c r="CPP44" s="78"/>
      <c r="CPQ44" s="78"/>
      <c r="CPR44" s="78"/>
      <c r="CPS44" s="78"/>
      <c r="CPT44" s="78"/>
      <c r="CPU44" s="78"/>
      <c r="CPV44" s="78"/>
      <c r="CPW44" s="78"/>
      <c r="CPX44" s="78"/>
      <c r="CPY44" s="78"/>
      <c r="CPZ44" s="78"/>
      <c r="CQA44" s="78"/>
      <c r="CQB44" s="78"/>
      <c r="CQC44" s="78"/>
      <c r="CQD44" s="78"/>
      <c r="CQE44" s="78"/>
      <c r="CQF44" s="78"/>
      <c r="CQG44" s="78"/>
      <c r="CQH44" s="78"/>
      <c r="CQI44" s="78"/>
      <c r="CQJ44" s="78"/>
      <c r="CQK44" s="78"/>
      <c r="CQL44" s="78"/>
      <c r="CQM44" s="78"/>
      <c r="CQN44" s="78"/>
      <c r="CQO44" s="78"/>
      <c r="CQP44" s="78"/>
      <c r="CQQ44" s="78"/>
      <c r="CQR44" s="78"/>
      <c r="CQS44" s="78"/>
      <c r="CQT44" s="78"/>
      <c r="CQU44" s="78"/>
      <c r="CQV44" s="78"/>
      <c r="CQW44" s="78"/>
      <c r="CQX44" s="78"/>
      <c r="CQY44" s="78"/>
      <c r="CQZ44" s="78"/>
      <c r="CRA44" s="78"/>
      <c r="CRB44" s="78"/>
      <c r="CRC44" s="78"/>
      <c r="CRD44" s="78"/>
      <c r="CRE44" s="78"/>
      <c r="CRF44" s="78"/>
      <c r="CRG44" s="78"/>
      <c r="CRH44" s="78"/>
      <c r="CRI44" s="78"/>
      <c r="CRJ44" s="78"/>
      <c r="CRK44" s="78"/>
      <c r="CRL44" s="78"/>
      <c r="CRM44" s="78"/>
      <c r="CRN44" s="78"/>
      <c r="CRO44" s="78"/>
      <c r="CRP44" s="78"/>
      <c r="CRQ44" s="78"/>
      <c r="CRR44" s="78"/>
      <c r="CRS44" s="78"/>
      <c r="CRT44" s="78"/>
      <c r="CRU44" s="78"/>
      <c r="CRV44" s="78"/>
      <c r="CRW44" s="78"/>
      <c r="CRX44" s="78"/>
      <c r="CRY44" s="78"/>
      <c r="CRZ44" s="78"/>
      <c r="CSA44" s="78"/>
      <c r="CSB44" s="78"/>
      <c r="CSC44" s="78"/>
      <c r="CSD44" s="78"/>
      <c r="CSE44" s="78"/>
      <c r="CSF44" s="78"/>
      <c r="CSG44" s="78"/>
      <c r="CSH44" s="78"/>
      <c r="CSI44" s="78"/>
      <c r="CSJ44" s="78"/>
      <c r="CSK44" s="78"/>
      <c r="CSL44" s="78"/>
      <c r="CSM44" s="78"/>
      <c r="CSN44" s="78"/>
      <c r="CSO44" s="78"/>
      <c r="CSP44" s="78"/>
      <c r="CSQ44" s="78"/>
      <c r="CSR44" s="78"/>
      <c r="CSS44" s="78"/>
      <c r="CST44" s="78"/>
      <c r="CSU44" s="78"/>
      <c r="CSV44" s="78"/>
      <c r="CSW44" s="78"/>
      <c r="CSX44" s="78"/>
      <c r="CSY44" s="78"/>
      <c r="CSZ44" s="78"/>
      <c r="CTA44" s="78"/>
      <c r="CTB44" s="78"/>
      <c r="CTC44" s="78"/>
      <c r="CTD44" s="78"/>
      <c r="CTE44" s="78"/>
      <c r="CTF44" s="78"/>
      <c r="CTG44" s="78"/>
      <c r="CTH44" s="78"/>
      <c r="CTI44" s="78"/>
      <c r="CTJ44" s="78"/>
      <c r="CTK44" s="78"/>
      <c r="CTL44" s="78"/>
      <c r="CTM44" s="78"/>
      <c r="CTN44" s="78"/>
      <c r="CTO44" s="78"/>
      <c r="CTP44" s="78"/>
      <c r="CTQ44" s="78"/>
      <c r="CTR44" s="78"/>
      <c r="CTS44" s="78"/>
      <c r="CTT44" s="78"/>
      <c r="CTU44" s="78"/>
      <c r="CTV44" s="78"/>
      <c r="CTW44" s="78"/>
      <c r="CTX44" s="78"/>
      <c r="CTY44" s="78"/>
      <c r="CTZ44" s="78"/>
      <c r="CUA44" s="78"/>
      <c r="CUB44" s="78"/>
      <c r="CUC44" s="78"/>
      <c r="CUD44" s="78"/>
      <c r="CUE44" s="78"/>
      <c r="CUF44" s="78"/>
      <c r="CUG44" s="78"/>
      <c r="CUH44" s="78"/>
      <c r="CUI44" s="78"/>
      <c r="CUJ44" s="78"/>
      <c r="CUK44" s="78"/>
      <c r="CUL44" s="78"/>
      <c r="CUM44" s="78"/>
      <c r="CUN44" s="78"/>
      <c r="CUO44" s="78"/>
      <c r="CUP44" s="78"/>
      <c r="CUQ44" s="78"/>
      <c r="CUR44" s="78"/>
      <c r="CUS44" s="78"/>
      <c r="CUT44" s="78"/>
      <c r="CUU44" s="78"/>
      <c r="CUV44" s="78"/>
      <c r="CUW44" s="78"/>
      <c r="CUX44" s="78"/>
      <c r="CUY44" s="78"/>
      <c r="CUZ44" s="78"/>
      <c r="CVA44" s="78"/>
      <c r="CVB44" s="78"/>
      <c r="CVC44" s="78"/>
      <c r="CVD44" s="78"/>
      <c r="CVE44" s="78"/>
      <c r="CVF44" s="78"/>
      <c r="CVG44" s="78"/>
      <c r="CVH44" s="78"/>
      <c r="CVI44" s="78"/>
      <c r="CVJ44" s="78"/>
      <c r="CVK44" s="78"/>
      <c r="CVL44" s="78"/>
      <c r="CVM44" s="78"/>
      <c r="CVN44" s="78"/>
      <c r="CVO44" s="78"/>
      <c r="CVP44" s="78"/>
      <c r="CVQ44" s="78"/>
      <c r="CVR44" s="78"/>
      <c r="CVS44" s="78"/>
      <c r="CVT44" s="78"/>
      <c r="CVU44" s="78"/>
      <c r="CVV44" s="78"/>
      <c r="CVW44" s="78"/>
      <c r="CVX44" s="78"/>
      <c r="CVY44" s="78"/>
      <c r="CVZ44" s="78"/>
      <c r="CWA44" s="78"/>
      <c r="CWB44" s="78"/>
      <c r="CWC44" s="78"/>
      <c r="CWD44" s="78"/>
      <c r="CWE44" s="78"/>
      <c r="CWF44" s="78"/>
      <c r="CWG44" s="78"/>
      <c r="CWH44" s="78"/>
      <c r="CWI44" s="78"/>
      <c r="CWJ44" s="78"/>
      <c r="CWK44" s="78"/>
      <c r="CWL44" s="78"/>
      <c r="CWM44" s="78"/>
      <c r="CWN44" s="78"/>
      <c r="CWO44" s="78"/>
      <c r="CWP44" s="78"/>
      <c r="CWQ44" s="78"/>
      <c r="CWR44" s="78"/>
      <c r="CWS44" s="78"/>
      <c r="CWT44" s="78"/>
      <c r="CWU44" s="78"/>
      <c r="CWV44" s="78"/>
      <c r="CWW44" s="78"/>
      <c r="CWX44" s="78"/>
      <c r="CWY44" s="78"/>
      <c r="CWZ44" s="78"/>
      <c r="CXA44" s="78"/>
      <c r="CXB44" s="78"/>
      <c r="CXC44" s="78"/>
      <c r="CXD44" s="78"/>
      <c r="CXE44" s="78"/>
      <c r="CXF44" s="78"/>
      <c r="CXG44" s="78"/>
      <c r="CXH44" s="78"/>
      <c r="CXI44" s="78"/>
      <c r="CXJ44" s="78"/>
      <c r="CXK44" s="78"/>
      <c r="CXL44" s="78"/>
      <c r="CXM44" s="78"/>
      <c r="CXN44" s="78"/>
      <c r="CXO44" s="78"/>
      <c r="CXP44" s="78"/>
      <c r="CXQ44" s="78"/>
      <c r="CXR44" s="78"/>
      <c r="CXS44" s="78"/>
      <c r="CXT44" s="78"/>
      <c r="CXU44" s="78"/>
      <c r="CXV44" s="78"/>
      <c r="CXW44" s="78"/>
      <c r="CXX44" s="78"/>
      <c r="CXY44" s="78"/>
      <c r="CXZ44" s="78"/>
      <c r="CYA44" s="78"/>
      <c r="CYB44" s="78"/>
      <c r="CYC44" s="78"/>
      <c r="CYD44" s="78"/>
      <c r="CYE44" s="78"/>
      <c r="CYF44" s="78"/>
      <c r="CYG44" s="78"/>
      <c r="CYH44" s="78"/>
      <c r="CYI44" s="78"/>
      <c r="CYJ44" s="78"/>
      <c r="CYK44" s="78"/>
      <c r="CYL44" s="78"/>
      <c r="CYM44" s="78"/>
      <c r="CYN44" s="78"/>
      <c r="CYO44" s="78"/>
      <c r="CYP44" s="78"/>
      <c r="CYQ44" s="78"/>
      <c r="CYR44" s="78"/>
      <c r="CYS44" s="78"/>
      <c r="CYT44" s="78"/>
      <c r="CYU44" s="78"/>
      <c r="CYV44" s="78"/>
      <c r="CYW44" s="78"/>
      <c r="CYX44" s="78"/>
      <c r="CYY44" s="78"/>
      <c r="CYZ44" s="78"/>
      <c r="CZA44" s="78"/>
      <c r="CZB44" s="78"/>
      <c r="CZC44" s="78"/>
      <c r="CZD44" s="78"/>
      <c r="CZE44" s="78"/>
      <c r="CZF44" s="78"/>
      <c r="CZG44" s="78"/>
      <c r="CZH44" s="78"/>
      <c r="CZI44" s="78"/>
      <c r="CZJ44" s="78"/>
      <c r="CZK44" s="78"/>
      <c r="CZL44" s="78"/>
      <c r="CZM44" s="78"/>
      <c r="CZN44" s="78"/>
      <c r="CZO44" s="78"/>
      <c r="CZP44" s="78"/>
      <c r="CZQ44" s="78"/>
      <c r="CZR44" s="78"/>
      <c r="CZS44" s="78"/>
      <c r="CZT44" s="78"/>
      <c r="CZU44" s="78"/>
      <c r="CZV44" s="78"/>
      <c r="CZW44" s="78"/>
      <c r="CZX44" s="78"/>
      <c r="CZY44" s="78"/>
      <c r="CZZ44" s="78"/>
      <c r="DAA44" s="78"/>
      <c r="DAB44" s="78"/>
      <c r="DAC44" s="78"/>
      <c r="DAD44" s="78"/>
      <c r="DAE44" s="78"/>
      <c r="DAF44" s="78"/>
      <c r="DAG44" s="78"/>
      <c r="DAH44" s="78"/>
      <c r="DAI44" s="78"/>
      <c r="DAJ44" s="78"/>
      <c r="DAK44" s="78"/>
      <c r="DAL44" s="78"/>
      <c r="DAM44" s="78"/>
      <c r="DAN44" s="78"/>
      <c r="DAO44" s="78"/>
      <c r="DAP44" s="78"/>
      <c r="DAQ44" s="78"/>
      <c r="DAR44" s="78"/>
      <c r="DAS44" s="78"/>
      <c r="DAT44" s="78"/>
      <c r="DAU44" s="78"/>
      <c r="DAV44" s="78"/>
      <c r="DAW44" s="78"/>
      <c r="DAX44" s="78"/>
      <c r="DAY44" s="78"/>
      <c r="DAZ44" s="78"/>
      <c r="DBA44" s="78"/>
      <c r="DBB44" s="78"/>
      <c r="DBC44" s="78"/>
      <c r="DBD44" s="78"/>
      <c r="DBE44" s="78"/>
      <c r="DBF44" s="78"/>
      <c r="DBG44" s="78"/>
      <c r="DBH44" s="78"/>
      <c r="DBI44" s="78"/>
      <c r="DBJ44" s="78"/>
      <c r="DBK44" s="78"/>
      <c r="DBL44" s="78"/>
      <c r="DBM44" s="78"/>
      <c r="DBN44" s="78"/>
      <c r="DBO44" s="78"/>
      <c r="DBP44" s="78"/>
      <c r="DBQ44" s="78"/>
      <c r="DBR44" s="78"/>
      <c r="DBS44" s="78"/>
      <c r="DBT44" s="78"/>
      <c r="DBU44" s="78"/>
      <c r="DBV44" s="78"/>
      <c r="DBW44" s="78"/>
      <c r="DBX44" s="78"/>
      <c r="DBY44" s="78"/>
      <c r="DBZ44" s="78"/>
      <c r="DCA44" s="78"/>
      <c r="DCB44" s="78"/>
      <c r="DCC44" s="78"/>
      <c r="DCD44" s="78"/>
      <c r="DCE44" s="78"/>
      <c r="DCF44" s="78"/>
      <c r="DCG44" s="78"/>
      <c r="DCH44" s="78"/>
      <c r="DCI44" s="78"/>
      <c r="DCJ44" s="78"/>
      <c r="DCK44" s="78"/>
      <c r="DCL44" s="78"/>
      <c r="DCM44" s="78"/>
      <c r="DCN44" s="78"/>
      <c r="DCO44" s="78"/>
      <c r="DCP44" s="78"/>
      <c r="DCQ44" s="78"/>
      <c r="DCR44" s="78"/>
      <c r="DCS44" s="78"/>
      <c r="DCT44" s="78"/>
      <c r="DCU44" s="78"/>
      <c r="DCV44" s="78"/>
      <c r="DCW44" s="78"/>
      <c r="DCX44" s="78"/>
      <c r="DCY44" s="78"/>
      <c r="DCZ44" s="78"/>
      <c r="DDA44" s="78"/>
      <c r="DDB44" s="78"/>
      <c r="DDC44" s="78"/>
      <c r="DDD44" s="78"/>
      <c r="DDE44" s="78"/>
      <c r="DDF44" s="78"/>
      <c r="DDG44" s="78"/>
      <c r="DDH44" s="78"/>
      <c r="DDI44" s="78"/>
      <c r="DDJ44" s="78"/>
      <c r="DDK44" s="78"/>
      <c r="DDL44" s="78"/>
      <c r="DDM44" s="78"/>
      <c r="DDN44" s="78"/>
      <c r="DDO44" s="78"/>
      <c r="DDP44" s="78"/>
      <c r="DDQ44" s="78"/>
      <c r="DDR44" s="78"/>
      <c r="DDS44" s="78"/>
      <c r="DDT44" s="78"/>
      <c r="DDU44" s="78"/>
      <c r="DDV44" s="78"/>
      <c r="DDW44" s="78"/>
      <c r="DDX44" s="78"/>
      <c r="DDY44" s="78"/>
      <c r="DDZ44" s="78"/>
      <c r="DEA44" s="78"/>
      <c r="DEB44" s="78"/>
      <c r="DEC44" s="78"/>
      <c r="DED44" s="78"/>
      <c r="DEE44" s="78"/>
      <c r="DEF44" s="78"/>
      <c r="DEG44" s="78"/>
      <c r="DEH44" s="78"/>
      <c r="DEI44" s="78"/>
      <c r="DEJ44" s="78"/>
      <c r="DEK44" s="78"/>
      <c r="DEL44" s="78"/>
      <c r="DEM44" s="78"/>
      <c r="DEN44" s="78"/>
      <c r="DEO44" s="78"/>
      <c r="DEP44" s="78"/>
      <c r="DEQ44" s="78"/>
      <c r="DER44" s="78"/>
      <c r="DES44" s="78"/>
      <c r="DET44" s="78"/>
      <c r="DEU44" s="78"/>
      <c r="DEV44" s="78"/>
      <c r="DEW44" s="78"/>
      <c r="DEX44" s="78"/>
      <c r="DEY44" s="78"/>
      <c r="DEZ44" s="78"/>
      <c r="DFA44" s="78"/>
      <c r="DFB44" s="78"/>
      <c r="DFC44" s="78"/>
      <c r="DFD44" s="78"/>
      <c r="DFE44" s="78"/>
      <c r="DFF44" s="78"/>
      <c r="DFG44" s="78"/>
      <c r="DFH44" s="78"/>
      <c r="DFI44" s="78"/>
      <c r="DFJ44" s="78"/>
      <c r="DFK44" s="78"/>
      <c r="DFL44" s="78"/>
      <c r="DFM44" s="78"/>
      <c r="DFN44" s="78"/>
      <c r="DFO44" s="78"/>
      <c r="DFP44" s="78"/>
      <c r="DFQ44" s="78"/>
      <c r="DFR44" s="78"/>
      <c r="DFS44" s="78"/>
      <c r="DFT44" s="78"/>
      <c r="DFU44" s="78"/>
      <c r="DFV44" s="78"/>
      <c r="DFW44" s="78"/>
      <c r="DFX44" s="78"/>
      <c r="DFY44" s="78"/>
      <c r="DFZ44" s="78"/>
      <c r="DGA44" s="78"/>
      <c r="DGB44" s="78"/>
      <c r="DGC44" s="78"/>
      <c r="DGD44" s="78"/>
      <c r="DGE44" s="78"/>
      <c r="DGF44" s="78"/>
      <c r="DGG44" s="78"/>
      <c r="DGH44" s="78"/>
      <c r="DGI44" s="78"/>
      <c r="DGJ44" s="78"/>
      <c r="DGK44" s="78"/>
      <c r="DGL44" s="78"/>
      <c r="DGM44" s="78"/>
      <c r="DGN44" s="78"/>
      <c r="DGO44" s="78"/>
      <c r="DGP44" s="78"/>
      <c r="DGQ44" s="78"/>
      <c r="DGR44" s="78"/>
      <c r="DGS44" s="78"/>
      <c r="DGT44" s="78"/>
      <c r="DGU44" s="78"/>
      <c r="DGV44" s="78"/>
      <c r="DGW44" s="78"/>
      <c r="DGX44" s="78"/>
      <c r="DGY44" s="78"/>
      <c r="DGZ44" s="78"/>
      <c r="DHA44" s="78"/>
      <c r="DHB44" s="78"/>
      <c r="DHC44" s="78"/>
      <c r="DHD44" s="78"/>
      <c r="DHE44" s="78"/>
      <c r="DHF44" s="78"/>
      <c r="DHG44" s="78"/>
      <c r="DHH44" s="78"/>
      <c r="DHI44" s="78"/>
      <c r="DHJ44" s="78"/>
      <c r="DHK44" s="78"/>
      <c r="DHL44" s="78"/>
      <c r="DHM44" s="78"/>
      <c r="DHN44" s="78"/>
      <c r="DHO44" s="78"/>
      <c r="DHP44" s="78"/>
      <c r="DHQ44" s="78"/>
      <c r="DHR44" s="78"/>
      <c r="DHS44" s="78"/>
      <c r="DHT44" s="78"/>
      <c r="DHU44" s="78"/>
      <c r="DHV44" s="78"/>
      <c r="DHW44" s="78"/>
      <c r="DHX44" s="78"/>
      <c r="DHY44" s="78"/>
      <c r="DHZ44" s="78"/>
      <c r="DIA44" s="78"/>
      <c r="DIB44" s="78"/>
      <c r="DIC44" s="78"/>
      <c r="DID44" s="78"/>
      <c r="DIE44" s="78"/>
      <c r="DIF44" s="78"/>
      <c r="DIG44" s="78"/>
      <c r="DIH44" s="78"/>
      <c r="DII44" s="78"/>
      <c r="DIJ44" s="78"/>
      <c r="DIK44" s="78"/>
      <c r="DIL44" s="78"/>
      <c r="DIM44" s="78"/>
      <c r="DIN44" s="78"/>
      <c r="DIO44" s="78"/>
      <c r="DIP44" s="78"/>
      <c r="DIQ44" s="78"/>
      <c r="DIR44" s="78"/>
      <c r="DIS44" s="78"/>
      <c r="DIT44" s="78"/>
      <c r="DIU44" s="78"/>
      <c r="DIV44" s="78"/>
      <c r="DIW44" s="78"/>
      <c r="DIX44" s="78"/>
      <c r="DIY44" s="78"/>
      <c r="DIZ44" s="78"/>
      <c r="DJA44" s="78"/>
      <c r="DJB44" s="78"/>
      <c r="DJC44" s="78"/>
      <c r="DJD44" s="78"/>
      <c r="DJE44" s="78"/>
      <c r="DJF44" s="78"/>
      <c r="DJG44" s="78"/>
      <c r="DJH44" s="78"/>
      <c r="DJI44" s="78"/>
      <c r="DJJ44" s="78"/>
      <c r="DJK44" s="78"/>
      <c r="DJL44" s="78"/>
      <c r="DJM44" s="78"/>
      <c r="DJN44" s="78"/>
      <c r="DJO44" s="78"/>
      <c r="DJP44" s="78"/>
      <c r="DJQ44" s="78"/>
      <c r="DJR44" s="78"/>
      <c r="DJS44" s="78"/>
      <c r="DJT44" s="78"/>
      <c r="DJU44" s="78"/>
      <c r="DJV44" s="78"/>
      <c r="DJW44" s="78"/>
      <c r="DJX44" s="78"/>
      <c r="DJY44" s="78"/>
      <c r="DJZ44" s="78"/>
      <c r="DKA44" s="78"/>
      <c r="DKB44" s="78"/>
      <c r="DKC44" s="78"/>
      <c r="DKD44" s="78"/>
      <c r="DKE44" s="78"/>
      <c r="DKF44" s="78"/>
      <c r="DKG44" s="78"/>
      <c r="DKH44" s="78"/>
      <c r="DKI44" s="78"/>
      <c r="DKJ44" s="78"/>
      <c r="DKK44" s="78"/>
      <c r="DKL44" s="78"/>
      <c r="DKM44" s="78"/>
      <c r="DKN44" s="78"/>
      <c r="DKO44" s="78"/>
      <c r="DKP44" s="78"/>
      <c r="DKQ44" s="78"/>
      <c r="DKR44" s="78"/>
      <c r="DKS44" s="78"/>
      <c r="DKT44" s="78"/>
      <c r="DKU44" s="78"/>
      <c r="DKV44" s="78"/>
      <c r="DKW44" s="78"/>
      <c r="DKX44" s="78"/>
      <c r="DKY44" s="78"/>
      <c r="DKZ44" s="78"/>
      <c r="DLA44" s="78"/>
      <c r="DLB44" s="78"/>
      <c r="DLC44" s="78"/>
      <c r="DLD44" s="78"/>
      <c r="DLE44" s="78"/>
      <c r="DLF44" s="78"/>
      <c r="DLG44" s="78"/>
      <c r="DLH44" s="78"/>
      <c r="DLI44" s="78"/>
      <c r="DLJ44" s="78"/>
      <c r="DLK44" s="78"/>
      <c r="DLL44" s="78"/>
      <c r="DLM44" s="78"/>
      <c r="DLN44" s="78"/>
      <c r="DLO44" s="78"/>
      <c r="DLP44" s="78"/>
      <c r="DLQ44" s="78"/>
      <c r="DLR44" s="78"/>
      <c r="DLS44" s="78"/>
      <c r="DLT44" s="78"/>
      <c r="DLU44" s="78"/>
      <c r="DLV44" s="78"/>
      <c r="DLW44" s="78"/>
      <c r="DLX44" s="78"/>
      <c r="DLY44" s="78"/>
      <c r="DLZ44" s="78"/>
      <c r="DMA44" s="78"/>
      <c r="DMB44" s="78"/>
      <c r="DMC44" s="78"/>
      <c r="DMD44" s="78"/>
      <c r="DME44" s="78"/>
      <c r="DMF44" s="78"/>
      <c r="DMG44" s="78"/>
      <c r="DMH44" s="78"/>
      <c r="DMI44" s="78"/>
      <c r="DMJ44" s="78"/>
      <c r="DMK44" s="78"/>
      <c r="DML44" s="78"/>
      <c r="DMM44" s="78"/>
      <c r="DMN44" s="78"/>
      <c r="DMO44" s="78"/>
      <c r="DMP44" s="78"/>
      <c r="DMQ44" s="78"/>
      <c r="DMR44" s="78"/>
      <c r="DMS44" s="78"/>
      <c r="DMT44" s="78"/>
      <c r="DMU44" s="78"/>
      <c r="DMV44" s="78"/>
      <c r="DMW44" s="78"/>
      <c r="DMX44" s="78"/>
      <c r="DMY44" s="78"/>
      <c r="DMZ44" s="78"/>
      <c r="DNA44" s="78"/>
      <c r="DNB44" s="78"/>
      <c r="DNC44" s="78"/>
      <c r="DND44" s="78"/>
      <c r="DNE44" s="78"/>
      <c r="DNF44" s="78"/>
      <c r="DNG44" s="78"/>
      <c r="DNH44" s="78"/>
      <c r="DNI44" s="78"/>
      <c r="DNJ44" s="78"/>
      <c r="DNK44" s="78"/>
      <c r="DNL44" s="78"/>
      <c r="DNM44" s="78"/>
      <c r="DNN44" s="78"/>
      <c r="DNO44" s="78"/>
      <c r="DNP44" s="78"/>
      <c r="DNQ44" s="78"/>
      <c r="DNR44" s="78"/>
      <c r="DNS44" s="78"/>
      <c r="DNT44" s="78"/>
      <c r="DNU44" s="78"/>
      <c r="DNV44" s="78"/>
      <c r="DNW44" s="78"/>
      <c r="DNX44" s="78"/>
      <c r="DNY44" s="78"/>
      <c r="DNZ44" s="78"/>
      <c r="DOA44" s="78"/>
      <c r="DOB44" s="78"/>
      <c r="DOC44" s="78"/>
      <c r="DOD44" s="78"/>
      <c r="DOE44" s="78"/>
      <c r="DOF44" s="78"/>
      <c r="DOG44" s="78"/>
      <c r="DOH44" s="78"/>
      <c r="DOI44" s="78"/>
      <c r="DOJ44" s="78"/>
      <c r="DOK44" s="78"/>
      <c r="DOL44" s="78"/>
      <c r="DOM44" s="78"/>
      <c r="DON44" s="78"/>
      <c r="DOO44" s="78"/>
      <c r="DOP44" s="78"/>
      <c r="DOQ44" s="78"/>
      <c r="DOR44" s="78"/>
      <c r="DOS44" s="78"/>
      <c r="DOT44" s="78"/>
      <c r="DOU44" s="78"/>
      <c r="DOV44" s="78"/>
      <c r="DOW44" s="78"/>
      <c r="DOX44" s="78"/>
      <c r="DOY44" s="78"/>
      <c r="DOZ44" s="78"/>
      <c r="DPA44" s="78"/>
      <c r="DPB44" s="78"/>
      <c r="DPC44" s="78"/>
      <c r="DPD44" s="78"/>
      <c r="DPE44" s="78"/>
      <c r="DPF44" s="78"/>
      <c r="DPG44" s="78"/>
      <c r="DPH44" s="78"/>
      <c r="DPI44" s="78"/>
      <c r="DPJ44" s="78"/>
      <c r="DPK44" s="78"/>
      <c r="DPL44" s="78"/>
      <c r="DPM44" s="78"/>
      <c r="DPN44" s="78"/>
      <c r="DPO44" s="78"/>
      <c r="DPP44" s="78"/>
      <c r="DPQ44" s="78"/>
      <c r="DPR44" s="78"/>
      <c r="DPS44" s="78"/>
      <c r="DPT44" s="78"/>
      <c r="DPU44" s="78"/>
      <c r="DPV44" s="78"/>
      <c r="DPW44" s="78"/>
      <c r="DPX44" s="78"/>
      <c r="DPY44" s="78"/>
      <c r="DPZ44" s="78"/>
      <c r="DQA44" s="78"/>
      <c r="DQB44" s="78"/>
      <c r="DQC44" s="78"/>
      <c r="DQD44" s="78"/>
      <c r="DQE44" s="78"/>
      <c r="DQF44" s="78"/>
      <c r="DQG44" s="78"/>
      <c r="DQH44" s="78"/>
      <c r="DQI44" s="78"/>
      <c r="DQJ44" s="78"/>
      <c r="DQK44" s="78"/>
      <c r="DQL44" s="78"/>
      <c r="DQM44" s="78"/>
      <c r="DQN44" s="78"/>
      <c r="DQO44" s="78"/>
      <c r="DQP44" s="78"/>
      <c r="DQQ44" s="78"/>
      <c r="DQR44" s="78"/>
      <c r="DQS44" s="78"/>
      <c r="DQT44" s="78"/>
      <c r="DQU44" s="78"/>
      <c r="DQV44" s="78"/>
      <c r="DQW44" s="78"/>
      <c r="DQX44" s="78"/>
      <c r="DQY44" s="78"/>
      <c r="DQZ44" s="78"/>
      <c r="DRA44" s="78"/>
      <c r="DRB44" s="78"/>
      <c r="DRC44" s="78"/>
      <c r="DRD44" s="78"/>
      <c r="DRE44" s="78"/>
      <c r="DRF44" s="78"/>
      <c r="DRG44" s="78"/>
      <c r="DRH44" s="78"/>
      <c r="DRI44" s="78"/>
      <c r="DRJ44" s="78"/>
      <c r="DRK44" s="78"/>
      <c r="DRL44" s="78"/>
      <c r="DRM44" s="78"/>
      <c r="DRN44" s="78"/>
      <c r="DRO44" s="78"/>
      <c r="DRP44" s="78"/>
      <c r="DRQ44" s="78"/>
      <c r="DRR44" s="78"/>
      <c r="DRS44" s="78"/>
      <c r="DRT44" s="78"/>
      <c r="DRU44" s="78"/>
      <c r="DRV44" s="78"/>
      <c r="DRW44" s="78"/>
      <c r="DRX44" s="78"/>
      <c r="DRY44" s="78"/>
      <c r="DRZ44" s="78"/>
      <c r="DSA44" s="78"/>
      <c r="DSB44" s="78"/>
      <c r="DSC44" s="78"/>
      <c r="DSD44" s="78"/>
      <c r="DSE44" s="78"/>
      <c r="DSF44" s="78"/>
      <c r="DSG44" s="78"/>
      <c r="DSH44" s="78"/>
      <c r="DSI44" s="78"/>
      <c r="DSJ44" s="78"/>
      <c r="DSK44" s="78"/>
      <c r="DSL44" s="78"/>
      <c r="DSM44" s="78"/>
      <c r="DSN44" s="78"/>
      <c r="DSO44" s="78"/>
      <c r="DSP44" s="78"/>
      <c r="DSQ44" s="78"/>
      <c r="DSR44" s="78"/>
      <c r="DSS44" s="78"/>
      <c r="DST44" s="78"/>
      <c r="DSU44" s="78"/>
      <c r="DSV44" s="78"/>
      <c r="DSW44" s="78"/>
      <c r="DSX44" s="78"/>
      <c r="DSY44" s="78"/>
      <c r="DSZ44" s="78"/>
      <c r="DTA44" s="78"/>
      <c r="DTB44" s="78"/>
      <c r="DTC44" s="78"/>
      <c r="DTD44" s="78"/>
      <c r="DTE44" s="78"/>
      <c r="DTF44" s="78"/>
      <c r="DTG44" s="78"/>
      <c r="DTH44" s="78"/>
      <c r="DTI44" s="78"/>
      <c r="DTJ44" s="78"/>
      <c r="DTK44" s="78"/>
      <c r="DTL44" s="78"/>
      <c r="DTM44" s="78"/>
      <c r="DTN44" s="78"/>
      <c r="DTO44" s="78"/>
      <c r="DTP44" s="78"/>
      <c r="DTQ44" s="78"/>
      <c r="DTR44" s="78"/>
      <c r="DTS44" s="78"/>
      <c r="DTT44" s="78"/>
      <c r="DTU44" s="78"/>
      <c r="DTV44" s="78"/>
      <c r="DTW44" s="78"/>
      <c r="DTX44" s="78"/>
      <c r="DTY44" s="78"/>
      <c r="DTZ44" s="78"/>
      <c r="DUA44" s="78"/>
      <c r="DUB44" s="78"/>
      <c r="DUC44" s="78"/>
      <c r="DUD44" s="78"/>
      <c r="DUE44" s="78"/>
      <c r="DUF44" s="78"/>
      <c r="DUG44" s="78"/>
      <c r="DUH44" s="78"/>
      <c r="DUI44" s="78"/>
      <c r="DUJ44" s="78"/>
      <c r="DUK44" s="78"/>
      <c r="DUL44" s="78"/>
      <c r="DUM44" s="78"/>
      <c r="DUN44" s="78"/>
      <c r="DUO44" s="78"/>
      <c r="DUP44" s="78"/>
      <c r="DUQ44" s="78"/>
      <c r="DUR44" s="78"/>
      <c r="DUS44" s="78"/>
      <c r="DUT44" s="78"/>
      <c r="DUU44" s="78"/>
      <c r="DUV44" s="78"/>
      <c r="DUW44" s="78"/>
      <c r="DUX44" s="78"/>
      <c r="DUY44" s="78"/>
      <c r="DUZ44" s="78"/>
      <c r="DVA44" s="78"/>
      <c r="DVB44" s="78"/>
      <c r="DVC44" s="78"/>
      <c r="DVD44" s="78"/>
      <c r="DVE44" s="78"/>
      <c r="DVF44" s="78"/>
      <c r="DVG44" s="78"/>
      <c r="DVH44" s="78"/>
      <c r="DVI44" s="78"/>
      <c r="DVJ44" s="78"/>
      <c r="DVK44" s="78"/>
      <c r="DVL44" s="78"/>
      <c r="DVM44" s="78"/>
      <c r="DVN44" s="78"/>
      <c r="DVO44" s="78"/>
      <c r="DVP44" s="78"/>
      <c r="DVQ44" s="78"/>
      <c r="DVR44" s="78"/>
      <c r="DVS44" s="78"/>
      <c r="DVT44" s="78"/>
      <c r="DVU44" s="78"/>
      <c r="DVV44" s="78"/>
      <c r="DVW44" s="78"/>
      <c r="DVX44" s="78"/>
      <c r="DVY44" s="78"/>
      <c r="DVZ44" s="78"/>
      <c r="DWA44" s="78"/>
      <c r="DWB44" s="78"/>
      <c r="DWC44" s="78"/>
      <c r="DWD44" s="78"/>
      <c r="DWE44" s="78"/>
      <c r="DWF44" s="78"/>
      <c r="DWG44" s="78"/>
      <c r="DWH44" s="78"/>
      <c r="DWI44" s="78"/>
      <c r="DWJ44" s="78"/>
      <c r="DWK44" s="78"/>
      <c r="DWL44" s="78"/>
      <c r="DWM44" s="78"/>
      <c r="DWN44" s="78"/>
      <c r="DWO44" s="78"/>
      <c r="DWP44" s="78"/>
      <c r="DWQ44" s="78"/>
      <c r="DWR44" s="78"/>
      <c r="DWS44" s="78"/>
      <c r="DWT44" s="78"/>
      <c r="DWU44" s="78"/>
      <c r="DWV44" s="78"/>
      <c r="DWW44" s="78"/>
      <c r="DWX44" s="78"/>
      <c r="DWY44" s="78"/>
      <c r="DWZ44" s="78"/>
      <c r="DXA44" s="78"/>
      <c r="DXB44" s="78"/>
      <c r="DXC44" s="78"/>
      <c r="DXD44" s="78"/>
      <c r="DXE44" s="78"/>
      <c r="DXF44" s="78"/>
      <c r="DXG44" s="78"/>
      <c r="DXH44" s="78"/>
      <c r="DXI44" s="78"/>
      <c r="DXJ44" s="78"/>
      <c r="DXK44" s="78"/>
      <c r="DXL44" s="78"/>
      <c r="DXM44" s="78"/>
      <c r="DXN44" s="78"/>
      <c r="DXO44" s="78"/>
      <c r="DXP44" s="78"/>
      <c r="DXQ44" s="78"/>
      <c r="DXR44" s="78"/>
      <c r="DXS44" s="78"/>
      <c r="DXT44" s="78"/>
      <c r="DXU44" s="78"/>
      <c r="DXV44" s="78"/>
      <c r="DXW44" s="78"/>
      <c r="DXX44" s="78"/>
      <c r="DXY44" s="78"/>
      <c r="DXZ44" s="78"/>
      <c r="DYA44" s="78"/>
      <c r="DYB44" s="78"/>
      <c r="DYC44" s="78"/>
      <c r="DYD44" s="78"/>
      <c r="DYE44" s="78"/>
      <c r="DYF44" s="78"/>
      <c r="DYG44" s="78"/>
      <c r="DYH44" s="78"/>
      <c r="DYI44" s="78"/>
      <c r="DYJ44" s="78"/>
      <c r="DYK44" s="78"/>
      <c r="DYL44" s="78"/>
      <c r="DYM44" s="78"/>
      <c r="DYN44" s="78"/>
      <c r="DYO44" s="78"/>
      <c r="DYP44" s="78"/>
      <c r="DYQ44" s="78"/>
      <c r="DYR44" s="78"/>
      <c r="DYS44" s="78"/>
      <c r="DYT44" s="78"/>
      <c r="DYU44" s="78"/>
      <c r="DYV44" s="78"/>
      <c r="DYW44" s="78"/>
      <c r="DYX44" s="78"/>
      <c r="DYY44" s="78"/>
      <c r="DYZ44" s="78"/>
      <c r="DZA44" s="78"/>
      <c r="DZB44" s="78"/>
      <c r="DZC44" s="78"/>
      <c r="DZD44" s="78"/>
      <c r="DZE44" s="78"/>
      <c r="DZF44" s="78"/>
      <c r="DZG44" s="78"/>
      <c r="DZH44" s="78"/>
      <c r="DZI44" s="78"/>
      <c r="DZJ44" s="78"/>
      <c r="DZK44" s="78"/>
      <c r="DZL44" s="78"/>
      <c r="DZM44" s="78"/>
      <c r="DZN44" s="78"/>
      <c r="DZO44" s="78"/>
      <c r="DZP44" s="78"/>
      <c r="DZQ44" s="78"/>
      <c r="DZR44" s="78"/>
      <c r="DZS44" s="78"/>
      <c r="DZT44" s="78"/>
      <c r="DZU44" s="78"/>
      <c r="DZV44" s="78"/>
      <c r="DZW44" s="78"/>
      <c r="DZX44" s="78"/>
      <c r="DZY44" s="78"/>
      <c r="DZZ44" s="78"/>
      <c r="EAA44" s="78"/>
      <c r="EAB44" s="78"/>
      <c r="EAC44" s="78"/>
      <c r="EAD44" s="78"/>
      <c r="EAE44" s="78"/>
      <c r="EAF44" s="78"/>
      <c r="EAG44" s="78"/>
      <c r="EAH44" s="78"/>
      <c r="EAI44" s="78"/>
      <c r="EAJ44" s="78"/>
      <c r="EAK44" s="78"/>
      <c r="EAL44" s="78"/>
      <c r="EAM44" s="78"/>
      <c r="EAN44" s="78"/>
      <c r="EAO44" s="78"/>
      <c r="EAP44" s="78"/>
      <c r="EAQ44" s="78"/>
      <c r="EAR44" s="78"/>
      <c r="EAS44" s="78"/>
      <c r="EAT44" s="78"/>
      <c r="EAU44" s="78"/>
      <c r="EAV44" s="78"/>
      <c r="EAW44" s="78"/>
      <c r="EAX44" s="78"/>
      <c r="EAY44" s="78"/>
      <c r="EAZ44" s="78"/>
      <c r="EBA44" s="78"/>
      <c r="EBB44" s="78"/>
      <c r="EBC44" s="78"/>
      <c r="EBD44" s="78"/>
      <c r="EBE44" s="78"/>
      <c r="EBF44" s="78"/>
      <c r="EBG44" s="78"/>
      <c r="EBH44" s="78"/>
      <c r="EBI44" s="78"/>
      <c r="EBJ44" s="78"/>
      <c r="EBK44" s="78"/>
      <c r="EBL44" s="78"/>
      <c r="EBM44" s="78"/>
      <c r="EBN44" s="78"/>
      <c r="EBO44" s="78"/>
      <c r="EBP44" s="78"/>
      <c r="EBQ44" s="78"/>
      <c r="EBR44" s="78"/>
      <c r="EBS44" s="78"/>
      <c r="EBT44" s="78"/>
      <c r="EBU44" s="78"/>
      <c r="EBV44" s="78"/>
      <c r="EBW44" s="78"/>
      <c r="EBX44" s="78"/>
      <c r="EBY44" s="78"/>
      <c r="EBZ44" s="78"/>
      <c r="ECA44" s="78"/>
      <c r="ECB44" s="78"/>
      <c r="ECC44" s="78"/>
      <c r="ECD44" s="78"/>
      <c r="ECE44" s="78"/>
      <c r="ECF44" s="78"/>
      <c r="ECG44" s="78"/>
      <c r="ECH44" s="78"/>
      <c r="ECI44" s="78"/>
      <c r="ECJ44" s="78"/>
      <c r="ECK44" s="78"/>
      <c r="ECL44" s="78"/>
      <c r="ECM44" s="78"/>
      <c r="ECN44" s="78"/>
      <c r="ECO44" s="78"/>
      <c r="ECP44" s="78"/>
      <c r="ECQ44" s="78"/>
      <c r="ECR44" s="78"/>
      <c r="ECS44" s="78"/>
      <c r="ECT44" s="78"/>
      <c r="ECU44" s="78"/>
      <c r="ECV44" s="78"/>
      <c r="ECW44" s="78"/>
      <c r="ECX44" s="78"/>
      <c r="ECY44" s="78"/>
      <c r="ECZ44" s="78"/>
      <c r="EDA44" s="78"/>
      <c r="EDB44" s="78"/>
      <c r="EDC44" s="78"/>
      <c r="EDD44" s="78"/>
      <c r="EDE44" s="78"/>
      <c r="EDF44" s="78"/>
      <c r="EDG44" s="78"/>
      <c r="EDH44" s="78"/>
      <c r="EDI44" s="78"/>
      <c r="EDJ44" s="78"/>
      <c r="EDK44" s="78"/>
      <c r="EDL44" s="78"/>
      <c r="EDM44" s="78"/>
      <c r="EDN44" s="78"/>
      <c r="EDO44" s="78"/>
      <c r="EDP44" s="78"/>
      <c r="EDQ44" s="78"/>
      <c r="EDR44" s="78"/>
      <c r="EDS44" s="78"/>
      <c r="EDT44" s="78"/>
      <c r="EDU44" s="78"/>
      <c r="EDV44" s="78"/>
      <c r="EDW44" s="78"/>
      <c r="EDX44" s="78"/>
      <c r="EDY44" s="78"/>
      <c r="EDZ44" s="78"/>
      <c r="EEA44" s="78"/>
      <c r="EEB44" s="78"/>
      <c r="EEC44" s="78"/>
      <c r="EED44" s="78"/>
      <c r="EEE44" s="78"/>
      <c r="EEF44" s="78"/>
      <c r="EEG44" s="78"/>
      <c r="EEH44" s="78"/>
      <c r="EEI44" s="78"/>
      <c r="EEJ44" s="78"/>
      <c r="EEK44" s="78"/>
      <c r="EEL44" s="78"/>
      <c r="EEM44" s="78"/>
      <c r="EEN44" s="78"/>
      <c r="EEO44" s="78"/>
      <c r="EEP44" s="78"/>
      <c r="EEQ44" s="78"/>
      <c r="EER44" s="78"/>
      <c r="EES44" s="78"/>
      <c r="EET44" s="78"/>
      <c r="EEU44" s="78"/>
      <c r="EEV44" s="78"/>
      <c r="EEW44" s="78"/>
      <c r="EEX44" s="78"/>
      <c r="EEY44" s="78"/>
      <c r="EEZ44" s="78"/>
      <c r="EFA44" s="78"/>
      <c r="EFB44" s="78"/>
      <c r="EFC44" s="78"/>
      <c r="EFD44" s="78"/>
      <c r="EFE44" s="78"/>
      <c r="EFF44" s="78"/>
      <c r="EFG44" s="78"/>
      <c r="EFH44" s="78"/>
      <c r="EFI44" s="78"/>
      <c r="EFJ44" s="78"/>
      <c r="EFK44" s="78"/>
      <c r="EFL44" s="78"/>
      <c r="EFM44" s="78"/>
      <c r="EFN44" s="78"/>
      <c r="EFO44" s="78"/>
      <c r="EFP44" s="78"/>
      <c r="EFQ44" s="78"/>
      <c r="EFR44" s="78"/>
      <c r="EFS44" s="78"/>
      <c r="EFT44" s="78"/>
      <c r="EFU44" s="78"/>
      <c r="EFV44" s="78"/>
      <c r="EFW44" s="78"/>
      <c r="EFX44" s="78"/>
      <c r="EFY44" s="78"/>
      <c r="EFZ44" s="78"/>
      <c r="EGA44" s="78"/>
      <c r="EGB44" s="78"/>
      <c r="EGC44" s="78"/>
      <c r="EGD44" s="78"/>
      <c r="EGE44" s="78"/>
      <c r="EGF44" s="78"/>
      <c r="EGG44" s="78"/>
      <c r="EGH44" s="78"/>
      <c r="EGI44" s="78"/>
      <c r="EGJ44" s="78"/>
      <c r="EGK44" s="78"/>
      <c r="EGL44" s="78"/>
      <c r="EGM44" s="78"/>
      <c r="EGN44" s="78"/>
      <c r="EGO44" s="78"/>
      <c r="EGP44" s="78"/>
      <c r="EGQ44" s="78"/>
      <c r="EGR44" s="78"/>
      <c r="EGS44" s="78"/>
      <c r="EGT44" s="78"/>
      <c r="EGU44" s="78"/>
      <c r="EGV44" s="78"/>
      <c r="EGW44" s="78"/>
      <c r="EGX44" s="78"/>
      <c r="EGY44" s="78"/>
      <c r="EGZ44" s="78"/>
      <c r="EHA44" s="78"/>
      <c r="EHB44" s="78"/>
      <c r="EHC44" s="78"/>
      <c r="EHD44" s="78"/>
      <c r="EHE44" s="78"/>
      <c r="EHF44" s="78"/>
      <c r="EHG44" s="78"/>
      <c r="EHH44" s="78"/>
      <c r="EHI44" s="78"/>
      <c r="EHJ44" s="78"/>
      <c r="EHK44" s="78"/>
      <c r="EHL44" s="78"/>
      <c r="EHM44" s="78"/>
      <c r="EHN44" s="78"/>
      <c r="EHO44" s="78"/>
      <c r="EHP44" s="78"/>
      <c r="EHQ44" s="78"/>
      <c r="EHR44" s="78"/>
      <c r="EHS44" s="78"/>
      <c r="EHT44" s="78"/>
      <c r="EHU44" s="78"/>
      <c r="EHV44" s="78"/>
      <c r="EHW44" s="78"/>
      <c r="EHX44" s="78"/>
      <c r="EHY44" s="78"/>
      <c r="EHZ44" s="78"/>
      <c r="EIA44" s="78"/>
      <c r="EIB44" s="78"/>
      <c r="EIC44" s="78"/>
      <c r="EID44" s="78"/>
      <c r="EIE44" s="78"/>
      <c r="EIF44" s="78"/>
      <c r="EIG44" s="78"/>
      <c r="EIH44" s="78"/>
      <c r="EII44" s="78"/>
      <c r="EIJ44" s="78"/>
      <c r="EIK44" s="78"/>
      <c r="EIL44" s="78"/>
      <c r="EIM44" s="78"/>
      <c r="EIN44" s="78"/>
      <c r="EIO44" s="78"/>
      <c r="EIP44" s="78"/>
      <c r="EIQ44" s="78"/>
      <c r="EIR44" s="78"/>
      <c r="EIS44" s="78"/>
      <c r="EIT44" s="78"/>
      <c r="EIU44" s="78"/>
      <c r="EIV44" s="78"/>
      <c r="EIW44" s="78"/>
      <c r="EIX44" s="78"/>
      <c r="EIY44" s="78"/>
      <c r="EIZ44" s="78"/>
      <c r="EJA44" s="78"/>
      <c r="EJB44" s="78"/>
      <c r="EJC44" s="78"/>
      <c r="EJD44" s="78"/>
      <c r="EJE44" s="78"/>
      <c r="EJF44" s="78"/>
      <c r="EJG44" s="78"/>
      <c r="EJH44" s="78"/>
      <c r="EJI44" s="78"/>
      <c r="EJJ44" s="78"/>
      <c r="EJK44" s="78"/>
      <c r="EJL44" s="78"/>
      <c r="EJM44" s="78"/>
      <c r="EJN44" s="78"/>
      <c r="EJO44" s="78"/>
      <c r="EJP44" s="78"/>
      <c r="EJQ44" s="78"/>
      <c r="EJR44" s="78"/>
      <c r="EJS44" s="78"/>
      <c r="EJT44" s="78"/>
      <c r="EJU44" s="78"/>
      <c r="EJV44" s="78"/>
      <c r="EJW44" s="78"/>
      <c r="EJX44" s="78"/>
      <c r="EJY44" s="78"/>
      <c r="EJZ44" s="78"/>
      <c r="EKA44" s="78"/>
      <c r="EKB44" s="78"/>
      <c r="EKC44" s="78"/>
      <c r="EKD44" s="78"/>
      <c r="EKE44" s="78"/>
      <c r="EKF44" s="78"/>
      <c r="EKG44" s="78"/>
      <c r="EKH44" s="78"/>
      <c r="EKI44" s="78"/>
      <c r="EKJ44" s="78"/>
      <c r="EKK44" s="78"/>
      <c r="EKL44" s="78"/>
      <c r="EKM44" s="78"/>
      <c r="EKN44" s="78"/>
      <c r="EKO44" s="78"/>
      <c r="EKP44" s="78"/>
      <c r="EKQ44" s="78"/>
      <c r="EKR44" s="78"/>
      <c r="EKS44" s="78"/>
      <c r="EKT44" s="78"/>
      <c r="EKU44" s="78"/>
      <c r="EKV44" s="78"/>
      <c r="EKW44" s="78"/>
      <c r="EKX44" s="78"/>
      <c r="EKY44" s="78"/>
      <c r="EKZ44" s="78"/>
      <c r="ELA44" s="78"/>
      <c r="ELB44" s="78"/>
      <c r="ELC44" s="78"/>
      <c r="ELD44" s="78"/>
      <c r="ELE44" s="78"/>
      <c r="ELF44" s="78"/>
      <c r="ELG44" s="78"/>
      <c r="ELH44" s="78"/>
      <c r="ELI44" s="78"/>
      <c r="ELJ44" s="78"/>
      <c r="ELK44" s="78"/>
      <c r="ELL44" s="78"/>
      <c r="ELM44" s="78"/>
      <c r="ELN44" s="78"/>
      <c r="ELO44" s="78"/>
      <c r="ELP44" s="78"/>
      <c r="ELQ44" s="78"/>
      <c r="ELR44" s="78"/>
      <c r="ELS44" s="78"/>
      <c r="ELT44" s="78"/>
      <c r="ELU44" s="78"/>
      <c r="ELV44" s="78"/>
      <c r="ELW44" s="78"/>
      <c r="ELX44" s="78"/>
      <c r="ELY44" s="78"/>
      <c r="ELZ44" s="78"/>
      <c r="EMA44" s="78"/>
      <c r="EMB44" s="78"/>
      <c r="EMC44" s="78"/>
      <c r="EMD44" s="78"/>
      <c r="EME44" s="78"/>
      <c r="EMF44" s="78"/>
      <c r="EMG44" s="78"/>
      <c r="EMH44" s="78"/>
      <c r="EMI44" s="78"/>
      <c r="EMJ44" s="78"/>
      <c r="EMK44" s="78"/>
      <c r="EML44" s="78"/>
      <c r="EMM44" s="78"/>
      <c r="EMN44" s="78"/>
      <c r="EMO44" s="78"/>
      <c r="EMP44" s="78"/>
      <c r="EMQ44" s="78"/>
      <c r="EMR44" s="78"/>
      <c r="EMS44" s="78"/>
      <c r="EMT44" s="78"/>
      <c r="EMU44" s="78"/>
      <c r="EMV44" s="78"/>
      <c r="EMW44" s="78"/>
      <c r="EMX44" s="78"/>
      <c r="EMY44" s="78"/>
      <c r="EMZ44" s="78"/>
      <c r="ENA44" s="78"/>
      <c r="ENB44" s="78"/>
      <c r="ENC44" s="78"/>
      <c r="END44" s="78"/>
      <c r="ENE44" s="78"/>
      <c r="ENF44" s="78"/>
      <c r="ENG44" s="78"/>
      <c r="ENH44" s="78"/>
      <c r="ENI44" s="78"/>
      <c r="ENJ44" s="78"/>
      <c r="ENK44" s="78"/>
      <c r="ENL44" s="78"/>
      <c r="ENM44" s="78"/>
      <c r="ENN44" s="78"/>
      <c r="ENO44" s="78"/>
      <c r="ENP44" s="78"/>
      <c r="ENQ44" s="78"/>
      <c r="ENR44" s="78"/>
      <c r="ENS44" s="78"/>
      <c r="ENT44" s="78"/>
      <c r="ENU44" s="78"/>
      <c r="ENV44" s="78"/>
      <c r="ENW44" s="78"/>
      <c r="ENX44" s="78"/>
      <c r="ENY44" s="78"/>
      <c r="ENZ44" s="78"/>
      <c r="EOA44" s="78"/>
      <c r="EOB44" s="78"/>
      <c r="EOC44" s="78"/>
      <c r="EOD44" s="78"/>
      <c r="EOE44" s="78"/>
      <c r="EOF44" s="78"/>
      <c r="EOG44" s="78"/>
      <c r="EOH44" s="78"/>
      <c r="EOI44" s="78"/>
      <c r="EOJ44" s="78"/>
      <c r="EOK44" s="78"/>
      <c r="EOL44" s="78"/>
      <c r="EOM44" s="78"/>
      <c r="EON44" s="78"/>
      <c r="EOO44" s="78"/>
      <c r="EOP44" s="78"/>
      <c r="EOQ44" s="78"/>
      <c r="EOR44" s="78"/>
      <c r="EOS44" s="78"/>
      <c r="EOT44" s="78"/>
      <c r="EOU44" s="78"/>
      <c r="EOV44" s="78"/>
      <c r="EOW44" s="78"/>
      <c r="EOX44" s="78"/>
      <c r="EOY44" s="78"/>
      <c r="EOZ44" s="78"/>
      <c r="EPA44" s="78"/>
      <c r="EPB44" s="78"/>
      <c r="EPC44" s="78"/>
      <c r="EPD44" s="78"/>
      <c r="EPE44" s="78"/>
      <c r="EPF44" s="78"/>
      <c r="EPG44" s="78"/>
      <c r="EPH44" s="78"/>
      <c r="EPI44" s="78"/>
      <c r="EPJ44" s="78"/>
      <c r="EPK44" s="78"/>
      <c r="EPL44" s="78"/>
      <c r="EPM44" s="78"/>
      <c r="EPN44" s="78"/>
      <c r="EPO44" s="78"/>
      <c r="EPP44" s="78"/>
      <c r="EPQ44" s="78"/>
      <c r="EPR44" s="78"/>
      <c r="EPS44" s="78"/>
      <c r="EPT44" s="78"/>
      <c r="EPU44" s="78"/>
      <c r="EPV44" s="78"/>
      <c r="EPW44" s="78"/>
      <c r="EPX44" s="78"/>
      <c r="EPY44" s="78"/>
      <c r="EPZ44" s="78"/>
      <c r="EQA44" s="78"/>
      <c r="EQB44" s="78"/>
      <c r="EQC44" s="78"/>
      <c r="EQD44" s="78"/>
      <c r="EQE44" s="78"/>
      <c r="EQF44" s="78"/>
      <c r="EQG44" s="78"/>
      <c r="EQH44" s="78"/>
      <c r="EQI44" s="78"/>
      <c r="EQJ44" s="78"/>
      <c r="EQK44" s="78"/>
      <c r="EQL44" s="78"/>
      <c r="EQM44" s="78"/>
      <c r="EQN44" s="78"/>
      <c r="EQO44" s="78"/>
      <c r="EQP44" s="78"/>
      <c r="EQQ44" s="78"/>
      <c r="EQR44" s="78"/>
      <c r="EQS44" s="78"/>
      <c r="EQT44" s="78"/>
      <c r="EQU44" s="78"/>
      <c r="EQV44" s="78"/>
      <c r="EQW44" s="78"/>
      <c r="EQX44" s="78"/>
      <c r="EQY44" s="78"/>
      <c r="EQZ44" s="78"/>
      <c r="ERA44" s="78"/>
      <c r="ERB44" s="78"/>
      <c r="ERC44" s="78"/>
      <c r="ERD44" s="78"/>
      <c r="ERE44" s="78"/>
      <c r="ERF44" s="78"/>
      <c r="ERG44" s="78"/>
      <c r="ERH44" s="78"/>
      <c r="ERI44" s="78"/>
      <c r="ERJ44" s="78"/>
      <c r="ERK44" s="78"/>
      <c r="ERL44" s="78"/>
      <c r="ERM44" s="78"/>
      <c r="ERN44" s="78"/>
      <c r="ERO44" s="78"/>
      <c r="ERP44" s="78"/>
      <c r="ERQ44" s="78"/>
      <c r="ERR44" s="78"/>
      <c r="ERS44" s="78"/>
      <c r="ERT44" s="78"/>
      <c r="ERU44" s="78"/>
      <c r="ERV44" s="78"/>
      <c r="ERW44" s="78"/>
      <c r="ERX44" s="78"/>
      <c r="ERY44" s="78"/>
      <c r="ERZ44" s="78"/>
      <c r="ESA44" s="78"/>
      <c r="ESB44" s="78"/>
      <c r="ESC44" s="78"/>
      <c r="ESD44" s="78"/>
      <c r="ESE44" s="78"/>
      <c r="ESF44" s="78"/>
      <c r="ESG44" s="78"/>
      <c r="ESH44" s="78"/>
      <c r="ESI44" s="78"/>
      <c r="ESJ44" s="78"/>
      <c r="ESK44" s="78"/>
      <c r="ESL44" s="78"/>
      <c r="ESM44" s="78"/>
      <c r="ESN44" s="78"/>
      <c r="ESO44" s="78"/>
      <c r="ESP44" s="78"/>
      <c r="ESQ44" s="78"/>
      <c r="ESR44" s="78"/>
      <c r="ESS44" s="78"/>
      <c r="EST44" s="78"/>
      <c r="ESU44" s="78"/>
      <c r="ESV44" s="78"/>
      <c r="ESW44" s="78"/>
      <c r="ESX44" s="78"/>
      <c r="ESY44" s="78"/>
      <c r="ESZ44" s="78"/>
      <c r="ETA44" s="78"/>
      <c r="ETB44" s="78"/>
      <c r="ETC44" s="78"/>
      <c r="ETD44" s="78"/>
      <c r="ETE44" s="78"/>
      <c r="ETF44" s="78"/>
      <c r="ETG44" s="78"/>
      <c r="ETH44" s="78"/>
      <c r="ETI44" s="78"/>
      <c r="ETJ44" s="78"/>
      <c r="ETK44" s="78"/>
      <c r="ETL44" s="78"/>
      <c r="ETM44" s="78"/>
      <c r="ETN44" s="78"/>
      <c r="ETO44" s="78"/>
      <c r="ETP44" s="78"/>
      <c r="ETQ44" s="78"/>
      <c r="ETR44" s="78"/>
      <c r="ETS44" s="78"/>
      <c r="ETT44" s="78"/>
      <c r="ETU44" s="78"/>
      <c r="ETV44" s="78"/>
      <c r="ETW44" s="78"/>
      <c r="ETX44" s="78"/>
      <c r="ETY44" s="78"/>
      <c r="ETZ44" s="78"/>
      <c r="EUA44" s="78"/>
      <c r="EUB44" s="78"/>
      <c r="EUC44" s="78"/>
      <c r="EUD44" s="78"/>
      <c r="EUE44" s="78"/>
      <c r="EUF44" s="78"/>
      <c r="EUG44" s="78"/>
      <c r="EUH44" s="78"/>
      <c r="EUI44" s="78"/>
      <c r="EUJ44" s="78"/>
      <c r="EUK44" s="78"/>
      <c r="EUL44" s="78"/>
      <c r="EUM44" s="78"/>
      <c r="EUN44" s="78"/>
      <c r="EUO44" s="78"/>
      <c r="EUP44" s="78"/>
      <c r="EUQ44" s="78"/>
      <c r="EUR44" s="78"/>
      <c r="EUS44" s="78"/>
      <c r="EUT44" s="78"/>
      <c r="EUU44" s="78"/>
      <c r="EUV44" s="78"/>
      <c r="EUW44" s="78"/>
      <c r="EUX44" s="78"/>
      <c r="EUY44" s="78"/>
      <c r="EUZ44" s="78"/>
      <c r="EVA44" s="78"/>
      <c r="EVB44" s="78"/>
      <c r="EVC44" s="78"/>
      <c r="EVD44" s="78"/>
      <c r="EVE44" s="78"/>
      <c r="EVF44" s="78"/>
      <c r="EVG44" s="78"/>
      <c r="EVH44" s="78"/>
      <c r="EVI44" s="78"/>
      <c r="EVJ44" s="78"/>
      <c r="EVK44" s="78"/>
      <c r="EVL44" s="78"/>
      <c r="EVM44" s="78"/>
      <c r="EVN44" s="78"/>
      <c r="EVO44" s="78"/>
      <c r="EVP44" s="78"/>
      <c r="EVQ44" s="78"/>
      <c r="EVR44" s="78"/>
      <c r="EVS44" s="78"/>
      <c r="EVT44" s="78"/>
      <c r="EVU44" s="78"/>
      <c r="EVV44" s="78"/>
      <c r="EVW44" s="78"/>
      <c r="EVX44" s="78"/>
      <c r="EVY44" s="78"/>
      <c r="EVZ44" s="78"/>
      <c r="EWA44" s="78"/>
      <c r="EWB44" s="78"/>
      <c r="EWC44" s="78"/>
      <c r="EWD44" s="78"/>
      <c r="EWE44" s="78"/>
      <c r="EWF44" s="78"/>
      <c r="EWG44" s="78"/>
      <c r="EWH44" s="78"/>
      <c r="EWI44" s="78"/>
      <c r="EWJ44" s="78"/>
      <c r="EWK44" s="78"/>
      <c r="EWL44" s="78"/>
      <c r="EWM44" s="78"/>
      <c r="EWN44" s="78"/>
      <c r="EWO44" s="78"/>
      <c r="EWP44" s="78"/>
      <c r="EWQ44" s="78"/>
      <c r="EWR44" s="78"/>
      <c r="EWS44" s="78"/>
      <c r="EWT44" s="78"/>
      <c r="EWU44" s="78"/>
      <c r="EWV44" s="78"/>
      <c r="EWW44" s="78"/>
      <c r="EWX44" s="78"/>
      <c r="EWY44" s="78"/>
      <c r="EWZ44" s="78"/>
      <c r="EXA44" s="78"/>
      <c r="EXB44" s="78"/>
      <c r="EXC44" s="78"/>
      <c r="EXD44" s="78"/>
      <c r="EXE44" s="78"/>
      <c r="EXF44" s="78"/>
      <c r="EXG44" s="78"/>
      <c r="EXH44" s="78"/>
      <c r="EXI44" s="78"/>
      <c r="EXJ44" s="78"/>
      <c r="EXK44" s="78"/>
      <c r="EXL44" s="78"/>
      <c r="EXM44" s="78"/>
      <c r="EXN44" s="78"/>
      <c r="EXO44" s="78"/>
      <c r="EXP44" s="78"/>
      <c r="EXQ44" s="78"/>
      <c r="EXR44" s="78"/>
      <c r="EXS44" s="78"/>
      <c r="EXT44" s="78"/>
      <c r="EXU44" s="78"/>
      <c r="EXV44" s="78"/>
      <c r="EXW44" s="78"/>
      <c r="EXX44" s="78"/>
      <c r="EXY44" s="78"/>
      <c r="EXZ44" s="78"/>
      <c r="EYA44" s="78"/>
      <c r="EYB44" s="78"/>
      <c r="EYC44" s="78"/>
      <c r="EYD44" s="78"/>
      <c r="EYE44" s="78"/>
      <c r="EYF44" s="78"/>
      <c r="EYG44" s="78"/>
      <c r="EYH44" s="78"/>
      <c r="EYI44" s="78"/>
      <c r="EYJ44" s="78"/>
      <c r="EYK44" s="78"/>
      <c r="EYL44" s="78"/>
      <c r="EYM44" s="78"/>
      <c r="EYN44" s="78"/>
      <c r="EYO44" s="78"/>
      <c r="EYP44" s="78"/>
      <c r="EYQ44" s="78"/>
      <c r="EYR44" s="78"/>
      <c r="EYS44" s="78"/>
      <c r="EYT44" s="78"/>
      <c r="EYU44" s="78"/>
      <c r="EYV44" s="78"/>
      <c r="EYW44" s="78"/>
      <c r="EYX44" s="78"/>
      <c r="EYY44" s="78"/>
      <c r="EYZ44" s="78"/>
      <c r="EZA44" s="78"/>
      <c r="EZB44" s="78"/>
      <c r="EZC44" s="78"/>
      <c r="EZD44" s="78"/>
      <c r="EZE44" s="78"/>
      <c r="EZF44" s="78"/>
      <c r="EZG44" s="78"/>
      <c r="EZH44" s="78"/>
      <c r="EZI44" s="78"/>
      <c r="EZJ44" s="78"/>
      <c r="EZK44" s="78"/>
      <c r="EZL44" s="78"/>
      <c r="EZM44" s="78"/>
      <c r="EZN44" s="78"/>
      <c r="EZO44" s="78"/>
      <c r="EZP44" s="78"/>
      <c r="EZQ44" s="78"/>
      <c r="EZR44" s="78"/>
      <c r="EZS44" s="78"/>
      <c r="EZT44" s="78"/>
      <c r="EZU44" s="78"/>
      <c r="EZV44" s="78"/>
      <c r="EZW44" s="78"/>
      <c r="EZX44" s="78"/>
      <c r="EZY44" s="78"/>
      <c r="EZZ44" s="78"/>
      <c r="FAA44" s="78"/>
      <c r="FAB44" s="78"/>
      <c r="FAC44" s="78"/>
      <c r="FAD44" s="78"/>
      <c r="FAE44" s="78"/>
      <c r="FAF44" s="78"/>
      <c r="FAG44" s="78"/>
      <c r="FAH44" s="78"/>
      <c r="FAI44" s="78"/>
      <c r="FAJ44" s="78"/>
      <c r="FAK44" s="78"/>
      <c r="FAL44" s="78"/>
      <c r="FAM44" s="78"/>
      <c r="FAN44" s="78"/>
      <c r="FAO44" s="78"/>
      <c r="FAP44" s="78"/>
      <c r="FAQ44" s="78"/>
      <c r="FAR44" s="78"/>
      <c r="FAS44" s="78"/>
      <c r="FAT44" s="78"/>
      <c r="FAU44" s="78"/>
      <c r="FAV44" s="78"/>
      <c r="FAW44" s="78"/>
      <c r="FAX44" s="78"/>
      <c r="FAY44" s="78"/>
      <c r="FAZ44" s="78"/>
      <c r="FBA44" s="78"/>
      <c r="FBB44" s="78"/>
      <c r="FBC44" s="78"/>
      <c r="FBD44" s="78"/>
      <c r="FBE44" s="78"/>
      <c r="FBF44" s="78"/>
      <c r="FBG44" s="78"/>
      <c r="FBH44" s="78"/>
      <c r="FBI44" s="78"/>
      <c r="FBJ44" s="78"/>
      <c r="FBK44" s="78"/>
      <c r="FBL44" s="78"/>
      <c r="FBM44" s="78"/>
      <c r="FBN44" s="78"/>
      <c r="FBO44" s="78"/>
      <c r="FBP44" s="78"/>
      <c r="FBQ44" s="78"/>
      <c r="FBR44" s="78"/>
      <c r="FBS44" s="78"/>
      <c r="FBT44" s="78"/>
      <c r="FBU44" s="78"/>
      <c r="FBV44" s="78"/>
      <c r="FBW44" s="78"/>
      <c r="FBX44" s="78"/>
      <c r="FBY44" s="78"/>
      <c r="FBZ44" s="78"/>
      <c r="FCA44" s="78"/>
      <c r="FCB44" s="78"/>
      <c r="FCC44" s="78"/>
      <c r="FCD44" s="78"/>
      <c r="FCE44" s="78"/>
      <c r="FCF44" s="78"/>
      <c r="FCG44" s="78"/>
      <c r="FCH44" s="78"/>
      <c r="FCI44" s="78"/>
      <c r="FCJ44" s="78"/>
      <c r="FCK44" s="78"/>
      <c r="FCL44" s="78"/>
      <c r="FCM44" s="78"/>
      <c r="FCN44" s="78"/>
      <c r="FCO44" s="78"/>
      <c r="FCP44" s="78"/>
      <c r="FCQ44" s="78"/>
      <c r="FCR44" s="78"/>
      <c r="FCS44" s="78"/>
      <c r="FCT44" s="78"/>
      <c r="FCU44" s="78"/>
      <c r="FCV44" s="78"/>
      <c r="FCW44" s="78"/>
      <c r="FCX44" s="78"/>
      <c r="FCY44" s="78"/>
      <c r="FCZ44" s="78"/>
      <c r="FDA44" s="78"/>
      <c r="FDB44" s="78"/>
      <c r="FDC44" s="78"/>
      <c r="FDD44" s="78"/>
      <c r="FDE44" s="78"/>
      <c r="FDF44" s="78"/>
      <c r="FDG44" s="78"/>
      <c r="FDH44" s="78"/>
      <c r="FDI44" s="78"/>
      <c r="FDJ44" s="78"/>
      <c r="FDK44" s="78"/>
      <c r="FDL44" s="78"/>
      <c r="FDM44" s="78"/>
      <c r="FDN44" s="78"/>
      <c r="FDO44" s="78"/>
      <c r="FDP44" s="78"/>
      <c r="FDQ44" s="78"/>
      <c r="FDR44" s="78"/>
      <c r="FDS44" s="78"/>
      <c r="FDT44" s="78"/>
      <c r="FDU44" s="78"/>
      <c r="FDV44" s="78"/>
      <c r="FDW44" s="78"/>
      <c r="FDX44" s="78"/>
      <c r="FDY44" s="78"/>
      <c r="FDZ44" s="78"/>
      <c r="FEA44" s="78"/>
      <c r="FEB44" s="78"/>
      <c r="FEC44" s="78"/>
      <c r="FED44" s="78"/>
      <c r="FEE44" s="78"/>
      <c r="FEF44" s="78"/>
      <c r="FEG44" s="78"/>
      <c r="FEH44" s="78"/>
      <c r="FEI44" s="78"/>
      <c r="FEJ44" s="78"/>
      <c r="FEK44" s="78"/>
      <c r="FEL44" s="78"/>
      <c r="FEM44" s="78"/>
      <c r="FEN44" s="78"/>
      <c r="FEO44" s="78"/>
      <c r="FEP44" s="78"/>
      <c r="FEQ44" s="78"/>
      <c r="FER44" s="78"/>
      <c r="FES44" s="78"/>
      <c r="FET44" s="78"/>
      <c r="FEU44" s="78"/>
      <c r="FEV44" s="78"/>
      <c r="FEW44" s="78"/>
      <c r="FEX44" s="78"/>
      <c r="FEY44" s="78"/>
      <c r="FEZ44" s="78"/>
      <c r="FFA44" s="78"/>
      <c r="FFB44" s="78"/>
      <c r="FFC44" s="78"/>
      <c r="FFD44" s="78"/>
      <c r="FFE44" s="78"/>
      <c r="FFF44" s="78"/>
      <c r="FFG44" s="78"/>
      <c r="FFH44" s="78"/>
      <c r="FFI44" s="78"/>
      <c r="FFJ44" s="78"/>
      <c r="FFK44" s="78"/>
      <c r="FFL44" s="78"/>
      <c r="FFM44" s="78"/>
      <c r="FFN44" s="78"/>
      <c r="FFO44" s="78"/>
      <c r="FFP44" s="78"/>
      <c r="FFQ44" s="78"/>
      <c r="FFR44" s="78"/>
      <c r="FFS44" s="78"/>
      <c r="FFT44" s="78"/>
      <c r="FFU44" s="78"/>
      <c r="FFV44" s="78"/>
      <c r="FFW44" s="78"/>
      <c r="FFX44" s="78"/>
      <c r="FFY44" s="78"/>
      <c r="FFZ44" s="78"/>
      <c r="FGA44" s="78"/>
      <c r="FGB44" s="78"/>
      <c r="FGC44" s="78"/>
      <c r="FGD44" s="78"/>
      <c r="FGE44" s="78"/>
      <c r="FGF44" s="78"/>
      <c r="FGG44" s="78"/>
      <c r="FGH44" s="78"/>
      <c r="FGI44" s="78"/>
      <c r="FGJ44" s="78"/>
      <c r="FGK44" s="78"/>
      <c r="FGL44" s="78"/>
      <c r="FGM44" s="78"/>
      <c r="FGN44" s="78"/>
      <c r="FGO44" s="78"/>
      <c r="FGP44" s="78"/>
      <c r="FGQ44" s="78"/>
      <c r="FGR44" s="78"/>
      <c r="FGS44" s="78"/>
      <c r="FGT44" s="78"/>
      <c r="FGU44" s="78"/>
      <c r="FGV44" s="78"/>
      <c r="FGW44" s="78"/>
      <c r="FGX44" s="78"/>
      <c r="FGY44" s="78"/>
      <c r="FGZ44" s="78"/>
      <c r="FHA44" s="78"/>
      <c r="FHB44" s="78"/>
      <c r="FHC44" s="78"/>
      <c r="FHD44" s="78"/>
      <c r="FHE44" s="78"/>
      <c r="FHF44" s="78"/>
      <c r="FHG44" s="78"/>
      <c r="FHH44" s="78"/>
      <c r="FHI44" s="78"/>
      <c r="FHJ44" s="78"/>
      <c r="FHK44" s="78"/>
      <c r="FHL44" s="78"/>
      <c r="FHM44" s="78"/>
      <c r="FHN44" s="78"/>
      <c r="FHO44" s="78"/>
      <c r="FHP44" s="78"/>
      <c r="FHQ44" s="78"/>
      <c r="FHR44" s="78"/>
      <c r="FHS44" s="78"/>
      <c r="FHT44" s="78"/>
      <c r="FHU44" s="78"/>
      <c r="FHV44" s="78"/>
      <c r="FHW44" s="78"/>
      <c r="FHX44" s="78"/>
      <c r="FHY44" s="78"/>
      <c r="FHZ44" s="78"/>
      <c r="FIA44" s="78"/>
      <c r="FIB44" s="78"/>
      <c r="FIC44" s="78"/>
      <c r="FID44" s="78"/>
      <c r="FIE44" s="78"/>
      <c r="FIF44" s="78"/>
      <c r="FIG44" s="78"/>
      <c r="FIH44" s="78"/>
      <c r="FII44" s="78"/>
      <c r="FIJ44" s="78"/>
      <c r="FIK44" s="78"/>
      <c r="FIL44" s="78"/>
      <c r="FIM44" s="78"/>
      <c r="FIN44" s="78"/>
      <c r="FIO44" s="78"/>
      <c r="FIP44" s="78"/>
      <c r="FIQ44" s="78"/>
      <c r="FIR44" s="78"/>
      <c r="FIS44" s="78"/>
      <c r="FIT44" s="78"/>
      <c r="FIU44" s="78"/>
      <c r="FIV44" s="78"/>
      <c r="FIW44" s="78"/>
      <c r="FIX44" s="78"/>
      <c r="FIY44" s="78"/>
      <c r="FIZ44" s="78"/>
      <c r="FJA44" s="78"/>
      <c r="FJB44" s="78"/>
      <c r="FJC44" s="78"/>
      <c r="FJD44" s="78"/>
      <c r="FJE44" s="78"/>
      <c r="FJF44" s="78"/>
      <c r="FJG44" s="78"/>
      <c r="FJH44" s="78"/>
      <c r="FJI44" s="78"/>
      <c r="FJJ44" s="78"/>
      <c r="FJK44" s="78"/>
      <c r="FJL44" s="78"/>
      <c r="FJM44" s="78"/>
      <c r="FJN44" s="78"/>
      <c r="FJO44" s="78"/>
      <c r="FJP44" s="78"/>
      <c r="FJQ44" s="78"/>
      <c r="FJR44" s="78"/>
      <c r="FJS44" s="78"/>
      <c r="FJT44" s="78"/>
      <c r="FJU44" s="78"/>
      <c r="FJV44" s="78"/>
      <c r="FJW44" s="78"/>
      <c r="FJX44" s="78"/>
      <c r="FJY44" s="78"/>
      <c r="FJZ44" s="78"/>
      <c r="FKA44" s="78"/>
      <c r="FKB44" s="78"/>
      <c r="FKC44" s="78"/>
      <c r="FKD44" s="78"/>
      <c r="FKE44" s="78"/>
      <c r="FKF44" s="78"/>
      <c r="FKG44" s="78"/>
      <c r="FKH44" s="78"/>
      <c r="FKI44" s="78"/>
      <c r="FKJ44" s="78"/>
      <c r="FKK44" s="78"/>
      <c r="FKL44" s="78"/>
      <c r="FKM44" s="78"/>
      <c r="FKN44" s="78"/>
      <c r="FKO44" s="78"/>
      <c r="FKP44" s="78"/>
      <c r="FKQ44" s="78"/>
      <c r="FKR44" s="78"/>
      <c r="FKS44" s="78"/>
      <c r="FKT44" s="78"/>
      <c r="FKU44" s="78"/>
      <c r="FKV44" s="78"/>
      <c r="FKW44" s="78"/>
      <c r="FKX44" s="78"/>
      <c r="FKY44" s="78"/>
      <c r="FKZ44" s="78"/>
      <c r="FLA44" s="78"/>
      <c r="FLB44" s="78"/>
      <c r="FLC44" s="78"/>
      <c r="FLD44" s="78"/>
      <c r="FLE44" s="78"/>
      <c r="FLF44" s="78"/>
      <c r="FLG44" s="78"/>
      <c r="FLH44" s="78"/>
      <c r="FLI44" s="78"/>
      <c r="FLJ44" s="78"/>
      <c r="FLK44" s="78"/>
      <c r="FLL44" s="78"/>
      <c r="FLM44" s="78"/>
      <c r="FLN44" s="78"/>
      <c r="FLO44" s="78"/>
      <c r="FLP44" s="78"/>
      <c r="FLQ44" s="78"/>
      <c r="FLR44" s="78"/>
      <c r="FLS44" s="78"/>
      <c r="FLT44" s="78"/>
      <c r="FLU44" s="78"/>
      <c r="FLV44" s="78"/>
      <c r="FLW44" s="78"/>
      <c r="FLX44" s="78"/>
      <c r="FLY44" s="78"/>
      <c r="FLZ44" s="78"/>
      <c r="FMA44" s="78"/>
      <c r="FMB44" s="78"/>
      <c r="FMC44" s="78"/>
      <c r="FMD44" s="78"/>
      <c r="FME44" s="78"/>
      <c r="FMF44" s="78"/>
      <c r="FMG44" s="78"/>
      <c r="FMH44" s="78"/>
      <c r="FMI44" s="78"/>
      <c r="FMJ44" s="78"/>
      <c r="FMK44" s="78"/>
      <c r="FML44" s="78"/>
      <c r="FMM44" s="78"/>
      <c r="FMN44" s="78"/>
      <c r="FMO44" s="78"/>
      <c r="FMP44" s="78"/>
      <c r="FMQ44" s="78"/>
      <c r="FMR44" s="78"/>
      <c r="FMS44" s="78"/>
      <c r="FMT44" s="78"/>
      <c r="FMU44" s="78"/>
      <c r="FMV44" s="78"/>
      <c r="FMW44" s="78"/>
      <c r="FMX44" s="78"/>
      <c r="FMY44" s="78"/>
      <c r="FMZ44" s="78"/>
      <c r="FNA44" s="78"/>
      <c r="FNB44" s="78"/>
      <c r="FNC44" s="78"/>
      <c r="FND44" s="78"/>
      <c r="FNE44" s="78"/>
      <c r="FNF44" s="78"/>
      <c r="FNG44" s="78"/>
      <c r="FNH44" s="78"/>
      <c r="FNI44" s="78"/>
      <c r="FNJ44" s="78"/>
      <c r="FNK44" s="78"/>
      <c r="FNL44" s="78"/>
      <c r="FNM44" s="78"/>
      <c r="FNN44" s="78"/>
      <c r="FNO44" s="78"/>
      <c r="FNP44" s="78"/>
      <c r="FNQ44" s="78"/>
      <c r="FNR44" s="78"/>
      <c r="FNS44" s="78"/>
      <c r="FNT44" s="78"/>
      <c r="FNU44" s="78"/>
      <c r="FNV44" s="78"/>
      <c r="FNW44" s="78"/>
      <c r="FNX44" s="78"/>
      <c r="FNY44" s="78"/>
      <c r="FNZ44" s="78"/>
      <c r="FOA44" s="78"/>
      <c r="FOB44" s="78"/>
      <c r="FOC44" s="78"/>
      <c r="FOD44" s="78"/>
      <c r="FOE44" s="78"/>
      <c r="FOF44" s="78"/>
      <c r="FOG44" s="78"/>
      <c r="FOH44" s="78"/>
      <c r="FOI44" s="78"/>
      <c r="FOJ44" s="78"/>
      <c r="FOK44" s="78"/>
      <c r="FOL44" s="78"/>
      <c r="FOM44" s="78"/>
      <c r="FON44" s="78"/>
      <c r="FOO44" s="78"/>
      <c r="FOP44" s="78"/>
      <c r="FOQ44" s="78"/>
      <c r="FOR44" s="78"/>
      <c r="FOS44" s="78"/>
      <c r="FOT44" s="78"/>
      <c r="FOU44" s="78"/>
      <c r="FOV44" s="78"/>
      <c r="FOW44" s="78"/>
      <c r="FOX44" s="78"/>
      <c r="FOY44" s="78"/>
      <c r="FOZ44" s="78"/>
      <c r="FPA44" s="78"/>
      <c r="FPB44" s="78"/>
      <c r="FPC44" s="78"/>
      <c r="FPD44" s="78"/>
      <c r="FPE44" s="78"/>
      <c r="FPF44" s="78"/>
      <c r="FPG44" s="78"/>
      <c r="FPH44" s="78"/>
      <c r="FPI44" s="78"/>
      <c r="FPJ44" s="78"/>
      <c r="FPK44" s="78"/>
      <c r="FPL44" s="78"/>
      <c r="FPM44" s="78"/>
      <c r="FPN44" s="78"/>
      <c r="FPO44" s="78"/>
      <c r="FPP44" s="78"/>
      <c r="FPQ44" s="78"/>
      <c r="FPR44" s="78"/>
      <c r="FPS44" s="78"/>
      <c r="FPT44" s="78"/>
      <c r="FPU44" s="78"/>
      <c r="FPV44" s="78"/>
      <c r="FPW44" s="78"/>
      <c r="FPX44" s="78"/>
      <c r="FPY44" s="78"/>
      <c r="FPZ44" s="78"/>
      <c r="FQA44" s="78"/>
      <c r="FQB44" s="78"/>
      <c r="FQC44" s="78"/>
      <c r="FQD44" s="78"/>
      <c r="FQE44" s="78"/>
      <c r="FQF44" s="78"/>
      <c r="FQG44" s="78"/>
      <c r="FQH44" s="78"/>
      <c r="FQI44" s="78"/>
      <c r="FQJ44" s="78"/>
      <c r="FQK44" s="78"/>
      <c r="FQL44" s="78"/>
      <c r="FQM44" s="78"/>
      <c r="FQN44" s="78"/>
      <c r="FQO44" s="78"/>
      <c r="FQP44" s="78"/>
      <c r="FQQ44" s="78"/>
      <c r="FQR44" s="78"/>
      <c r="FQS44" s="78"/>
      <c r="FQT44" s="78"/>
      <c r="FQU44" s="78"/>
      <c r="FQV44" s="78"/>
      <c r="FQW44" s="78"/>
      <c r="FQX44" s="78"/>
      <c r="FQY44" s="78"/>
      <c r="FQZ44" s="78"/>
      <c r="FRA44" s="78"/>
      <c r="FRB44" s="78"/>
      <c r="FRC44" s="78"/>
      <c r="FRD44" s="78"/>
      <c r="FRE44" s="78"/>
      <c r="FRF44" s="78"/>
      <c r="FRG44" s="78"/>
      <c r="FRH44" s="78"/>
      <c r="FRI44" s="78"/>
      <c r="FRJ44" s="78"/>
      <c r="FRK44" s="78"/>
      <c r="FRL44" s="78"/>
      <c r="FRM44" s="78"/>
      <c r="FRN44" s="78"/>
      <c r="FRO44" s="78"/>
      <c r="FRP44" s="78"/>
      <c r="FRQ44" s="78"/>
      <c r="FRR44" s="78"/>
      <c r="FRS44" s="78"/>
      <c r="FRT44" s="78"/>
      <c r="FRU44" s="78"/>
      <c r="FRV44" s="78"/>
      <c r="FRW44" s="78"/>
      <c r="FRX44" s="78"/>
      <c r="FRY44" s="78"/>
      <c r="FRZ44" s="78"/>
      <c r="FSA44" s="78"/>
      <c r="FSB44" s="78"/>
      <c r="FSC44" s="78"/>
      <c r="FSD44" s="78"/>
      <c r="FSE44" s="78"/>
      <c r="FSF44" s="78"/>
      <c r="FSG44" s="78"/>
      <c r="FSH44" s="78"/>
      <c r="FSI44" s="78"/>
      <c r="FSJ44" s="78"/>
      <c r="FSK44" s="78"/>
      <c r="FSL44" s="78"/>
      <c r="FSM44" s="78"/>
      <c r="FSN44" s="78"/>
      <c r="FSO44" s="78"/>
      <c r="FSP44" s="78"/>
      <c r="FSQ44" s="78"/>
      <c r="FSR44" s="78"/>
      <c r="FSS44" s="78"/>
      <c r="FST44" s="78"/>
      <c r="FSU44" s="78"/>
      <c r="FSV44" s="78"/>
      <c r="FSW44" s="78"/>
      <c r="FSX44" s="78"/>
      <c r="FSY44" s="78"/>
      <c r="FSZ44" s="78"/>
      <c r="FTA44" s="78"/>
      <c r="FTB44" s="78"/>
      <c r="FTC44" s="78"/>
      <c r="FTD44" s="78"/>
      <c r="FTE44" s="78"/>
      <c r="FTF44" s="78"/>
      <c r="FTG44" s="78"/>
      <c r="FTH44" s="78"/>
      <c r="FTI44" s="78"/>
      <c r="FTJ44" s="78"/>
      <c r="FTK44" s="78"/>
      <c r="FTL44" s="78"/>
      <c r="FTM44" s="78"/>
      <c r="FTN44" s="78"/>
      <c r="FTO44" s="78"/>
      <c r="FTP44" s="78"/>
      <c r="FTQ44" s="78"/>
      <c r="FTR44" s="78"/>
      <c r="FTS44" s="78"/>
      <c r="FTT44" s="78"/>
      <c r="FTU44" s="78"/>
      <c r="FTV44" s="78"/>
      <c r="FTW44" s="78"/>
      <c r="FTX44" s="78"/>
      <c r="FTY44" s="78"/>
      <c r="FTZ44" s="78"/>
      <c r="FUA44" s="78"/>
      <c r="FUB44" s="78"/>
      <c r="FUC44" s="78"/>
      <c r="FUD44" s="78"/>
      <c r="FUE44" s="78"/>
      <c r="FUF44" s="78"/>
      <c r="FUG44" s="78"/>
      <c r="FUH44" s="78"/>
      <c r="FUI44" s="78"/>
      <c r="FUJ44" s="78"/>
      <c r="FUK44" s="78"/>
      <c r="FUL44" s="78"/>
      <c r="FUM44" s="78"/>
      <c r="FUN44" s="78"/>
      <c r="FUO44" s="78"/>
      <c r="FUP44" s="78"/>
      <c r="FUQ44" s="78"/>
      <c r="FUR44" s="78"/>
      <c r="FUS44" s="78"/>
      <c r="FUT44" s="78"/>
      <c r="FUU44" s="78"/>
      <c r="FUV44" s="78"/>
      <c r="FUW44" s="78"/>
      <c r="FUX44" s="78"/>
      <c r="FUY44" s="78"/>
      <c r="FUZ44" s="78"/>
      <c r="FVA44" s="78"/>
      <c r="FVB44" s="78"/>
      <c r="FVC44" s="78"/>
      <c r="FVD44" s="78"/>
      <c r="FVE44" s="78"/>
      <c r="FVF44" s="78"/>
      <c r="FVG44" s="78"/>
      <c r="FVH44" s="78"/>
      <c r="FVI44" s="78"/>
      <c r="FVJ44" s="78"/>
      <c r="FVK44" s="78"/>
      <c r="FVL44" s="78"/>
      <c r="FVM44" s="78"/>
      <c r="FVN44" s="78"/>
      <c r="FVO44" s="78"/>
      <c r="FVP44" s="78"/>
      <c r="FVQ44" s="78"/>
      <c r="FVR44" s="78"/>
      <c r="FVS44" s="78"/>
      <c r="FVT44" s="78"/>
      <c r="FVU44" s="78"/>
      <c r="FVV44" s="78"/>
      <c r="FVW44" s="78"/>
      <c r="FVX44" s="78"/>
      <c r="FVY44" s="78"/>
      <c r="FVZ44" s="78"/>
      <c r="FWA44" s="78"/>
      <c r="FWB44" s="78"/>
      <c r="FWC44" s="78"/>
      <c r="FWD44" s="78"/>
      <c r="FWE44" s="78"/>
      <c r="FWF44" s="78"/>
      <c r="FWG44" s="78"/>
      <c r="FWH44" s="78"/>
      <c r="FWI44" s="78"/>
      <c r="FWJ44" s="78"/>
      <c r="FWK44" s="78"/>
      <c r="FWL44" s="78"/>
      <c r="FWM44" s="78"/>
      <c r="FWN44" s="78"/>
      <c r="FWO44" s="78"/>
      <c r="FWP44" s="78"/>
      <c r="FWQ44" s="78"/>
      <c r="FWR44" s="78"/>
      <c r="FWS44" s="78"/>
      <c r="FWT44" s="78"/>
      <c r="FWU44" s="78"/>
      <c r="FWV44" s="78"/>
      <c r="FWW44" s="78"/>
      <c r="FWX44" s="78"/>
      <c r="FWY44" s="78"/>
      <c r="FWZ44" s="78"/>
      <c r="FXA44" s="78"/>
      <c r="FXB44" s="78"/>
      <c r="FXC44" s="78"/>
      <c r="FXD44" s="78"/>
      <c r="FXE44" s="78"/>
      <c r="FXF44" s="78"/>
      <c r="FXG44" s="78"/>
      <c r="FXH44" s="78"/>
      <c r="FXI44" s="78"/>
      <c r="FXJ44" s="78"/>
      <c r="FXK44" s="78"/>
      <c r="FXL44" s="78"/>
      <c r="FXM44" s="78"/>
      <c r="FXN44" s="78"/>
      <c r="FXO44" s="78"/>
      <c r="FXP44" s="78"/>
      <c r="FXQ44" s="78"/>
      <c r="FXR44" s="78"/>
      <c r="FXS44" s="78"/>
      <c r="FXT44" s="78"/>
      <c r="FXU44" s="78"/>
      <c r="FXV44" s="78"/>
      <c r="FXW44" s="78"/>
      <c r="FXX44" s="78"/>
      <c r="FXY44" s="78"/>
      <c r="FXZ44" s="78"/>
      <c r="FYA44" s="78"/>
      <c r="FYB44" s="78"/>
      <c r="FYC44" s="78"/>
      <c r="FYD44" s="78"/>
      <c r="FYE44" s="78"/>
      <c r="FYF44" s="78"/>
      <c r="FYG44" s="78"/>
      <c r="FYH44" s="78"/>
      <c r="FYI44" s="78"/>
      <c r="FYJ44" s="78"/>
      <c r="FYK44" s="78"/>
      <c r="FYL44" s="78"/>
      <c r="FYM44" s="78"/>
      <c r="FYN44" s="78"/>
      <c r="FYO44" s="78"/>
      <c r="FYP44" s="78"/>
      <c r="FYQ44" s="78"/>
      <c r="FYR44" s="78"/>
      <c r="FYS44" s="78"/>
      <c r="FYT44" s="78"/>
      <c r="FYU44" s="78"/>
      <c r="FYV44" s="78"/>
      <c r="FYW44" s="78"/>
      <c r="FYX44" s="78"/>
      <c r="FYY44" s="78"/>
      <c r="FYZ44" s="78"/>
      <c r="FZA44" s="78"/>
      <c r="FZB44" s="78"/>
      <c r="FZC44" s="78"/>
      <c r="FZD44" s="78"/>
      <c r="FZE44" s="78"/>
      <c r="FZF44" s="78"/>
      <c r="FZG44" s="78"/>
      <c r="FZH44" s="78"/>
      <c r="FZI44" s="78"/>
      <c r="FZJ44" s="78"/>
      <c r="FZK44" s="78"/>
      <c r="FZL44" s="78"/>
      <c r="FZM44" s="78"/>
      <c r="FZN44" s="78"/>
      <c r="FZO44" s="78"/>
      <c r="FZP44" s="78"/>
      <c r="FZQ44" s="78"/>
      <c r="FZR44" s="78"/>
      <c r="FZS44" s="78"/>
      <c r="FZT44" s="78"/>
      <c r="FZU44" s="78"/>
      <c r="FZV44" s="78"/>
      <c r="FZW44" s="78"/>
      <c r="FZX44" s="78"/>
      <c r="FZY44" s="78"/>
      <c r="FZZ44" s="78"/>
      <c r="GAA44" s="78"/>
      <c r="GAB44" s="78"/>
      <c r="GAC44" s="78"/>
      <c r="GAD44" s="78"/>
      <c r="GAE44" s="78"/>
      <c r="GAF44" s="78"/>
      <c r="GAG44" s="78"/>
      <c r="GAH44" s="78"/>
      <c r="GAI44" s="78"/>
      <c r="GAJ44" s="78"/>
      <c r="GAK44" s="78"/>
      <c r="GAL44" s="78"/>
      <c r="GAM44" s="78"/>
      <c r="GAN44" s="78"/>
      <c r="GAO44" s="78"/>
      <c r="GAP44" s="78"/>
      <c r="GAQ44" s="78"/>
      <c r="GAR44" s="78"/>
      <c r="GAS44" s="78"/>
      <c r="GAT44" s="78"/>
      <c r="GAU44" s="78"/>
      <c r="GAV44" s="78"/>
      <c r="GAW44" s="78"/>
      <c r="GAX44" s="78"/>
      <c r="GAY44" s="78"/>
      <c r="GAZ44" s="78"/>
      <c r="GBA44" s="78"/>
      <c r="GBB44" s="78"/>
      <c r="GBC44" s="78"/>
      <c r="GBD44" s="78"/>
      <c r="GBE44" s="78"/>
      <c r="GBF44" s="78"/>
      <c r="GBG44" s="78"/>
      <c r="GBH44" s="78"/>
      <c r="GBI44" s="78"/>
      <c r="GBJ44" s="78"/>
      <c r="GBK44" s="78"/>
      <c r="GBL44" s="78"/>
      <c r="GBM44" s="78"/>
      <c r="GBN44" s="78"/>
      <c r="GBO44" s="78"/>
      <c r="GBP44" s="78"/>
      <c r="GBQ44" s="78"/>
      <c r="GBR44" s="78"/>
      <c r="GBS44" s="78"/>
      <c r="GBT44" s="78"/>
      <c r="GBU44" s="78"/>
      <c r="GBV44" s="78"/>
      <c r="GBW44" s="78"/>
      <c r="GBX44" s="78"/>
      <c r="GBY44" s="78"/>
      <c r="GBZ44" s="78"/>
      <c r="GCA44" s="78"/>
      <c r="GCB44" s="78"/>
      <c r="GCC44" s="78"/>
      <c r="GCD44" s="78"/>
      <c r="GCE44" s="78"/>
      <c r="GCF44" s="78"/>
      <c r="GCG44" s="78"/>
      <c r="GCH44" s="78"/>
      <c r="GCI44" s="78"/>
      <c r="GCJ44" s="78"/>
      <c r="GCK44" s="78"/>
      <c r="GCL44" s="78"/>
      <c r="GCM44" s="78"/>
      <c r="GCN44" s="78"/>
      <c r="GCO44" s="78"/>
      <c r="GCP44" s="78"/>
      <c r="GCQ44" s="78"/>
      <c r="GCR44" s="78"/>
      <c r="GCS44" s="78"/>
      <c r="GCT44" s="78"/>
      <c r="GCU44" s="78"/>
      <c r="GCV44" s="78"/>
      <c r="GCW44" s="78"/>
      <c r="GCX44" s="78"/>
      <c r="GCY44" s="78"/>
      <c r="GCZ44" s="78"/>
      <c r="GDA44" s="78"/>
      <c r="GDB44" s="78"/>
      <c r="GDC44" s="78"/>
      <c r="GDD44" s="78"/>
      <c r="GDE44" s="78"/>
      <c r="GDF44" s="78"/>
      <c r="GDG44" s="78"/>
      <c r="GDH44" s="78"/>
      <c r="GDI44" s="78"/>
      <c r="GDJ44" s="78"/>
      <c r="GDK44" s="78"/>
      <c r="GDL44" s="78"/>
      <c r="GDM44" s="78"/>
      <c r="GDN44" s="78"/>
      <c r="GDO44" s="78"/>
      <c r="GDP44" s="78"/>
      <c r="GDQ44" s="78"/>
      <c r="GDR44" s="78"/>
      <c r="GDS44" s="78"/>
      <c r="GDT44" s="78"/>
      <c r="GDU44" s="78"/>
      <c r="GDV44" s="78"/>
      <c r="GDW44" s="78"/>
      <c r="GDX44" s="78"/>
      <c r="GDY44" s="78"/>
      <c r="GDZ44" s="78"/>
      <c r="GEA44" s="78"/>
      <c r="GEB44" s="78"/>
      <c r="GEC44" s="78"/>
      <c r="GED44" s="78"/>
      <c r="GEE44" s="78"/>
      <c r="GEF44" s="78"/>
      <c r="GEG44" s="78"/>
      <c r="GEH44" s="78"/>
      <c r="GEI44" s="78"/>
      <c r="GEJ44" s="78"/>
      <c r="GEK44" s="78"/>
      <c r="GEL44" s="78"/>
      <c r="GEM44" s="78"/>
      <c r="GEN44" s="78"/>
      <c r="GEO44" s="78"/>
      <c r="GEP44" s="78"/>
      <c r="GEQ44" s="78"/>
      <c r="GER44" s="78"/>
      <c r="GES44" s="78"/>
      <c r="GET44" s="78"/>
      <c r="GEU44" s="78"/>
      <c r="GEV44" s="78"/>
      <c r="GEW44" s="78"/>
      <c r="GEX44" s="78"/>
      <c r="GEY44" s="78"/>
      <c r="GEZ44" s="78"/>
      <c r="GFA44" s="78"/>
      <c r="GFB44" s="78"/>
      <c r="GFC44" s="78"/>
      <c r="GFD44" s="78"/>
      <c r="GFE44" s="78"/>
      <c r="GFF44" s="78"/>
      <c r="GFG44" s="78"/>
      <c r="GFH44" s="78"/>
      <c r="GFI44" s="78"/>
      <c r="GFJ44" s="78"/>
      <c r="GFK44" s="78"/>
      <c r="GFL44" s="78"/>
      <c r="GFM44" s="78"/>
      <c r="GFN44" s="78"/>
      <c r="GFO44" s="78"/>
      <c r="GFP44" s="78"/>
      <c r="GFQ44" s="78"/>
      <c r="GFR44" s="78"/>
      <c r="GFS44" s="78"/>
      <c r="GFT44" s="78"/>
      <c r="GFU44" s="78"/>
      <c r="GFV44" s="78"/>
      <c r="GFW44" s="78"/>
      <c r="GFX44" s="78"/>
      <c r="GFY44" s="78"/>
      <c r="GFZ44" s="78"/>
      <c r="GGA44" s="78"/>
      <c r="GGB44" s="78"/>
      <c r="GGC44" s="78"/>
      <c r="GGD44" s="78"/>
      <c r="GGE44" s="78"/>
      <c r="GGF44" s="78"/>
      <c r="GGG44" s="78"/>
      <c r="GGH44" s="78"/>
      <c r="GGI44" s="78"/>
      <c r="GGJ44" s="78"/>
      <c r="GGK44" s="78"/>
      <c r="GGL44" s="78"/>
      <c r="GGM44" s="78"/>
      <c r="GGN44" s="78"/>
      <c r="GGO44" s="78"/>
      <c r="GGP44" s="78"/>
      <c r="GGQ44" s="78"/>
      <c r="GGR44" s="78"/>
      <c r="GGS44" s="78"/>
      <c r="GGT44" s="78"/>
      <c r="GGU44" s="78"/>
      <c r="GGV44" s="78"/>
      <c r="GGW44" s="78"/>
      <c r="GGX44" s="78"/>
      <c r="GGY44" s="78"/>
      <c r="GGZ44" s="78"/>
      <c r="GHA44" s="78"/>
      <c r="GHB44" s="78"/>
      <c r="GHC44" s="78"/>
      <c r="GHD44" s="78"/>
      <c r="GHE44" s="78"/>
      <c r="GHF44" s="78"/>
      <c r="GHG44" s="78"/>
      <c r="GHH44" s="78"/>
      <c r="GHI44" s="78"/>
      <c r="GHJ44" s="78"/>
      <c r="GHK44" s="78"/>
      <c r="GHL44" s="78"/>
      <c r="GHM44" s="78"/>
      <c r="GHN44" s="78"/>
      <c r="GHO44" s="78"/>
      <c r="GHP44" s="78"/>
      <c r="GHQ44" s="78"/>
      <c r="GHR44" s="78"/>
      <c r="GHS44" s="78"/>
      <c r="GHT44" s="78"/>
      <c r="GHU44" s="78"/>
      <c r="GHV44" s="78"/>
      <c r="GHW44" s="78"/>
      <c r="GHX44" s="78"/>
      <c r="GHY44" s="78"/>
      <c r="GHZ44" s="78"/>
      <c r="GIA44" s="78"/>
      <c r="GIB44" s="78"/>
      <c r="GIC44" s="78"/>
      <c r="GID44" s="78"/>
      <c r="GIE44" s="78"/>
      <c r="GIF44" s="78"/>
      <c r="GIG44" s="78"/>
      <c r="GIH44" s="78"/>
      <c r="GII44" s="78"/>
      <c r="GIJ44" s="78"/>
      <c r="GIK44" s="78"/>
      <c r="GIL44" s="78"/>
      <c r="GIM44" s="78"/>
      <c r="GIN44" s="78"/>
      <c r="GIO44" s="78"/>
      <c r="GIP44" s="78"/>
      <c r="GIQ44" s="78"/>
      <c r="GIR44" s="78"/>
      <c r="GIS44" s="78"/>
      <c r="GIT44" s="78"/>
      <c r="GIU44" s="78"/>
      <c r="GIV44" s="78"/>
      <c r="GIW44" s="78"/>
      <c r="GIX44" s="78"/>
      <c r="GIY44" s="78"/>
      <c r="GIZ44" s="78"/>
      <c r="GJA44" s="78"/>
      <c r="GJB44" s="78"/>
      <c r="GJC44" s="78"/>
      <c r="GJD44" s="78"/>
      <c r="GJE44" s="78"/>
      <c r="GJF44" s="78"/>
      <c r="GJG44" s="78"/>
      <c r="GJH44" s="78"/>
      <c r="GJI44" s="78"/>
      <c r="GJJ44" s="78"/>
      <c r="GJK44" s="78"/>
      <c r="GJL44" s="78"/>
      <c r="GJM44" s="78"/>
      <c r="GJN44" s="78"/>
      <c r="GJO44" s="78"/>
      <c r="GJP44" s="78"/>
      <c r="GJQ44" s="78"/>
      <c r="GJR44" s="78"/>
      <c r="GJS44" s="78"/>
      <c r="GJT44" s="78"/>
      <c r="GJU44" s="78"/>
      <c r="GJV44" s="78"/>
      <c r="GJW44" s="78"/>
      <c r="GJX44" s="78"/>
      <c r="GJY44" s="78"/>
      <c r="GJZ44" s="78"/>
      <c r="GKA44" s="78"/>
      <c r="GKB44" s="78"/>
      <c r="GKC44" s="78"/>
      <c r="GKD44" s="78"/>
      <c r="GKE44" s="78"/>
      <c r="GKF44" s="78"/>
      <c r="GKG44" s="78"/>
      <c r="GKH44" s="78"/>
      <c r="GKI44" s="78"/>
      <c r="GKJ44" s="78"/>
      <c r="GKK44" s="78"/>
      <c r="GKL44" s="78"/>
      <c r="GKM44" s="78"/>
      <c r="GKN44" s="78"/>
      <c r="GKO44" s="78"/>
      <c r="GKP44" s="78"/>
      <c r="GKQ44" s="78"/>
      <c r="GKR44" s="78"/>
      <c r="GKS44" s="78"/>
      <c r="GKT44" s="78"/>
      <c r="GKU44" s="78"/>
      <c r="GKV44" s="78"/>
      <c r="GKW44" s="78"/>
      <c r="GKX44" s="78"/>
      <c r="GKY44" s="78"/>
      <c r="GKZ44" s="78"/>
      <c r="GLA44" s="78"/>
      <c r="GLB44" s="78"/>
      <c r="GLC44" s="78"/>
      <c r="GLD44" s="78"/>
      <c r="GLE44" s="78"/>
      <c r="GLF44" s="78"/>
      <c r="GLG44" s="78"/>
      <c r="GLH44" s="78"/>
      <c r="GLI44" s="78"/>
      <c r="GLJ44" s="78"/>
      <c r="GLK44" s="78"/>
      <c r="GLL44" s="78"/>
      <c r="GLM44" s="78"/>
      <c r="GLN44" s="78"/>
      <c r="GLO44" s="78"/>
      <c r="GLP44" s="78"/>
      <c r="GLQ44" s="78"/>
      <c r="GLR44" s="78"/>
      <c r="GLS44" s="78"/>
      <c r="GLT44" s="78"/>
      <c r="GLU44" s="78"/>
      <c r="GLV44" s="78"/>
      <c r="GLW44" s="78"/>
      <c r="GLX44" s="78"/>
      <c r="GLY44" s="78"/>
      <c r="GLZ44" s="78"/>
      <c r="GMA44" s="78"/>
      <c r="GMB44" s="78"/>
      <c r="GMC44" s="78"/>
      <c r="GMD44" s="78"/>
      <c r="GME44" s="78"/>
      <c r="GMF44" s="78"/>
      <c r="GMG44" s="78"/>
      <c r="GMH44" s="78"/>
      <c r="GMI44" s="78"/>
      <c r="GMJ44" s="78"/>
      <c r="GMK44" s="78"/>
      <c r="GML44" s="78"/>
      <c r="GMM44" s="78"/>
      <c r="GMN44" s="78"/>
      <c r="GMO44" s="78"/>
      <c r="GMP44" s="78"/>
      <c r="GMQ44" s="78"/>
      <c r="GMR44" s="78"/>
      <c r="GMS44" s="78"/>
      <c r="GMT44" s="78"/>
      <c r="GMU44" s="78"/>
      <c r="GMV44" s="78"/>
      <c r="GMW44" s="78"/>
      <c r="GMX44" s="78"/>
      <c r="GMY44" s="78"/>
      <c r="GMZ44" s="78"/>
      <c r="GNA44" s="78"/>
      <c r="GNB44" s="78"/>
      <c r="GNC44" s="78"/>
      <c r="GND44" s="78"/>
      <c r="GNE44" s="78"/>
      <c r="GNF44" s="78"/>
      <c r="GNG44" s="78"/>
      <c r="GNH44" s="78"/>
      <c r="GNI44" s="78"/>
      <c r="GNJ44" s="78"/>
      <c r="GNK44" s="78"/>
      <c r="GNL44" s="78"/>
      <c r="GNM44" s="78"/>
      <c r="GNN44" s="78"/>
      <c r="GNO44" s="78"/>
      <c r="GNP44" s="78"/>
      <c r="GNQ44" s="78"/>
      <c r="GNR44" s="78"/>
      <c r="GNS44" s="78"/>
      <c r="GNT44" s="78"/>
      <c r="GNU44" s="78"/>
      <c r="GNV44" s="78"/>
      <c r="GNW44" s="78"/>
      <c r="GNX44" s="78"/>
      <c r="GNY44" s="78"/>
      <c r="GNZ44" s="78"/>
      <c r="GOA44" s="78"/>
      <c r="GOB44" s="78"/>
      <c r="GOC44" s="78"/>
      <c r="GOD44" s="78"/>
      <c r="GOE44" s="78"/>
      <c r="GOF44" s="78"/>
      <c r="GOG44" s="78"/>
      <c r="GOH44" s="78"/>
      <c r="GOI44" s="78"/>
      <c r="GOJ44" s="78"/>
      <c r="GOK44" s="78"/>
      <c r="GOL44" s="78"/>
      <c r="GOM44" s="78"/>
      <c r="GON44" s="78"/>
      <c r="GOO44" s="78"/>
      <c r="GOP44" s="78"/>
      <c r="GOQ44" s="78"/>
      <c r="GOR44" s="78"/>
      <c r="GOS44" s="78"/>
      <c r="GOT44" s="78"/>
      <c r="GOU44" s="78"/>
      <c r="GOV44" s="78"/>
      <c r="GOW44" s="78"/>
      <c r="GOX44" s="78"/>
      <c r="GOY44" s="78"/>
      <c r="GOZ44" s="78"/>
      <c r="GPA44" s="78"/>
      <c r="GPB44" s="78"/>
      <c r="GPC44" s="78"/>
      <c r="GPD44" s="78"/>
      <c r="GPE44" s="78"/>
      <c r="GPF44" s="78"/>
      <c r="GPG44" s="78"/>
      <c r="GPH44" s="78"/>
      <c r="GPI44" s="78"/>
      <c r="GPJ44" s="78"/>
      <c r="GPK44" s="78"/>
      <c r="GPL44" s="78"/>
      <c r="GPM44" s="78"/>
      <c r="GPN44" s="78"/>
      <c r="GPO44" s="78"/>
      <c r="GPP44" s="78"/>
      <c r="GPQ44" s="78"/>
      <c r="GPR44" s="78"/>
      <c r="GPS44" s="78"/>
      <c r="GPT44" s="78"/>
      <c r="GPU44" s="78"/>
      <c r="GPV44" s="78"/>
      <c r="GPW44" s="78"/>
      <c r="GPX44" s="78"/>
      <c r="GPY44" s="78"/>
      <c r="GPZ44" s="78"/>
      <c r="GQA44" s="78"/>
      <c r="GQB44" s="78"/>
      <c r="GQC44" s="78"/>
      <c r="GQD44" s="78"/>
      <c r="GQE44" s="78"/>
      <c r="GQF44" s="78"/>
      <c r="GQG44" s="78"/>
      <c r="GQH44" s="78"/>
      <c r="GQI44" s="78"/>
      <c r="GQJ44" s="78"/>
      <c r="GQK44" s="78"/>
      <c r="GQL44" s="78"/>
      <c r="GQM44" s="78"/>
      <c r="GQN44" s="78"/>
      <c r="GQO44" s="78"/>
      <c r="GQP44" s="78"/>
      <c r="GQQ44" s="78"/>
      <c r="GQR44" s="78"/>
      <c r="GQS44" s="78"/>
      <c r="GQT44" s="78"/>
      <c r="GQU44" s="78"/>
      <c r="GQV44" s="78"/>
      <c r="GQW44" s="78"/>
      <c r="GQX44" s="78"/>
      <c r="GQY44" s="78"/>
      <c r="GQZ44" s="78"/>
      <c r="GRA44" s="78"/>
      <c r="GRB44" s="78"/>
      <c r="GRC44" s="78"/>
      <c r="GRD44" s="78"/>
      <c r="GRE44" s="78"/>
      <c r="GRF44" s="78"/>
      <c r="GRG44" s="78"/>
      <c r="GRH44" s="78"/>
      <c r="GRI44" s="78"/>
      <c r="GRJ44" s="78"/>
      <c r="GRK44" s="78"/>
      <c r="GRL44" s="78"/>
      <c r="GRM44" s="78"/>
      <c r="GRN44" s="78"/>
      <c r="GRO44" s="78"/>
      <c r="GRP44" s="78"/>
      <c r="GRQ44" s="78"/>
      <c r="GRR44" s="78"/>
      <c r="GRS44" s="78"/>
      <c r="GRT44" s="78"/>
      <c r="GRU44" s="78"/>
      <c r="GRV44" s="78"/>
      <c r="GRW44" s="78"/>
      <c r="GRX44" s="78"/>
      <c r="GRY44" s="78"/>
      <c r="GRZ44" s="78"/>
      <c r="GSA44" s="78"/>
      <c r="GSB44" s="78"/>
      <c r="GSC44" s="78"/>
      <c r="GSD44" s="78"/>
      <c r="GSE44" s="78"/>
      <c r="GSF44" s="78"/>
      <c r="GSG44" s="78"/>
      <c r="GSH44" s="78"/>
      <c r="GSI44" s="78"/>
      <c r="GSJ44" s="78"/>
      <c r="GSK44" s="78"/>
      <c r="GSL44" s="78"/>
      <c r="GSM44" s="78"/>
      <c r="GSN44" s="78"/>
      <c r="GSO44" s="78"/>
      <c r="GSP44" s="78"/>
      <c r="GSQ44" s="78"/>
      <c r="GSR44" s="78"/>
      <c r="GSS44" s="78"/>
      <c r="GST44" s="78"/>
      <c r="GSU44" s="78"/>
      <c r="GSV44" s="78"/>
      <c r="GSW44" s="78"/>
      <c r="GSX44" s="78"/>
      <c r="GSY44" s="78"/>
      <c r="GSZ44" s="78"/>
      <c r="GTA44" s="78"/>
      <c r="GTB44" s="78"/>
      <c r="GTC44" s="78"/>
      <c r="GTD44" s="78"/>
      <c r="GTE44" s="78"/>
      <c r="GTF44" s="78"/>
      <c r="GTG44" s="78"/>
      <c r="GTH44" s="78"/>
      <c r="GTI44" s="78"/>
      <c r="GTJ44" s="78"/>
      <c r="GTK44" s="78"/>
      <c r="GTL44" s="78"/>
      <c r="GTM44" s="78"/>
      <c r="GTN44" s="78"/>
      <c r="GTO44" s="78"/>
      <c r="GTP44" s="78"/>
      <c r="GTQ44" s="78"/>
      <c r="GTR44" s="78"/>
      <c r="GTS44" s="78"/>
      <c r="GTT44" s="78"/>
      <c r="GTU44" s="78"/>
      <c r="GTV44" s="78"/>
      <c r="GTW44" s="78"/>
      <c r="GTX44" s="78"/>
      <c r="GTY44" s="78"/>
      <c r="GTZ44" s="78"/>
      <c r="GUA44" s="78"/>
      <c r="GUB44" s="78"/>
      <c r="GUC44" s="78"/>
      <c r="GUD44" s="78"/>
      <c r="GUE44" s="78"/>
      <c r="GUF44" s="78"/>
      <c r="GUG44" s="78"/>
      <c r="GUH44" s="78"/>
      <c r="GUI44" s="78"/>
      <c r="GUJ44" s="78"/>
      <c r="GUK44" s="78"/>
      <c r="GUL44" s="78"/>
      <c r="GUM44" s="78"/>
      <c r="GUN44" s="78"/>
      <c r="GUO44" s="78"/>
      <c r="GUP44" s="78"/>
      <c r="GUQ44" s="78"/>
      <c r="GUR44" s="78"/>
      <c r="GUS44" s="78"/>
      <c r="GUT44" s="78"/>
      <c r="GUU44" s="78"/>
      <c r="GUV44" s="78"/>
      <c r="GUW44" s="78"/>
      <c r="GUX44" s="78"/>
      <c r="GUY44" s="78"/>
      <c r="GUZ44" s="78"/>
      <c r="GVA44" s="78"/>
      <c r="GVB44" s="78"/>
      <c r="GVC44" s="78"/>
      <c r="GVD44" s="78"/>
      <c r="GVE44" s="78"/>
      <c r="GVF44" s="78"/>
      <c r="GVG44" s="78"/>
      <c r="GVH44" s="78"/>
      <c r="GVI44" s="78"/>
      <c r="GVJ44" s="78"/>
      <c r="GVK44" s="78"/>
      <c r="GVL44" s="78"/>
      <c r="GVM44" s="78"/>
      <c r="GVN44" s="78"/>
      <c r="GVO44" s="78"/>
      <c r="GVP44" s="78"/>
      <c r="GVQ44" s="78"/>
      <c r="GVR44" s="78"/>
      <c r="GVS44" s="78"/>
      <c r="GVT44" s="78"/>
      <c r="GVU44" s="78"/>
      <c r="GVV44" s="78"/>
      <c r="GVW44" s="78"/>
      <c r="GVX44" s="78"/>
      <c r="GVY44" s="78"/>
      <c r="GVZ44" s="78"/>
      <c r="GWA44" s="78"/>
      <c r="GWB44" s="78"/>
      <c r="GWC44" s="78"/>
      <c r="GWD44" s="78"/>
      <c r="GWE44" s="78"/>
      <c r="GWF44" s="78"/>
      <c r="GWG44" s="78"/>
      <c r="GWH44" s="78"/>
      <c r="GWI44" s="78"/>
      <c r="GWJ44" s="78"/>
      <c r="GWK44" s="78"/>
      <c r="GWL44" s="78"/>
      <c r="GWM44" s="78"/>
      <c r="GWN44" s="78"/>
      <c r="GWO44" s="78"/>
      <c r="GWP44" s="78"/>
      <c r="GWQ44" s="78"/>
      <c r="GWR44" s="78"/>
      <c r="GWS44" s="78"/>
      <c r="GWT44" s="78"/>
      <c r="GWU44" s="78"/>
      <c r="GWV44" s="78"/>
      <c r="GWW44" s="78"/>
      <c r="GWX44" s="78"/>
      <c r="GWY44" s="78"/>
      <c r="GWZ44" s="78"/>
      <c r="GXA44" s="78"/>
      <c r="GXB44" s="78"/>
      <c r="GXC44" s="78"/>
      <c r="GXD44" s="78"/>
      <c r="GXE44" s="78"/>
      <c r="GXF44" s="78"/>
      <c r="GXG44" s="78"/>
      <c r="GXH44" s="78"/>
      <c r="GXI44" s="78"/>
      <c r="GXJ44" s="78"/>
      <c r="GXK44" s="78"/>
      <c r="GXL44" s="78"/>
      <c r="GXM44" s="78"/>
      <c r="GXN44" s="78"/>
      <c r="GXO44" s="78"/>
      <c r="GXP44" s="78"/>
      <c r="GXQ44" s="78"/>
      <c r="GXR44" s="78"/>
      <c r="GXS44" s="78"/>
      <c r="GXT44" s="78"/>
      <c r="GXU44" s="78"/>
      <c r="GXV44" s="78"/>
      <c r="GXW44" s="78"/>
      <c r="GXX44" s="78"/>
      <c r="GXY44" s="78"/>
      <c r="GXZ44" s="78"/>
      <c r="GYA44" s="78"/>
      <c r="GYB44" s="78"/>
      <c r="GYC44" s="78"/>
      <c r="GYD44" s="78"/>
      <c r="GYE44" s="78"/>
      <c r="GYF44" s="78"/>
      <c r="GYG44" s="78"/>
      <c r="GYH44" s="78"/>
      <c r="GYI44" s="78"/>
      <c r="GYJ44" s="78"/>
      <c r="GYK44" s="78"/>
      <c r="GYL44" s="78"/>
      <c r="GYM44" s="78"/>
      <c r="GYN44" s="78"/>
      <c r="GYO44" s="78"/>
      <c r="GYP44" s="78"/>
      <c r="GYQ44" s="78"/>
      <c r="GYR44" s="78"/>
      <c r="GYS44" s="78"/>
      <c r="GYT44" s="78"/>
      <c r="GYU44" s="78"/>
      <c r="GYV44" s="78"/>
      <c r="GYW44" s="78"/>
      <c r="GYX44" s="78"/>
      <c r="GYY44" s="78"/>
      <c r="GYZ44" s="78"/>
      <c r="GZA44" s="78"/>
      <c r="GZB44" s="78"/>
      <c r="GZC44" s="78"/>
      <c r="GZD44" s="78"/>
      <c r="GZE44" s="78"/>
      <c r="GZF44" s="78"/>
      <c r="GZG44" s="78"/>
      <c r="GZH44" s="78"/>
      <c r="GZI44" s="78"/>
      <c r="GZJ44" s="78"/>
      <c r="GZK44" s="78"/>
      <c r="GZL44" s="78"/>
      <c r="GZM44" s="78"/>
      <c r="GZN44" s="78"/>
      <c r="GZO44" s="78"/>
      <c r="GZP44" s="78"/>
      <c r="GZQ44" s="78"/>
      <c r="GZR44" s="78"/>
      <c r="GZS44" s="78"/>
      <c r="GZT44" s="78"/>
      <c r="GZU44" s="78"/>
      <c r="GZV44" s="78"/>
      <c r="GZW44" s="78"/>
      <c r="GZX44" s="78"/>
      <c r="GZY44" s="78"/>
      <c r="GZZ44" s="78"/>
      <c r="HAA44" s="78"/>
      <c r="HAB44" s="78"/>
      <c r="HAC44" s="78"/>
      <c r="HAD44" s="78"/>
      <c r="HAE44" s="78"/>
      <c r="HAF44" s="78"/>
      <c r="HAG44" s="78"/>
      <c r="HAH44" s="78"/>
      <c r="HAI44" s="78"/>
      <c r="HAJ44" s="78"/>
      <c r="HAK44" s="78"/>
      <c r="HAL44" s="78"/>
      <c r="HAM44" s="78"/>
      <c r="HAN44" s="78"/>
      <c r="HAO44" s="78"/>
      <c r="HAP44" s="78"/>
      <c r="HAQ44" s="78"/>
      <c r="HAR44" s="78"/>
      <c r="HAS44" s="78"/>
      <c r="HAT44" s="78"/>
      <c r="HAU44" s="78"/>
      <c r="HAV44" s="78"/>
      <c r="HAW44" s="78"/>
      <c r="HAX44" s="78"/>
      <c r="HAY44" s="78"/>
      <c r="HAZ44" s="78"/>
      <c r="HBA44" s="78"/>
      <c r="HBB44" s="78"/>
      <c r="HBC44" s="78"/>
      <c r="HBD44" s="78"/>
      <c r="HBE44" s="78"/>
      <c r="HBF44" s="78"/>
      <c r="HBG44" s="78"/>
      <c r="HBH44" s="78"/>
      <c r="HBI44" s="78"/>
      <c r="HBJ44" s="78"/>
      <c r="HBK44" s="78"/>
      <c r="HBL44" s="78"/>
      <c r="HBM44" s="78"/>
      <c r="HBN44" s="78"/>
      <c r="HBO44" s="78"/>
      <c r="HBP44" s="78"/>
      <c r="HBQ44" s="78"/>
      <c r="HBR44" s="78"/>
      <c r="HBS44" s="78"/>
      <c r="HBT44" s="78"/>
      <c r="HBU44" s="78"/>
      <c r="HBV44" s="78"/>
      <c r="HBW44" s="78"/>
      <c r="HBX44" s="78"/>
      <c r="HBY44" s="78"/>
      <c r="HBZ44" s="78"/>
      <c r="HCA44" s="78"/>
      <c r="HCB44" s="78"/>
      <c r="HCC44" s="78"/>
      <c r="HCD44" s="78"/>
      <c r="HCE44" s="78"/>
      <c r="HCF44" s="78"/>
      <c r="HCG44" s="78"/>
      <c r="HCH44" s="78"/>
      <c r="HCI44" s="78"/>
      <c r="HCJ44" s="78"/>
      <c r="HCK44" s="78"/>
      <c r="HCL44" s="78"/>
      <c r="HCM44" s="78"/>
      <c r="HCN44" s="78"/>
      <c r="HCO44" s="78"/>
      <c r="HCP44" s="78"/>
      <c r="HCQ44" s="78"/>
      <c r="HCR44" s="78"/>
      <c r="HCS44" s="78"/>
      <c r="HCT44" s="78"/>
      <c r="HCU44" s="78"/>
      <c r="HCV44" s="78"/>
      <c r="HCW44" s="78"/>
      <c r="HCX44" s="78"/>
      <c r="HCY44" s="78"/>
      <c r="HCZ44" s="78"/>
      <c r="HDA44" s="78"/>
      <c r="HDB44" s="78"/>
      <c r="HDC44" s="78"/>
      <c r="HDD44" s="78"/>
      <c r="HDE44" s="78"/>
      <c r="HDF44" s="78"/>
      <c r="HDG44" s="78"/>
      <c r="HDH44" s="78"/>
      <c r="HDI44" s="78"/>
      <c r="HDJ44" s="78"/>
      <c r="HDK44" s="78"/>
      <c r="HDL44" s="78"/>
      <c r="HDM44" s="78"/>
      <c r="HDN44" s="78"/>
      <c r="HDO44" s="78"/>
      <c r="HDP44" s="78"/>
      <c r="HDQ44" s="78"/>
      <c r="HDR44" s="78"/>
      <c r="HDS44" s="78"/>
      <c r="HDT44" s="78"/>
      <c r="HDU44" s="78"/>
      <c r="HDV44" s="78"/>
      <c r="HDW44" s="78"/>
      <c r="HDX44" s="78"/>
      <c r="HDY44" s="78"/>
      <c r="HDZ44" s="78"/>
      <c r="HEA44" s="78"/>
      <c r="HEB44" s="78"/>
      <c r="HEC44" s="78"/>
      <c r="HED44" s="78"/>
      <c r="HEE44" s="78"/>
      <c r="HEF44" s="78"/>
      <c r="HEG44" s="78"/>
      <c r="HEH44" s="78"/>
      <c r="HEI44" s="78"/>
      <c r="HEJ44" s="78"/>
      <c r="HEK44" s="78"/>
      <c r="HEL44" s="78"/>
      <c r="HEM44" s="78"/>
      <c r="HEN44" s="78"/>
      <c r="HEO44" s="78"/>
      <c r="HEP44" s="78"/>
      <c r="HEQ44" s="78"/>
      <c r="HER44" s="78"/>
      <c r="HES44" s="78"/>
      <c r="HET44" s="78"/>
      <c r="HEU44" s="78"/>
      <c r="HEV44" s="78"/>
      <c r="HEW44" s="78"/>
      <c r="HEX44" s="78"/>
      <c r="HEY44" s="78"/>
      <c r="HEZ44" s="78"/>
      <c r="HFA44" s="78"/>
      <c r="HFB44" s="78"/>
      <c r="HFC44" s="78"/>
      <c r="HFD44" s="78"/>
      <c r="HFE44" s="78"/>
      <c r="HFF44" s="78"/>
      <c r="HFG44" s="78"/>
      <c r="HFH44" s="78"/>
      <c r="HFI44" s="78"/>
      <c r="HFJ44" s="78"/>
      <c r="HFK44" s="78"/>
      <c r="HFL44" s="78"/>
      <c r="HFM44" s="78"/>
      <c r="HFN44" s="78"/>
      <c r="HFO44" s="78"/>
      <c r="HFP44" s="78"/>
      <c r="HFQ44" s="78"/>
      <c r="HFR44" s="78"/>
      <c r="HFS44" s="78"/>
      <c r="HFT44" s="78"/>
      <c r="HFU44" s="78"/>
      <c r="HFV44" s="78"/>
      <c r="HFW44" s="78"/>
      <c r="HFX44" s="78"/>
      <c r="HFY44" s="78"/>
      <c r="HFZ44" s="78"/>
      <c r="HGA44" s="78"/>
      <c r="HGB44" s="78"/>
      <c r="HGC44" s="78"/>
      <c r="HGD44" s="78"/>
      <c r="HGE44" s="78"/>
      <c r="HGF44" s="78"/>
      <c r="HGG44" s="78"/>
      <c r="HGH44" s="78"/>
      <c r="HGI44" s="78"/>
      <c r="HGJ44" s="78"/>
      <c r="HGK44" s="78"/>
      <c r="HGL44" s="78"/>
      <c r="HGM44" s="78"/>
      <c r="HGN44" s="78"/>
      <c r="HGO44" s="78"/>
      <c r="HGP44" s="78"/>
      <c r="HGQ44" s="78"/>
      <c r="HGR44" s="78"/>
      <c r="HGS44" s="78"/>
      <c r="HGT44" s="78"/>
      <c r="HGU44" s="78"/>
      <c r="HGV44" s="78"/>
      <c r="HGW44" s="78"/>
      <c r="HGX44" s="78"/>
      <c r="HGY44" s="78"/>
      <c r="HGZ44" s="78"/>
      <c r="HHA44" s="78"/>
      <c r="HHB44" s="78"/>
      <c r="HHC44" s="78"/>
      <c r="HHD44" s="78"/>
      <c r="HHE44" s="78"/>
      <c r="HHF44" s="78"/>
      <c r="HHG44" s="78"/>
      <c r="HHH44" s="78"/>
      <c r="HHI44" s="78"/>
      <c r="HHJ44" s="78"/>
      <c r="HHK44" s="78"/>
      <c r="HHL44" s="78"/>
      <c r="HHM44" s="78"/>
      <c r="HHN44" s="78"/>
      <c r="HHO44" s="78"/>
      <c r="HHP44" s="78"/>
      <c r="HHQ44" s="78"/>
      <c r="HHR44" s="78"/>
      <c r="HHS44" s="78"/>
      <c r="HHT44" s="78"/>
      <c r="HHU44" s="78"/>
      <c r="HHV44" s="78"/>
      <c r="HHW44" s="78"/>
      <c r="HHX44" s="78"/>
      <c r="HHY44" s="78"/>
      <c r="HHZ44" s="78"/>
      <c r="HIA44" s="78"/>
      <c r="HIB44" s="78"/>
      <c r="HIC44" s="78"/>
      <c r="HID44" s="78"/>
      <c r="HIE44" s="78"/>
      <c r="HIF44" s="78"/>
      <c r="HIG44" s="78"/>
      <c r="HIH44" s="78"/>
      <c r="HII44" s="78"/>
      <c r="HIJ44" s="78"/>
      <c r="HIK44" s="78"/>
      <c r="HIL44" s="78"/>
      <c r="HIM44" s="78"/>
      <c r="HIN44" s="78"/>
      <c r="HIO44" s="78"/>
      <c r="HIP44" s="78"/>
      <c r="HIQ44" s="78"/>
      <c r="HIR44" s="78"/>
      <c r="HIS44" s="78"/>
      <c r="HIT44" s="78"/>
      <c r="HIU44" s="78"/>
      <c r="HIV44" s="78"/>
      <c r="HIW44" s="78"/>
      <c r="HIX44" s="78"/>
      <c r="HIY44" s="78"/>
      <c r="HIZ44" s="78"/>
      <c r="HJA44" s="78"/>
      <c r="HJB44" s="78"/>
      <c r="HJC44" s="78"/>
      <c r="HJD44" s="78"/>
      <c r="HJE44" s="78"/>
      <c r="HJF44" s="78"/>
      <c r="HJG44" s="78"/>
      <c r="HJH44" s="78"/>
      <c r="HJI44" s="78"/>
      <c r="HJJ44" s="78"/>
      <c r="HJK44" s="78"/>
      <c r="HJL44" s="78"/>
      <c r="HJM44" s="78"/>
      <c r="HJN44" s="78"/>
      <c r="HJO44" s="78"/>
      <c r="HJP44" s="78"/>
      <c r="HJQ44" s="78"/>
      <c r="HJR44" s="78"/>
      <c r="HJS44" s="78"/>
      <c r="HJT44" s="78"/>
      <c r="HJU44" s="78"/>
      <c r="HJV44" s="78"/>
      <c r="HJW44" s="78"/>
      <c r="HJX44" s="78"/>
      <c r="HJY44" s="78"/>
      <c r="HJZ44" s="78"/>
      <c r="HKA44" s="78"/>
      <c r="HKB44" s="78"/>
      <c r="HKC44" s="78"/>
      <c r="HKD44" s="78"/>
      <c r="HKE44" s="78"/>
      <c r="HKF44" s="78"/>
      <c r="HKG44" s="78"/>
      <c r="HKH44" s="78"/>
      <c r="HKI44" s="78"/>
      <c r="HKJ44" s="78"/>
      <c r="HKK44" s="78"/>
      <c r="HKL44" s="78"/>
      <c r="HKM44" s="78"/>
      <c r="HKN44" s="78"/>
      <c r="HKO44" s="78"/>
      <c r="HKP44" s="78"/>
      <c r="HKQ44" s="78"/>
      <c r="HKR44" s="78"/>
      <c r="HKS44" s="78"/>
      <c r="HKT44" s="78"/>
      <c r="HKU44" s="78"/>
      <c r="HKV44" s="78"/>
      <c r="HKW44" s="78"/>
      <c r="HKX44" s="78"/>
      <c r="HKY44" s="78"/>
      <c r="HKZ44" s="78"/>
      <c r="HLA44" s="78"/>
      <c r="HLB44" s="78"/>
      <c r="HLC44" s="78"/>
      <c r="HLD44" s="78"/>
      <c r="HLE44" s="78"/>
      <c r="HLF44" s="78"/>
      <c r="HLG44" s="78"/>
      <c r="HLH44" s="78"/>
      <c r="HLI44" s="78"/>
      <c r="HLJ44" s="78"/>
      <c r="HLK44" s="78"/>
      <c r="HLL44" s="78"/>
      <c r="HLM44" s="78"/>
      <c r="HLN44" s="78"/>
      <c r="HLO44" s="78"/>
      <c r="HLP44" s="78"/>
      <c r="HLQ44" s="78"/>
      <c r="HLR44" s="78"/>
      <c r="HLS44" s="78"/>
      <c r="HLT44" s="78"/>
      <c r="HLU44" s="78"/>
      <c r="HLV44" s="78"/>
      <c r="HLW44" s="78"/>
      <c r="HLX44" s="78"/>
      <c r="HLY44" s="78"/>
      <c r="HLZ44" s="78"/>
      <c r="HMA44" s="78"/>
      <c r="HMB44" s="78"/>
      <c r="HMC44" s="78"/>
      <c r="HMD44" s="78"/>
      <c r="HME44" s="78"/>
      <c r="HMF44" s="78"/>
      <c r="HMG44" s="78"/>
      <c r="HMH44" s="78"/>
      <c r="HMI44" s="78"/>
      <c r="HMJ44" s="78"/>
      <c r="HMK44" s="78"/>
      <c r="HML44" s="78"/>
      <c r="HMM44" s="78"/>
      <c r="HMN44" s="78"/>
      <c r="HMO44" s="78"/>
      <c r="HMP44" s="78"/>
      <c r="HMQ44" s="78"/>
      <c r="HMR44" s="78"/>
      <c r="HMS44" s="78"/>
      <c r="HMT44" s="78"/>
      <c r="HMU44" s="78"/>
      <c r="HMV44" s="78"/>
      <c r="HMW44" s="78"/>
      <c r="HMX44" s="78"/>
      <c r="HMY44" s="78"/>
      <c r="HMZ44" s="78"/>
      <c r="HNA44" s="78"/>
      <c r="HNB44" s="78"/>
      <c r="HNC44" s="78"/>
      <c r="HND44" s="78"/>
      <c r="HNE44" s="78"/>
      <c r="HNF44" s="78"/>
      <c r="HNG44" s="78"/>
      <c r="HNH44" s="78"/>
      <c r="HNI44" s="78"/>
      <c r="HNJ44" s="78"/>
      <c r="HNK44" s="78"/>
      <c r="HNL44" s="78"/>
      <c r="HNM44" s="78"/>
      <c r="HNN44" s="78"/>
      <c r="HNO44" s="78"/>
      <c r="HNP44" s="78"/>
      <c r="HNQ44" s="78"/>
      <c r="HNR44" s="78"/>
      <c r="HNS44" s="78"/>
      <c r="HNT44" s="78"/>
      <c r="HNU44" s="78"/>
      <c r="HNV44" s="78"/>
      <c r="HNW44" s="78"/>
      <c r="HNX44" s="78"/>
      <c r="HNY44" s="78"/>
      <c r="HNZ44" s="78"/>
      <c r="HOA44" s="78"/>
      <c r="HOB44" s="78"/>
      <c r="HOC44" s="78"/>
      <c r="HOD44" s="78"/>
      <c r="HOE44" s="78"/>
      <c r="HOF44" s="78"/>
      <c r="HOG44" s="78"/>
      <c r="HOH44" s="78"/>
      <c r="HOI44" s="78"/>
      <c r="HOJ44" s="78"/>
      <c r="HOK44" s="78"/>
      <c r="HOL44" s="78"/>
      <c r="HOM44" s="78"/>
      <c r="HON44" s="78"/>
      <c r="HOO44" s="78"/>
      <c r="HOP44" s="78"/>
      <c r="HOQ44" s="78"/>
      <c r="HOR44" s="78"/>
      <c r="HOS44" s="78"/>
      <c r="HOT44" s="78"/>
      <c r="HOU44" s="78"/>
      <c r="HOV44" s="78"/>
      <c r="HOW44" s="78"/>
      <c r="HOX44" s="78"/>
      <c r="HOY44" s="78"/>
      <c r="HOZ44" s="78"/>
      <c r="HPA44" s="78"/>
      <c r="HPB44" s="78"/>
      <c r="HPC44" s="78"/>
      <c r="HPD44" s="78"/>
      <c r="HPE44" s="78"/>
      <c r="HPF44" s="78"/>
      <c r="HPG44" s="78"/>
      <c r="HPH44" s="78"/>
      <c r="HPI44" s="78"/>
      <c r="HPJ44" s="78"/>
      <c r="HPK44" s="78"/>
      <c r="HPL44" s="78"/>
      <c r="HPM44" s="78"/>
      <c r="HPN44" s="78"/>
      <c r="HPO44" s="78"/>
      <c r="HPP44" s="78"/>
      <c r="HPQ44" s="78"/>
      <c r="HPR44" s="78"/>
      <c r="HPS44" s="78"/>
      <c r="HPT44" s="78"/>
      <c r="HPU44" s="78"/>
      <c r="HPV44" s="78"/>
      <c r="HPW44" s="78"/>
      <c r="HPX44" s="78"/>
      <c r="HPY44" s="78"/>
      <c r="HPZ44" s="78"/>
      <c r="HQA44" s="78"/>
      <c r="HQB44" s="78"/>
      <c r="HQC44" s="78"/>
      <c r="HQD44" s="78"/>
      <c r="HQE44" s="78"/>
      <c r="HQF44" s="78"/>
      <c r="HQG44" s="78"/>
      <c r="HQH44" s="78"/>
      <c r="HQI44" s="78"/>
      <c r="HQJ44" s="78"/>
      <c r="HQK44" s="78"/>
      <c r="HQL44" s="78"/>
      <c r="HQM44" s="78"/>
      <c r="HQN44" s="78"/>
      <c r="HQO44" s="78"/>
      <c r="HQP44" s="78"/>
      <c r="HQQ44" s="78"/>
      <c r="HQR44" s="78"/>
      <c r="HQS44" s="78"/>
      <c r="HQT44" s="78"/>
      <c r="HQU44" s="78"/>
      <c r="HQV44" s="78"/>
      <c r="HQW44" s="78"/>
      <c r="HQX44" s="78"/>
      <c r="HQY44" s="78"/>
      <c r="HQZ44" s="78"/>
      <c r="HRA44" s="78"/>
      <c r="HRB44" s="78"/>
      <c r="HRC44" s="78"/>
      <c r="HRD44" s="78"/>
      <c r="HRE44" s="78"/>
      <c r="HRF44" s="78"/>
      <c r="HRG44" s="78"/>
      <c r="HRH44" s="78"/>
      <c r="HRI44" s="78"/>
      <c r="HRJ44" s="78"/>
      <c r="HRK44" s="78"/>
      <c r="HRL44" s="78"/>
      <c r="HRM44" s="78"/>
      <c r="HRN44" s="78"/>
      <c r="HRO44" s="78"/>
      <c r="HRP44" s="78"/>
      <c r="HRQ44" s="78"/>
      <c r="HRR44" s="78"/>
      <c r="HRS44" s="78"/>
      <c r="HRT44" s="78"/>
      <c r="HRU44" s="78"/>
      <c r="HRV44" s="78"/>
      <c r="HRW44" s="78"/>
      <c r="HRX44" s="78"/>
      <c r="HRY44" s="78"/>
      <c r="HRZ44" s="78"/>
      <c r="HSA44" s="78"/>
      <c r="HSB44" s="78"/>
      <c r="HSC44" s="78"/>
      <c r="HSD44" s="78"/>
      <c r="HSE44" s="78"/>
      <c r="HSF44" s="78"/>
      <c r="HSG44" s="78"/>
      <c r="HSH44" s="78"/>
      <c r="HSI44" s="78"/>
      <c r="HSJ44" s="78"/>
      <c r="HSK44" s="78"/>
      <c r="HSL44" s="78"/>
      <c r="HSM44" s="78"/>
      <c r="HSN44" s="78"/>
      <c r="HSO44" s="78"/>
      <c r="HSP44" s="78"/>
      <c r="HSQ44" s="78"/>
      <c r="HSR44" s="78"/>
      <c r="HSS44" s="78"/>
      <c r="HST44" s="78"/>
      <c r="HSU44" s="78"/>
      <c r="HSV44" s="78"/>
      <c r="HSW44" s="78"/>
      <c r="HSX44" s="78"/>
      <c r="HSY44" s="78"/>
      <c r="HSZ44" s="78"/>
      <c r="HTA44" s="78"/>
      <c r="HTB44" s="78"/>
      <c r="HTC44" s="78"/>
      <c r="HTD44" s="78"/>
      <c r="HTE44" s="78"/>
      <c r="HTF44" s="78"/>
      <c r="HTG44" s="78"/>
      <c r="HTH44" s="78"/>
      <c r="HTI44" s="78"/>
      <c r="HTJ44" s="78"/>
      <c r="HTK44" s="78"/>
      <c r="HTL44" s="78"/>
      <c r="HTM44" s="78"/>
      <c r="HTN44" s="78"/>
      <c r="HTO44" s="78"/>
      <c r="HTP44" s="78"/>
      <c r="HTQ44" s="78"/>
      <c r="HTR44" s="78"/>
      <c r="HTS44" s="78"/>
      <c r="HTT44" s="78"/>
      <c r="HTU44" s="78"/>
      <c r="HTV44" s="78"/>
      <c r="HTW44" s="78"/>
      <c r="HTX44" s="78"/>
      <c r="HTY44" s="78"/>
      <c r="HTZ44" s="78"/>
      <c r="HUA44" s="78"/>
      <c r="HUB44" s="78"/>
      <c r="HUC44" s="78"/>
      <c r="HUD44" s="78"/>
      <c r="HUE44" s="78"/>
      <c r="HUF44" s="78"/>
      <c r="HUG44" s="78"/>
      <c r="HUH44" s="78"/>
      <c r="HUI44" s="78"/>
      <c r="HUJ44" s="78"/>
      <c r="HUK44" s="78"/>
      <c r="HUL44" s="78"/>
      <c r="HUM44" s="78"/>
      <c r="HUN44" s="78"/>
      <c r="HUO44" s="78"/>
      <c r="HUP44" s="78"/>
      <c r="HUQ44" s="78"/>
      <c r="HUR44" s="78"/>
      <c r="HUS44" s="78"/>
      <c r="HUT44" s="78"/>
      <c r="HUU44" s="78"/>
      <c r="HUV44" s="78"/>
      <c r="HUW44" s="78"/>
      <c r="HUX44" s="78"/>
      <c r="HUY44" s="78"/>
      <c r="HUZ44" s="78"/>
      <c r="HVA44" s="78"/>
      <c r="HVB44" s="78"/>
      <c r="HVC44" s="78"/>
      <c r="HVD44" s="78"/>
      <c r="HVE44" s="78"/>
      <c r="HVF44" s="78"/>
      <c r="HVG44" s="78"/>
      <c r="HVH44" s="78"/>
      <c r="HVI44" s="78"/>
      <c r="HVJ44" s="78"/>
      <c r="HVK44" s="78"/>
      <c r="HVL44" s="78"/>
      <c r="HVM44" s="78"/>
      <c r="HVN44" s="78"/>
      <c r="HVO44" s="78"/>
      <c r="HVP44" s="78"/>
      <c r="HVQ44" s="78"/>
      <c r="HVR44" s="78"/>
      <c r="HVS44" s="78"/>
      <c r="HVT44" s="78"/>
      <c r="HVU44" s="78"/>
      <c r="HVV44" s="78"/>
      <c r="HVW44" s="78"/>
      <c r="HVX44" s="78"/>
      <c r="HVY44" s="78"/>
      <c r="HVZ44" s="78"/>
      <c r="HWA44" s="78"/>
      <c r="HWB44" s="78"/>
      <c r="HWC44" s="78"/>
      <c r="HWD44" s="78"/>
      <c r="HWE44" s="78"/>
      <c r="HWF44" s="78"/>
      <c r="HWG44" s="78"/>
      <c r="HWH44" s="78"/>
      <c r="HWI44" s="78"/>
      <c r="HWJ44" s="78"/>
      <c r="HWK44" s="78"/>
      <c r="HWL44" s="78"/>
      <c r="HWM44" s="78"/>
      <c r="HWN44" s="78"/>
      <c r="HWO44" s="78"/>
      <c r="HWP44" s="78"/>
      <c r="HWQ44" s="78"/>
      <c r="HWR44" s="78"/>
      <c r="HWS44" s="78"/>
      <c r="HWT44" s="78"/>
      <c r="HWU44" s="78"/>
      <c r="HWV44" s="78"/>
      <c r="HWW44" s="78"/>
      <c r="HWX44" s="78"/>
      <c r="HWY44" s="78"/>
      <c r="HWZ44" s="78"/>
      <c r="HXA44" s="78"/>
      <c r="HXB44" s="78"/>
      <c r="HXC44" s="78"/>
      <c r="HXD44" s="78"/>
      <c r="HXE44" s="78"/>
      <c r="HXF44" s="78"/>
      <c r="HXG44" s="78"/>
      <c r="HXH44" s="78"/>
      <c r="HXI44" s="78"/>
      <c r="HXJ44" s="78"/>
      <c r="HXK44" s="78"/>
      <c r="HXL44" s="78"/>
      <c r="HXM44" s="78"/>
      <c r="HXN44" s="78"/>
      <c r="HXO44" s="78"/>
      <c r="HXP44" s="78"/>
      <c r="HXQ44" s="78"/>
      <c r="HXR44" s="78"/>
      <c r="HXS44" s="78"/>
      <c r="HXT44" s="78"/>
      <c r="HXU44" s="78"/>
      <c r="HXV44" s="78"/>
      <c r="HXW44" s="78"/>
      <c r="HXX44" s="78"/>
      <c r="HXY44" s="78"/>
      <c r="HXZ44" s="78"/>
      <c r="HYA44" s="78"/>
      <c r="HYB44" s="78"/>
      <c r="HYC44" s="78"/>
      <c r="HYD44" s="78"/>
      <c r="HYE44" s="78"/>
      <c r="HYF44" s="78"/>
      <c r="HYG44" s="78"/>
      <c r="HYH44" s="78"/>
      <c r="HYI44" s="78"/>
      <c r="HYJ44" s="78"/>
      <c r="HYK44" s="78"/>
      <c r="HYL44" s="78"/>
      <c r="HYM44" s="78"/>
      <c r="HYN44" s="78"/>
      <c r="HYO44" s="78"/>
      <c r="HYP44" s="78"/>
      <c r="HYQ44" s="78"/>
      <c r="HYR44" s="78"/>
      <c r="HYS44" s="78"/>
      <c r="HYT44" s="78"/>
      <c r="HYU44" s="78"/>
      <c r="HYV44" s="78"/>
      <c r="HYW44" s="78"/>
      <c r="HYX44" s="78"/>
      <c r="HYY44" s="78"/>
      <c r="HYZ44" s="78"/>
      <c r="HZA44" s="78"/>
      <c r="HZB44" s="78"/>
      <c r="HZC44" s="78"/>
      <c r="HZD44" s="78"/>
      <c r="HZE44" s="78"/>
      <c r="HZF44" s="78"/>
      <c r="HZG44" s="78"/>
      <c r="HZH44" s="78"/>
      <c r="HZI44" s="78"/>
      <c r="HZJ44" s="78"/>
      <c r="HZK44" s="78"/>
      <c r="HZL44" s="78"/>
      <c r="HZM44" s="78"/>
      <c r="HZN44" s="78"/>
      <c r="HZO44" s="78"/>
      <c r="HZP44" s="78"/>
      <c r="HZQ44" s="78"/>
      <c r="HZR44" s="78"/>
      <c r="HZS44" s="78"/>
      <c r="HZT44" s="78"/>
      <c r="HZU44" s="78"/>
      <c r="HZV44" s="78"/>
      <c r="HZW44" s="78"/>
      <c r="HZX44" s="78"/>
      <c r="HZY44" s="78"/>
      <c r="HZZ44" s="78"/>
      <c r="IAA44" s="78"/>
      <c r="IAB44" s="78"/>
      <c r="IAC44" s="78"/>
      <c r="IAD44" s="78"/>
      <c r="IAE44" s="78"/>
      <c r="IAF44" s="78"/>
      <c r="IAG44" s="78"/>
      <c r="IAH44" s="78"/>
      <c r="IAI44" s="78"/>
      <c r="IAJ44" s="78"/>
      <c r="IAK44" s="78"/>
      <c r="IAL44" s="78"/>
      <c r="IAM44" s="78"/>
      <c r="IAN44" s="78"/>
      <c r="IAO44" s="78"/>
      <c r="IAP44" s="78"/>
      <c r="IAQ44" s="78"/>
      <c r="IAR44" s="78"/>
      <c r="IAS44" s="78"/>
      <c r="IAT44" s="78"/>
      <c r="IAU44" s="78"/>
      <c r="IAV44" s="78"/>
      <c r="IAW44" s="78"/>
      <c r="IAX44" s="78"/>
      <c r="IAY44" s="78"/>
      <c r="IAZ44" s="78"/>
      <c r="IBA44" s="78"/>
      <c r="IBB44" s="78"/>
      <c r="IBC44" s="78"/>
      <c r="IBD44" s="78"/>
      <c r="IBE44" s="78"/>
      <c r="IBF44" s="78"/>
      <c r="IBG44" s="78"/>
      <c r="IBH44" s="78"/>
      <c r="IBI44" s="78"/>
      <c r="IBJ44" s="78"/>
      <c r="IBK44" s="78"/>
      <c r="IBL44" s="78"/>
      <c r="IBM44" s="78"/>
      <c r="IBN44" s="78"/>
      <c r="IBO44" s="78"/>
      <c r="IBP44" s="78"/>
      <c r="IBQ44" s="78"/>
      <c r="IBR44" s="78"/>
      <c r="IBS44" s="78"/>
      <c r="IBT44" s="78"/>
      <c r="IBU44" s="78"/>
      <c r="IBV44" s="78"/>
      <c r="IBW44" s="78"/>
      <c r="IBX44" s="78"/>
      <c r="IBY44" s="78"/>
      <c r="IBZ44" s="78"/>
      <c r="ICA44" s="78"/>
      <c r="ICB44" s="78"/>
      <c r="ICC44" s="78"/>
      <c r="ICD44" s="78"/>
      <c r="ICE44" s="78"/>
      <c r="ICF44" s="78"/>
      <c r="ICG44" s="78"/>
      <c r="ICH44" s="78"/>
      <c r="ICI44" s="78"/>
      <c r="ICJ44" s="78"/>
      <c r="ICK44" s="78"/>
      <c r="ICL44" s="78"/>
      <c r="ICM44" s="78"/>
      <c r="ICN44" s="78"/>
      <c r="ICO44" s="78"/>
      <c r="ICP44" s="78"/>
      <c r="ICQ44" s="78"/>
      <c r="ICR44" s="78"/>
      <c r="ICS44" s="78"/>
      <c r="ICT44" s="78"/>
      <c r="ICU44" s="78"/>
      <c r="ICV44" s="78"/>
      <c r="ICW44" s="78"/>
      <c r="ICX44" s="78"/>
      <c r="ICY44" s="78"/>
      <c r="ICZ44" s="78"/>
      <c r="IDA44" s="78"/>
      <c r="IDB44" s="78"/>
      <c r="IDC44" s="78"/>
      <c r="IDD44" s="78"/>
      <c r="IDE44" s="78"/>
      <c r="IDF44" s="78"/>
      <c r="IDG44" s="78"/>
      <c r="IDH44" s="78"/>
      <c r="IDI44" s="78"/>
      <c r="IDJ44" s="78"/>
      <c r="IDK44" s="78"/>
      <c r="IDL44" s="78"/>
      <c r="IDM44" s="78"/>
      <c r="IDN44" s="78"/>
      <c r="IDO44" s="78"/>
      <c r="IDP44" s="78"/>
      <c r="IDQ44" s="78"/>
      <c r="IDR44" s="78"/>
      <c r="IDS44" s="78"/>
      <c r="IDT44" s="78"/>
      <c r="IDU44" s="78"/>
      <c r="IDV44" s="78"/>
      <c r="IDW44" s="78"/>
      <c r="IDX44" s="78"/>
      <c r="IDY44" s="78"/>
      <c r="IDZ44" s="78"/>
      <c r="IEA44" s="78"/>
      <c r="IEB44" s="78"/>
      <c r="IEC44" s="78"/>
      <c r="IED44" s="78"/>
      <c r="IEE44" s="78"/>
      <c r="IEF44" s="78"/>
      <c r="IEG44" s="78"/>
      <c r="IEH44" s="78"/>
      <c r="IEI44" s="78"/>
      <c r="IEJ44" s="78"/>
      <c r="IEK44" s="78"/>
      <c r="IEL44" s="78"/>
      <c r="IEM44" s="78"/>
      <c r="IEN44" s="78"/>
      <c r="IEO44" s="78"/>
      <c r="IEP44" s="78"/>
      <c r="IEQ44" s="78"/>
      <c r="IER44" s="78"/>
      <c r="IES44" s="78"/>
      <c r="IET44" s="78"/>
      <c r="IEU44" s="78"/>
      <c r="IEV44" s="78"/>
      <c r="IEW44" s="78"/>
      <c r="IEX44" s="78"/>
      <c r="IEY44" s="78"/>
      <c r="IEZ44" s="78"/>
      <c r="IFA44" s="78"/>
      <c r="IFB44" s="78"/>
      <c r="IFC44" s="78"/>
      <c r="IFD44" s="78"/>
      <c r="IFE44" s="78"/>
      <c r="IFF44" s="78"/>
      <c r="IFG44" s="78"/>
      <c r="IFH44" s="78"/>
      <c r="IFI44" s="78"/>
      <c r="IFJ44" s="78"/>
      <c r="IFK44" s="78"/>
      <c r="IFL44" s="78"/>
      <c r="IFM44" s="78"/>
      <c r="IFN44" s="78"/>
      <c r="IFO44" s="78"/>
      <c r="IFP44" s="78"/>
      <c r="IFQ44" s="78"/>
      <c r="IFR44" s="78"/>
      <c r="IFS44" s="78"/>
      <c r="IFT44" s="78"/>
      <c r="IFU44" s="78"/>
      <c r="IFV44" s="78"/>
      <c r="IFW44" s="78"/>
      <c r="IFX44" s="78"/>
      <c r="IFY44" s="78"/>
      <c r="IFZ44" s="78"/>
      <c r="IGA44" s="78"/>
      <c r="IGB44" s="78"/>
      <c r="IGC44" s="78"/>
      <c r="IGD44" s="78"/>
      <c r="IGE44" s="78"/>
      <c r="IGF44" s="78"/>
      <c r="IGG44" s="78"/>
      <c r="IGH44" s="78"/>
      <c r="IGI44" s="78"/>
      <c r="IGJ44" s="78"/>
      <c r="IGK44" s="78"/>
      <c r="IGL44" s="78"/>
      <c r="IGM44" s="78"/>
      <c r="IGN44" s="78"/>
      <c r="IGO44" s="78"/>
      <c r="IGP44" s="78"/>
      <c r="IGQ44" s="78"/>
      <c r="IGR44" s="78"/>
      <c r="IGS44" s="78"/>
      <c r="IGT44" s="78"/>
      <c r="IGU44" s="78"/>
      <c r="IGV44" s="78"/>
      <c r="IGW44" s="78"/>
      <c r="IGX44" s="78"/>
      <c r="IGY44" s="78"/>
      <c r="IGZ44" s="78"/>
      <c r="IHA44" s="78"/>
      <c r="IHB44" s="78"/>
      <c r="IHC44" s="78"/>
      <c r="IHD44" s="78"/>
      <c r="IHE44" s="78"/>
      <c r="IHF44" s="78"/>
      <c r="IHG44" s="78"/>
      <c r="IHH44" s="78"/>
      <c r="IHI44" s="78"/>
      <c r="IHJ44" s="78"/>
      <c r="IHK44" s="78"/>
      <c r="IHL44" s="78"/>
      <c r="IHM44" s="78"/>
      <c r="IHN44" s="78"/>
      <c r="IHO44" s="78"/>
      <c r="IHP44" s="78"/>
      <c r="IHQ44" s="78"/>
      <c r="IHR44" s="78"/>
      <c r="IHS44" s="78"/>
      <c r="IHT44" s="78"/>
      <c r="IHU44" s="78"/>
      <c r="IHV44" s="78"/>
      <c r="IHW44" s="78"/>
      <c r="IHX44" s="78"/>
      <c r="IHY44" s="78"/>
      <c r="IHZ44" s="78"/>
      <c r="IIA44" s="78"/>
      <c r="IIB44" s="78"/>
      <c r="IIC44" s="78"/>
      <c r="IID44" s="78"/>
      <c r="IIE44" s="78"/>
      <c r="IIF44" s="78"/>
      <c r="IIG44" s="78"/>
      <c r="IIH44" s="78"/>
      <c r="III44" s="78"/>
      <c r="IIJ44" s="78"/>
      <c r="IIK44" s="78"/>
      <c r="IIL44" s="78"/>
      <c r="IIM44" s="78"/>
      <c r="IIN44" s="78"/>
      <c r="IIO44" s="78"/>
      <c r="IIP44" s="78"/>
      <c r="IIQ44" s="78"/>
      <c r="IIR44" s="78"/>
      <c r="IIS44" s="78"/>
      <c r="IIT44" s="78"/>
      <c r="IIU44" s="78"/>
      <c r="IIV44" s="78"/>
      <c r="IIW44" s="78"/>
      <c r="IIX44" s="78"/>
      <c r="IIY44" s="78"/>
      <c r="IIZ44" s="78"/>
      <c r="IJA44" s="78"/>
      <c r="IJB44" s="78"/>
      <c r="IJC44" s="78"/>
      <c r="IJD44" s="78"/>
      <c r="IJE44" s="78"/>
      <c r="IJF44" s="78"/>
      <c r="IJG44" s="78"/>
      <c r="IJH44" s="78"/>
      <c r="IJI44" s="78"/>
      <c r="IJJ44" s="78"/>
      <c r="IJK44" s="78"/>
      <c r="IJL44" s="78"/>
      <c r="IJM44" s="78"/>
      <c r="IJN44" s="78"/>
      <c r="IJO44" s="78"/>
      <c r="IJP44" s="78"/>
      <c r="IJQ44" s="78"/>
      <c r="IJR44" s="78"/>
      <c r="IJS44" s="78"/>
      <c r="IJT44" s="78"/>
      <c r="IJU44" s="78"/>
      <c r="IJV44" s="78"/>
      <c r="IJW44" s="78"/>
      <c r="IJX44" s="78"/>
      <c r="IJY44" s="78"/>
      <c r="IJZ44" s="78"/>
      <c r="IKA44" s="78"/>
      <c r="IKB44" s="78"/>
      <c r="IKC44" s="78"/>
      <c r="IKD44" s="78"/>
      <c r="IKE44" s="78"/>
      <c r="IKF44" s="78"/>
      <c r="IKG44" s="78"/>
      <c r="IKH44" s="78"/>
      <c r="IKI44" s="78"/>
      <c r="IKJ44" s="78"/>
      <c r="IKK44" s="78"/>
      <c r="IKL44" s="78"/>
      <c r="IKM44" s="78"/>
      <c r="IKN44" s="78"/>
      <c r="IKO44" s="78"/>
      <c r="IKP44" s="78"/>
      <c r="IKQ44" s="78"/>
      <c r="IKR44" s="78"/>
      <c r="IKS44" s="78"/>
      <c r="IKT44" s="78"/>
      <c r="IKU44" s="78"/>
      <c r="IKV44" s="78"/>
      <c r="IKW44" s="78"/>
      <c r="IKX44" s="78"/>
      <c r="IKY44" s="78"/>
      <c r="IKZ44" s="78"/>
      <c r="ILA44" s="78"/>
      <c r="ILB44" s="78"/>
      <c r="ILC44" s="78"/>
      <c r="ILD44" s="78"/>
      <c r="ILE44" s="78"/>
      <c r="ILF44" s="78"/>
      <c r="ILG44" s="78"/>
      <c r="ILH44" s="78"/>
      <c r="ILI44" s="78"/>
      <c r="ILJ44" s="78"/>
      <c r="ILK44" s="78"/>
      <c r="ILL44" s="78"/>
      <c r="ILM44" s="78"/>
      <c r="ILN44" s="78"/>
      <c r="ILO44" s="78"/>
      <c r="ILP44" s="78"/>
      <c r="ILQ44" s="78"/>
      <c r="ILR44" s="78"/>
      <c r="ILS44" s="78"/>
      <c r="ILT44" s="78"/>
      <c r="ILU44" s="78"/>
      <c r="ILV44" s="78"/>
      <c r="ILW44" s="78"/>
      <c r="ILX44" s="78"/>
      <c r="ILY44" s="78"/>
      <c r="ILZ44" s="78"/>
      <c r="IMA44" s="78"/>
      <c r="IMB44" s="78"/>
      <c r="IMC44" s="78"/>
      <c r="IMD44" s="78"/>
      <c r="IME44" s="78"/>
      <c r="IMF44" s="78"/>
      <c r="IMG44" s="78"/>
      <c r="IMH44" s="78"/>
      <c r="IMI44" s="78"/>
      <c r="IMJ44" s="78"/>
      <c r="IMK44" s="78"/>
      <c r="IML44" s="78"/>
      <c r="IMM44" s="78"/>
      <c r="IMN44" s="78"/>
      <c r="IMO44" s="78"/>
      <c r="IMP44" s="78"/>
      <c r="IMQ44" s="78"/>
      <c r="IMR44" s="78"/>
      <c r="IMS44" s="78"/>
      <c r="IMT44" s="78"/>
      <c r="IMU44" s="78"/>
      <c r="IMV44" s="78"/>
      <c r="IMW44" s="78"/>
      <c r="IMX44" s="78"/>
      <c r="IMY44" s="78"/>
      <c r="IMZ44" s="78"/>
      <c r="INA44" s="78"/>
      <c r="INB44" s="78"/>
      <c r="INC44" s="78"/>
      <c r="IND44" s="78"/>
      <c r="INE44" s="78"/>
      <c r="INF44" s="78"/>
      <c r="ING44" s="78"/>
      <c r="INH44" s="78"/>
      <c r="INI44" s="78"/>
      <c r="INJ44" s="78"/>
      <c r="INK44" s="78"/>
      <c r="INL44" s="78"/>
      <c r="INM44" s="78"/>
      <c r="INN44" s="78"/>
      <c r="INO44" s="78"/>
      <c r="INP44" s="78"/>
      <c r="INQ44" s="78"/>
      <c r="INR44" s="78"/>
      <c r="INS44" s="78"/>
      <c r="INT44" s="78"/>
      <c r="INU44" s="78"/>
      <c r="INV44" s="78"/>
      <c r="INW44" s="78"/>
      <c r="INX44" s="78"/>
      <c r="INY44" s="78"/>
      <c r="INZ44" s="78"/>
      <c r="IOA44" s="78"/>
      <c r="IOB44" s="78"/>
      <c r="IOC44" s="78"/>
      <c r="IOD44" s="78"/>
      <c r="IOE44" s="78"/>
      <c r="IOF44" s="78"/>
      <c r="IOG44" s="78"/>
      <c r="IOH44" s="78"/>
      <c r="IOI44" s="78"/>
      <c r="IOJ44" s="78"/>
      <c r="IOK44" s="78"/>
      <c r="IOL44" s="78"/>
      <c r="IOM44" s="78"/>
      <c r="ION44" s="78"/>
      <c r="IOO44" s="78"/>
      <c r="IOP44" s="78"/>
      <c r="IOQ44" s="78"/>
      <c r="IOR44" s="78"/>
      <c r="IOS44" s="78"/>
      <c r="IOT44" s="78"/>
      <c r="IOU44" s="78"/>
      <c r="IOV44" s="78"/>
      <c r="IOW44" s="78"/>
      <c r="IOX44" s="78"/>
      <c r="IOY44" s="78"/>
      <c r="IOZ44" s="78"/>
      <c r="IPA44" s="78"/>
      <c r="IPB44" s="78"/>
      <c r="IPC44" s="78"/>
      <c r="IPD44" s="78"/>
      <c r="IPE44" s="78"/>
      <c r="IPF44" s="78"/>
      <c r="IPG44" s="78"/>
      <c r="IPH44" s="78"/>
      <c r="IPI44" s="78"/>
      <c r="IPJ44" s="78"/>
      <c r="IPK44" s="78"/>
      <c r="IPL44" s="78"/>
      <c r="IPM44" s="78"/>
      <c r="IPN44" s="78"/>
      <c r="IPO44" s="78"/>
      <c r="IPP44" s="78"/>
      <c r="IPQ44" s="78"/>
      <c r="IPR44" s="78"/>
      <c r="IPS44" s="78"/>
      <c r="IPT44" s="78"/>
      <c r="IPU44" s="78"/>
      <c r="IPV44" s="78"/>
      <c r="IPW44" s="78"/>
      <c r="IPX44" s="78"/>
      <c r="IPY44" s="78"/>
      <c r="IPZ44" s="78"/>
      <c r="IQA44" s="78"/>
      <c r="IQB44" s="78"/>
      <c r="IQC44" s="78"/>
      <c r="IQD44" s="78"/>
      <c r="IQE44" s="78"/>
      <c r="IQF44" s="78"/>
      <c r="IQG44" s="78"/>
      <c r="IQH44" s="78"/>
      <c r="IQI44" s="78"/>
      <c r="IQJ44" s="78"/>
      <c r="IQK44" s="78"/>
      <c r="IQL44" s="78"/>
      <c r="IQM44" s="78"/>
      <c r="IQN44" s="78"/>
      <c r="IQO44" s="78"/>
      <c r="IQP44" s="78"/>
      <c r="IQQ44" s="78"/>
      <c r="IQR44" s="78"/>
      <c r="IQS44" s="78"/>
      <c r="IQT44" s="78"/>
      <c r="IQU44" s="78"/>
      <c r="IQV44" s="78"/>
      <c r="IQW44" s="78"/>
      <c r="IQX44" s="78"/>
      <c r="IQY44" s="78"/>
      <c r="IQZ44" s="78"/>
      <c r="IRA44" s="78"/>
      <c r="IRB44" s="78"/>
      <c r="IRC44" s="78"/>
      <c r="IRD44" s="78"/>
      <c r="IRE44" s="78"/>
      <c r="IRF44" s="78"/>
      <c r="IRG44" s="78"/>
      <c r="IRH44" s="78"/>
      <c r="IRI44" s="78"/>
      <c r="IRJ44" s="78"/>
      <c r="IRK44" s="78"/>
      <c r="IRL44" s="78"/>
      <c r="IRM44" s="78"/>
      <c r="IRN44" s="78"/>
      <c r="IRO44" s="78"/>
      <c r="IRP44" s="78"/>
      <c r="IRQ44" s="78"/>
      <c r="IRR44" s="78"/>
      <c r="IRS44" s="78"/>
      <c r="IRT44" s="78"/>
      <c r="IRU44" s="78"/>
      <c r="IRV44" s="78"/>
      <c r="IRW44" s="78"/>
      <c r="IRX44" s="78"/>
      <c r="IRY44" s="78"/>
      <c r="IRZ44" s="78"/>
      <c r="ISA44" s="78"/>
      <c r="ISB44" s="78"/>
      <c r="ISC44" s="78"/>
      <c r="ISD44" s="78"/>
      <c r="ISE44" s="78"/>
      <c r="ISF44" s="78"/>
      <c r="ISG44" s="78"/>
      <c r="ISH44" s="78"/>
      <c r="ISI44" s="78"/>
      <c r="ISJ44" s="78"/>
      <c r="ISK44" s="78"/>
      <c r="ISL44" s="78"/>
      <c r="ISM44" s="78"/>
      <c r="ISN44" s="78"/>
      <c r="ISO44" s="78"/>
      <c r="ISP44" s="78"/>
      <c r="ISQ44" s="78"/>
      <c r="ISR44" s="78"/>
      <c r="ISS44" s="78"/>
      <c r="IST44" s="78"/>
      <c r="ISU44" s="78"/>
      <c r="ISV44" s="78"/>
      <c r="ISW44" s="78"/>
      <c r="ISX44" s="78"/>
      <c r="ISY44" s="78"/>
      <c r="ISZ44" s="78"/>
      <c r="ITA44" s="78"/>
      <c r="ITB44" s="78"/>
      <c r="ITC44" s="78"/>
      <c r="ITD44" s="78"/>
      <c r="ITE44" s="78"/>
      <c r="ITF44" s="78"/>
      <c r="ITG44" s="78"/>
      <c r="ITH44" s="78"/>
      <c r="ITI44" s="78"/>
      <c r="ITJ44" s="78"/>
      <c r="ITK44" s="78"/>
      <c r="ITL44" s="78"/>
      <c r="ITM44" s="78"/>
      <c r="ITN44" s="78"/>
      <c r="ITO44" s="78"/>
      <c r="ITP44" s="78"/>
      <c r="ITQ44" s="78"/>
      <c r="ITR44" s="78"/>
      <c r="ITS44" s="78"/>
      <c r="ITT44" s="78"/>
      <c r="ITU44" s="78"/>
      <c r="ITV44" s="78"/>
      <c r="ITW44" s="78"/>
      <c r="ITX44" s="78"/>
      <c r="ITY44" s="78"/>
      <c r="ITZ44" s="78"/>
      <c r="IUA44" s="78"/>
      <c r="IUB44" s="78"/>
      <c r="IUC44" s="78"/>
      <c r="IUD44" s="78"/>
      <c r="IUE44" s="78"/>
      <c r="IUF44" s="78"/>
      <c r="IUG44" s="78"/>
      <c r="IUH44" s="78"/>
      <c r="IUI44" s="78"/>
      <c r="IUJ44" s="78"/>
      <c r="IUK44" s="78"/>
      <c r="IUL44" s="78"/>
      <c r="IUM44" s="78"/>
      <c r="IUN44" s="78"/>
      <c r="IUO44" s="78"/>
      <c r="IUP44" s="78"/>
      <c r="IUQ44" s="78"/>
      <c r="IUR44" s="78"/>
      <c r="IUS44" s="78"/>
      <c r="IUT44" s="78"/>
      <c r="IUU44" s="78"/>
      <c r="IUV44" s="78"/>
      <c r="IUW44" s="78"/>
      <c r="IUX44" s="78"/>
      <c r="IUY44" s="78"/>
      <c r="IUZ44" s="78"/>
      <c r="IVA44" s="78"/>
      <c r="IVB44" s="78"/>
      <c r="IVC44" s="78"/>
      <c r="IVD44" s="78"/>
      <c r="IVE44" s="78"/>
      <c r="IVF44" s="78"/>
      <c r="IVG44" s="78"/>
      <c r="IVH44" s="78"/>
      <c r="IVI44" s="78"/>
      <c r="IVJ44" s="78"/>
      <c r="IVK44" s="78"/>
      <c r="IVL44" s="78"/>
      <c r="IVM44" s="78"/>
      <c r="IVN44" s="78"/>
      <c r="IVO44" s="78"/>
      <c r="IVP44" s="78"/>
      <c r="IVQ44" s="78"/>
      <c r="IVR44" s="78"/>
      <c r="IVS44" s="78"/>
      <c r="IVT44" s="78"/>
      <c r="IVU44" s="78"/>
      <c r="IVV44" s="78"/>
      <c r="IVW44" s="78"/>
      <c r="IVX44" s="78"/>
      <c r="IVY44" s="78"/>
      <c r="IVZ44" s="78"/>
      <c r="IWA44" s="78"/>
      <c r="IWB44" s="78"/>
      <c r="IWC44" s="78"/>
      <c r="IWD44" s="78"/>
      <c r="IWE44" s="78"/>
      <c r="IWF44" s="78"/>
      <c r="IWG44" s="78"/>
      <c r="IWH44" s="78"/>
      <c r="IWI44" s="78"/>
      <c r="IWJ44" s="78"/>
      <c r="IWK44" s="78"/>
      <c r="IWL44" s="78"/>
      <c r="IWM44" s="78"/>
      <c r="IWN44" s="78"/>
      <c r="IWO44" s="78"/>
      <c r="IWP44" s="78"/>
      <c r="IWQ44" s="78"/>
      <c r="IWR44" s="78"/>
      <c r="IWS44" s="78"/>
      <c r="IWT44" s="78"/>
      <c r="IWU44" s="78"/>
      <c r="IWV44" s="78"/>
      <c r="IWW44" s="78"/>
      <c r="IWX44" s="78"/>
      <c r="IWY44" s="78"/>
      <c r="IWZ44" s="78"/>
      <c r="IXA44" s="78"/>
      <c r="IXB44" s="78"/>
      <c r="IXC44" s="78"/>
      <c r="IXD44" s="78"/>
      <c r="IXE44" s="78"/>
      <c r="IXF44" s="78"/>
      <c r="IXG44" s="78"/>
      <c r="IXH44" s="78"/>
      <c r="IXI44" s="78"/>
      <c r="IXJ44" s="78"/>
      <c r="IXK44" s="78"/>
      <c r="IXL44" s="78"/>
      <c r="IXM44" s="78"/>
      <c r="IXN44" s="78"/>
      <c r="IXO44" s="78"/>
      <c r="IXP44" s="78"/>
      <c r="IXQ44" s="78"/>
      <c r="IXR44" s="78"/>
      <c r="IXS44" s="78"/>
      <c r="IXT44" s="78"/>
      <c r="IXU44" s="78"/>
      <c r="IXV44" s="78"/>
      <c r="IXW44" s="78"/>
      <c r="IXX44" s="78"/>
      <c r="IXY44" s="78"/>
      <c r="IXZ44" s="78"/>
      <c r="IYA44" s="78"/>
      <c r="IYB44" s="78"/>
      <c r="IYC44" s="78"/>
      <c r="IYD44" s="78"/>
      <c r="IYE44" s="78"/>
      <c r="IYF44" s="78"/>
      <c r="IYG44" s="78"/>
      <c r="IYH44" s="78"/>
      <c r="IYI44" s="78"/>
      <c r="IYJ44" s="78"/>
      <c r="IYK44" s="78"/>
      <c r="IYL44" s="78"/>
      <c r="IYM44" s="78"/>
      <c r="IYN44" s="78"/>
      <c r="IYO44" s="78"/>
      <c r="IYP44" s="78"/>
      <c r="IYQ44" s="78"/>
      <c r="IYR44" s="78"/>
      <c r="IYS44" s="78"/>
      <c r="IYT44" s="78"/>
      <c r="IYU44" s="78"/>
      <c r="IYV44" s="78"/>
      <c r="IYW44" s="78"/>
      <c r="IYX44" s="78"/>
      <c r="IYY44" s="78"/>
      <c r="IYZ44" s="78"/>
      <c r="IZA44" s="78"/>
      <c r="IZB44" s="78"/>
      <c r="IZC44" s="78"/>
      <c r="IZD44" s="78"/>
      <c r="IZE44" s="78"/>
      <c r="IZF44" s="78"/>
      <c r="IZG44" s="78"/>
      <c r="IZH44" s="78"/>
      <c r="IZI44" s="78"/>
      <c r="IZJ44" s="78"/>
      <c r="IZK44" s="78"/>
      <c r="IZL44" s="78"/>
      <c r="IZM44" s="78"/>
      <c r="IZN44" s="78"/>
      <c r="IZO44" s="78"/>
      <c r="IZP44" s="78"/>
      <c r="IZQ44" s="78"/>
      <c r="IZR44" s="78"/>
      <c r="IZS44" s="78"/>
      <c r="IZT44" s="78"/>
      <c r="IZU44" s="78"/>
      <c r="IZV44" s="78"/>
      <c r="IZW44" s="78"/>
      <c r="IZX44" s="78"/>
      <c r="IZY44" s="78"/>
      <c r="IZZ44" s="78"/>
      <c r="JAA44" s="78"/>
      <c r="JAB44" s="78"/>
      <c r="JAC44" s="78"/>
      <c r="JAD44" s="78"/>
      <c r="JAE44" s="78"/>
      <c r="JAF44" s="78"/>
      <c r="JAG44" s="78"/>
      <c r="JAH44" s="78"/>
      <c r="JAI44" s="78"/>
      <c r="JAJ44" s="78"/>
      <c r="JAK44" s="78"/>
      <c r="JAL44" s="78"/>
      <c r="JAM44" s="78"/>
      <c r="JAN44" s="78"/>
      <c r="JAO44" s="78"/>
      <c r="JAP44" s="78"/>
      <c r="JAQ44" s="78"/>
      <c r="JAR44" s="78"/>
      <c r="JAS44" s="78"/>
      <c r="JAT44" s="78"/>
      <c r="JAU44" s="78"/>
      <c r="JAV44" s="78"/>
      <c r="JAW44" s="78"/>
      <c r="JAX44" s="78"/>
      <c r="JAY44" s="78"/>
      <c r="JAZ44" s="78"/>
      <c r="JBA44" s="78"/>
      <c r="JBB44" s="78"/>
      <c r="JBC44" s="78"/>
      <c r="JBD44" s="78"/>
      <c r="JBE44" s="78"/>
      <c r="JBF44" s="78"/>
      <c r="JBG44" s="78"/>
      <c r="JBH44" s="78"/>
      <c r="JBI44" s="78"/>
      <c r="JBJ44" s="78"/>
      <c r="JBK44" s="78"/>
      <c r="JBL44" s="78"/>
      <c r="JBM44" s="78"/>
      <c r="JBN44" s="78"/>
      <c r="JBO44" s="78"/>
      <c r="JBP44" s="78"/>
      <c r="JBQ44" s="78"/>
      <c r="JBR44" s="78"/>
      <c r="JBS44" s="78"/>
      <c r="JBT44" s="78"/>
      <c r="JBU44" s="78"/>
      <c r="JBV44" s="78"/>
      <c r="JBW44" s="78"/>
      <c r="JBX44" s="78"/>
      <c r="JBY44" s="78"/>
      <c r="JBZ44" s="78"/>
      <c r="JCA44" s="78"/>
      <c r="JCB44" s="78"/>
      <c r="JCC44" s="78"/>
      <c r="JCD44" s="78"/>
      <c r="JCE44" s="78"/>
      <c r="JCF44" s="78"/>
      <c r="JCG44" s="78"/>
      <c r="JCH44" s="78"/>
      <c r="JCI44" s="78"/>
      <c r="JCJ44" s="78"/>
      <c r="JCK44" s="78"/>
      <c r="JCL44" s="78"/>
      <c r="JCM44" s="78"/>
      <c r="JCN44" s="78"/>
      <c r="JCO44" s="78"/>
      <c r="JCP44" s="78"/>
      <c r="JCQ44" s="78"/>
      <c r="JCR44" s="78"/>
      <c r="JCS44" s="78"/>
      <c r="JCT44" s="78"/>
      <c r="JCU44" s="78"/>
      <c r="JCV44" s="78"/>
      <c r="JCW44" s="78"/>
      <c r="JCX44" s="78"/>
      <c r="JCY44" s="78"/>
      <c r="JCZ44" s="78"/>
      <c r="JDA44" s="78"/>
      <c r="JDB44" s="78"/>
      <c r="JDC44" s="78"/>
      <c r="JDD44" s="78"/>
      <c r="JDE44" s="78"/>
      <c r="JDF44" s="78"/>
      <c r="JDG44" s="78"/>
      <c r="JDH44" s="78"/>
      <c r="JDI44" s="78"/>
      <c r="JDJ44" s="78"/>
      <c r="JDK44" s="78"/>
      <c r="JDL44" s="78"/>
      <c r="JDM44" s="78"/>
      <c r="JDN44" s="78"/>
      <c r="JDO44" s="78"/>
      <c r="JDP44" s="78"/>
      <c r="JDQ44" s="78"/>
      <c r="JDR44" s="78"/>
      <c r="JDS44" s="78"/>
      <c r="JDT44" s="78"/>
      <c r="JDU44" s="78"/>
      <c r="JDV44" s="78"/>
      <c r="JDW44" s="78"/>
      <c r="JDX44" s="78"/>
      <c r="JDY44" s="78"/>
      <c r="JDZ44" s="78"/>
      <c r="JEA44" s="78"/>
      <c r="JEB44" s="78"/>
      <c r="JEC44" s="78"/>
      <c r="JED44" s="78"/>
      <c r="JEE44" s="78"/>
      <c r="JEF44" s="78"/>
      <c r="JEG44" s="78"/>
      <c r="JEH44" s="78"/>
      <c r="JEI44" s="78"/>
      <c r="JEJ44" s="78"/>
      <c r="JEK44" s="78"/>
      <c r="JEL44" s="78"/>
      <c r="JEM44" s="78"/>
      <c r="JEN44" s="78"/>
      <c r="JEO44" s="78"/>
      <c r="JEP44" s="78"/>
      <c r="JEQ44" s="78"/>
      <c r="JER44" s="78"/>
      <c r="JES44" s="78"/>
      <c r="JET44" s="78"/>
      <c r="JEU44" s="78"/>
      <c r="JEV44" s="78"/>
      <c r="JEW44" s="78"/>
      <c r="JEX44" s="78"/>
      <c r="JEY44" s="78"/>
      <c r="JEZ44" s="78"/>
      <c r="JFA44" s="78"/>
      <c r="JFB44" s="78"/>
      <c r="JFC44" s="78"/>
      <c r="JFD44" s="78"/>
      <c r="JFE44" s="78"/>
      <c r="JFF44" s="78"/>
      <c r="JFG44" s="78"/>
      <c r="JFH44" s="78"/>
      <c r="JFI44" s="78"/>
      <c r="JFJ44" s="78"/>
      <c r="JFK44" s="78"/>
      <c r="JFL44" s="78"/>
      <c r="JFM44" s="78"/>
      <c r="JFN44" s="78"/>
      <c r="JFO44" s="78"/>
      <c r="JFP44" s="78"/>
      <c r="JFQ44" s="78"/>
      <c r="JFR44" s="78"/>
      <c r="JFS44" s="78"/>
      <c r="JFT44" s="78"/>
      <c r="JFU44" s="78"/>
      <c r="JFV44" s="78"/>
      <c r="JFW44" s="78"/>
      <c r="JFX44" s="78"/>
      <c r="JFY44" s="78"/>
      <c r="JFZ44" s="78"/>
      <c r="JGA44" s="78"/>
      <c r="JGB44" s="78"/>
      <c r="JGC44" s="78"/>
      <c r="JGD44" s="78"/>
      <c r="JGE44" s="78"/>
      <c r="JGF44" s="78"/>
      <c r="JGG44" s="78"/>
      <c r="JGH44" s="78"/>
      <c r="JGI44" s="78"/>
      <c r="JGJ44" s="78"/>
      <c r="JGK44" s="78"/>
      <c r="JGL44" s="78"/>
      <c r="JGM44" s="78"/>
      <c r="JGN44" s="78"/>
      <c r="JGO44" s="78"/>
      <c r="JGP44" s="78"/>
      <c r="JGQ44" s="78"/>
      <c r="JGR44" s="78"/>
      <c r="JGS44" s="78"/>
      <c r="JGT44" s="78"/>
      <c r="JGU44" s="78"/>
      <c r="JGV44" s="78"/>
      <c r="JGW44" s="78"/>
      <c r="JGX44" s="78"/>
      <c r="JGY44" s="78"/>
      <c r="JGZ44" s="78"/>
      <c r="JHA44" s="78"/>
      <c r="JHB44" s="78"/>
      <c r="JHC44" s="78"/>
      <c r="JHD44" s="78"/>
      <c r="JHE44" s="78"/>
      <c r="JHF44" s="78"/>
      <c r="JHG44" s="78"/>
      <c r="JHH44" s="78"/>
      <c r="JHI44" s="78"/>
      <c r="JHJ44" s="78"/>
      <c r="JHK44" s="78"/>
      <c r="JHL44" s="78"/>
      <c r="JHM44" s="78"/>
      <c r="JHN44" s="78"/>
      <c r="JHO44" s="78"/>
      <c r="JHP44" s="78"/>
      <c r="JHQ44" s="78"/>
      <c r="JHR44" s="78"/>
      <c r="JHS44" s="78"/>
      <c r="JHT44" s="78"/>
      <c r="JHU44" s="78"/>
      <c r="JHV44" s="78"/>
      <c r="JHW44" s="78"/>
      <c r="JHX44" s="78"/>
      <c r="JHY44" s="78"/>
      <c r="JHZ44" s="78"/>
      <c r="JIA44" s="78"/>
      <c r="JIB44" s="78"/>
      <c r="JIC44" s="78"/>
      <c r="JID44" s="78"/>
      <c r="JIE44" s="78"/>
      <c r="JIF44" s="78"/>
      <c r="JIG44" s="78"/>
      <c r="JIH44" s="78"/>
      <c r="JII44" s="78"/>
      <c r="JIJ44" s="78"/>
      <c r="JIK44" s="78"/>
      <c r="JIL44" s="78"/>
      <c r="JIM44" s="78"/>
      <c r="JIN44" s="78"/>
      <c r="JIO44" s="78"/>
      <c r="JIP44" s="78"/>
      <c r="JIQ44" s="78"/>
      <c r="JIR44" s="78"/>
      <c r="JIS44" s="78"/>
      <c r="JIT44" s="78"/>
      <c r="JIU44" s="78"/>
      <c r="JIV44" s="78"/>
      <c r="JIW44" s="78"/>
      <c r="JIX44" s="78"/>
      <c r="JIY44" s="78"/>
      <c r="JIZ44" s="78"/>
      <c r="JJA44" s="78"/>
      <c r="JJB44" s="78"/>
      <c r="JJC44" s="78"/>
      <c r="JJD44" s="78"/>
      <c r="JJE44" s="78"/>
      <c r="JJF44" s="78"/>
      <c r="JJG44" s="78"/>
      <c r="JJH44" s="78"/>
      <c r="JJI44" s="78"/>
      <c r="JJJ44" s="78"/>
      <c r="JJK44" s="78"/>
      <c r="JJL44" s="78"/>
      <c r="JJM44" s="78"/>
      <c r="JJN44" s="78"/>
      <c r="JJO44" s="78"/>
      <c r="JJP44" s="78"/>
      <c r="JJQ44" s="78"/>
      <c r="JJR44" s="78"/>
      <c r="JJS44" s="78"/>
      <c r="JJT44" s="78"/>
      <c r="JJU44" s="78"/>
      <c r="JJV44" s="78"/>
      <c r="JJW44" s="78"/>
      <c r="JJX44" s="78"/>
      <c r="JJY44" s="78"/>
      <c r="JJZ44" s="78"/>
      <c r="JKA44" s="78"/>
      <c r="JKB44" s="78"/>
      <c r="JKC44" s="78"/>
      <c r="JKD44" s="78"/>
      <c r="JKE44" s="78"/>
      <c r="JKF44" s="78"/>
      <c r="JKG44" s="78"/>
      <c r="JKH44" s="78"/>
      <c r="JKI44" s="78"/>
      <c r="JKJ44" s="78"/>
      <c r="JKK44" s="78"/>
      <c r="JKL44" s="78"/>
      <c r="JKM44" s="78"/>
      <c r="JKN44" s="78"/>
      <c r="JKO44" s="78"/>
      <c r="JKP44" s="78"/>
      <c r="JKQ44" s="78"/>
      <c r="JKR44" s="78"/>
      <c r="JKS44" s="78"/>
      <c r="JKT44" s="78"/>
      <c r="JKU44" s="78"/>
      <c r="JKV44" s="78"/>
      <c r="JKW44" s="78"/>
      <c r="JKX44" s="78"/>
      <c r="JKY44" s="78"/>
      <c r="JKZ44" s="78"/>
      <c r="JLA44" s="78"/>
      <c r="JLB44" s="78"/>
      <c r="JLC44" s="78"/>
      <c r="JLD44" s="78"/>
      <c r="JLE44" s="78"/>
      <c r="JLF44" s="78"/>
      <c r="JLG44" s="78"/>
      <c r="JLH44" s="78"/>
      <c r="JLI44" s="78"/>
      <c r="JLJ44" s="78"/>
      <c r="JLK44" s="78"/>
      <c r="JLL44" s="78"/>
      <c r="JLM44" s="78"/>
      <c r="JLN44" s="78"/>
      <c r="JLO44" s="78"/>
      <c r="JLP44" s="78"/>
      <c r="JLQ44" s="78"/>
      <c r="JLR44" s="78"/>
      <c r="JLS44" s="78"/>
      <c r="JLT44" s="78"/>
      <c r="JLU44" s="78"/>
      <c r="JLV44" s="78"/>
      <c r="JLW44" s="78"/>
      <c r="JLX44" s="78"/>
      <c r="JLY44" s="78"/>
      <c r="JLZ44" s="78"/>
      <c r="JMA44" s="78"/>
      <c r="JMB44" s="78"/>
      <c r="JMC44" s="78"/>
      <c r="JMD44" s="78"/>
      <c r="JME44" s="78"/>
      <c r="JMF44" s="78"/>
      <c r="JMG44" s="78"/>
      <c r="JMH44" s="78"/>
      <c r="JMI44" s="78"/>
      <c r="JMJ44" s="78"/>
      <c r="JMK44" s="78"/>
      <c r="JML44" s="78"/>
      <c r="JMM44" s="78"/>
      <c r="JMN44" s="78"/>
      <c r="JMO44" s="78"/>
      <c r="JMP44" s="78"/>
      <c r="JMQ44" s="78"/>
      <c r="JMR44" s="78"/>
      <c r="JMS44" s="78"/>
      <c r="JMT44" s="78"/>
      <c r="JMU44" s="78"/>
      <c r="JMV44" s="78"/>
      <c r="JMW44" s="78"/>
      <c r="JMX44" s="78"/>
      <c r="JMY44" s="78"/>
      <c r="JMZ44" s="78"/>
      <c r="JNA44" s="78"/>
      <c r="JNB44" s="78"/>
      <c r="JNC44" s="78"/>
      <c r="JND44" s="78"/>
      <c r="JNE44" s="78"/>
      <c r="JNF44" s="78"/>
      <c r="JNG44" s="78"/>
      <c r="JNH44" s="78"/>
      <c r="JNI44" s="78"/>
      <c r="JNJ44" s="78"/>
      <c r="JNK44" s="78"/>
      <c r="JNL44" s="78"/>
      <c r="JNM44" s="78"/>
      <c r="JNN44" s="78"/>
      <c r="JNO44" s="78"/>
      <c r="JNP44" s="78"/>
      <c r="JNQ44" s="78"/>
      <c r="JNR44" s="78"/>
      <c r="JNS44" s="78"/>
      <c r="JNT44" s="78"/>
      <c r="JNU44" s="78"/>
      <c r="JNV44" s="78"/>
      <c r="JNW44" s="78"/>
      <c r="JNX44" s="78"/>
      <c r="JNY44" s="78"/>
      <c r="JNZ44" s="78"/>
      <c r="JOA44" s="78"/>
      <c r="JOB44" s="78"/>
      <c r="JOC44" s="78"/>
      <c r="JOD44" s="78"/>
      <c r="JOE44" s="78"/>
      <c r="JOF44" s="78"/>
      <c r="JOG44" s="78"/>
      <c r="JOH44" s="78"/>
      <c r="JOI44" s="78"/>
      <c r="JOJ44" s="78"/>
      <c r="JOK44" s="78"/>
      <c r="JOL44" s="78"/>
      <c r="JOM44" s="78"/>
      <c r="JON44" s="78"/>
      <c r="JOO44" s="78"/>
      <c r="JOP44" s="78"/>
      <c r="JOQ44" s="78"/>
      <c r="JOR44" s="78"/>
      <c r="JOS44" s="78"/>
      <c r="JOT44" s="78"/>
      <c r="JOU44" s="78"/>
      <c r="JOV44" s="78"/>
      <c r="JOW44" s="78"/>
      <c r="JOX44" s="78"/>
      <c r="JOY44" s="78"/>
      <c r="JOZ44" s="78"/>
      <c r="JPA44" s="78"/>
      <c r="JPB44" s="78"/>
      <c r="JPC44" s="78"/>
      <c r="JPD44" s="78"/>
      <c r="JPE44" s="78"/>
      <c r="JPF44" s="78"/>
      <c r="JPG44" s="78"/>
      <c r="JPH44" s="78"/>
      <c r="JPI44" s="78"/>
      <c r="JPJ44" s="78"/>
      <c r="JPK44" s="78"/>
      <c r="JPL44" s="78"/>
      <c r="JPM44" s="78"/>
      <c r="JPN44" s="78"/>
      <c r="JPO44" s="78"/>
      <c r="JPP44" s="78"/>
      <c r="JPQ44" s="78"/>
      <c r="JPR44" s="78"/>
      <c r="JPS44" s="78"/>
      <c r="JPT44" s="78"/>
      <c r="JPU44" s="78"/>
      <c r="JPV44" s="78"/>
      <c r="JPW44" s="78"/>
      <c r="JPX44" s="78"/>
      <c r="JPY44" s="78"/>
      <c r="JPZ44" s="78"/>
      <c r="JQA44" s="78"/>
      <c r="JQB44" s="78"/>
      <c r="JQC44" s="78"/>
      <c r="JQD44" s="78"/>
      <c r="JQE44" s="78"/>
      <c r="JQF44" s="78"/>
      <c r="JQG44" s="78"/>
      <c r="JQH44" s="78"/>
      <c r="JQI44" s="78"/>
      <c r="JQJ44" s="78"/>
      <c r="JQK44" s="78"/>
      <c r="JQL44" s="78"/>
      <c r="JQM44" s="78"/>
      <c r="JQN44" s="78"/>
      <c r="JQO44" s="78"/>
      <c r="JQP44" s="78"/>
      <c r="JQQ44" s="78"/>
      <c r="JQR44" s="78"/>
      <c r="JQS44" s="78"/>
      <c r="JQT44" s="78"/>
      <c r="JQU44" s="78"/>
      <c r="JQV44" s="78"/>
      <c r="JQW44" s="78"/>
      <c r="JQX44" s="78"/>
      <c r="JQY44" s="78"/>
      <c r="JQZ44" s="78"/>
      <c r="JRA44" s="78"/>
      <c r="JRB44" s="78"/>
      <c r="JRC44" s="78"/>
      <c r="JRD44" s="78"/>
      <c r="JRE44" s="78"/>
      <c r="JRF44" s="78"/>
      <c r="JRG44" s="78"/>
      <c r="JRH44" s="78"/>
      <c r="JRI44" s="78"/>
      <c r="JRJ44" s="78"/>
      <c r="JRK44" s="78"/>
      <c r="JRL44" s="78"/>
      <c r="JRM44" s="78"/>
      <c r="JRN44" s="78"/>
      <c r="JRO44" s="78"/>
      <c r="JRP44" s="78"/>
      <c r="JRQ44" s="78"/>
      <c r="JRR44" s="78"/>
      <c r="JRS44" s="78"/>
      <c r="JRT44" s="78"/>
      <c r="JRU44" s="78"/>
      <c r="JRV44" s="78"/>
      <c r="JRW44" s="78"/>
      <c r="JRX44" s="78"/>
      <c r="JRY44" s="78"/>
      <c r="JRZ44" s="78"/>
      <c r="JSA44" s="78"/>
      <c r="JSB44" s="78"/>
      <c r="JSC44" s="78"/>
      <c r="JSD44" s="78"/>
      <c r="JSE44" s="78"/>
      <c r="JSF44" s="78"/>
      <c r="JSG44" s="78"/>
      <c r="JSH44" s="78"/>
      <c r="JSI44" s="78"/>
      <c r="JSJ44" s="78"/>
      <c r="JSK44" s="78"/>
      <c r="JSL44" s="78"/>
      <c r="JSM44" s="78"/>
      <c r="JSN44" s="78"/>
      <c r="JSO44" s="78"/>
      <c r="JSP44" s="78"/>
      <c r="JSQ44" s="78"/>
      <c r="JSR44" s="78"/>
      <c r="JSS44" s="78"/>
      <c r="JST44" s="78"/>
      <c r="JSU44" s="78"/>
      <c r="JSV44" s="78"/>
      <c r="JSW44" s="78"/>
      <c r="JSX44" s="78"/>
      <c r="JSY44" s="78"/>
      <c r="JSZ44" s="78"/>
      <c r="JTA44" s="78"/>
      <c r="JTB44" s="78"/>
      <c r="JTC44" s="78"/>
      <c r="JTD44" s="78"/>
      <c r="JTE44" s="78"/>
      <c r="JTF44" s="78"/>
      <c r="JTG44" s="78"/>
      <c r="JTH44" s="78"/>
      <c r="JTI44" s="78"/>
      <c r="JTJ44" s="78"/>
      <c r="JTK44" s="78"/>
      <c r="JTL44" s="78"/>
      <c r="JTM44" s="78"/>
      <c r="JTN44" s="78"/>
      <c r="JTO44" s="78"/>
      <c r="JTP44" s="78"/>
      <c r="JTQ44" s="78"/>
      <c r="JTR44" s="78"/>
      <c r="JTS44" s="78"/>
      <c r="JTT44" s="78"/>
      <c r="JTU44" s="78"/>
      <c r="JTV44" s="78"/>
      <c r="JTW44" s="78"/>
      <c r="JTX44" s="78"/>
      <c r="JTY44" s="78"/>
      <c r="JTZ44" s="78"/>
      <c r="JUA44" s="78"/>
      <c r="JUB44" s="78"/>
      <c r="JUC44" s="78"/>
      <c r="JUD44" s="78"/>
      <c r="JUE44" s="78"/>
      <c r="JUF44" s="78"/>
      <c r="JUG44" s="78"/>
      <c r="JUH44" s="78"/>
      <c r="JUI44" s="78"/>
      <c r="JUJ44" s="78"/>
      <c r="JUK44" s="78"/>
      <c r="JUL44" s="78"/>
      <c r="JUM44" s="78"/>
      <c r="JUN44" s="78"/>
      <c r="JUO44" s="78"/>
      <c r="JUP44" s="78"/>
      <c r="JUQ44" s="78"/>
      <c r="JUR44" s="78"/>
      <c r="JUS44" s="78"/>
      <c r="JUT44" s="78"/>
      <c r="JUU44" s="78"/>
      <c r="JUV44" s="78"/>
      <c r="JUW44" s="78"/>
      <c r="JUX44" s="78"/>
      <c r="JUY44" s="78"/>
      <c r="JUZ44" s="78"/>
      <c r="JVA44" s="78"/>
      <c r="JVB44" s="78"/>
      <c r="JVC44" s="78"/>
      <c r="JVD44" s="78"/>
      <c r="JVE44" s="78"/>
      <c r="JVF44" s="78"/>
      <c r="JVG44" s="78"/>
      <c r="JVH44" s="78"/>
      <c r="JVI44" s="78"/>
      <c r="JVJ44" s="78"/>
      <c r="JVK44" s="78"/>
      <c r="JVL44" s="78"/>
      <c r="JVM44" s="78"/>
      <c r="JVN44" s="78"/>
      <c r="JVO44" s="78"/>
      <c r="JVP44" s="78"/>
      <c r="JVQ44" s="78"/>
      <c r="JVR44" s="78"/>
      <c r="JVS44" s="78"/>
      <c r="JVT44" s="78"/>
      <c r="JVU44" s="78"/>
      <c r="JVV44" s="78"/>
      <c r="JVW44" s="78"/>
      <c r="JVX44" s="78"/>
      <c r="JVY44" s="78"/>
      <c r="JVZ44" s="78"/>
      <c r="JWA44" s="78"/>
      <c r="JWB44" s="78"/>
      <c r="JWC44" s="78"/>
      <c r="JWD44" s="78"/>
      <c r="JWE44" s="78"/>
      <c r="JWF44" s="78"/>
      <c r="JWG44" s="78"/>
      <c r="JWH44" s="78"/>
      <c r="JWI44" s="78"/>
      <c r="JWJ44" s="78"/>
      <c r="JWK44" s="78"/>
      <c r="JWL44" s="78"/>
      <c r="JWM44" s="78"/>
      <c r="JWN44" s="78"/>
      <c r="JWO44" s="78"/>
      <c r="JWP44" s="78"/>
      <c r="JWQ44" s="78"/>
      <c r="JWR44" s="78"/>
      <c r="JWS44" s="78"/>
      <c r="JWT44" s="78"/>
      <c r="JWU44" s="78"/>
      <c r="JWV44" s="78"/>
      <c r="JWW44" s="78"/>
      <c r="JWX44" s="78"/>
      <c r="JWY44" s="78"/>
      <c r="JWZ44" s="78"/>
      <c r="JXA44" s="78"/>
      <c r="JXB44" s="78"/>
      <c r="JXC44" s="78"/>
      <c r="JXD44" s="78"/>
      <c r="JXE44" s="78"/>
      <c r="JXF44" s="78"/>
      <c r="JXG44" s="78"/>
      <c r="JXH44" s="78"/>
      <c r="JXI44" s="78"/>
      <c r="JXJ44" s="78"/>
      <c r="JXK44" s="78"/>
      <c r="JXL44" s="78"/>
      <c r="JXM44" s="78"/>
      <c r="JXN44" s="78"/>
      <c r="JXO44" s="78"/>
      <c r="JXP44" s="78"/>
      <c r="JXQ44" s="78"/>
      <c r="JXR44" s="78"/>
      <c r="JXS44" s="78"/>
      <c r="JXT44" s="78"/>
      <c r="JXU44" s="78"/>
      <c r="JXV44" s="78"/>
      <c r="JXW44" s="78"/>
      <c r="JXX44" s="78"/>
      <c r="JXY44" s="78"/>
      <c r="JXZ44" s="78"/>
      <c r="JYA44" s="78"/>
      <c r="JYB44" s="78"/>
      <c r="JYC44" s="78"/>
      <c r="JYD44" s="78"/>
      <c r="JYE44" s="78"/>
      <c r="JYF44" s="78"/>
      <c r="JYG44" s="78"/>
      <c r="JYH44" s="78"/>
      <c r="JYI44" s="78"/>
      <c r="JYJ44" s="78"/>
      <c r="JYK44" s="78"/>
      <c r="JYL44" s="78"/>
      <c r="JYM44" s="78"/>
      <c r="JYN44" s="78"/>
      <c r="JYO44" s="78"/>
      <c r="JYP44" s="78"/>
      <c r="JYQ44" s="78"/>
      <c r="JYR44" s="78"/>
      <c r="JYS44" s="78"/>
      <c r="JYT44" s="78"/>
      <c r="JYU44" s="78"/>
      <c r="JYV44" s="78"/>
      <c r="JYW44" s="78"/>
      <c r="JYX44" s="78"/>
      <c r="JYY44" s="78"/>
      <c r="JYZ44" s="78"/>
      <c r="JZA44" s="78"/>
      <c r="JZB44" s="78"/>
      <c r="JZC44" s="78"/>
      <c r="JZD44" s="78"/>
      <c r="JZE44" s="78"/>
      <c r="JZF44" s="78"/>
      <c r="JZG44" s="78"/>
      <c r="JZH44" s="78"/>
      <c r="JZI44" s="78"/>
      <c r="JZJ44" s="78"/>
      <c r="JZK44" s="78"/>
      <c r="JZL44" s="78"/>
      <c r="JZM44" s="78"/>
      <c r="JZN44" s="78"/>
      <c r="JZO44" s="78"/>
      <c r="JZP44" s="78"/>
      <c r="JZQ44" s="78"/>
      <c r="JZR44" s="78"/>
      <c r="JZS44" s="78"/>
      <c r="JZT44" s="78"/>
      <c r="JZU44" s="78"/>
      <c r="JZV44" s="78"/>
      <c r="JZW44" s="78"/>
      <c r="JZX44" s="78"/>
      <c r="JZY44" s="78"/>
      <c r="JZZ44" s="78"/>
      <c r="KAA44" s="78"/>
      <c r="KAB44" s="78"/>
      <c r="KAC44" s="78"/>
      <c r="KAD44" s="78"/>
      <c r="KAE44" s="78"/>
      <c r="KAF44" s="78"/>
      <c r="KAG44" s="78"/>
      <c r="KAH44" s="78"/>
      <c r="KAI44" s="78"/>
      <c r="KAJ44" s="78"/>
      <c r="KAK44" s="78"/>
      <c r="KAL44" s="78"/>
      <c r="KAM44" s="78"/>
      <c r="KAN44" s="78"/>
      <c r="KAO44" s="78"/>
      <c r="KAP44" s="78"/>
      <c r="KAQ44" s="78"/>
      <c r="KAR44" s="78"/>
      <c r="KAS44" s="78"/>
      <c r="KAT44" s="78"/>
      <c r="KAU44" s="78"/>
      <c r="KAV44" s="78"/>
      <c r="KAW44" s="78"/>
      <c r="KAX44" s="78"/>
      <c r="KAY44" s="78"/>
      <c r="KAZ44" s="78"/>
      <c r="KBA44" s="78"/>
      <c r="KBB44" s="78"/>
      <c r="KBC44" s="78"/>
      <c r="KBD44" s="78"/>
      <c r="KBE44" s="78"/>
      <c r="KBF44" s="78"/>
      <c r="KBG44" s="78"/>
      <c r="KBH44" s="78"/>
      <c r="KBI44" s="78"/>
      <c r="KBJ44" s="78"/>
      <c r="KBK44" s="78"/>
      <c r="KBL44" s="78"/>
      <c r="KBM44" s="78"/>
      <c r="KBN44" s="78"/>
      <c r="KBO44" s="78"/>
      <c r="KBP44" s="78"/>
      <c r="KBQ44" s="78"/>
      <c r="KBR44" s="78"/>
      <c r="KBS44" s="78"/>
      <c r="KBT44" s="78"/>
      <c r="KBU44" s="78"/>
      <c r="KBV44" s="78"/>
      <c r="KBW44" s="78"/>
      <c r="KBX44" s="78"/>
      <c r="KBY44" s="78"/>
      <c r="KBZ44" s="78"/>
      <c r="KCA44" s="78"/>
      <c r="KCB44" s="78"/>
      <c r="KCC44" s="78"/>
      <c r="KCD44" s="78"/>
      <c r="KCE44" s="78"/>
      <c r="KCF44" s="78"/>
      <c r="KCG44" s="78"/>
      <c r="KCH44" s="78"/>
      <c r="KCI44" s="78"/>
      <c r="KCJ44" s="78"/>
      <c r="KCK44" s="78"/>
      <c r="KCL44" s="78"/>
      <c r="KCM44" s="78"/>
      <c r="KCN44" s="78"/>
      <c r="KCO44" s="78"/>
      <c r="KCP44" s="78"/>
      <c r="KCQ44" s="78"/>
      <c r="KCR44" s="78"/>
      <c r="KCS44" s="78"/>
      <c r="KCT44" s="78"/>
      <c r="KCU44" s="78"/>
      <c r="KCV44" s="78"/>
      <c r="KCW44" s="78"/>
      <c r="KCX44" s="78"/>
      <c r="KCY44" s="78"/>
      <c r="KCZ44" s="78"/>
      <c r="KDA44" s="78"/>
      <c r="KDB44" s="78"/>
      <c r="KDC44" s="78"/>
      <c r="KDD44" s="78"/>
      <c r="KDE44" s="78"/>
      <c r="KDF44" s="78"/>
      <c r="KDG44" s="78"/>
      <c r="KDH44" s="78"/>
      <c r="KDI44" s="78"/>
      <c r="KDJ44" s="78"/>
      <c r="KDK44" s="78"/>
      <c r="KDL44" s="78"/>
      <c r="KDM44" s="78"/>
      <c r="KDN44" s="78"/>
      <c r="KDO44" s="78"/>
      <c r="KDP44" s="78"/>
      <c r="KDQ44" s="78"/>
      <c r="KDR44" s="78"/>
      <c r="KDS44" s="78"/>
      <c r="KDT44" s="78"/>
      <c r="KDU44" s="78"/>
      <c r="KDV44" s="78"/>
      <c r="KDW44" s="78"/>
      <c r="KDX44" s="78"/>
      <c r="KDY44" s="78"/>
      <c r="KDZ44" s="78"/>
      <c r="KEA44" s="78"/>
      <c r="KEB44" s="78"/>
      <c r="KEC44" s="78"/>
      <c r="KED44" s="78"/>
      <c r="KEE44" s="78"/>
      <c r="KEF44" s="78"/>
      <c r="KEG44" s="78"/>
      <c r="KEH44" s="78"/>
      <c r="KEI44" s="78"/>
      <c r="KEJ44" s="78"/>
      <c r="KEK44" s="78"/>
      <c r="KEL44" s="78"/>
      <c r="KEM44" s="78"/>
      <c r="KEN44" s="78"/>
      <c r="KEO44" s="78"/>
      <c r="KEP44" s="78"/>
      <c r="KEQ44" s="78"/>
      <c r="KER44" s="78"/>
      <c r="KES44" s="78"/>
      <c r="KET44" s="78"/>
      <c r="KEU44" s="78"/>
      <c r="KEV44" s="78"/>
      <c r="KEW44" s="78"/>
      <c r="KEX44" s="78"/>
      <c r="KEY44" s="78"/>
      <c r="KEZ44" s="78"/>
      <c r="KFA44" s="78"/>
      <c r="KFB44" s="78"/>
      <c r="KFC44" s="78"/>
      <c r="KFD44" s="78"/>
      <c r="KFE44" s="78"/>
      <c r="KFF44" s="78"/>
      <c r="KFG44" s="78"/>
      <c r="KFH44" s="78"/>
      <c r="KFI44" s="78"/>
      <c r="KFJ44" s="78"/>
      <c r="KFK44" s="78"/>
      <c r="KFL44" s="78"/>
      <c r="KFM44" s="78"/>
      <c r="KFN44" s="78"/>
      <c r="KFO44" s="78"/>
      <c r="KFP44" s="78"/>
      <c r="KFQ44" s="78"/>
      <c r="KFR44" s="78"/>
      <c r="KFS44" s="78"/>
      <c r="KFT44" s="78"/>
      <c r="KFU44" s="78"/>
      <c r="KFV44" s="78"/>
      <c r="KFW44" s="78"/>
      <c r="KFX44" s="78"/>
      <c r="KFY44" s="78"/>
      <c r="KFZ44" s="78"/>
      <c r="KGA44" s="78"/>
      <c r="KGB44" s="78"/>
      <c r="KGC44" s="78"/>
      <c r="KGD44" s="78"/>
      <c r="KGE44" s="78"/>
      <c r="KGF44" s="78"/>
      <c r="KGG44" s="78"/>
      <c r="KGH44" s="78"/>
      <c r="KGI44" s="78"/>
      <c r="KGJ44" s="78"/>
      <c r="KGK44" s="78"/>
      <c r="KGL44" s="78"/>
      <c r="KGM44" s="78"/>
      <c r="KGN44" s="78"/>
      <c r="KGO44" s="78"/>
      <c r="KGP44" s="78"/>
      <c r="KGQ44" s="78"/>
      <c r="KGR44" s="78"/>
      <c r="KGS44" s="78"/>
      <c r="KGT44" s="78"/>
      <c r="KGU44" s="78"/>
      <c r="KGV44" s="78"/>
      <c r="KGW44" s="78"/>
      <c r="KGX44" s="78"/>
      <c r="KGY44" s="78"/>
      <c r="KGZ44" s="78"/>
      <c r="KHA44" s="78"/>
      <c r="KHB44" s="78"/>
      <c r="KHC44" s="78"/>
      <c r="KHD44" s="78"/>
      <c r="KHE44" s="78"/>
      <c r="KHF44" s="78"/>
      <c r="KHG44" s="78"/>
      <c r="KHH44" s="78"/>
      <c r="KHI44" s="78"/>
      <c r="KHJ44" s="78"/>
      <c r="KHK44" s="78"/>
      <c r="KHL44" s="78"/>
      <c r="KHM44" s="78"/>
      <c r="KHN44" s="78"/>
      <c r="KHO44" s="78"/>
      <c r="KHP44" s="78"/>
      <c r="KHQ44" s="78"/>
      <c r="KHR44" s="78"/>
      <c r="KHS44" s="78"/>
      <c r="KHT44" s="78"/>
      <c r="KHU44" s="78"/>
      <c r="KHV44" s="78"/>
      <c r="KHW44" s="78"/>
      <c r="KHX44" s="78"/>
      <c r="KHY44" s="78"/>
      <c r="KHZ44" s="78"/>
      <c r="KIA44" s="78"/>
      <c r="KIB44" s="78"/>
      <c r="KIC44" s="78"/>
      <c r="KID44" s="78"/>
      <c r="KIE44" s="78"/>
      <c r="KIF44" s="78"/>
      <c r="KIG44" s="78"/>
      <c r="KIH44" s="78"/>
      <c r="KII44" s="78"/>
      <c r="KIJ44" s="78"/>
      <c r="KIK44" s="78"/>
      <c r="KIL44" s="78"/>
      <c r="KIM44" s="78"/>
      <c r="KIN44" s="78"/>
      <c r="KIO44" s="78"/>
      <c r="KIP44" s="78"/>
      <c r="KIQ44" s="78"/>
      <c r="KIR44" s="78"/>
      <c r="KIS44" s="78"/>
      <c r="KIT44" s="78"/>
      <c r="KIU44" s="78"/>
      <c r="KIV44" s="78"/>
      <c r="KIW44" s="78"/>
      <c r="KIX44" s="78"/>
      <c r="KIY44" s="78"/>
      <c r="KIZ44" s="78"/>
      <c r="KJA44" s="78"/>
      <c r="KJB44" s="78"/>
      <c r="KJC44" s="78"/>
      <c r="KJD44" s="78"/>
      <c r="KJE44" s="78"/>
      <c r="KJF44" s="78"/>
      <c r="KJG44" s="78"/>
      <c r="KJH44" s="78"/>
      <c r="KJI44" s="78"/>
      <c r="KJJ44" s="78"/>
      <c r="KJK44" s="78"/>
      <c r="KJL44" s="78"/>
      <c r="KJM44" s="78"/>
      <c r="KJN44" s="78"/>
      <c r="KJO44" s="78"/>
      <c r="KJP44" s="78"/>
      <c r="KJQ44" s="78"/>
      <c r="KJR44" s="78"/>
      <c r="KJS44" s="78"/>
      <c r="KJT44" s="78"/>
      <c r="KJU44" s="78"/>
      <c r="KJV44" s="78"/>
      <c r="KJW44" s="78"/>
      <c r="KJX44" s="78"/>
      <c r="KJY44" s="78"/>
      <c r="KJZ44" s="78"/>
      <c r="KKA44" s="78"/>
      <c r="KKB44" s="78"/>
      <c r="KKC44" s="78"/>
      <c r="KKD44" s="78"/>
      <c r="KKE44" s="78"/>
      <c r="KKF44" s="78"/>
      <c r="KKG44" s="78"/>
      <c r="KKH44" s="78"/>
      <c r="KKI44" s="78"/>
      <c r="KKJ44" s="78"/>
      <c r="KKK44" s="78"/>
      <c r="KKL44" s="78"/>
      <c r="KKM44" s="78"/>
      <c r="KKN44" s="78"/>
      <c r="KKO44" s="78"/>
      <c r="KKP44" s="78"/>
      <c r="KKQ44" s="78"/>
      <c r="KKR44" s="78"/>
      <c r="KKS44" s="78"/>
      <c r="KKT44" s="78"/>
      <c r="KKU44" s="78"/>
      <c r="KKV44" s="78"/>
      <c r="KKW44" s="78"/>
      <c r="KKX44" s="78"/>
      <c r="KKY44" s="78"/>
      <c r="KKZ44" s="78"/>
      <c r="KLA44" s="78"/>
      <c r="KLB44" s="78"/>
      <c r="KLC44" s="78"/>
      <c r="KLD44" s="78"/>
      <c r="KLE44" s="78"/>
      <c r="KLF44" s="78"/>
      <c r="KLG44" s="78"/>
      <c r="KLH44" s="78"/>
      <c r="KLI44" s="78"/>
      <c r="KLJ44" s="78"/>
      <c r="KLK44" s="78"/>
      <c r="KLL44" s="78"/>
      <c r="KLM44" s="78"/>
      <c r="KLN44" s="78"/>
      <c r="KLO44" s="78"/>
      <c r="KLP44" s="78"/>
      <c r="KLQ44" s="78"/>
      <c r="KLR44" s="78"/>
      <c r="KLS44" s="78"/>
      <c r="KLT44" s="78"/>
      <c r="KLU44" s="78"/>
      <c r="KLV44" s="78"/>
      <c r="KLW44" s="78"/>
      <c r="KLX44" s="78"/>
      <c r="KLY44" s="78"/>
      <c r="KLZ44" s="78"/>
      <c r="KMA44" s="78"/>
      <c r="KMB44" s="78"/>
      <c r="KMC44" s="78"/>
      <c r="KMD44" s="78"/>
      <c r="KME44" s="78"/>
      <c r="KMF44" s="78"/>
      <c r="KMG44" s="78"/>
      <c r="KMH44" s="78"/>
      <c r="KMI44" s="78"/>
      <c r="KMJ44" s="78"/>
      <c r="KMK44" s="78"/>
      <c r="KML44" s="78"/>
      <c r="KMM44" s="78"/>
      <c r="KMN44" s="78"/>
      <c r="KMO44" s="78"/>
      <c r="KMP44" s="78"/>
      <c r="KMQ44" s="78"/>
      <c r="KMR44" s="78"/>
      <c r="KMS44" s="78"/>
      <c r="KMT44" s="78"/>
      <c r="KMU44" s="78"/>
      <c r="KMV44" s="78"/>
      <c r="KMW44" s="78"/>
      <c r="KMX44" s="78"/>
      <c r="KMY44" s="78"/>
      <c r="KMZ44" s="78"/>
      <c r="KNA44" s="78"/>
      <c r="KNB44" s="78"/>
      <c r="KNC44" s="78"/>
      <c r="KND44" s="78"/>
      <c r="KNE44" s="78"/>
      <c r="KNF44" s="78"/>
      <c r="KNG44" s="78"/>
      <c r="KNH44" s="78"/>
      <c r="KNI44" s="78"/>
      <c r="KNJ44" s="78"/>
      <c r="KNK44" s="78"/>
      <c r="KNL44" s="78"/>
      <c r="KNM44" s="78"/>
      <c r="KNN44" s="78"/>
      <c r="KNO44" s="78"/>
      <c r="KNP44" s="78"/>
      <c r="KNQ44" s="78"/>
      <c r="KNR44" s="78"/>
      <c r="KNS44" s="78"/>
      <c r="KNT44" s="78"/>
      <c r="KNU44" s="78"/>
      <c r="KNV44" s="78"/>
      <c r="KNW44" s="78"/>
      <c r="KNX44" s="78"/>
      <c r="KNY44" s="78"/>
      <c r="KNZ44" s="78"/>
      <c r="KOA44" s="78"/>
      <c r="KOB44" s="78"/>
      <c r="KOC44" s="78"/>
      <c r="KOD44" s="78"/>
      <c r="KOE44" s="78"/>
      <c r="KOF44" s="78"/>
      <c r="KOG44" s="78"/>
      <c r="KOH44" s="78"/>
      <c r="KOI44" s="78"/>
      <c r="KOJ44" s="78"/>
      <c r="KOK44" s="78"/>
      <c r="KOL44" s="78"/>
      <c r="KOM44" s="78"/>
      <c r="KON44" s="78"/>
      <c r="KOO44" s="78"/>
      <c r="KOP44" s="78"/>
      <c r="KOQ44" s="78"/>
      <c r="KOR44" s="78"/>
      <c r="KOS44" s="78"/>
      <c r="KOT44" s="78"/>
      <c r="KOU44" s="78"/>
      <c r="KOV44" s="78"/>
      <c r="KOW44" s="78"/>
      <c r="KOX44" s="78"/>
      <c r="KOY44" s="78"/>
      <c r="KOZ44" s="78"/>
      <c r="KPA44" s="78"/>
      <c r="KPB44" s="78"/>
      <c r="KPC44" s="78"/>
      <c r="KPD44" s="78"/>
      <c r="KPE44" s="78"/>
      <c r="KPF44" s="78"/>
      <c r="KPG44" s="78"/>
      <c r="KPH44" s="78"/>
      <c r="KPI44" s="78"/>
      <c r="KPJ44" s="78"/>
      <c r="KPK44" s="78"/>
      <c r="KPL44" s="78"/>
      <c r="KPM44" s="78"/>
      <c r="KPN44" s="78"/>
      <c r="KPO44" s="78"/>
      <c r="KPP44" s="78"/>
      <c r="KPQ44" s="78"/>
      <c r="KPR44" s="78"/>
      <c r="KPS44" s="78"/>
      <c r="KPT44" s="78"/>
      <c r="KPU44" s="78"/>
      <c r="KPV44" s="78"/>
      <c r="KPW44" s="78"/>
      <c r="KPX44" s="78"/>
      <c r="KPY44" s="78"/>
      <c r="KPZ44" s="78"/>
      <c r="KQA44" s="78"/>
      <c r="KQB44" s="78"/>
      <c r="KQC44" s="78"/>
      <c r="KQD44" s="78"/>
      <c r="KQE44" s="78"/>
      <c r="KQF44" s="78"/>
      <c r="KQG44" s="78"/>
      <c r="KQH44" s="78"/>
      <c r="KQI44" s="78"/>
      <c r="KQJ44" s="78"/>
      <c r="KQK44" s="78"/>
      <c r="KQL44" s="78"/>
      <c r="KQM44" s="78"/>
      <c r="KQN44" s="78"/>
      <c r="KQO44" s="78"/>
      <c r="KQP44" s="78"/>
      <c r="KQQ44" s="78"/>
      <c r="KQR44" s="78"/>
      <c r="KQS44" s="78"/>
      <c r="KQT44" s="78"/>
      <c r="KQU44" s="78"/>
      <c r="KQV44" s="78"/>
      <c r="KQW44" s="78"/>
      <c r="KQX44" s="78"/>
      <c r="KQY44" s="78"/>
      <c r="KQZ44" s="78"/>
      <c r="KRA44" s="78"/>
      <c r="KRB44" s="78"/>
      <c r="KRC44" s="78"/>
      <c r="KRD44" s="78"/>
      <c r="KRE44" s="78"/>
      <c r="KRF44" s="78"/>
      <c r="KRG44" s="78"/>
      <c r="KRH44" s="78"/>
      <c r="KRI44" s="78"/>
      <c r="KRJ44" s="78"/>
      <c r="KRK44" s="78"/>
      <c r="KRL44" s="78"/>
      <c r="KRM44" s="78"/>
      <c r="KRN44" s="78"/>
      <c r="KRO44" s="78"/>
      <c r="KRP44" s="78"/>
      <c r="KRQ44" s="78"/>
      <c r="KRR44" s="78"/>
      <c r="KRS44" s="78"/>
      <c r="KRT44" s="78"/>
      <c r="KRU44" s="78"/>
      <c r="KRV44" s="78"/>
      <c r="KRW44" s="78"/>
      <c r="KRX44" s="78"/>
      <c r="KRY44" s="78"/>
      <c r="KRZ44" s="78"/>
      <c r="KSA44" s="78"/>
      <c r="KSB44" s="78"/>
      <c r="KSC44" s="78"/>
      <c r="KSD44" s="78"/>
      <c r="KSE44" s="78"/>
      <c r="KSF44" s="78"/>
      <c r="KSG44" s="78"/>
      <c r="KSH44" s="78"/>
      <c r="KSI44" s="78"/>
      <c r="KSJ44" s="78"/>
      <c r="KSK44" s="78"/>
      <c r="KSL44" s="78"/>
      <c r="KSM44" s="78"/>
      <c r="KSN44" s="78"/>
      <c r="KSO44" s="78"/>
      <c r="KSP44" s="78"/>
      <c r="KSQ44" s="78"/>
      <c r="KSR44" s="78"/>
      <c r="KSS44" s="78"/>
      <c r="KST44" s="78"/>
      <c r="KSU44" s="78"/>
      <c r="KSV44" s="78"/>
      <c r="KSW44" s="78"/>
      <c r="KSX44" s="78"/>
      <c r="KSY44" s="78"/>
      <c r="KSZ44" s="78"/>
      <c r="KTA44" s="78"/>
      <c r="KTB44" s="78"/>
      <c r="KTC44" s="78"/>
      <c r="KTD44" s="78"/>
      <c r="KTE44" s="78"/>
      <c r="KTF44" s="78"/>
      <c r="KTG44" s="78"/>
      <c r="KTH44" s="78"/>
      <c r="KTI44" s="78"/>
      <c r="KTJ44" s="78"/>
      <c r="KTK44" s="78"/>
      <c r="KTL44" s="78"/>
      <c r="KTM44" s="78"/>
      <c r="KTN44" s="78"/>
      <c r="KTO44" s="78"/>
      <c r="KTP44" s="78"/>
      <c r="KTQ44" s="78"/>
      <c r="KTR44" s="78"/>
      <c r="KTS44" s="78"/>
      <c r="KTT44" s="78"/>
      <c r="KTU44" s="78"/>
      <c r="KTV44" s="78"/>
      <c r="KTW44" s="78"/>
      <c r="KTX44" s="78"/>
      <c r="KTY44" s="78"/>
      <c r="KTZ44" s="78"/>
      <c r="KUA44" s="78"/>
      <c r="KUB44" s="78"/>
      <c r="KUC44" s="78"/>
      <c r="KUD44" s="78"/>
      <c r="KUE44" s="78"/>
      <c r="KUF44" s="78"/>
      <c r="KUG44" s="78"/>
      <c r="KUH44" s="78"/>
      <c r="KUI44" s="78"/>
      <c r="KUJ44" s="78"/>
      <c r="KUK44" s="78"/>
      <c r="KUL44" s="78"/>
      <c r="KUM44" s="78"/>
      <c r="KUN44" s="78"/>
      <c r="KUO44" s="78"/>
      <c r="KUP44" s="78"/>
      <c r="KUQ44" s="78"/>
      <c r="KUR44" s="78"/>
      <c r="KUS44" s="78"/>
      <c r="KUT44" s="78"/>
      <c r="KUU44" s="78"/>
      <c r="KUV44" s="78"/>
      <c r="KUW44" s="78"/>
      <c r="KUX44" s="78"/>
      <c r="KUY44" s="78"/>
      <c r="KUZ44" s="78"/>
      <c r="KVA44" s="78"/>
      <c r="KVB44" s="78"/>
      <c r="KVC44" s="78"/>
      <c r="KVD44" s="78"/>
      <c r="KVE44" s="78"/>
      <c r="KVF44" s="78"/>
      <c r="KVG44" s="78"/>
      <c r="KVH44" s="78"/>
      <c r="KVI44" s="78"/>
      <c r="KVJ44" s="78"/>
      <c r="KVK44" s="78"/>
      <c r="KVL44" s="78"/>
      <c r="KVM44" s="78"/>
      <c r="KVN44" s="78"/>
      <c r="KVO44" s="78"/>
      <c r="KVP44" s="78"/>
      <c r="KVQ44" s="78"/>
      <c r="KVR44" s="78"/>
      <c r="KVS44" s="78"/>
      <c r="KVT44" s="78"/>
      <c r="KVU44" s="78"/>
      <c r="KVV44" s="78"/>
      <c r="KVW44" s="78"/>
      <c r="KVX44" s="78"/>
      <c r="KVY44" s="78"/>
      <c r="KVZ44" s="78"/>
      <c r="KWA44" s="78"/>
      <c r="KWB44" s="78"/>
      <c r="KWC44" s="78"/>
      <c r="KWD44" s="78"/>
      <c r="KWE44" s="78"/>
      <c r="KWF44" s="78"/>
      <c r="KWG44" s="78"/>
      <c r="KWH44" s="78"/>
      <c r="KWI44" s="78"/>
      <c r="KWJ44" s="78"/>
      <c r="KWK44" s="78"/>
      <c r="KWL44" s="78"/>
      <c r="KWM44" s="78"/>
      <c r="KWN44" s="78"/>
      <c r="KWO44" s="78"/>
      <c r="KWP44" s="78"/>
      <c r="KWQ44" s="78"/>
      <c r="KWR44" s="78"/>
      <c r="KWS44" s="78"/>
      <c r="KWT44" s="78"/>
      <c r="KWU44" s="78"/>
      <c r="KWV44" s="78"/>
      <c r="KWW44" s="78"/>
      <c r="KWX44" s="78"/>
      <c r="KWY44" s="78"/>
      <c r="KWZ44" s="78"/>
      <c r="KXA44" s="78"/>
      <c r="KXB44" s="78"/>
      <c r="KXC44" s="78"/>
      <c r="KXD44" s="78"/>
      <c r="KXE44" s="78"/>
      <c r="KXF44" s="78"/>
      <c r="KXG44" s="78"/>
      <c r="KXH44" s="78"/>
      <c r="KXI44" s="78"/>
      <c r="KXJ44" s="78"/>
      <c r="KXK44" s="78"/>
      <c r="KXL44" s="78"/>
      <c r="KXM44" s="78"/>
      <c r="KXN44" s="78"/>
      <c r="KXO44" s="78"/>
      <c r="KXP44" s="78"/>
      <c r="KXQ44" s="78"/>
      <c r="KXR44" s="78"/>
      <c r="KXS44" s="78"/>
      <c r="KXT44" s="78"/>
      <c r="KXU44" s="78"/>
      <c r="KXV44" s="78"/>
      <c r="KXW44" s="78"/>
      <c r="KXX44" s="78"/>
      <c r="KXY44" s="78"/>
      <c r="KXZ44" s="78"/>
      <c r="KYA44" s="78"/>
      <c r="KYB44" s="78"/>
      <c r="KYC44" s="78"/>
      <c r="KYD44" s="78"/>
      <c r="KYE44" s="78"/>
      <c r="KYF44" s="78"/>
      <c r="KYG44" s="78"/>
      <c r="KYH44" s="78"/>
      <c r="KYI44" s="78"/>
      <c r="KYJ44" s="78"/>
      <c r="KYK44" s="78"/>
      <c r="KYL44" s="78"/>
      <c r="KYM44" s="78"/>
      <c r="KYN44" s="78"/>
      <c r="KYO44" s="78"/>
      <c r="KYP44" s="78"/>
      <c r="KYQ44" s="78"/>
      <c r="KYR44" s="78"/>
      <c r="KYS44" s="78"/>
      <c r="KYT44" s="78"/>
      <c r="KYU44" s="78"/>
      <c r="KYV44" s="78"/>
      <c r="KYW44" s="78"/>
      <c r="KYX44" s="78"/>
      <c r="KYY44" s="78"/>
      <c r="KYZ44" s="78"/>
      <c r="KZA44" s="78"/>
      <c r="KZB44" s="78"/>
      <c r="KZC44" s="78"/>
      <c r="KZD44" s="78"/>
      <c r="KZE44" s="78"/>
      <c r="KZF44" s="78"/>
      <c r="KZG44" s="78"/>
      <c r="KZH44" s="78"/>
      <c r="KZI44" s="78"/>
      <c r="KZJ44" s="78"/>
      <c r="KZK44" s="78"/>
      <c r="KZL44" s="78"/>
      <c r="KZM44" s="78"/>
      <c r="KZN44" s="78"/>
      <c r="KZO44" s="78"/>
      <c r="KZP44" s="78"/>
      <c r="KZQ44" s="78"/>
      <c r="KZR44" s="78"/>
      <c r="KZS44" s="78"/>
      <c r="KZT44" s="78"/>
      <c r="KZU44" s="78"/>
      <c r="KZV44" s="78"/>
      <c r="KZW44" s="78"/>
      <c r="KZX44" s="78"/>
      <c r="KZY44" s="78"/>
      <c r="KZZ44" s="78"/>
      <c r="LAA44" s="78"/>
      <c r="LAB44" s="78"/>
      <c r="LAC44" s="78"/>
      <c r="LAD44" s="78"/>
      <c r="LAE44" s="78"/>
      <c r="LAF44" s="78"/>
      <c r="LAG44" s="78"/>
      <c r="LAH44" s="78"/>
      <c r="LAI44" s="78"/>
      <c r="LAJ44" s="78"/>
      <c r="LAK44" s="78"/>
      <c r="LAL44" s="78"/>
      <c r="LAM44" s="78"/>
      <c r="LAN44" s="78"/>
      <c r="LAO44" s="78"/>
      <c r="LAP44" s="78"/>
      <c r="LAQ44" s="78"/>
      <c r="LAR44" s="78"/>
      <c r="LAS44" s="78"/>
      <c r="LAT44" s="78"/>
      <c r="LAU44" s="78"/>
      <c r="LAV44" s="78"/>
      <c r="LAW44" s="78"/>
      <c r="LAX44" s="78"/>
      <c r="LAY44" s="78"/>
      <c r="LAZ44" s="78"/>
      <c r="LBA44" s="78"/>
      <c r="LBB44" s="78"/>
      <c r="LBC44" s="78"/>
      <c r="LBD44" s="78"/>
      <c r="LBE44" s="78"/>
      <c r="LBF44" s="78"/>
      <c r="LBG44" s="78"/>
      <c r="LBH44" s="78"/>
      <c r="LBI44" s="78"/>
      <c r="LBJ44" s="78"/>
      <c r="LBK44" s="78"/>
      <c r="LBL44" s="78"/>
      <c r="LBM44" s="78"/>
      <c r="LBN44" s="78"/>
      <c r="LBO44" s="78"/>
      <c r="LBP44" s="78"/>
      <c r="LBQ44" s="78"/>
      <c r="LBR44" s="78"/>
      <c r="LBS44" s="78"/>
      <c r="LBT44" s="78"/>
      <c r="LBU44" s="78"/>
      <c r="LBV44" s="78"/>
      <c r="LBW44" s="78"/>
      <c r="LBX44" s="78"/>
      <c r="LBY44" s="78"/>
      <c r="LBZ44" s="78"/>
      <c r="LCA44" s="78"/>
      <c r="LCB44" s="78"/>
      <c r="LCC44" s="78"/>
      <c r="LCD44" s="78"/>
      <c r="LCE44" s="78"/>
      <c r="LCF44" s="78"/>
      <c r="LCG44" s="78"/>
      <c r="LCH44" s="78"/>
      <c r="LCI44" s="78"/>
      <c r="LCJ44" s="78"/>
      <c r="LCK44" s="78"/>
      <c r="LCL44" s="78"/>
      <c r="LCM44" s="78"/>
      <c r="LCN44" s="78"/>
      <c r="LCO44" s="78"/>
      <c r="LCP44" s="78"/>
      <c r="LCQ44" s="78"/>
      <c r="LCR44" s="78"/>
      <c r="LCS44" s="78"/>
      <c r="LCT44" s="78"/>
      <c r="LCU44" s="78"/>
      <c r="LCV44" s="78"/>
      <c r="LCW44" s="78"/>
      <c r="LCX44" s="78"/>
      <c r="LCY44" s="78"/>
      <c r="LCZ44" s="78"/>
      <c r="LDA44" s="78"/>
      <c r="LDB44" s="78"/>
      <c r="LDC44" s="78"/>
      <c r="LDD44" s="78"/>
      <c r="LDE44" s="78"/>
      <c r="LDF44" s="78"/>
      <c r="LDG44" s="78"/>
      <c r="LDH44" s="78"/>
      <c r="LDI44" s="78"/>
      <c r="LDJ44" s="78"/>
      <c r="LDK44" s="78"/>
      <c r="LDL44" s="78"/>
      <c r="LDM44" s="78"/>
      <c r="LDN44" s="78"/>
      <c r="LDO44" s="78"/>
      <c r="LDP44" s="78"/>
      <c r="LDQ44" s="78"/>
      <c r="LDR44" s="78"/>
      <c r="LDS44" s="78"/>
      <c r="LDT44" s="78"/>
      <c r="LDU44" s="78"/>
      <c r="LDV44" s="78"/>
      <c r="LDW44" s="78"/>
      <c r="LDX44" s="78"/>
      <c r="LDY44" s="78"/>
      <c r="LDZ44" s="78"/>
      <c r="LEA44" s="78"/>
      <c r="LEB44" s="78"/>
      <c r="LEC44" s="78"/>
      <c r="LED44" s="78"/>
      <c r="LEE44" s="78"/>
      <c r="LEF44" s="78"/>
      <c r="LEG44" s="78"/>
      <c r="LEH44" s="78"/>
      <c r="LEI44" s="78"/>
      <c r="LEJ44" s="78"/>
      <c r="LEK44" s="78"/>
      <c r="LEL44" s="78"/>
      <c r="LEM44" s="78"/>
      <c r="LEN44" s="78"/>
      <c r="LEO44" s="78"/>
      <c r="LEP44" s="78"/>
      <c r="LEQ44" s="78"/>
      <c r="LER44" s="78"/>
      <c r="LES44" s="78"/>
      <c r="LET44" s="78"/>
      <c r="LEU44" s="78"/>
      <c r="LEV44" s="78"/>
      <c r="LEW44" s="78"/>
      <c r="LEX44" s="78"/>
      <c r="LEY44" s="78"/>
      <c r="LEZ44" s="78"/>
      <c r="LFA44" s="78"/>
      <c r="LFB44" s="78"/>
      <c r="LFC44" s="78"/>
      <c r="LFD44" s="78"/>
      <c r="LFE44" s="78"/>
      <c r="LFF44" s="78"/>
      <c r="LFG44" s="78"/>
      <c r="LFH44" s="78"/>
      <c r="LFI44" s="78"/>
      <c r="LFJ44" s="78"/>
      <c r="LFK44" s="78"/>
      <c r="LFL44" s="78"/>
      <c r="LFM44" s="78"/>
      <c r="LFN44" s="78"/>
      <c r="LFO44" s="78"/>
      <c r="LFP44" s="78"/>
      <c r="LFQ44" s="78"/>
      <c r="LFR44" s="78"/>
      <c r="LFS44" s="78"/>
      <c r="LFT44" s="78"/>
      <c r="LFU44" s="78"/>
      <c r="LFV44" s="78"/>
      <c r="LFW44" s="78"/>
      <c r="LFX44" s="78"/>
      <c r="LFY44" s="78"/>
      <c r="LFZ44" s="78"/>
      <c r="LGA44" s="78"/>
      <c r="LGB44" s="78"/>
      <c r="LGC44" s="78"/>
      <c r="LGD44" s="78"/>
      <c r="LGE44" s="78"/>
      <c r="LGF44" s="78"/>
      <c r="LGG44" s="78"/>
      <c r="LGH44" s="78"/>
      <c r="LGI44" s="78"/>
      <c r="LGJ44" s="78"/>
      <c r="LGK44" s="78"/>
      <c r="LGL44" s="78"/>
      <c r="LGM44" s="78"/>
      <c r="LGN44" s="78"/>
      <c r="LGO44" s="78"/>
      <c r="LGP44" s="78"/>
      <c r="LGQ44" s="78"/>
      <c r="LGR44" s="78"/>
      <c r="LGS44" s="78"/>
      <c r="LGT44" s="78"/>
      <c r="LGU44" s="78"/>
      <c r="LGV44" s="78"/>
      <c r="LGW44" s="78"/>
      <c r="LGX44" s="78"/>
      <c r="LGY44" s="78"/>
      <c r="LGZ44" s="78"/>
      <c r="LHA44" s="78"/>
      <c r="LHB44" s="78"/>
      <c r="LHC44" s="78"/>
      <c r="LHD44" s="78"/>
      <c r="LHE44" s="78"/>
      <c r="LHF44" s="78"/>
      <c r="LHG44" s="78"/>
      <c r="LHH44" s="78"/>
      <c r="LHI44" s="78"/>
      <c r="LHJ44" s="78"/>
      <c r="LHK44" s="78"/>
      <c r="LHL44" s="78"/>
      <c r="LHM44" s="78"/>
      <c r="LHN44" s="78"/>
      <c r="LHO44" s="78"/>
      <c r="LHP44" s="78"/>
      <c r="LHQ44" s="78"/>
      <c r="LHR44" s="78"/>
      <c r="LHS44" s="78"/>
      <c r="LHT44" s="78"/>
      <c r="LHU44" s="78"/>
      <c r="LHV44" s="78"/>
      <c r="LHW44" s="78"/>
      <c r="LHX44" s="78"/>
      <c r="LHY44" s="78"/>
      <c r="LHZ44" s="78"/>
      <c r="LIA44" s="78"/>
      <c r="LIB44" s="78"/>
      <c r="LIC44" s="78"/>
      <c r="LID44" s="78"/>
      <c r="LIE44" s="78"/>
      <c r="LIF44" s="78"/>
      <c r="LIG44" s="78"/>
      <c r="LIH44" s="78"/>
      <c r="LII44" s="78"/>
      <c r="LIJ44" s="78"/>
      <c r="LIK44" s="78"/>
      <c r="LIL44" s="78"/>
      <c r="LIM44" s="78"/>
      <c r="LIN44" s="78"/>
      <c r="LIO44" s="78"/>
      <c r="LIP44" s="78"/>
      <c r="LIQ44" s="78"/>
      <c r="LIR44" s="78"/>
      <c r="LIS44" s="78"/>
      <c r="LIT44" s="78"/>
      <c r="LIU44" s="78"/>
      <c r="LIV44" s="78"/>
      <c r="LIW44" s="78"/>
      <c r="LIX44" s="78"/>
      <c r="LIY44" s="78"/>
      <c r="LIZ44" s="78"/>
      <c r="LJA44" s="78"/>
      <c r="LJB44" s="78"/>
      <c r="LJC44" s="78"/>
      <c r="LJD44" s="78"/>
      <c r="LJE44" s="78"/>
      <c r="LJF44" s="78"/>
      <c r="LJG44" s="78"/>
      <c r="LJH44" s="78"/>
      <c r="LJI44" s="78"/>
      <c r="LJJ44" s="78"/>
      <c r="LJK44" s="78"/>
      <c r="LJL44" s="78"/>
      <c r="LJM44" s="78"/>
      <c r="LJN44" s="78"/>
      <c r="LJO44" s="78"/>
      <c r="LJP44" s="78"/>
      <c r="LJQ44" s="78"/>
      <c r="LJR44" s="78"/>
      <c r="LJS44" s="78"/>
      <c r="LJT44" s="78"/>
      <c r="LJU44" s="78"/>
      <c r="LJV44" s="78"/>
      <c r="LJW44" s="78"/>
      <c r="LJX44" s="78"/>
      <c r="LJY44" s="78"/>
      <c r="LJZ44" s="78"/>
      <c r="LKA44" s="78"/>
      <c r="LKB44" s="78"/>
      <c r="LKC44" s="78"/>
      <c r="LKD44" s="78"/>
      <c r="LKE44" s="78"/>
      <c r="LKF44" s="78"/>
      <c r="LKG44" s="78"/>
      <c r="LKH44" s="78"/>
      <c r="LKI44" s="78"/>
      <c r="LKJ44" s="78"/>
      <c r="LKK44" s="78"/>
      <c r="LKL44" s="78"/>
      <c r="LKM44" s="78"/>
      <c r="LKN44" s="78"/>
      <c r="LKO44" s="78"/>
      <c r="LKP44" s="78"/>
      <c r="LKQ44" s="78"/>
      <c r="LKR44" s="78"/>
      <c r="LKS44" s="78"/>
      <c r="LKT44" s="78"/>
      <c r="LKU44" s="78"/>
      <c r="LKV44" s="78"/>
      <c r="LKW44" s="78"/>
      <c r="LKX44" s="78"/>
      <c r="LKY44" s="78"/>
      <c r="LKZ44" s="78"/>
      <c r="LLA44" s="78"/>
      <c r="LLB44" s="78"/>
      <c r="LLC44" s="78"/>
      <c r="LLD44" s="78"/>
      <c r="LLE44" s="78"/>
      <c r="LLF44" s="78"/>
      <c r="LLG44" s="78"/>
      <c r="LLH44" s="78"/>
      <c r="LLI44" s="78"/>
      <c r="LLJ44" s="78"/>
      <c r="LLK44" s="78"/>
      <c r="LLL44" s="78"/>
      <c r="LLM44" s="78"/>
      <c r="LLN44" s="78"/>
      <c r="LLO44" s="78"/>
      <c r="LLP44" s="78"/>
      <c r="LLQ44" s="78"/>
      <c r="LLR44" s="78"/>
      <c r="LLS44" s="78"/>
      <c r="LLT44" s="78"/>
      <c r="LLU44" s="78"/>
      <c r="LLV44" s="78"/>
      <c r="LLW44" s="78"/>
      <c r="LLX44" s="78"/>
      <c r="LLY44" s="78"/>
      <c r="LLZ44" s="78"/>
      <c r="LMA44" s="78"/>
      <c r="LMB44" s="78"/>
      <c r="LMC44" s="78"/>
      <c r="LMD44" s="78"/>
      <c r="LME44" s="78"/>
      <c r="LMF44" s="78"/>
      <c r="LMG44" s="78"/>
      <c r="LMH44" s="78"/>
      <c r="LMI44" s="78"/>
      <c r="LMJ44" s="78"/>
      <c r="LMK44" s="78"/>
      <c r="LML44" s="78"/>
      <c r="LMM44" s="78"/>
      <c r="LMN44" s="78"/>
      <c r="LMO44" s="78"/>
      <c r="LMP44" s="78"/>
      <c r="LMQ44" s="78"/>
      <c r="LMR44" s="78"/>
      <c r="LMS44" s="78"/>
      <c r="LMT44" s="78"/>
      <c r="LMU44" s="78"/>
      <c r="LMV44" s="78"/>
      <c r="LMW44" s="78"/>
      <c r="LMX44" s="78"/>
      <c r="LMY44" s="78"/>
      <c r="LMZ44" s="78"/>
      <c r="LNA44" s="78"/>
      <c r="LNB44" s="78"/>
      <c r="LNC44" s="78"/>
      <c r="LND44" s="78"/>
      <c r="LNE44" s="78"/>
      <c r="LNF44" s="78"/>
      <c r="LNG44" s="78"/>
      <c r="LNH44" s="78"/>
      <c r="LNI44" s="78"/>
      <c r="LNJ44" s="78"/>
      <c r="LNK44" s="78"/>
      <c r="LNL44" s="78"/>
      <c r="LNM44" s="78"/>
      <c r="LNN44" s="78"/>
      <c r="LNO44" s="78"/>
      <c r="LNP44" s="78"/>
      <c r="LNQ44" s="78"/>
      <c r="LNR44" s="78"/>
      <c r="LNS44" s="78"/>
      <c r="LNT44" s="78"/>
      <c r="LNU44" s="78"/>
      <c r="LNV44" s="78"/>
      <c r="LNW44" s="78"/>
      <c r="LNX44" s="78"/>
      <c r="LNY44" s="78"/>
      <c r="LNZ44" s="78"/>
      <c r="LOA44" s="78"/>
      <c r="LOB44" s="78"/>
      <c r="LOC44" s="78"/>
      <c r="LOD44" s="78"/>
      <c r="LOE44" s="78"/>
      <c r="LOF44" s="78"/>
      <c r="LOG44" s="78"/>
      <c r="LOH44" s="78"/>
      <c r="LOI44" s="78"/>
      <c r="LOJ44" s="78"/>
      <c r="LOK44" s="78"/>
      <c r="LOL44" s="78"/>
      <c r="LOM44" s="78"/>
      <c r="LON44" s="78"/>
      <c r="LOO44" s="78"/>
      <c r="LOP44" s="78"/>
      <c r="LOQ44" s="78"/>
      <c r="LOR44" s="78"/>
      <c r="LOS44" s="78"/>
      <c r="LOT44" s="78"/>
      <c r="LOU44" s="78"/>
      <c r="LOV44" s="78"/>
      <c r="LOW44" s="78"/>
      <c r="LOX44" s="78"/>
      <c r="LOY44" s="78"/>
      <c r="LOZ44" s="78"/>
      <c r="LPA44" s="78"/>
      <c r="LPB44" s="78"/>
      <c r="LPC44" s="78"/>
      <c r="LPD44" s="78"/>
      <c r="LPE44" s="78"/>
      <c r="LPF44" s="78"/>
      <c r="LPG44" s="78"/>
      <c r="LPH44" s="78"/>
      <c r="LPI44" s="78"/>
      <c r="LPJ44" s="78"/>
      <c r="LPK44" s="78"/>
      <c r="LPL44" s="78"/>
      <c r="LPM44" s="78"/>
      <c r="LPN44" s="78"/>
      <c r="LPO44" s="78"/>
      <c r="LPP44" s="78"/>
      <c r="LPQ44" s="78"/>
      <c r="LPR44" s="78"/>
      <c r="LPS44" s="78"/>
      <c r="LPT44" s="78"/>
      <c r="LPU44" s="78"/>
      <c r="LPV44" s="78"/>
      <c r="LPW44" s="78"/>
      <c r="LPX44" s="78"/>
      <c r="LPY44" s="78"/>
      <c r="LPZ44" s="78"/>
      <c r="LQA44" s="78"/>
      <c r="LQB44" s="78"/>
      <c r="LQC44" s="78"/>
      <c r="LQD44" s="78"/>
      <c r="LQE44" s="78"/>
      <c r="LQF44" s="78"/>
      <c r="LQG44" s="78"/>
      <c r="LQH44" s="78"/>
      <c r="LQI44" s="78"/>
      <c r="LQJ44" s="78"/>
      <c r="LQK44" s="78"/>
      <c r="LQL44" s="78"/>
      <c r="LQM44" s="78"/>
      <c r="LQN44" s="78"/>
      <c r="LQO44" s="78"/>
      <c r="LQP44" s="78"/>
      <c r="LQQ44" s="78"/>
      <c r="LQR44" s="78"/>
      <c r="LQS44" s="78"/>
      <c r="LQT44" s="78"/>
      <c r="LQU44" s="78"/>
      <c r="LQV44" s="78"/>
      <c r="LQW44" s="78"/>
      <c r="LQX44" s="78"/>
      <c r="LQY44" s="78"/>
      <c r="LQZ44" s="78"/>
      <c r="LRA44" s="78"/>
      <c r="LRB44" s="78"/>
      <c r="LRC44" s="78"/>
      <c r="LRD44" s="78"/>
      <c r="LRE44" s="78"/>
      <c r="LRF44" s="78"/>
      <c r="LRG44" s="78"/>
      <c r="LRH44" s="78"/>
      <c r="LRI44" s="78"/>
      <c r="LRJ44" s="78"/>
      <c r="LRK44" s="78"/>
      <c r="LRL44" s="78"/>
      <c r="LRM44" s="78"/>
      <c r="LRN44" s="78"/>
      <c r="LRO44" s="78"/>
      <c r="LRP44" s="78"/>
      <c r="LRQ44" s="78"/>
      <c r="LRR44" s="78"/>
      <c r="LRS44" s="78"/>
      <c r="LRT44" s="78"/>
      <c r="LRU44" s="78"/>
      <c r="LRV44" s="78"/>
      <c r="LRW44" s="78"/>
      <c r="LRX44" s="78"/>
      <c r="LRY44" s="78"/>
      <c r="LRZ44" s="78"/>
      <c r="LSA44" s="78"/>
      <c r="LSB44" s="78"/>
      <c r="LSC44" s="78"/>
      <c r="LSD44" s="78"/>
      <c r="LSE44" s="78"/>
      <c r="LSF44" s="78"/>
      <c r="LSG44" s="78"/>
      <c r="LSH44" s="78"/>
      <c r="LSI44" s="78"/>
      <c r="LSJ44" s="78"/>
      <c r="LSK44" s="78"/>
      <c r="LSL44" s="78"/>
      <c r="LSM44" s="78"/>
      <c r="LSN44" s="78"/>
      <c r="LSO44" s="78"/>
      <c r="LSP44" s="78"/>
      <c r="LSQ44" s="78"/>
      <c r="LSR44" s="78"/>
      <c r="LSS44" s="78"/>
      <c r="LST44" s="78"/>
      <c r="LSU44" s="78"/>
      <c r="LSV44" s="78"/>
      <c r="LSW44" s="78"/>
      <c r="LSX44" s="78"/>
      <c r="LSY44" s="78"/>
      <c r="LSZ44" s="78"/>
      <c r="LTA44" s="78"/>
      <c r="LTB44" s="78"/>
      <c r="LTC44" s="78"/>
      <c r="LTD44" s="78"/>
      <c r="LTE44" s="78"/>
      <c r="LTF44" s="78"/>
      <c r="LTG44" s="78"/>
      <c r="LTH44" s="78"/>
      <c r="LTI44" s="78"/>
      <c r="LTJ44" s="78"/>
      <c r="LTK44" s="78"/>
      <c r="LTL44" s="78"/>
      <c r="LTM44" s="78"/>
      <c r="LTN44" s="78"/>
      <c r="LTO44" s="78"/>
      <c r="LTP44" s="78"/>
      <c r="LTQ44" s="78"/>
      <c r="LTR44" s="78"/>
      <c r="LTS44" s="78"/>
      <c r="LTT44" s="78"/>
      <c r="LTU44" s="78"/>
      <c r="LTV44" s="78"/>
      <c r="LTW44" s="78"/>
      <c r="LTX44" s="78"/>
      <c r="LTY44" s="78"/>
      <c r="LTZ44" s="78"/>
      <c r="LUA44" s="78"/>
      <c r="LUB44" s="78"/>
      <c r="LUC44" s="78"/>
      <c r="LUD44" s="78"/>
      <c r="LUE44" s="78"/>
      <c r="LUF44" s="78"/>
      <c r="LUG44" s="78"/>
      <c r="LUH44" s="78"/>
      <c r="LUI44" s="78"/>
      <c r="LUJ44" s="78"/>
      <c r="LUK44" s="78"/>
      <c r="LUL44" s="78"/>
      <c r="LUM44" s="78"/>
      <c r="LUN44" s="78"/>
      <c r="LUO44" s="78"/>
      <c r="LUP44" s="78"/>
      <c r="LUQ44" s="78"/>
      <c r="LUR44" s="78"/>
      <c r="LUS44" s="78"/>
      <c r="LUT44" s="78"/>
      <c r="LUU44" s="78"/>
      <c r="LUV44" s="78"/>
      <c r="LUW44" s="78"/>
      <c r="LUX44" s="78"/>
      <c r="LUY44" s="78"/>
      <c r="LUZ44" s="78"/>
      <c r="LVA44" s="78"/>
      <c r="LVB44" s="78"/>
      <c r="LVC44" s="78"/>
      <c r="LVD44" s="78"/>
      <c r="LVE44" s="78"/>
      <c r="LVF44" s="78"/>
      <c r="LVG44" s="78"/>
      <c r="LVH44" s="78"/>
      <c r="LVI44" s="78"/>
      <c r="LVJ44" s="78"/>
      <c r="LVK44" s="78"/>
      <c r="LVL44" s="78"/>
      <c r="LVM44" s="78"/>
      <c r="LVN44" s="78"/>
      <c r="LVO44" s="78"/>
      <c r="LVP44" s="78"/>
      <c r="LVQ44" s="78"/>
      <c r="LVR44" s="78"/>
      <c r="LVS44" s="78"/>
      <c r="LVT44" s="78"/>
      <c r="LVU44" s="78"/>
      <c r="LVV44" s="78"/>
      <c r="LVW44" s="78"/>
      <c r="LVX44" s="78"/>
      <c r="LVY44" s="78"/>
      <c r="LVZ44" s="78"/>
      <c r="LWA44" s="78"/>
      <c r="LWB44" s="78"/>
      <c r="LWC44" s="78"/>
      <c r="LWD44" s="78"/>
      <c r="LWE44" s="78"/>
      <c r="LWF44" s="78"/>
      <c r="LWG44" s="78"/>
      <c r="LWH44" s="78"/>
      <c r="LWI44" s="78"/>
      <c r="LWJ44" s="78"/>
      <c r="LWK44" s="78"/>
      <c r="LWL44" s="78"/>
      <c r="LWM44" s="78"/>
      <c r="LWN44" s="78"/>
      <c r="LWO44" s="78"/>
      <c r="LWP44" s="78"/>
      <c r="LWQ44" s="78"/>
      <c r="LWR44" s="78"/>
      <c r="LWS44" s="78"/>
      <c r="LWT44" s="78"/>
      <c r="LWU44" s="78"/>
      <c r="LWV44" s="78"/>
      <c r="LWW44" s="78"/>
      <c r="LWX44" s="78"/>
      <c r="LWY44" s="78"/>
      <c r="LWZ44" s="78"/>
      <c r="LXA44" s="78"/>
      <c r="LXB44" s="78"/>
      <c r="LXC44" s="78"/>
      <c r="LXD44" s="78"/>
      <c r="LXE44" s="78"/>
      <c r="LXF44" s="78"/>
      <c r="LXG44" s="78"/>
      <c r="LXH44" s="78"/>
      <c r="LXI44" s="78"/>
      <c r="LXJ44" s="78"/>
      <c r="LXK44" s="78"/>
      <c r="LXL44" s="78"/>
      <c r="LXM44" s="78"/>
      <c r="LXN44" s="78"/>
      <c r="LXO44" s="78"/>
      <c r="LXP44" s="78"/>
      <c r="LXQ44" s="78"/>
      <c r="LXR44" s="78"/>
      <c r="LXS44" s="78"/>
      <c r="LXT44" s="78"/>
      <c r="LXU44" s="78"/>
      <c r="LXV44" s="78"/>
      <c r="LXW44" s="78"/>
      <c r="LXX44" s="78"/>
      <c r="LXY44" s="78"/>
      <c r="LXZ44" s="78"/>
      <c r="LYA44" s="78"/>
      <c r="LYB44" s="78"/>
      <c r="LYC44" s="78"/>
      <c r="LYD44" s="78"/>
      <c r="LYE44" s="78"/>
      <c r="LYF44" s="78"/>
      <c r="LYG44" s="78"/>
      <c r="LYH44" s="78"/>
      <c r="LYI44" s="78"/>
      <c r="LYJ44" s="78"/>
      <c r="LYK44" s="78"/>
      <c r="LYL44" s="78"/>
      <c r="LYM44" s="78"/>
      <c r="LYN44" s="78"/>
      <c r="LYO44" s="78"/>
      <c r="LYP44" s="78"/>
      <c r="LYQ44" s="78"/>
      <c r="LYR44" s="78"/>
      <c r="LYS44" s="78"/>
      <c r="LYT44" s="78"/>
      <c r="LYU44" s="78"/>
      <c r="LYV44" s="78"/>
      <c r="LYW44" s="78"/>
      <c r="LYX44" s="78"/>
      <c r="LYY44" s="78"/>
      <c r="LYZ44" s="78"/>
      <c r="LZA44" s="78"/>
      <c r="LZB44" s="78"/>
      <c r="LZC44" s="78"/>
      <c r="LZD44" s="78"/>
      <c r="LZE44" s="78"/>
      <c r="LZF44" s="78"/>
      <c r="LZG44" s="78"/>
      <c r="LZH44" s="78"/>
      <c r="LZI44" s="78"/>
      <c r="LZJ44" s="78"/>
      <c r="LZK44" s="78"/>
      <c r="LZL44" s="78"/>
      <c r="LZM44" s="78"/>
      <c r="LZN44" s="78"/>
      <c r="LZO44" s="78"/>
      <c r="LZP44" s="78"/>
      <c r="LZQ44" s="78"/>
      <c r="LZR44" s="78"/>
      <c r="LZS44" s="78"/>
      <c r="LZT44" s="78"/>
      <c r="LZU44" s="78"/>
      <c r="LZV44" s="78"/>
      <c r="LZW44" s="78"/>
      <c r="LZX44" s="78"/>
      <c r="LZY44" s="78"/>
      <c r="LZZ44" s="78"/>
      <c r="MAA44" s="78"/>
      <c r="MAB44" s="78"/>
      <c r="MAC44" s="78"/>
      <c r="MAD44" s="78"/>
      <c r="MAE44" s="78"/>
      <c r="MAF44" s="78"/>
      <c r="MAG44" s="78"/>
      <c r="MAH44" s="78"/>
      <c r="MAI44" s="78"/>
      <c r="MAJ44" s="78"/>
      <c r="MAK44" s="78"/>
      <c r="MAL44" s="78"/>
      <c r="MAM44" s="78"/>
      <c r="MAN44" s="78"/>
      <c r="MAO44" s="78"/>
      <c r="MAP44" s="78"/>
      <c r="MAQ44" s="78"/>
      <c r="MAR44" s="78"/>
      <c r="MAS44" s="78"/>
      <c r="MAT44" s="78"/>
      <c r="MAU44" s="78"/>
      <c r="MAV44" s="78"/>
      <c r="MAW44" s="78"/>
      <c r="MAX44" s="78"/>
      <c r="MAY44" s="78"/>
      <c r="MAZ44" s="78"/>
      <c r="MBA44" s="78"/>
      <c r="MBB44" s="78"/>
      <c r="MBC44" s="78"/>
      <c r="MBD44" s="78"/>
      <c r="MBE44" s="78"/>
      <c r="MBF44" s="78"/>
      <c r="MBG44" s="78"/>
      <c r="MBH44" s="78"/>
      <c r="MBI44" s="78"/>
      <c r="MBJ44" s="78"/>
      <c r="MBK44" s="78"/>
      <c r="MBL44" s="78"/>
      <c r="MBM44" s="78"/>
      <c r="MBN44" s="78"/>
      <c r="MBO44" s="78"/>
      <c r="MBP44" s="78"/>
      <c r="MBQ44" s="78"/>
      <c r="MBR44" s="78"/>
      <c r="MBS44" s="78"/>
      <c r="MBT44" s="78"/>
      <c r="MBU44" s="78"/>
      <c r="MBV44" s="78"/>
      <c r="MBW44" s="78"/>
      <c r="MBX44" s="78"/>
      <c r="MBY44" s="78"/>
      <c r="MBZ44" s="78"/>
      <c r="MCA44" s="78"/>
      <c r="MCB44" s="78"/>
      <c r="MCC44" s="78"/>
      <c r="MCD44" s="78"/>
      <c r="MCE44" s="78"/>
      <c r="MCF44" s="78"/>
      <c r="MCG44" s="78"/>
      <c r="MCH44" s="78"/>
      <c r="MCI44" s="78"/>
      <c r="MCJ44" s="78"/>
      <c r="MCK44" s="78"/>
      <c r="MCL44" s="78"/>
      <c r="MCM44" s="78"/>
      <c r="MCN44" s="78"/>
      <c r="MCO44" s="78"/>
      <c r="MCP44" s="78"/>
      <c r="MCQ44" s="78"/>
      <c r="MCR44" s="78"/>
      <c r="MCS44" s="78"/>
      <c r="MCT44" s="78"/>
      <c r="MCU44" s="78"/>
      <c r="MCV44" s="78"/>
      <c r="MCW44" s="78"/>
      <c r="MCX44" s="78"/>
      <c r="MCY44" s="78"/>
      <c r="MCZ44" s="78"/>
      <c r="MDA44" s="78"/>
      <c r="MDB44" s="78"/>
      <c r="MDC44" s="78"/>
      <c r="MDD44" s="78"/>
      <c r="MDE44" s="78"/>
      <c r="MDF44" s="78"/>
      <c r="MDG44" s="78"/>
      <c r="MDH44" s="78"/>
      <c r="MDI44" s="78"/>
      <c r="MDJ44" s="78"/>
      <c r="MDK44" s="78"/>
      <c r="MDL44" s="78"/>
      <c r="MDM44" s="78"/>
      <c r="MDN44" s="78"/>
      <c r="MDO44" s="78"/>
      <c r="MDP44" s="78"/>
      <c r="MDQ44" s="78"/>
      <c r="MDR44" s="78"/>
      <c r="MDS44" s="78"/>
      <c r="MDT44" s="78"/>
      <c r="MDU44" s="78"/>
      <c r="MDV44" s="78"/>
      <c r="MDW44" s="78"/>
      <c r="MDX44" s="78"/>
      <c r="MDY44" s="78"/>
      <c r="MDZ44" s="78"/>
      <c r="MEA44" s="78"/>
      <c r="MEB44" s="78"/>
      <c r="MEC44" s="78"/>
      <c r="MED44" s="78"/>
      <c r="MEE44" s="78"/>
      <c r="MEF44" s="78"/>
      <c r="MEG44" s="78"/>
      <c r="MEH44" s="78"/>
      <c r="MEI44" s="78"/>
      <c r="MEJ44" s="78"/>
      <c r="MEK44" s="78"/>
      <c r="MEL44" s="78"/>
      <c r="MEM44" s="78"/>
      <c r="MEN44" s="78"/>
      <c r="MEO44" s="78"/>
      <c r="MEP44" s="78"/>
      <c r="MEQ44" s="78"/>
      <c r="MER44" s="78"/>
      <c r="MES44" s="78"/>
      <c r="MET44" s="78"/>
      <c r="MEU44" s="78"/>
      <c r="MEV44" s="78"/>
      <c r="MEW44" s="78"/>
      <c r="MEX44" s="78"/>
      <c r="MEY44" s="78"/>
      <c r="MEZ44" s="78"/>
      <c r="MFA44" s="78"/>
      <c r="MFB44" s="78"/>
      <c r="MFC44" s="78"/>
      <c r="MFD44" s="78"/>
      <c r="MFE44" s="78"/>
      <c r="MFF44" s="78"/>
      <c r="MFG44" s="78"/>
      <c r="MFH44" s="78"/>
      <c r="MFI44" s="78"/>
      <c r="MFJ44" s="78"/>
      <c r="MFK44" s="78"/>
      <c r="MFL44" s="78"/>
      <c r="MFM44" s="78"/>
      <c r="MFN44" s="78"/>
      <c r="MFO44" s="78"/>
      <c r="MFP44" s="78"/>
      <c r="MFQ44" s="78"/>
      <c r="MFR44" s="78"/>
      <c r="MFS44" s="78"/>
      <c r="MFT44" s="78"/>
      <c r="MFU44" s="78"/>
      <c r="MFV44" s="78"/>
      <c r="MFW44" s="78"/>
      <c r="MFX44" s="78"/>
      <c r="MFY44" s="78"/>
      <c r="MFZ44" s="78"/>
      <c r="MGA44" s="78"/>
      <c r="MGB44" s="78"/>
      <c r="MGC44" s="78"/>
      <c r="MGD44" s="78"/>
      <c r="MGE44" s="78"/>
      <c r="MGF44" s="78"/>
      <c r="MGG44" s="78"/>
      <c r="MGH44" s="78"/>
      <c r="MGI44" s="78"/>
      <c r="MGJ44" s="78"/>
      <c r="MGK44" s="78"/>
      <c r="MGL44" s="78"/>
      <c r="MGM44" s="78"/>
      <c r="MGN44" s="78"/>
      <c r="MGO44" s="78"/>
      <c r="MGP44" s="78"/>
      <c r="MGQ44" s="78"/>
      <c r="MGR44" s="78"/>
      <c r="MGS44" s="78"/>
      <c r="MGT44" s="78"/>
      <c r="MGU44" s="78"/>
      <c r="MGV44" s="78"/>
      <c r="MGW44" s="78"/>
      <c r="MGX44" s="78"/>
      <c r="MGY44" s="78"/>
      <c r="MGZ44" s="78"/>
      <c r="MHA44" s="78"/>
      <c r="MHB44" s="78"/>
      <c r="MHC44" s="78"/>
      <c r="MHD44" s="78"/>
      <c r="MHE44" s="78"/>
      <c r="MHF44" s="78"/>
      <c r="MHG44" s="78"/>
      <c r="MHH44" s="78"/>
      <c r="MHI44" s="78"/>
      <c r="MHJ44" s="78"/>
      <c r="MHK44" s="78"/>
      <c r="MHL44" s="78"/>
      <c r="MHM44" s="78"/>
      <c r="MHN44" s="78"/>
      <c r="MHO44" s="78"/>
      <c r="MHP44" s="78"/>
      <c r="MHQ44" s="78"/>
      <c r="MHR44" s="78"/>
      <c r="MHS44" s="78"/>
      <c r="MHT44" s="78"/>
      <c r="MHU44" s="78"/>
      <c r="MHV44" s="78"/>
      <c r="MHW44" s="78"/>
      <c r="MHX44" s="78"/>
      <c r="MHY44" s="78"/>
      <c r="MHZ44" s="78"/>
      <c r="MIA44" s="78"/>
      <c r="MIB44" s="78"/>
      <c r="MIC44" s="78"/>
      <c r="MID44" s="78"/>
      <c r="MIE44" s="78"/>
      <c r="MIF44" s="78"/>
      <c r="MIG44" s="78"/>
      <c r="MIH44" s="78"/>
      <c r="MII44" s="78"/>
      <c r="MIJ44" s="78"/>
      <c r="MIK44" s="78"/>
      <c r="MIL44" s="78"/>
      <c r="MIM44" s="78"/>
      <c r="MIN44" s="78"/>
      <c r="MIO44" s="78"/>
      <c r="MIP44" s="78"/>
      <c r="MIQ44" s="78"/>
      <c r="MIR44" s="78"/>
      <c r="MIS44" s="78"/>
      <c r="MIT44" s="78"/>
      <c r="MIU44" s="78"/>
      <c r="MIV44" s="78"/>
      <c r="MIW44" s="78"/>
      <c r="MIX44" s="78"/>
      <c r="MIY44" s="78"/>
      <c r="MIZ44" s="78"/>
      <c r="MJA44" s="78"/>
      <c r="MJB44" s="78"/>
      <c r="MJC44" s="78"/>
      <c r="MJD44" s="78"/>
      <c r="MJE44" s="78"/>
      <c r="MJF44" s="78"/>
      <c r="MJG44" s="78"/>
      <c r="MJH44" s="78"/>
      <c r="MJI44" s="78"/>
      <c r="MJJ44" s="78"/>
      <c r="MJK44" s="78"/>
      <c r="MJL44" s="78"/>
      <c r="MJM44" s="78"/>
      <c r="MJN44" s="78"/>
      <c r="MJO44" s="78"/>
      <c r="MJP44" s="78"/>
      <c r="MJQ44" s="78"/>
      <c r="MJR44" s="78"/>
      <c r="MJS44" s="78"/>
      <c r="MJT44" s="78"/>
      <c r="MJU44" s="78"/>
      <c r="MJV44" s="78"/>
      <c r="MJW44" s="78"/>
      <c r="MJX44" s="78"/>
      <c r="MJY44" s="78"/>
      <c r="MJZ44" s="78"/>
      <c r="MKA44" s="78"/>
      <c r="MKB44" s="78"/>
      <c r="MKC44" s="78"/>
      <c r="MKD44" s="78"/>
      <c r="MKE44" s="78"/>
      <c r="MKF44" s="78"/>
      <c r="MKG44" s="78"/>
      <c r="MKH44" s="78"/>
      <c r="MKI44" s="78"/>
      <c r="MKJ44" s="78"/>
      <c r="MKK44" s="78"/>
      <c r="MKL44" s="78"/>
      <c r="MKM44" s="78"/>
      <c r="MKN44" s="78"/>
      <c r="MKO44" s="78"/>
      <c r="MKP44" s="78"/>
      <c r="MKQ44" s="78"/>
      <c r="MKR44" s="78"/>
      <c r="MKS44" s="78"/>
      <c r="MKT44" s="78"/>
      <c r="MKU44" s="78"/>
      <c r="MKV44" s="78"/>
      <c r="MKW44" s="78"/>
      <c r="MKX44" s="78"/>
      <c r="MKY44" s="78"/>
      <c r="MKZ44" s="78"/>
      <c r="MLA44" s="78"/>
      <c r="MLB44" s="78"/>
      <c r="MLC44" s="78"/>
      <c r="MLD44" s="78"/>
      <c r="MLE44" s="78"/>
      <c r="MLF44" s="78"/>
      <c r="MLG44" s="78"/>
      <c r="MLH44" s="78"/>
      <c r="MLI44" s="78"/>
      <c r="MLJ44" s="78"/>
      <c r="MLK44" s="78"/>
      <c r="MLL44" s="78"/>
      <c r="MLM44" s="78"/>
      <c r="MLN44" s="78"/>
      <c r="MLO44" s="78"/>
      <c r="MLP44" s="78"/>
      <c r="MLQ44" s="78"/>
      <c r="MLR44" s="78"/>
      <c r="MLS44" s="78"/>
      <c r="MLT44" s="78"/>
      <c r="MLU44" s="78"/>
      <c r="MLV44" s="78"/>
      <c r="MLW44" s="78"/>
      <c r="MLX44" s="78"/>
      <c r="MLY44" s="78"/>
      <c r="MLZ44" s="78"/>
      <c r="MMA44" s="78"/>
      <c r="MMB44" s="78"/>
      <c r="MMC44" s="78"/>
      <c r="MMD44" s="78"/>
      <c r="MME44" s="78"/>
      <c r="MMF44" s="78"/>
      <c r="MMG44" s="78"/>
      <c r="MMH44" s="78"/>
      <c r="MMI44" s="78"/>
      <c r="MMJ44" s="78"/>
      <c r="MMK44" s="78"/>
      <c r="MML44" s="78"/>
      <c r="MMM44" s="78"/>
      <c r="MMN44" s="78"/>
      <c r="MMO44" s="78"/>
      <c r="MMP44" s="78"/>
      <c r="MMQ44" s="78"/>
      <c r="MMR44" s="78"/>
      <c r="MMS44" s="78"/>
      <c r="MMT44" s="78"/>
      <c r="MMU44" s="78"/>
      <c r="MMV44" s="78"/>
      <c r="MMW44" s="78"/>
      <c r="MMX44" s="78"/>
      <c r="MMY44" s="78"/>
      <c r="MMZ44" s="78"/>
      <c r="MNA44" s="78"/>
      <c r="MNB44" s="78"/>
      <c r="MNC44" s="78"/>
      <c r="MND44" s="78"/>
      <c r="MNE44" s="78"/>
      <c r="MNF44" s="78"/>
      <c r="MNG44" s="78"/>
      <c r="MNH44" s="78"/>
      <c r="MNI44" s="78"/>
      <c r="MNJ44" s="78"/>
      <c r="MNK44" s="78"/>
      <c r="MNL44" s="78"/>
      <c r="MNM44" s="78"/>
      <c r="MNN44" s="78"/>
      <c r="MNO44" s="78"/>
      <c r="MNP44" s="78"/>
      <c r="MNQ44" s="78"/>
      <c r="MNR44" s="78"/>
      <c r="MNS44" s="78"/>
      <c r="MNT44" s="78"/>
      <c r="MNU44" s="78"/>
      <c r="MNV44" s="78"/>
      <c r="MNW44" s="78"/>
      <c r="MNX44" s="78"/>
      <c r="MNY44" s="78"/>
      <c r="MNZ44" s="78"/>
      <c r="MOA44" s="78"/>
      <c r="MOB44" s="78"/>
      <c r="MOC44" s="78"/>
      <c r="MOD44" s="78"/>
      <c r="MOE44" s="78"/>
      <c r="MOF44" s="78"/>
      <c r="MOG44" s="78"/>
      <c r="MOH44" s="78"/>
      <c r="MOI44" s="78"/>
      <c r="MOJ44" s="78"/>
      <c r="MOK44" s="78"/>
      <c r="MOL44" s="78"/>
      <c r="MOM44" s="78"/>
      <c r="MON44" s="78"/>
      <c r="MOO44" s="78"/>
      <c r="MOP44" s="78"/>
      <c r="MOQ44" s="78"/>
      <c r="MOR44" s="78"/>
      <c r="MOS44" s="78"/>
      <c r="MOT44" s="78"/>
      <c r="MOU44" s="78"/>
      <c r="MOV44" s="78"/>
      <c r="MOW44" s="78"/>
      <c r="MOX44" s="78"/>
      <c r="MOY44" s="78"/>
      <c r="MOZ44" s="78"/>
      <c r="MPA44" s="78"/>
      <c r="MPB44" s="78"/>
      <c r="MPC44" s="78"/>
      <c r="MPD44" s="78"/>
      <c r="MPE44" s="78"/>
      <c r="MPF44" s="78"/>
      <c r="MPG44" s="78"/>
      <c r="MPH44" s="78"/>
      <c r="MPI44" s="78"/>
      <c r="MPJ44" s="78"/>
      <c r="MPK44" s="78"/>
      <c r="MPL44" s="78"/>
      <c r="MPM44" s="78"/>
      <c r="MPN44" s="78"/>
      <c r="MPO44" s="78"/>
      <c r="MPP44" s="78"/>
      <c r="MPQ44" s="78"/>
      <c r="MPR44" s="78"/>
      <c r="MPS44" s="78"/>
      <c r="MPT44" s="78"/>
      <c r="MPU44" s="78"/>
      <c r="MPV44" s="78"/>
      <c r="MPW44" s="78"/>
      <c r="MPX44" s="78"/>
      <c r="MPY44" s="78"/>
      <c r="MPZ44" s="78"/>
      <c r="MQA44" s="78"/>
      <c r="MQB44" s="78"/>
      <c r="MQC44" s="78"/>
      <c r="MQD44" s="78"/>
      <c r="MQE44" s="78"/>
      <c r="MQF44" s="78"/>
      <c r="MQG44" s="78"/>
      <c r="MQH44" s="78"/>
      <c r="MQI44" s="78"/>
      <c r="MQJ44" s="78"/>
      <c r="MQK44" s="78"/>
      <c r="MQL44" s="78"/>
      <c r="MQM44" s="78"/>
      <c r="MQN44" s="78"/>
      <c r="MQO44" s="78"/>
      <c r="MQP44" s="78"/>
      <c r="MQQ44" s="78"/>
      <c r="MQR44" s="78"/>
      <c r="MQS44" s="78"/>
      <c r="MQT44" s="78"/>
      <c r="MQU44" s="78"/>
      <c r="MQV44" s="78"/>
      <c r="MQW44" s="78"/>
      <c r="MQX44" s="78"/>
      <c r="MQY44" s="78"/>
      <c r="MQZ44" s="78"/>
      <c r="MRA44" s="78"/>
      <c r="MRB44" s="78"/>
      <c r="MRC44" s="78"/>
      <c r="MRD44" s="78"/>
      <c r="MRE44" s="78"/>
      <c r="MRF44" s="78"/>
      <c r="MRG44" s="78"/>
      <c r="MRH44" s="78"/>
      <c r="MRI44" s="78"/>
      <c r="MRJ44" s="78"/>
      <c r="MRK44" s="78"/>
      <c r="MRL44" s="78"/>
      <c r="MRM44" s="78"/>
      <c r="MRN44" s="78"/>
      <c r="MRO44" s="78"/>
      <c r="MRP44" s="78"/>
      <c r="MRQ44" s="78"/>
      <c r="MRR44" s="78"/>
      <c r="MRS44" s="78"/>
      <c r="MRT44" s="78"/>
      <c r="MRU44" s="78"/>
      <c r="MRV44" s="78"/>
      <c r="MRW44" s="78"/>
      <c r="MRX44" s="78"/>
      <c r="MRY44" s="78"/>
      <c r="MRZ44" s="78"/>
      <c r="MSA44" s="78"/>
      <c r="MSB44" s="78"/>
      <c r="MSC44" s="78"/>
      <c r="MSD44" s="78"/>
      <c r="MSE44" s="78"/>
      <c r="MSF44" s="78"/>
      <c r="MSG44" s="78"/>
      <c r="MSH44" s="78"/>
      <c r="MSI44" s="78"/>
      <c r="MSJ44" s="78"/>
      <c r="MSK44" s="78"/>
      <c r="MSL44" s="78"/>
      <c r="MSM44" s="78"/>
      <c r="MSN44" s="78"/>
      <c r="MSO44" s="78"/>
      <c r="MSP44" s="78"/>
      <c r="MSQ44" s="78"/>
      <c r="MSR44" s="78"/>
      <c r="MSS44" s="78"/>
      <c r="MST44" s="78"/>
      <c r="MSU44" s="78"/>
      <c r="MSV44" s="78"/>
      <c r="MSW44" s="78"/>
      <c r="MSX44" s="78"/>
      <c r="MSY44" s="78"/>
      <c r="MSZ44" s="78"/>
      <c r="MTA44" s="78"/>
      <c r="MTB44" s="78"/>
      <c r="MTC44" s="78"/>
      <c r="MTD44" s="78"/>
      <c r="MTE44" s="78"/>
      <c r="MTF44" s="78"/>
      <c r="MTG44" s="78"/>
      <c r="MTH44" s="78"/>
      <c r="MTI44" s="78"/>
      <c r="MTJ44" s="78"/>
      <c r="MTK44" s="78"/>
      <c r="MTL44" s="78"/>
      <c r="MTM44" s="78"/>
      <c r="MTN44" s="78"/>
      <c r="MTO44" s="78"/>
      <c r="MTP44" s="78"/>
      <c r="MTQ44" s="78"/>
      <c r="MTR44" s="78"/>
      <c r="MTS44" s="78"/>
      <c r="MTT44" s="78"/>
      <c r="MTU44" s="78"/>
      <c r="MTV44" s="78"/>
      <c r="MTW44" s="78"/>
      <c r="MTX44" s="78"/>
      <c r="MTY44" s="78"/>
      <c r="MTZ44" s="78"/>
      <c r="MUA44" s="78"/>
      <c r="MUB44" s="78"/>
      <c r="MUC44" s="78"/>
      <c r="MUD44" s="78"/>
      <c r="MUE44" s="78"/>
      <c r="MUF44" s="78"/>
      <c r="MUG44" s="78"/>
      <c r="MUH44" s="78"/>
      <c r="MUI44" s="78"/>
      <c r="MUJ44" s="78"/>
      <c r="MUK44" s="78"/>
      <c r="MUL44" s="78"/>
      <c r="MUM44" s="78"/>
      <c r="MUN44" s="78"/>
      <c r="MUO44" s="78"/>
      <c r="MUP44" s="78"/>
      <c r="MUQ44" s="78"/>
      <c r="MUR44" s="78"/>
      <c r="MUS44" s="78"/>
      <c r="MUT44" s="78"/>
      <c r="MUU44" s="78"/>
      <c r="MUV44" s="78"/>
      <c r="MUW44" s="78"/>
      <c r="MUX44" s="78"/>
      <c r="MUY44" s="78"/>
      <c r="MUZ44" s="78"/>
      <c r="MVA44" s="78"/>
      <c r="MVB44" s="78"/>
      <c r="MVC44" s="78"/>
      <c r="MVD44" s="78"/>
      <c r="MVE44" s="78"/>
      <c r="MVF44" s="78"/>
      <c r="MVG44" s="78"/>
      <c r="MVH44" s="78"/>
      <c r="MVI44" s="78"/>
      <c r="MVJ44" s="78"/>
      <c r="MVK44" s="78"/>
      <c r="MVL44" s="78"/>
      <c r="MVM44" s="78"/>
      <c r="MVN44" s="78"/>
      <c r="MVO44" s="78"/>
      <c r="MVP44" s="78"/>
      <c r="MVQ44" s="78"/>
      <c r="MVR44" s="78"/>
      <c r="MVS44" s="78"/>
      <c r="MVT44" s="78"/>
      <c r="MVU44" s="78"/>
      <c r="MVV44" s="78"/>
      <c r="MVW44" s="78"/>
      <c r="MVX44" s="78"/>
      <c r="MVY44" s="78"/>
      <c r="MVZ44" s="78"/>
      <c r="MWA44" s="78"/>
      <c r="MWB44" s="78"/>
      <c r="MWC44" s="78"/>
      <c r="MWD44" s="78"/>
      <c r="MWE44" s="78"/>
      <c r="MWF44" s="78"/>
      <c r="MWG44" s="78"/>
      <c r="MWH44" s="78"/>
      <c r="MWI44" s="78"/>
      <c r="MWJ44" s="78"/>
      <c r="MWK44" s="78"/>
      <c r="MWL44" s="78"/>
      <c r="MWM44" s="78"/>
      <c r="MWN44" s="78"/>
      <c r="MWO44" s="78"/>
      <c r="MWP44" s="78"/>
      <c r="MWQ44" s="78"/>
      <c r="MWR44" s="78"/>
      <c r="MWS44" s="78"/>
      <c r="MWT44" s="78"/>
      <c r="MWU44" s="78"/>
      <c r="MWV44" s="78"/>
      <c r="MWW44" s="78"/>
      <c r="MWX44" s="78"/>
      <c r="MWY44" s="78"/>
      <c r="MWZ44" s="78"/>
      <c r="MXA44" s="78"/>
      <c r="MXB44" s="78"/>
      <c r="MXC44" s="78"/>
      <c r="MXD44" s="78"/>
      <c r="MXE44" s="78"/>
      <c r="MXF44" s="78"/>
      <c r="MXG44" s="78"/>
      <c r="MXH44" s="78"/>
      <c r="MXI44" s="78"/>
      <c r="MXJ44" s="78"/>
      <c r="MXK44" s="78"/>
      <c r="MXL44" s="78"/>
      <c r="MXM44" s="78"/>
      <c r="MXN44" s="78"/>
      <c r="MXO44" s="78"/>
      <c r="MXP44" s="78"/>
      <c r="MXQ44" s="78"/>
      <c r="MXR44" s="78"/>
      <c r="MXS44" s="78"/>
      <c r="MXT44" s="78"/>
      <c r="MXU44" s="78"/>
      <c r="MXV44" s="78"/>
      <c r="MXW44" s="78"/>
      <c r="MXX44" s="78"/>
      <c r="MXY44" s="78"/>
      <c r="MXZ44" s="78"/>
      <c r="MYA44" s="78"/>
      <c r="MYB44" s="78"/>
      <c r="MYC44" s="78"/>
      <c r="MYD44" s="78"/>
      <c r="MYE44" s="78"/>
      <c r="MYF44" s="78"/>
      <c r="MYG44" s="78"/>
      <c r="MYH44" s="78"/>
      <c r="MYI44" s="78"/>
      <c r="MYJ44" s="78"/>
      <c r="MYK44" s="78"/>
      <c r="MYL44" s="78"/>
      <c r="MYM44" s="78"/>
      <c r="MYN44" s="78"/>
      <c r="MYO44" s="78"/>
      <c r="MYP44" s="78"/>
      <c r="MYQ44" s="78"/>
      <c r="MYR44" s="78"/>
      <c r="MYS44" s="78"/>
      <c r="MYT44" s="78"/>
      <c r="MYU44" s="78"/>
      <c r="MYV44" s="78"/>
      <c r="MYW44" s="78"/>
      <c r="MYX44" s="78"/>
      <c r="MYY44" s="78"/>
      <c r="MYZ44" s="78"/>
      <c r="MZA44" s="78"/>
      <c r="MZB44" s="78"/>
      <c r="MZC44" s="78"/>
      <c r="MZD44" s="78"/>
      <c r="MZE44" s="78"/>
      <c r="MZF44" s="78"/>
      <c r="MZG44" s="78"/>
      <c r="MZH44" s="78"/>
      <c r="MZI44" s="78"/>
      <c r="MZJ44" s="78"/>
      <c r="MZK44" s="78"/>
      <c r="MZL44" s="78"/>
      <c r="MZM44" s="78"/>
      <c r="MZN44" s="78"/>
      <c r="MZO44" s="78"/>
      <c r="MZP44" s="78"/>
      <c r="MZQ44" s="78"/>
      <c r="MZR44" s="78"/>
      <c r="MZS44" s="78"/>
      <c r="MZT44" s="78"/>
      <c r="MZU44" s="78"/>
      <c r="MZV44" s="78"/>
      <c r="MZW44" s="78"/>
      <c r="MZX44" s="78"/>
      <c r="MZY44" s="78"/>
      <c r="MZZ44" s="78"/>
      <c r="NAA44" s="78"/>
      <c r="NAB44" s="78"/>
      <c r="NAC44" s="78"/>
      <c r="NAD44" s="78"/>
      <c r="NAE44" s="78"/>
      <c r="NAF44" s="78"/>
      <c r="NAG44" s="78"/>
      <c r="NAH44" s="78"/>
      <c r="NAI44" s="78"/>
      <c r="NAJ44" s="78"/>
      <c r="NAK44" s="78"/>
      <c r="NAL44" s="78"/>
      <c r="NAM44" s="78"/>
      <c r="NAN44" s="78"/>
      <c r="NAO44" s="78"/>
      <c r="NAP44" s="78"/>
      <c r="NAQ44" s="78"/>
      <c r="NAR44" s="78"/>
      <c r="NAS44" s="78"/>
      <c r="NAT44" s="78"/>
      <c r="NAU44" s="78"/>
      <c r="NAV44" s="78"/>
      <c r="NAW44" s="78"/>
      <c r="NAX44" s="78"/>
      <c r="NAY44" s="78"/>
      <c r="NAZ44" s="78"/>
      <c r="NBA44" s="78"/>
      <c r="NBB44" s="78"/>
      <c r="NBC44" s="78"/>
      <c r="NBD44" s="78"/>
      <c r="NBE44" s="78"/>
      <c r="NBF44" s="78"/>
      <c r="NBG44" s="78"/>
      <c r="NBH44" s="78"/>
      <c r="NBI44" s="78"/>
      <c r="NBJ44" s="78"/>
      <c r="NBK44" s="78"/>
      <c r="NBL44" s="78"/>
      <c r="NBM44" s="78"/>
      <c r="NBN44" s="78"/>
      <c r="NBO44" s="78"/>
      <c r="NBP44" s="78"/>
      <c r="NBQ44" s="78"/>
      <c r="NBR44" s="78"/>
      <c r="NBS44" s="78"/>
      <c r="NBT44" s="78"/>
      <c r="NBU44" s="78"/>
      <c r="NBV44" s="78"/>
      <c r="NBW44" s="78"/>
      <c r="NBX44" s="78"/>
      <c r="NBY44" s="78"/>
      <c r="NBZ44" s="78"/>
      <c r="NCA44" s="78"/>
      <c r="NCB44" s="78"/>
      <c r="NCC44" s="78"/>
      <c r="NCD44" s="78"/>
      <c r="NCE44" s="78"/>
      <c r="NCF44" s="78"/>
      <c r="NCG44" s="78"/>
      <c r="NCH44" s="78"/>
      <c r="NCI44" s="78"/>
      <c r="NCJ44" s="78"/>
      <c r="NCK44" s="78"/>
      <c r="NCL44" s="78"/>
      <c r="NCM44" s="78"/>
      <c r="NCN44" s="78"/>
      <c r="NCO44" s="78"/>
      <c r="NCP44" s="78"/>
      <c r="NCQ44" s="78"/>
      <c r="NCR44" s="78"/>
      <c r="NCS44" s="78"/>
      <c r="NCT44" s="78"/>
      <c r="NCU44" s="78"/>
      <c r="NCV44" s="78"/>
      <c r="NCW44" s="78"/>
      <c r="NCX44" s="78"/>
      <c r="NCY44" s="78"/>
      <c r="NCZ44" s="78"/>
      <c r="NDA44" s="78"/>
      <c r="NDB44" s="78"/>
      <c r="NDC44" s="78"/>
      <c r="NDD44" s="78"/>
      <c r="NDE44" s="78"/>
      <c r="NDF44" s="78"/>
      <c r="NDG44" s="78"/>
      <c r="NDH44" s="78"/>
      <c r="NDI44" s="78"/>
      <c r="NDJ44" s="78"/>
      <c r="NDK44" s="78"/>
      <c r="NDL44" s="78"/>
      <c r="NDM44" s="78"/>
      <c r="NDN44" s="78"/>
      <c r="NDO44" s="78"/>
      <c r="NDP44" s="78"/>
      <c r="NDQ44" s="78"/>
      <c r="NDR44" s="78"/>
      <c r="NDS44" s="78"/>
      <c r="NDT44" s="78"/>
      <c r="NDU44" s="78"/>
      <c r="NDV44" s="78"/>
      <c r="NDW44" s="78"/>
      <c r="NDX44" s="78"/>
      <c r="NDY44" s="78"/>
      <c r="NDZ44" s="78"/>
      <c r="NEA44" s="78"/>
      <c r="NEB44" s="78"/>
      <c r="NEC44" s="78"/>
      <c r="NED44" s="78"/>
      <c r="NEE44" s="78"/>
      <c r="NEF44" s="78"/>
      <c r="NEG44" s="78"/>
      <c r="NEH44" s="78"/>
      <c r="NEI44" s="78"/>
      <c r="NEJ44" s="78"/>
      <c r="NEK44" s="78"/>
      <c r="NEL44" s="78"/>
      <c r="NEM44" s="78"/>
      <c r="NEN44" s="78"/>
      <c r="NEO44" s="78"/>
      <c r="NEP44" s="78"/>
      <c r="NEQ44" s="78"/>
      <c r="NER44" s="78"/>
      <c r="NES44" s="78"/>
      <c r="NET44" s="78"/>
      <c r="NEU44" s="78"/>
      <c r="NEV44" s="78"/>
      <c r="NEW44" s="78"/>
      <c r="NEX44" s="78"/>
      <c r="NEY44" s="78"/>
      <c r="NEZ44" s="78"/>
      <c r="NFA44" s="78"/>
      <c r="NFB44" s="78"/>
      <c r="NFC44" s="78"/>
      <c r="NFD44" s="78"/>
      <c r="NFE44" s="78"/>
      <c r="NFF44" s="78"/>
      <c r="NFG44" s="78"/>
      <c r="NFH44" s="78"/>
      <c r="NFI44" s="78"/>
      <c r="NFJ44" s="78"/>
      <c r="NFK44" s="78"/>
      <c r="NFL44" s="78"/>
      <c r="NFM44" s="78"/>
      <c r="NFN44" s="78"/>
      <c r="NFO44" s="78"/>
      <c r="NFP44" s="78"/>
      <c r="NFQ44" s="78"/>
      <c r="NFR44" s="78"/>
      <c r="NFS44" s="78"/>
      <c r="NFT44" s="78"/>
      <c r="NFU44" s="78"/>
      <c r="NFV44" s="78"/>
      <c r="NFW44" s="78"/>
      <c r="NFX44" s="78"/>
      <c r="NFY44" s="78"/>
      <c r="NFZ44" s="78"/>
      <c r="NGA44" s="78"/>
      <c r="NGB44" s="78"/>
      <c r="NGC44" s="78"/>
      <c r="NGD44" s="78"/>
      <c r="NGE44" s="78"/>
      <c r="NGF44" s="78"/>
      <c r="NGG44" s="78"/>
      <c r="NGH44" s="78"/>
      <c r="NGI44" s="78"/>
      <c r="NGJ44" s="78"/>
      <c r="NGK44" s="78"/>
      <c r="NGL44" s="78"/>
      <c r="NGM44" s="78"/>
      <c r="NGN44" s="78"/>
      <c r="NGO44" s="78"/>
      <c r="NGP44" s="78"/>
      <c r="NGQ44" s="78"/>
      <c r="NGR44" s="78"/>
      <c r="NGS44" s="78"/>
      <c r="NGT44" s="78"/>
      <c r="NGU44" s="78"/>
      <c r="NGV44" s="78"/>
      <c r="NGW44" s="78"/>
      <c r="NGX44" s="78"/>
      <c r="NGY44" s="78"/>
      <c r="NGZ44" s="78"/>
      <c r="NHA44" s="78"/>
      <c r="NHB44" s="78"/>
      <c r="NHC44" s="78"/>
      <c r="NHD44" s="78"/>
      <c r="NHE44" s="78"/>
      <c r="NHF44" s="78"/>
      <c r="NHG44" s="78"/>
      <c r="NHH44" s="78"/>
      <c r="NHI44" s="78"/>
      <c r="NHJ44" s="78"/>
      <c r="NHK44" s="78"/>
      <c r="NHL44" s="78"/>
      <c r="NHM44" s="78"/>
      <c r="NHN44" s="78"/>
      <c r="NHO44" s="78"/>
      <c r="NHP44" s="78"/>
      <c r="NHQ44" s="78"/>
      <c r="NHR44" s="78"/>
      <c r="NHS44" s="78"/>
      <c r="NHT44" s="78"/>
      <c r="NHU44" s="78"/>
      <c r="NHV44" s="78"/>
      <c r="NHW44" s="78"/>
      <c r="NHX44" s="78"/>
      <c r="NHY44" s="78"/>
      <c r="NHZ44" s="78"/>
      <c r="NIA44" s="78"/>
      <c r="NIB44" s="78"/>
      <c r="NIC44" s="78"/>
      <c r="NID44" s="78"/>
      <c r="NIE44" s="78"/>
      <c r="NIF44" s="78"/>
      <c r="NIG44" s="78"/>
      <c r="NIH44" s="78"/>
      <c r="NII44" s="78"/>
      <c r="NIJ44" s="78"/>
      <c r="NIK44" s="78"/>
      <c r="NIL44" s="78"/>
      <c r="NIM44" s="78"/>
      <c r="NIN44" s="78"/>
      <c r="NIO44" s="78"/>
      <c r="NIP44" s="78"/>
      <c r="NIQ44" s="78"/>
      <c r="NIR44" s="78"/>
      <c r="NIS44" s="78"/>
      <c r="NIT44" s="78"/>
      <c r="NIU44" s="78"/>
      <c r="NIV44" s="78"/>
      <c r="NIW44" s="78"/>
      <c r="NIX44" s="78"/>
      <c r="NIY44" s="78"/>
      <c r="NIZ44" s="78"/>
      <c r="NJA44" s="78"/>
      <c r="NJB44" s="78"/>
      <c r="NJC44" s="78"/>
      <c r="NJD44" s="78"/>
      <c r="NJE44" s="78"/>
      <c r="NJF44" s="78"/>
      <c r="NJG44" s="78"/>
      <c r="NJH44" s="78"/>
      <c r="NJI44" s="78"/>
      <c r="NJJ44" s="78"/>
      <c r="NJK44" s="78"/>
      <c r="NJL44" s="78"/>
      <c r="NJM44" s="78"/>
      <c r="NJN44" s="78"/>
      <c r="NJO44" s="78"/>
      <c r="NJP44" s="78"/>
      <c r="NJQ44" s="78"/>
      <c r="NJR44" s="78"/>
      <c r="NJS44" s="78"/>
      <c r="NJT44" s="78"/>
      <c r="NJU44" s="78"/>
      <c r="NJV44" s="78"/>
      <c r="NJW44" s="78"/>
      <c r="NJX44" s="78"/>
      <c r="NJY44" s="78"/>
      <c r="NJZ44" s="78"/>
      <c r="NKA44" s="78"/>
      <c r="NKB44" s="78"/>
      <c r="NKC44" s="78"/>
      <c r="NKD44" s="78"/>
      <c r="NKE44" s="78"/>
      <c r="NKF44" s="78"/>
      <c r="NKG44" s="78"/>
      <c r="NKH44" s="78"/>
      <c r="NKI44" s="78"/>
      <c r="NKJ44" s="78"/>
      <c r="NKK44" s="78"/>
      <c r="NKL44" s="78"/>
      <c r="NKM44" s="78"/>
      <c r="NKN44" s="78"/>
      <c r="NKO44" s="78"/>
      <c r="NKP44" s="78"/>
      <c r="NKQ44" s="78"/>
      <c r="NKR44" s="78"/>
      <c r="NKS44" s="78"/>
      <c r="NKT44" s="78"/>
      <c r="NKU44" s="78"/>
      <c r="NKV44" s="78"/>
      <c r="NKW44" s="78"/>
      <c r="NKX44" s="78"/>
      <c r="NKY44" s="78"/>
      <c r="NKZ44" s="78"/>
      <c r="NLA44" s="78"/>
      <c r="NLB44" s="78"/>
      <c r="NLC44" s="78"/>
      <c r="NLD44" s="78"/>
      <c r="NLE44" s="78"/>
      <c r="NLF44" s="78"/>
      <c r="NLG44" s="78"/>
      <c r="NLH44" s="78"/>
      <c r="NLI44" s="78"/>
      <c r="NLJ44" s="78"/>
      <c r="NLK44" s="78"/>
      <c r="NLL44" s="78"/>
      <c r="NLM44" s="78"/>
      <c r="NLN44" s="78"/>
      <c r="NLO44" s="78"/>
      <c r="NLP44" s="78"/>
      <c r="NLQ44" s="78"/>
      <c r="NLR44" s="78"/>
      <c r="NLS44" s="78"/>
      <c r="NLT44" s="78"/>
      <c r="NLU44" s="78"/>
      <c r="NLV44" s="78"/>
      <c r="NLW44" s="78"/>
      <c r="NLX44" s="78"/>
      <c r="NLY44" s="78"/>
      <c r="NLZ44" s="78"/>
      <c r="NMA44" s="78"/>
      <c r="NMB44" s="78"/>
      <c r="NMC44" s="78"/>
      <c r="NMD44" s="78"/>
      <c r="NME44" s="78"/>
      <c r="NMF44" s="78"/>
      <c r="NMG44" s="78"/>
      <c r="NMH44" s="78"/>
      <c r="NMI44" s="78"/>
      <c r="NMJ44" s="78"/>
      <c r="NMK44" s="78"/>
      <c r="NML44" s="78"/>
      <c r="NMM44" s="78"/>
      <c r="NMN44" s="78"/>
      <c r="NMO44" s="78"/>
      <c r="NMP44" s="78"/>
      <c r="NMQ44" s="78"/>
      <c r="NMR44" s="78"/>
      <c r="NMS44" s="78"/>
      <c r="NMT44" s="78"/>
      <c r="NMU44" s="78"/>
      <c r="NMV44" s="78"/>
      <c r="NMW44" s="78"/>
      <c r="NMX44" s="78"/>
      <c r="NMY44" s="78"/>
      <c r="NMZ44" s="78"/>
      <c r="NNA44" s="78"/>
      <c r="NNB44" s="78"/>
      <c r="NNC44" s="78"/>
      <c r="NND44" s="78"/>
      <c r="NNE44" s="78"/>
      <c r="NNF44" s="78"/>
      <c r="NNG44" s="78"/>
      <c r="NNH44" s="78"/>
      <c r="NNI44" s="78"/>
      <c r="NNJ44" s="78"/>
      <c r="NNK44" s="78"/>
      <c r="NNL44" s="78"/>
      <c r="NNM44" s="78"/>
      <c r="NNN44" s="78"/>
      <c r="NNO44" s="78"/>
      <c r="NNP44" s="78"/>
      <c r="NNQ44" s="78"/>
      <c r="NNR44" s="78"/>
      <c r="NNS44" s="78"/>
      <c r="NNT44" s="78"/>
      <c r="NNU44" s="78"/>
      <c r="NNV44" s="78"/>
      <c r="NNW44" s="78"/>
      <c r="NNX44" s="78"/>
      <c r="NNY44" s="78"/>
      <c r="NNZ44" s="78"/>
      <c r="NOA44" s="78"/>
      <c r="NOB44" s="78"/>
      <c r="NOC44" s="78"/>
      <c r="NOD44" s="78"/>
      <c r="NOE44" s="78"/>
      <c r="NOF44" s="78"/>
      <c r="NOG44" s="78"/>
      <c r="NOH44" s="78"/>
      <c r="NOI44" s="78"/>
      <c r="NOJ44" s="78"/>
      <c r="NOK44" s="78"/>
      <c r="NOL44" s="78"/>
      <c r="NOM44" s="78"/>
      <c r="NON44" s="78"/>
      <c r="NOO44" s="78"/>
      <c r="NOP44" s="78"/>
      <c r="NOQ44" s="78"/>
      <c r="NOR44" s="78"/>
      <c r="NOS44" s="78"/>
      <c r="NOT44" s="78"/>
      <c r="NOU44" s="78"/>
      <c r="NOV44" s="78"/>
      <c r="NOW44" s="78"/>
      <c r="NOX44" s="78"/>
      <c r="NOY44" s="78"/>
      <c r="NOZ44" s="78"/>
      <c r="NPA44" s="78"/>
      <c r="NPB44" s="78"/>
      <c r="NPC44" s="78"/>
      <c r="NPD44" s="78"/>
      <c r="NPE44" s="78"/>
      <c r="NPF44" s="78"/>
      <c r="NPG44" s="78"/>
      <c r="NPH44" s="78"/>
      <c r="NPI44" s="78"/>
      <c r="NPJ44" s="78"/>
      <c r="NPK44" s="78"/>
      <c r="NPL44" s="78"/>
      <c r="NPM44" s="78"/>
      <c r="NPN44" s="78"/>
      <c r="NPO44" s="78"/>
      <c r="NPP44" s="78"/>
      <c r="NPQ44" s="78"/>
      <c r="NPR44" s="78"/>
      <c r="NPS44" s="78"/>
      <c r="NPT44" s="78"/>
      <c r="NPU44" s="78"/>
      <c r="NPV44" s="78"/>
      <c r="NPW44" s="78"/>
      <c r="NPX44" s="78"/>
      <c r="NPY44" s="78"/>
      <c r="NPZ44" s="78"/>
      <c r="NQA44" s="78"/>
      <c r="NQB44" s="78"/>
      <c r="NQC44" s="78"/>
      <c r="NQD44" s="78"/>
      <c r="NQE44" s="78"/>
      <c r="NQF44" s="78"/>
      <c r="NQG44" s="78"/>
      <c r="NQH44" s="78"/>
      <c r="NQI44" s="78"/>
      <c r="NQJ44" s="78"/>
      <c r="NQK44" s="78"/>
      <c r="NQL44" s="78"/>
      <c r="NQM44" s="78"/>
      <c r="NQN44" s="78"/>
      <c r="NQO44" s="78"/>
      <c r="NQP44" s="78"/>
      <c r="NQQ44" s="78"/>
      <c r="NQR44" s="78"/>
      <c r="NQS44" s="78"/>
      <c r="NQT44" s="78"/>
      <c r="NQU44" s="78"/>
      <c r="NQV44" s="78"/>
      <c r="NQW44" s="78"/>
      <c r="NQX44" s="78"/>
      <c r="NQY44" s="78"/>
      <c r="NQZ44" s="78"/>
      <c r="NRA44" s="78"/>
      <c r="NRB44" s="78"/>
      <c r="NRC44" s="78"/>
      <c r="NRD44" s="78"/>
      <c r="NRE44" s="78"/>
      <c r="NRF44" s="78"/>
      <c r="NRG44" s="78"/>
      <c r="NRH44" s="78"/>
      <c r="NRI44" s="78"/>
      <c r="NRJ44" s="78"/>
      <c r="NRK44" s="78"/>
      <c r="NRL44" s="78"/>
      <c r="NRM44" s="78"/>
      <c r="NRN44" s="78"/>
      <c r="NRO44" s="78"/>
      <c r="NRP44" s="78"/>
      <c r="NRQ44" s="78"/>
      <c r="NRR44" s="78"/>
      <c r="NRS44" s="78"/>
      <c r="NRT44" s="78"/>
      <c r="NRU44" s="78"/>
      <c r="NRV44" s="78"/>
      <c r="NRW44" s="78"/>
      <c r="NRX44" s="78"/>
      <c r="NRY44" s="78"/>
      <c r="NRZ44" s="78"/>
      <c r="NSA44" s="78"/>
      <c r="NSB44" s="78"/>
      <c r="NSC44" s="78"/>
      <c r="NSD44" s="78"/>
      <c r="NSE44" s="78"/>
      <c r="NSF44" s="78"/>
      <c r="NSG44" s="78"/>
      <c r="NSH44" s="78"/>
      <c r="NSI44" s="78"/>
      <c r="NSJ44" s="78"/>
      <c r="NSK44" s="78"/>
      <c r="NSL44" s="78"/>
      <c r="NSM44" s="78"/>
      <c r="NSN44" s="78"/>
      <c r="NSO44" s="78"/>
      <c r="NSP44" s="78"/>
      <c r="NSQ44" s="78"/>
      <c r="NSR44" s="78"/>
      <c r="NSS44" s="78"/>
      <c r="NST44" s="78"/>
      <c r="NSU44" s="78"/>
      <c r="NSV44" s="78"/>
      <c r="NSW44" s="78"/>
      <c r="NSX44" s="78"/>
      <c r="NSY44" s="78"/>
      <c r="NSZ44" s="78"/>
      <c r="NTA44" s="78"/>
      <c r="NTB44" s="78"/>
      <c r="NTC44" s="78"/>
      <c r="NTD44" s="78"/>
      <c r="NTE44" s="78"/>
      <c r="NTF44" s="78"/>
      <c r="NTG44" s="78"/>
      <c r="NTH44" s="78"/>
      <c r="NTI44" s="78"/>
      <c r="NTJ44" s="78"/>
      <c r="NTK44" s="78"/>
      <c r="NTL44" s="78"/>
      <c r="NTM44" s="78"/>
      <c r="NTN44" s="78"/>
      <c r="NTO44" s="78"/>
      <c r="NTP44" s="78"/>
      <c r="NTQ44" s="78"/>
      <c r="NTR44" s="78"/>
      <c r="NTS44" s="78"/>
      <c r="NTT44" s="78"/>
      <c r="NTU44" s="78"/>
      <c r="NTV44" s="78"/>
      <c r="NTW44" s="78"/>
      <c r="NTX44" s="78"/>
      <c r="NTY44" s="78"/>
      <c r="NTZ44" s="78"/>
      <c r="NUA44" s="78"/>
      <c r="NUB44" s="78"/>
      <c r="NUC44" s="78"/>
      <c r="NUD44" s="78"/>
      <c r="NUE44" s="78"/>
      <c r="NUF44" s="78"/>
      <c r="NUG44" s="78"/>
      <c r="NUH44" s="78"/>
      <c r="NUI44" s="78"/>
      <c r="NUJ44" s="78"/>
      <c r="NUK44" s="78"/>
      <c r="NUL44" s="78"/>
      <c r="NUM44" s="78"/>
      <c r="NUN44" s="78"/>
      <c r="NUO44" s="78"/>
      <c r="NUP44" s="78"/>
      <c r="NUQ44" s="78"/>
      <c r="NUR44" s="78"/>
      <c r="NUS44" s="78"/>
      <c r="NUT44" s="78"/>
      <c r="NUU44" s="78"/>
      <c r="NUV44" s="78"/>
      <c r="NUW44" s="78"/>
      <c r="NUX44" s="78"/>
      <c r="NUY44" s="78"/>
      <c r="NUZ44" s="78"/>
      <c r="NVA44" s="78"/>
      <c r="NVB44" s="78"/>
      <c r="NVC44" s="78"/>
      <c r="NVD44" s="78"/>
      <c r="NVE44" s="78"/>
      <c r="NVF44" s="78"/>
      <c r="NVG44" s="78"/>
      <c r="NVH44" s="78"/>
      <c r="NVI44" s="78"/>
      <c r="NVJ44" s="78"/>
      <c r="NVK44" s="78"/>
      <c r="NVL44" s="78"/>
      <c r="NVM44" s="78"/>
      <c r="NVN44" s="78"/>
      <c r="NVO44" s="78"/>
      <c r="NVP44" s="78"/>
      <c r="NVQ44" s="78"/>
      <c r="NVR44" s="78"/>
      <c r="NVS44" s="78"/>
      <c r="NVT44" s="78"/>
      <c r="NVU44" s="78"/>
      <c r="NVV44" s="78"/>
      <c r="NVW44" s="78"/>
      <c r="NVX44" s="78"/>
      <c r="NVY44" s="78"/>
      <c r="NVZ44" s="78"/>
      <c r="NWA44" s="78"/>
      <c r="NWB44" s="78"/>
      <c r="NWC44" s="78"/>
      <c r="NWD44" s="78"/>
      <c r="NWE44" s="78"/>
      <c r="NWF44" s="78"/>
      <c r="NWG44" s="78"/>
      <c r="NWH44" s="78"/>
      <c r="NWI44" s="78"/>
      <c r="NWJ44" s="78"/>
      <c r="NWK44" s="78"/>
      <c r="NWL44" s="78"/>
      <c r="NWM44" s="78"/>
      <c r="NWN44" s="78"/>
      <c r="NWO44" s="78"/>
      <c r="NWP44" s="78"/>
      <c r="NWQ44" s="78"/>
      <c r="NWR44" s="78"/>
      <c r="NWS44" s="78"/>
      <c r="NWT44" s="78"/>
      <c r="NWU44" s="78"/>
      <c r="NWV44" s="78"/>
      <c r="NWW44" s="78"/>
      <c r="NWX44" s="78"/>
      <c r="NWY44" s="78"/>
      <c r="NWZ44" s="78"/>
      <c r="NXA44" s="78"/>
      <c r="NXB44" s="78"/>
      <c r="NXC44" s="78"/>
      <c r="NXD44" s="78"/>
      <c r="NXE44" s="78"/>
      <c r="NXF44" s="78"/>
      <c r="NXG44" s="78"/>
      <c r="NXH44" s="78"/>
      <c r="NXI44" s="78"/>
      <c r="NXJ44" s="78"/>
      <c r="NXK44" s="78"/>
      <c r="NXL44" s="78"/>
      <c r="NXM44" s="78"/>
      <c r="NXN44" s="78"/>
      <c r="NXO44" s="78"/>
      <c r="NXP44" s="78"/>
      <c r="NXQ44" s="78"/>
      <c r="NXR44" s="78"/>
      <c r="NXS44" s="78"/>
      <c r="NXT44" s="78"/>
      <c r="NXU44" s="78"/>
      <c r="NXV44" s="78"/>
      <c r="NXW44" s="78"/>
      <c r="NXX44" s="78"/>
      <c r="NXY44" s="78"/>
      <c r="NXZ44" s="78"/>
      <c r="NYA44" s="78"/>
      <c r="NYB44" s="78"/>
      <c r="NYC44" s="78"/>
      <c r="NYD44" s="78"/>
      <c r="NYE44" s="78"/>
      <c r="NYF44" s="78"/>
      <c r="NYG44" s="78"/>
      <c r="NYH44" s="78"/>
      <c r="NYI44" s="78"/>
      <c r="NYJ44" s="78"/>
      <c r="NYK44" s="78"/>
      <c r="NYL44" s="78"/>
      <c r="NYM44" s="78"/>
      <c r="NYN44" s="78"/>
      <c r="NYO44" s="78"/>
      <c r="NYP44" s="78"/>
      <c r="NYQ44" s="78"/>
      <c r="NYR44" s="78"/>
      <c r="NYS44" s="78"/>
      <c r="NYT44" s="78"/>
      <c r="NYU44" s="78"/>
      <c r="NYV44" s="78"/>
      <c r="NYW44" s="78"/>
      <c r="NYX44" s="78"/>
      <c r="NYY44" s="78"/>
      <c r="NYZ44" s="78"/>
      <c r="NZA44" s="78"/>
      <c r="NZB44" s="78"/>
      <c r="NZC44" s="78"/>
      <c r="NZD44" s="78"/>
      <c r="NZE44" s="78"/>
      <c r="NZF44" s="78"/>
      <c r="NZG44" s="78"/>
      <c r="NZH44" s="78"/>
      <c r="NZI44" s="78"/>
      <c r="NZJ44" s="78"/>
      <c r="NZK44" s="78"/>
      <c r="NZL44" s="78"/>
      <c r="NZM44" s="78"/>
      <c r="NZN44" s="78"/>
      <c r="NZO44" s="78"/>
      <c r="NZP44" s="78"/>
      <c r="NZQ44" s="78"/>
      <c r="NZR44" s="78"/>
      <c r="NZS44" s="78"/>
      <c r="NZT44" s="78"/>
      <c r="NZU44" s="78"/>
      <c r="NZV44" s="78"/>
      <c r="NZW44" s="78"/>
      <c r="NZX44" s="78"/>
      <c r="NZY44" s="78"/>
      <c r="NZZ44" s="78"/>
      <c r="OAA44" s="78"/>
      <c r="OAB44" s="78"/>
      <c r="OAC44" s="78"/>
      <c r="OAD44" s="78"/>
      <c r="OAE44" s="78"/>
      <c r="OAF44" s="78"/>
      <c r="OAG44" s="78"/>
      <c r="OAH44" s="78"/>
      <c r="OAI44" s="78"/>
      <c r="OAJ44" s="78"/>
      <c r="OAK44" s="78"/>
      <c r="OAL44" s="78"/>
      <c r="OAM44" s="78"/>
      <c r="OAN44" s="78"/>
      <c r="OAO44" s="78"/>
      <c r="OAP44" s="78"/>
      <c r="OAQ44" s="78"/>
      <c r="OAR44" s="78"/>
      <c r="OAS44" s="78"/>
      <c r="OAT44" s="78"/>
      <c r="OAU44" s="78"/>
      <c r="OAV44" s="78"/>
      <c r="OAW44" s="78"/>
      <c r="OAX44" s="78"/>
      <c r="OAY44" s="78"/>
      <c r="OAZ44" s="78"/>
      <c r="OBA44" s="78"/>
      <c r="OBB44" s="78"/>
      <c r="OBC44" s="78"/>
      <c r="OBD44" s="78"/>
      <c r="OBE44" s="78"/>
      <c r="OBF44" s="78"/>
      <c r="OBG44" s="78"/>
      <c r="OBH44" s="78"/>
      <c r="OBI44" s="78"/>
      <c r="OBJ44" s="78"/>
      <c r="OBK44" s="78"/>
      <c r="OBL44" s="78"/>
      <c r="OBM44" s="78"/>
      <c r="OBN44" s="78"/>
      <c r="OBO44" s="78"/>
      <c r="OBP44" s="78"/>
      <c r="OBQ44" s="78"/>
      <c r="OBR44" s="78"/>
      <c r="OBS44" s="78"/>
      <c r="OBT44" s="78"/>
      <c r="OBU44" s="78"/>
      <c r="OBV44" s="78"/>
      <c r="OBW44" s="78"/>
      <c r="OBX44" s="78"/>
      <c r="OBY44" s="78"/>
      <c r="OBZ44" s="78"/>
      <c r="OCA44" s="78"/>
      <c r="OCB44" s="78"/>
      <c r="OCC44" s="78"/>
      <c r="OCD44" s="78"/>
      <c r="OCE44" s="78"/>
      <c r="OCF44" s="78"/>
      <c r="OCG44" s="78"/>
      <c r="OCH44" s="78"/>
      <c r="OCI44" s="78"/>
      <c r="OCJ44" s="78"/>
      <c r="OCK44" s="78"/>
      <c r="OCL44" s="78"/>
      <c r="OCM44" s="78"/>
      <c r="OCN44" s="78"/>
      <c r="OCO44" s="78"/>
      <c r="OCP44" s="78"/>
      <c r="OCQ44" s="78"/>
      <c r="OCR44" s="78"/>
      <c r="OCS44" s="78"/>
      <c r="OCT44" s="78"/>
      <c r="OCU44" s="78"/>
      <c r="OCV44" s="78"/>
      <c r="OCW44" s="78"/>
      <c r="OCX44" s="78"/>
      <c r="OCY44" s="78"/>
      <c r="OCZ44" s="78"/>
      <c r="ODA44" s="78"/>
      <c r="ODB44" s="78"/>
      <c r="ODC44" s="78"/>
      <c r="ODD44" s="78"/>
      <c r="ODE44" s="78"/>
      <c r="ODF44" s="78"/>
      <c r="ODG44" s="78"/>
      <c r="ODH44" s="78"/>
      <c r="ODI44" s="78"/>
      <c r="ODJ44" s="78"/>
      <c r="ODK44" s="78"/>
      <c r="ODL44" s="78"/>
      <c r="ODM44" s="78"/>
      <c r="ODN44" s="78"/>
      <c r="ODO44" s="78"/>
      <c r="ODP44" s="78"/>
      <c r="ODQ44" s="78"/>
      <c r="ODR44" s="78"/>
      <c r="ODS44" s="78"/>
      <c r="ODT44" s="78"/>
      <c r="ODU44" s="78"/>
      <c r="ODV44" s="78"/>
      <c r="ODW44" s="78"/>
      <c r="ODX44" s="78"/>
      <c r="ODY44" s="78"/>
      <c r="ODZ44" s="78"/>
      <c r="OEA44" s="78"/>
      <c r="OEB44" s="78"/>
      <c r="OEC44" s="78"/>
      <c r="OED44" s="78"/>
      <c r="OEE44" s="78"/>
      <c r="OEF44" s="78"/>
      <c r="OEG44" s="78"/>
      <c r="OEH44" s="78"/>
      <c r="OEI44" s="78"/>
      <c r="OEJ44" s="78"/>
      <c r="OEK44" s="78"/>
      <c r="OEL44" s="78"/>
      <c r="OEM44" s="78"/>
      <c r="OEN44" s="78"/>
      <c r="OEO44" s="78"/>
      <c r="OEP44" s="78"/>
      <c r="OEQ44" s="78"/>
      <c r="OER44" s="78"/>
      <c r="OES44" s="78"/>
      <c r="OET44" s="78"/>
      <c r="OEU44" s="78"/>
      <c r="OEV44" s="78"/>
      <c r="OEW44" s="78"/>
      <c r="OEX44" s="78"/>
      <c r="OEY44" s="78"/>
      <c r="OEZ44" s="78"/>
      <c r="OFA44" s="78"/>
      <c r="OFB44" s="78"/>
      <c r="OFC44" s="78"/>
      <c r="OFD44" s="78"/>
      <c r="OFE44" s="78"/>
      <c r="OFF44" s="78"/>
      <c r="OFG44" s="78"/>
      <c r="OFH44" s="78"/>
      <c r="OFI44" s="78"/>
      <c r="OFJ44" s="78"/>
      <c r="OFK44" s="78"/>
      <c r="OFL44" s="78"/>
      <c r="OFM44" s="78"/>
      <c r="OFN44" s="78"/>
      <c r="OFO44" s="78"/>
      <c r="OFP44" s="78"/>
      <c r="OFQ44" s="78"/>
      <c r="OFR44" s="78"/>
      <c r="OFS44" s="78"/>
      <c r="OFT44" s="78"/>
      <c r="OFU44" s="78"/>
      <c r="OFV44" s="78"/>
      <c r="OFW44" s="78"/>
      <c r="OFX44" s="78"/>
      <c r="OFY44" s="78"/>
      <c r="OFZ44" s="78"/>
      <c r="OGA44" s="78"/>
      <c r="OGB44" s="78"/>
      <c r="OGC44" s="78"/>
      <c r="OGD44" s="78"/>
      <c r="OGE44" s="78"/>
      <c r="OGF44" s="78"/>
      <c r="OGG44" s="78"/>
      <c r="OGH44" s="78"/>
      <c r="OGI44" s="78"/>
      <c r="OGJ44" s="78"/>
      <c r="OGK44" s="78"/>
      <c r="OGL44" s="78"/>
      <c r="OGM44" s="78"/>
      <c r="OGN44" s="78"/>
      <c r="OGO44" s="78"/>
      <c r="OGP44" s="78"/>
      <c r="OGQ44" s="78"/>
      <c r="OGR44" s="78"/>
      <c r="OGS44" s="78"/>
      <c r="OGT44" s="78"/>
      <c r="OGU44" s="78"/>
      <c r="OGV44" s="78"/>
      <c r="OGW44" s="78"/>
      <c r="OGX44" s="78"/>
      <c r="OGY44" s="78"/>
      <c r="OGZ44" s="78"/>
      <c r="OHA44" s="78"/>
      <c r="OHB44" s="78"/>
      <c r="OHC44" s="78"/>
      <c r="OHD44" s="78"/>
      <c r="OHE44" s="78"/>
      <c r="OHF44" s="78"/>
      <c r="OHG44" s="78"/>
      <c r="OHH44" s="78"/>
      <c r="OHI44" s="78"/>
      <c r="OHJ44" s="78"/>
      <c r="OHK44" s="78"/>
      <c r="OHL44" s="78"/>
      <c r="OHM44" s="78"/>
      <c r="OHN44" s="78"/>
      <c r="OHO44" s="78"/>
      <c r="OHP44" s="78"/>
      <c r="OHQ44" s="78"/>
      <c r="OHR44" s="78"/>
      <c r="OHS44" s="78"/>
      <c r="OHT44" s="78"/>
      <c r="OHU44" s="78"/>
      <c r="OHV44" s="78"/>
      <c r="OHW44" s="78"/>
      <c r="OHX44" s="78"/>
      <c r="OHY44" s="78"/>
      <c r="OHZ44" s="78"/>
      <c r="OIA44" s="78"/>
      <c r="OIB44" s="78"/>
      <c r="OIC44" s="78"/>
      <c r="OID44" s="78"/>
      <c r="OIE44" s="78"/>
      <c r="OIF44" s="78"/>
      <c r="OIG44" s="78"/>
      <c r="OIH44" s="78"/>
      <c r="OII44" s="78"/>
      <c r="OIJ44" s="78"/>
      <c r="OIK44" s="78"/>
      <c r="OIL44" s="78"/>
      <c r="OIM44" s="78"/>
      <c r="OIN44" s="78"/>
      <c r="OIO44" s="78"/>
      <c r="OIP44" s="78"/>
      <c r="OIQ44" s="78"/>
      <c r="OIR44" s="78"/>
      <c r="OIS44" s="78"/>
      <c r="OIT44" s="78"/>
      <c r="OIU44" s="78"/>
      <c r="OIV44" s="78"/>
      <c r="OIW44" s="78"/>
      <c r="OIX44" s="78"/>
      <c r="OIY44" s="78"/>
      <c r="OIZ44" s="78"/>
      <c r="OJA44" s="78"/>
      <c r="OJB44" s="78"/>
      <c r="OJC44" s="78"/>
      <c r="OJD44" s="78"/>
      <c r="OJE44" s="78"/>
      <c r="OJF44" s="78"/>
      <c r="OJG44" s="78"/>
      <c r="OJH44" s="78"/>
      <c r="OJI44" s="78"/>
      <c r="OJJ44" s="78"/>
      <c r="OJK44" s="78"/>
      <c r="OJL44" s="78"/>
      <c r="OJM44" s="78"/>
      <c r="OJN44" s="78"/>
      <c r="OJO44" s="78"/>
      <c r="OJP44" s="78"/>
      <c r="OJQ44" s="78"/>
      <c r="OJR44" s="78"/>
      <c r="OJS44" s="78"/>
      <c r="OJT44" s="78"/>
      <c r="OJU44" s="78"/>
      <c r="OJV44" s="78"/>
      <c r="OJW44" s="78"/>
      <c r="OJX44" s="78"/>
      <c r="OJY44" s="78"/>
      <c r="OJZ44" s="78"/>
      <c r="OKA44" s="78"/>
      <c r="OKB44" s="78"/>
      <c r="OKC44" s="78"/>
      <c r="OKD44" s="78"/>
      <c r="OKE44" s="78"/>
      <c r="OKF44" s="78"/>
      <c r="OKG44" s="78"/>
      <c r="OKH44" s="78"/>
      <c r="OKI44" s="78"/>
      <c r="OKJ44" s="78"/>
      <c r="OKK44" s="78"/>
      <c r="OKL44" s="78"/>
      <c r="OKM44" s="78"/>
      <c r="OKN44" s="78"/>
      <c r="OKO44" s="78"/>
      <c r="OKP44" s="78"/>
      <c r="OKQ44" s="78"/>
      <c r="OKR44" s="78"/>
      <c r="OKS44" s="78"/>
      <c r="OKT44" s="78"/>
      <c r="OKU44" s="78"/>
      <c r="OKV44" s="78"/>
      <c r="OKW44" s="78"/>
      <c r="OKX44" s="78"/>
      <c r="OKY44" s="78"/>
      <c r="OKZ44" s="78"/>
      <c r="OLA44" s="78"/>
      <c r="OLB44" s="78"/>
      <c r="OLC44" s="78"/>
      <c r="OLD44" s="78"/>
      <c r="OLE44" s="78"/>
      <c r="OLF44" s="78"/>
      <c r="OLG44" s="78"/>
      <c r="OLH44" s="78"/>
      <c r="OLI44" s="78"/>
      <c r="OLJ44" s="78"/>
      <c r="OLK44" s="78"/>
      <c r="OLL44" s="78"/>
      <c r="OLM44" s="78"/>
      <c r="OLN44" s="78"/>
      <c r="OLO44" s="78"/>
      <c r="OLP44" s="78"/>
      <c r="OLQ44" s="78"/>
      <c r="OLR44" s="78"/>
      <c r="OLS44" s="78"/>
      <c r="OLT44" s="78"/>
      <c r="OLU44" s="78"/>
      <c r="OLV44" s="78"/>
      <c r="OLW44" s="78"/>
      <c r="OLX44" s="78"/>
      <c r="OLY44" s="78"/>
      <c r="OLZ44" s="78"/>
      <c r="OMA44" s="78"/>
      <c r="OMB44" s="78"/>
      <c r="OMC44" s="78"/>
      <c r="OMD44" s="78"/>
      <c r="OME44" s="78"/>
      <c r="OMF44" s="78"/>
      <c r="OMG44" s="78"/>
      <c r="OMH44" s="78"/>
      <c r="OMI44" s="78"/>
      <c r="OMJ44" s="78"/>
      <c r="OMK44" s="78"/>
      <c r="OML44" s="78"/>
      <c r="OMM44" s="78"/>
      <c r="OMN44" s="78"/>
      <c r="OMO44" s="78"/>
      <c r="OMP44" s="78"/>
      <c r="OMQ44" s="78"/>
      <c r="OMR44" s="78"/>
      <c r="OMS44" s="78"/>
      <c r="OMT44" s="78"/>
      <c r="OMU44" s="78"/>
      <c r="OMV44" s="78"/>
      <c r="OMW44" s="78"/>
      <c r="OMX44" s="78"/>
      <c r="OMY44" s="78"/>
      <c r="OMZ44" s="78"/>
      <c r="ONA44" s="78"/>
      <c r="ONB44" s="78"/>
      <c r="ONC44" s="78"/>
      <c r="OND44" s="78"/>
      <c r="ONE44" s="78"/>
      <c r="ONF44" s="78"/>
      <c r="ONG44" s="78"/>
      <c r="ONH44" s="78"/>
      <c r="ONI44" s="78"/>
      <c r="ONJ44" s="78"/>
      <c r="ONK44" s="78"/>
      <c r="ONL44" s="78"/>
      <c r="ONM44" s="78"/>
      <c r="ONN44" s="78"/>
      <c r="ONO44" s="78"/>
      <c r="ONP44" s="78"/>
      <c r="ONQ44" s="78"/>
      <c r="ONR44" s="78"/>
      <c r="ONS44" s="78"/>
      <c r="ONT44" s="78"/>
      <c r="ONU44" s="78"/>
      <c r="ONV44" s="78"/>
      <c r="ONW44" s="78"/>
      <c r="ONX44" s="78"/>
      <c r="ONY44" s="78"/>
      <c r="ONZ44" s="78"/>
      <c r="OOA44" s="78"/>
      <c r="OOB44" s="78"/>
      <c r="OOC44" s="78"/>
      <c r="OOD44" s="78"/>
      <c r="OOE44" s="78"/>
      <c r="OOF44" s="78"/>
      <c r="OOG44" s="78"/>
      <c r="OOH44" s="78"/>
      <c r="OOI44" s="78"/>
      <c r="OOJ44" s="78"/>
      <c r="OOK44" s="78"/>
      <c r="OOL44" s="78"/>
      <c r="OOM44" s="78"/>
      <c r="OON44" s="78"/>
      <c r="OOO44" s="78"/>
      <c r="OOP44" s="78"/>
      <c r="OOQ44" s="78"/>
      <c r="OOR44" s="78"/>
      <c r="OOS44" s="78"/>
      <c r="OOT44" s="78"/>
      <c r="OOU44" s="78"/>
      <c r="OOV44" s="78"/>
      <c r="OOW44" s="78"/>
      <c r="OOX44" s="78"/>
      <c r="OOY44" s="78"/>
      <c r="OOZ44" s="78"/>
      <c r="OPA44" s="78"/>
      <c r="OPB44" s="78"/>
      <c r="OPC44" s="78"/>
      <c r="OPD44" s="78"/>
      <c r="OPE44" s="78"/>
      <c r="OPF44" s="78"/>
      <c r="OPG44" s="78"/>
      <c r="OPH44" s="78"/>
      <c r="OPI44" s="78"/>
      <c r="OPJ44" s="78"/>
      <c r="OPK44" s="78"/>
      <c r="OPL44" s="78"/>
      <c r="OPM44" s="78"/>
      <c r="OPN44" s="78"/>
      <c r="OPO44" s="78"/>
      <c r="OPP44" s="78"/>
      <c r="OPQ44" s="78"/>
      <c r="OPR44" s="78"/>
      <c r="OPS44" s="78"/>
      <c r="OPT44" s="78"/>
      <c r="OPU44" s="78"/>
      <c r="OPV44" s="78"/>
      <c r="OPW44" s="78"/>
      <c r="OPX44" s="78"/>
      <c r="OPY44" s="78"/>
      <c r="OPZ44" s="78"/>
      <c r="OQA44" s="78"/>
      <c r="OQB44" s="78"/>
      <c r="OQC44" s="78"/>
      <c r="OQD44" s="78"/>
      <c r="OQE44" s="78"/>
      <c r="OQF44" s="78"/>
      <c r="OQG44" s="78"/>
      <c r="OQH44" s="78"/>
      <c r="OQI44" s="78"/>
      <c r="OQJ44" s="78"/>
      <c r="OQK44" s="78"/>
      <c r="OQL44" s="78"/>
      <c r="OQM44" s="78"/>
      <c r="OQN44" s="78"/>
      <c r="OQO44" s="78"/>
      <c r="OQP44" s="78"/>
      <c r="OQQ44" s="78"/>
      <c r="OQR44" s="78"/>
      <c r="OQS44" s="78"/>
      <c r="OQT44" s="78"/>
      <c r="OQU44" s="78"/>
      <c r="OQV44" s="78"/>
      <c r="OQW44" s="78"/>
      <c r="OQX44" s="78"/>
      <c r="OQY44" s="78"/>
      <c r="OQZ44" s="78"/>
      <c r="ORA44" s="78"/>
      <c r="ORB44" s="78"/>
      <c r="ORC44" s="78"/>
      <c r="ORD44" s="78"/>
      <c r="ORE44" s="78"/>
      <c r="ORF44" s="78"/>
      <c r="ORG44" s="78"/>
      <c r="ORH44" s="78"/>
      <c r="ORI44" s="78"/>
      <c r="ORJ44" s="78"/>
      <c r="ORK44" s="78"/>
      <c r="ORL44" s="78"/>
      <c r="ORM44" s="78"/>
      <c r="ORN44" s="78"/>
      <c r="ORO44" s="78"/>
      <c r="ORP44" s="78"/>
      <c r="ORQ44" s="78"/>
      <c r="ORR44" s="78"/>
      <c r="ORS44" s="78"/>
      <c r="ORT44" s="78"/>
      <c r="ORU44" s="78"/>
      <c r="ORV44" s="78"/>
      <c r="ORW44" s="78"/>
      <c r="ORX44" s="78"/>
      <c r="ORY44" s="78"/>
      <c r="ORZ44" s="78"/>
      <c r="OSA44" s="78"/>
      <c r="OSB44" s="78"/>
      <c r="OSC44" s="78"/>
      <c r="OSD44" s="78"/>
      <c r="OSE44" s="78"/>
      <c r="OSF44" s="78"/>
      <c r="OSG44" s="78"/>
      <c r="OSH44" s="78"/>
      <c r="OSI44" s="78"/>
      <c r="OSJ44" s="78"/>
      <c r="OSK44" s="78"/>
      <c r="OSL44" s="78"/>
      <c r="OSM44" s="78"/>
      <c r="OSN44" s="78"/>
      <c r="OSO44" s="78"/>
      <c r="OSP44" s="78"/>
      <c r="OSQ44" s="78"/>
      <c r="OSR44" s="78"/>
      <c r="OSS44" s="78"/>
      <c r="OST44" s="78"/>
      <c r="OSU44" s="78"/>
      <c r="OSV44" s="78"/>
      <c r="OSW44" s="78"/>
      <c r="OSX44" s="78"/>
      <c r="OSY44" s="78"/>
      <c r="OSZ44" s="78"/>
      <c r="OTA44" s="78"/>
      <c r="OTB44" s="78"/>
      <c r="OTC44" s="78"/>
      <c r="OTD44" s="78"/>
      <c r="OTE44" s="78"/>
      <c r="OTF44" s="78"/>
      <c r="OTG44" s="78"/>
      <c r="OTH44" s="78"/>
      <c r="OTI44" s="78"/>
      <c r="OTJ44" s="78"/>
      <c r="OTK44" s="78"/>
      <c r="OTL44" s="78"/>
      <c r="OTM44" s="78"/>
      <c r="OTN44" s="78"/>
      <c r="OTO44" s="78"/>
      <c r="OTP44" s="78"/>
      <c r="OTQ44" s="78"/>
      <c r="OTR44" s="78"/>
      <c r="OTS44" s="78"/>
      <c r="OTT44" s="78"/>
      <c r="OTU44" s="78"/>
      <c r="OTV44" s="78"/>
      <c r="OTW44" s="78"/>
      <c r="OTX44" s="78"/>
      <c r="OTY44" s="78"/>
      <c r="OTZ44" s="78"/>
      <c r="OUA44" s="78"/>
      <c r="OUB44" s="78"/>
      <c r="OUC44" s="78"/>
      <c r="OUD44" s="78"/>
      <c r="OUE44" s="78"/>
      <c r="OUF44" s="78"/>
      <c r="OUG44" s="78"/>
      <c r="OUH44" s="78"/>
      <c r="OUI44" s="78"/>
      <c r="OUJ44" s="78"/>
      <c r="OUK44" s="78"/>
      <c r="OUL44" s="78"/>
      <c r="OUM44" s="78"/>
      <c r="OUN44" s="78"/>
      <c r="OUO44" s="78"/>
      <c r="OUP44" s="78"/>
      <c r="OUQ44" s="78"/>
      <c r="OUR44" s="78"/>
      <c r="OUS44" s="78"/>
      <c r="OUT44" s="78"/>
      <c r="OUU44" s="78"/>
      <c r="OUV44" s="78"/>
      <c r="OUW44" s="78"/>
      <c r="OUX44" s="78"/>
      <c r="OUY44" s="78"/>
      <c r="OUZ44" s="78"/>
      <c r="OVA44" s="78"/>
      <c r="OVB44" s="78"/>
      <c r="OVC44" s="78"/>
      <c r="OVD44" s="78"/>
      <c r="OVE44" s="78"/>
      <c r="OVF44" s="78"/>
      <c r="OVG44" s="78"/>
      <c r="OVH44" s="78"/>
      <c r="OVI44" s="78"/>
      <c r="OVJ44" s="78"/>
      <c r="OVK44" s="78"/>
      <c r="OVL44" s="78"/>
      <c r="OVM44" s="78"/>
      <c r="OVN44" s="78"/>
      <c r="OVO44" s="78"/>
      <c r="OVP44" s="78"/>
      <c r="OVQ44" s="78"/>
      <c r="OVR44" s="78"/>
      <c r="OVS44" s="78"/>
      <c r="OVT44" s="78"/>
      <c r="OVU44" s="78"/>
      <c r="OVV44" s="78"/>
      <c r="OVW44" s="78"/>
      <c r="OVX44" s="78"/>
      <c r="OVY44" s="78"/>
      <c r="OVZ44" s="78"/>
      <c r="OWA44" s="78"/>
      <c r="OWB44" s="78"/>
      <c r="OWC44" s="78"/>
      <c r="OWD44" s="78"/>
      <c r="OWE44" s="78"/>
      <c r="OWF44" s="78"/>
      <c r="OWG44" s="78"/>
      <c r="OWH44" s="78"/>
      <c r="OWI44" s="78"/>
      <c r="OWJ44" s="78"/>
      <c r="OWK44" s="78"/>
      <c r="OWL44" s="78"/>
      <c r="OWM44" s="78"/>
      <c r="OWN44" s="78"/>
      <c r="OWO44" s="78"/>
      <c r="OWP44" s="78"/>
      <c r="OWQ44" s="78"/>
      <c r="OWR44" s="78"/>
      <c r="OWS44" s="78"/>
      <c r="OWT44" s="78"/>
      <c r="OWU44" s="78"/>
      <c r="OWV44" s="78"/>
      <c r="OWW44" s="78"/>
      <c r="OWX44" s="78"/>
      <c r="OWY44" s="78"/>
      <c r="OWZ44" s="78"/>
      <c r="OXA44" s="78"/>
      <c r="OXB44" s="78"/>
      <c r="OXC44" s="78"/>
      <c r="OXD44" s="78"/>
      <c r="OXE44" s="78"/>
      <c r="OXF44" s="78"/>
      <c r="OXG44" s="78"/>
      <c r="OXH44" s="78"/>
      <c r="OXI44" s="78"/>
      <c r="OXJ44" s="78"/>
      <c r="OXK44" s="78"/>
      <c r="OXL44" s="78"/>
      <c r="OXM44" s="78"/>
      <c r="OXN44" s="78"/>
      <c r="OXO44" s="78"/>
      <c r="OXP44" s="78"/>
      <c r="OXQ44" s="78"/>
      <c r="OXR44" s="78"/>
      <c r="OXS44" s="78"/>
      <c r="OXT44" s="78"/>
      <c r="OXU44" s="78"/>
      <c r="OXV44" s="78"/>
      <c r="OXW44" s="78"/>
      <c r="OXX44" s="78"/>
      <c r="OXY44" s="78"/>
      <c r="OXZ44" s="78"/>
      <c r="OYA44" s="78"/>
      <c r="OYB44" s="78"/>
      <c r="OYC44" s="78"/>
      <c r="OYD44" s="78"/>
      <c r="OYE44" s="78"/>
      <c r="OYF44" s="78"/>
      <c r="OYG44" s="78"/>
      <c r="OYH44" s="78"/>
      <c r="OYI44" s="78"/>
      <c r="OYJ44" s="78"/>
      <c r="OYK44" s="78"/>
      <c r="OYL44" s="78"/>
      <c r="OYM44" s="78"/>
      <c r="OYN44" s="78"/>
      <c r="OYO44" s="78"/>
      <c r="OYP44" s="78"/>
      <c r="OYQ44" s="78"/>
      <c r="OYR44" s="78"/>
      <c r="OYS44" s="78"/>
      <c r="OYT44" s="78"/>
      <c r="OYU44" s="78"/>
      <c r="OYV44" s="78"/>
      <c r="OYW44" s="78"/>
      <c r="OYX44" s="78"/>
      <c r="OYY44" s="78"/>
      <c r="OYZ44" s="78"/>
      <c r="OZA44" s="78"/>
      <c r="OZB44" s="78"/>
      <c r="OZC44" s="78"/>
      <c r="OZD44" s="78"/>
      <c r="OZE44" s="78"/>
      <c r="OZF44" s="78"/>
      <c r="OZG44" s="78"/>
      <c r="OZH44" s="78"/>
      <c r="OZI44" s="78"/>
      <c r="OZJ44" s="78"/>
      <c r="OZK44" s="78"/>
      <c r="OZL44" s="78"/>
      <c r="OZM44" s="78"/>
      <c r="OZN44" s="78"/>
      <c r="OZO44" s="78"/>
      <c r="OZP44" s="78"/>
      <c r="OZQ44" s="78"/>
      <c r="OZR44" s="78"/>
      <c r="OZS44" s="78"/>
      <c r="OZT44" s="78"/>
      <c r="OZU44" s="78"/>
      <c r="OZV44" s="78"/>
      <c r="OZW44" s="78"/>
      <c r="OZX44" s="78"/>
      <c r="OZY44" s="78"/>
      <c r="OZZ44" s="78"/>
      <c r="PAA44" s="78"/>
      <c r="PAB44" s="78"/>
      <c r="PAC44" s="78"/>
      <c r="PAD44" s="78"/>
      <c r="PAE44" s="78"/>
      <c r="PAF44" s="78"/>
      <c r="PAG44" s="78"/>
      <c r="PAH44" s="78"/>
      <c r="PAI44" s="78"/>
      <c r="PAJ44" s="78"/>
      <c r="PAK44" s="78"/>
      <c r="PAL44" s="78"/>
      <c r="PAM44" s="78"/>
      <c r="PAN44" s="78"/>
      <c r="PAO44" s="78"/>
      <c r="PAP44" s="78"/>
      <c r="PAQ44" s="78"/>
      <c r="PAR44" s="78"/>
      <c r="PAS44" s="78"/>
      <c r="PAT44" s="78"/>
      <c r="PAU44" s="78"/>
      <c r="PAV44" s="78"/>
      <c r="PAW44" s="78"/>
      <c r="PAX44" s="78"/>
      <c r="PAY44" s="78"/>
      <c r="PAZ44" s="78"/>
      <c r="PBA44" s="78"/>
      <c r="PBB44" s="78"/>
      <c r="PBC44" s="78"/>
      <c r="PBD44" s="78"/>
      <c r="PBE44" s="78"/>
      <c r="PBF44" s="78"/>
      <c r="PBG44" s="78"/>
      <c r="PBH44" s="78"/>
      <c r="PBI44" s="78"/>
      <c r="PBJ44" s="78"/>
      <c r="PBK44" s="78"/>
      <c r="PBL44" s="78"/>
      <c r="PBM44" s="78"/>
      <c r="PBN44" s="78"/>
      <c r="PBO44" s="78"/>
      <c r="PBP44" s="78"/>
      <c r="PBQ44" s="78"/>
      <c r="PBR44" s="78"/>
      <c r="PBS44" s="78"/>
      <c r="PBT44" s="78"/>
      <c r="PBU44" s="78"/>
      <c r="PBV44" s="78"/>
      <c r="PBW44" s="78"/>
      <c r="PBX44" s="78"/>
      <c r="PBY44" s="78"/>
      <c r="PBZ44" s="78"/>
      <c r="PCA44" s="78"/>
      <c r="PCB44" s="78"/>
      <c r="PCC44" s="78"/>
      <c r="PCD44" s="78"/>
      <c r="PCE44" s="78"/>
      <c r="PCF44" s="78"/>
      <c r="PCG44" s="78"/>
      <c r="PCH44" s="78"/>
      <c r="PCI44" s="78"/>
      <c r="PCJ44" s="78"/>
      <c r="PCK44" s="78"/>
      <c r="PCL44" s="78"/>
      <c r="PCM44" s="78"/>
      <c r="PCN44" s="78"/>
      <c r="PCO44" s="78"/>
      <c r="PCP44" s="78"/>
      <c r="PCQ44" s="78"/>
      <c r="PCR44" s="78"/>
      <c r="PCS44" s="78"/>
      <c r="PCT44" s="78"/>
      <c r="PCU44" s="78"/>
      <c r="PCV44" s="78"/>
      <c r="PCW44" s="78"/>
      <c r="PCX44" s="78"/>
      <c r="PCY44" s="78"/>
      <c r="PCZ44" s="78"/>
      <c r="PDA44" s="78"/>
      <c r="PDB44" s="78"/>
      <c r="PDC44" s="78"/>
      <c r="PDD44" s="78"/>
      <c r="PDE44" s="78"/>
      <c r="PDF44" s="78"/>
      <c r="PDG44" s="78"/>
      <c r="PDH44" s="78"/>
      <c r="PDI44" s="78"/>
      <c r="PDJ44" s="78"/>
      <c r="PDK44" s="78"/>
      <c r="PDL44" s="78"/>
      <c r="PDM44" s="78"/>
      <c r="PDN44" s="78"/>
      <c r="PDO44" s="78"/>
      <c r="PDP44" s="78"/>
      <c r="PDQ44" s="78"/>
      <c r="PDR44" s="78"/>
      <c r="PDS44" s="78"/>
      <c r="PDT44" s="78"/>
      <c r="PDU44" s="78"/>
      <c r="PDV44" s="78"/>
      <c r="PDW44" s="78"/>
      <c r="PDX44" s="78"/>
      <c r="PDY44" s="78"/>
      <c r="PDZ44" s="78"/>
      <c r="PEA44" s="78"/>
      <c r="PEB44" s="78"/>
      <c r="PEC44" s="78"/>
      <c r="PED44" s="78"/>
      <c r="PEE44" s="78"/>
      <c r="PEF44" s="78"/>
      <c r="PEG44" s="78"/>
      <c r="PEH44" s="78"/>
      <c r="PEI44" s="78"/>
      <c r="PEJ44" s="78"/>
      <c r="PEK44" s="78"/>
      <c r="PEL44" s="78"/>
      <c r="PEM44" s="78"/>
      <c r="PEN44" s="78"/>
      <c r="PEO44" s="78"/>
      <c r="PEP44" s="78"/>
      <c r="PEQ44" s="78"/>
      <c r="PER44" s="78"/>
      <c r="PES44" s="78"/>
      <c r="PET44" s="78"/>
      <c r="PEU44" s="78"/>
      <c r="PEV44" s="78"/>
      <c r="PEW44" s="78"/>
      <c r="PEX44" s="78"/>
      <c r="PEY44" s="78"/>
      <c r="PEZ44" s="78"/>
      <c r="PFA44" s="78"/>
      <c r="PFB44" s="78"/>
      <c r="PFC44" s="78"/>
      <c r="PFD44" s="78"/>
      <c r="PFE44" s="78"/>
      <c r="PFF44" s="78"/>
      <c r="PFG44" s="78"/>
      <c r="PFH44" s="78"/>
      <c r="PFI44" s="78"/>
      <c r="PFJ44" s="78"/>
      <c r="PFK44" s="78"/>
      <c r="PFL44" s="78"/>
      <c r="PFM44" s="78"/>
      <c r="PFN44" s="78"/>
      <c r="PFO44" s="78"/>
      <c r="PFP44" s="78"/>
      <c r="PFQ44" s="78"/>
      <c r="PFR44" s="78"/>
      <c r="PFS44" s="78"/>
      <c r="PFT44" s="78"/>
      <c r="PFU44" s="78"/>
      <c r="PFV44" s="78"/>
      <c r="PFW44" s="78"/>
      <c r="PFX44" s="78"/>
      <c r="PFY44" s="78"/>
      <c r="PFZ44" s="78"/>
      <c r="PGA44" s="78"/>
      <c r="PGB44" s="78"/>
      <c r="PGC44" s="78"/>
      <c r="PGD44" s="78"/>
      <c r="PGE44" s="78"/>
      <c r="PGF44" s="78"/>
      <c r="PGG44" s="78"/>
      <c r="PGH44" s="78"/>
      <c r="PGI44" s="78"/>
      <c r="PGJ44" s="78"/>
      <c r="PGK44" s="78"/>
      <c r="PGL44" s="78"/>
      <c r="PGM44" s="78"/>
      <c r="PGN44" s="78"/>
      <c r="PGO44" s="78"/>
      <c r="PGP44" s="78"/>
      <c r="PGQ44" s="78"/>
      <c r="PGR44" s="78"/>
      <c r="PGS44" s="78"/>
      <c r="PGT44" s="78"/>
      <c r="PGU44" s="78"/>
      <c r="PGV44" s="78"/>
      <c r="PGW44" s="78"/>
      <c r="PGX44" s="78"/>
      <c r="PGY44" s="78"/>
      <c r="PGZ44" s="78"/>
      <c r="PHA44" s="78"/>
      <c r="PHB44" s="78"/>
      <c r="PHC44" s="78"/>
      <c r="PHD44" s="78"/>
      <c r="PHE44" s="78"/>
      <c r="PHF44" s="78"/>
      <c r="PHG44" s="78"/>
      <c r="PHH44" s="78"/>
      <c r="PHI44" s="78"/>
      <c r="PHJ44" s="78"/>
      <c r="PHK44" s="78"/>
      <c r="PHL44" s="78"/>
      <c r="PHM44" s="78"/>
      <c r="PHN44" s="78"/>
      <c r="PHO44" s="78"/>
      <c r="PHP44" s="78"/>
      <c r="PHQ44" s="78"/>
      <c r="PHR44" s="78"/>
      <c r="PHS44" s="78"/>
      <c r="PHT44" s="78"/>
      <c r="PHU44" s="78"/>
      <c r="PHV44" s="78"/>
      <c r="PHW44" s="78"/>
      <c r="PHX44" s="78"/>
      <c r="PHY44" s="78"/>
      <c r="PHZ44" s="78"/>
      <c r="PIA44" s="78"/>
      <c r="PIB44" s="78"/>
      <c r="PIC44" s="78"/>
      <c r="PID44" s="78"/>
      <c r="PIE44" s="78"/>
      <c r="PIF44" s="78"/>
      <c r="PIG44" s="78"/>
      <c r="PIH44" s="78"/>
      <c r="PII44" s="78"/>
      <c r="PIJ44" s="78"/>
      <c r="PIK44" s="78"/>
      <c r="PIL44" s="78"/>
      <c r="PIM44" s="78"/>
      <c r="PIN44" s="78"/>
      <c r="PIO44" s="78"/>
      <c r="PIP44" s="78"/>
      <c r="PIQ44" s="78"/>
      <c r="PIR44" s="78"/>
      <c r="PIS44" s="78"/>
      <c r="PIT44" s="78"/>
      <c r="PIU44" s="78"/>
      <c r="PIV44" s="78"/>
      <c r="PIW44" s="78"/>
      <c r="PIX44" s="78"/>
      <c r="PIY44" s="78"/>
      <c r="PIZ44" s="78"/>
      <c r="PJA44" s="78"/>
      <c r="PJB44" s="78"/>
      <c r="PJC44" s="78"/>
      <c r="PJD44" s="78"/>
      <c r="PJE44" s="78"/>
      <c r="PJF44" s="78"/>
      <c r="PJG44" s="78"/>
      <c r="PJH44" s="78"/>
      <c r="PJI44" s="78"/>
      <c r="PJJ44" s="78"/>
      <c r="PJK44" s="78"/>
      <c r="PJL44" s="78"/>
      <c r="PJM44" s="78"/>
      <c r="PJN44" s="78"/>
      <c r="PJO44" s="78"/>
      <c r="PJP44" s="78"/>
      <c r="PJQ44" s="78"/>
      <c r="PJR44" s="78"/>
      <c r="PJS44" s="78"/>
      <c r="PJT44" s="78"/>
      <c r="PJU44" s="78"/>
      <c r="PJV44" s="78"/>
      <c r="PJW44" s="78"/>
      <c r="PJX44" s="78"/>
      <c r="PJY44" s="78"/>
      <c r="PJZ44" s="78"/>
      <c r="PKA44" s="78"/>
      <c r="PKB44" s="78"/>
      <c r="PKC44" s="78"/>
      <c r="PKD44" s="78"/>
      <c r="PKE44" s="78"/>
      <c r="PKF44" s="78"/>
      <c r="PKG44" s="78"/>
      <c r="PKH44" s="78"/>
      <c r="PKI44" s="78"/>
      <c r="PKJ44" s="78"/>
      <c r="PKK44" s="78"/>
      <c r="PKL44" s="78"/>
      <c r="PKM44" s="78"/>
      <c r="PKN44" s="78"/>
      <c r="PKO44" s="78"/>
      <c r="PKP44" s="78"/>
      <c r="PKQ44" s="78"/>
      <c r="PKR44" s="78"/>
      <c r="PKS44" s="78"/>
      <c r="PKT44" s="78"/>
      <c r="PKU44" s="78"/>
      <c r="PKV44" s="78"/>
      <c r="PKW44" s="78"/>
      <c r="PKX44" s="78"/>
      <c r="PKY44" s="78"/>
      <c r="PKZ44" s="78"/>
      <c r="PLA44" s="78"/>
      <c r="PLB44" s="78"/>
      <c r="PLC44" s="78"/>
      <c r="PLD44" s="78"/>
      <c r="PLE44" s="78"/>
      <c r="PLF44" s="78"/>
      <c r="PLG44" s="78"/>
      <c r="PLH44" s="78"/>
      <c r="PLI44" s="78"/>
      <c r="PLJ44" s="78"/>
      <c r="PLK44" s="78"/>
      <c r="PLL44" s="78"/>
      <c r="PLM44" s="78"/>
      <c r="PLN44" s="78"/>
      <c r="PLO44" s="78"/>
      <c r="PLP44" s="78"/>
      <c r="PLQ44" s="78"/>
      <c r="PLR44" s="78"/>
      <c r="PLS44" s="78"/>
      <c r="PLT44" s="78"/>
      <c r="PLU44" s="78"/>
      <c r="PLV44" s="78"/>
      <c r="PLW44" s="78"/>
      <c r="PLX44" s="78"/>
      <c r="PLY44" s="78"/>
      <c r="PLZ44" s="78"/>
      <c r="PMA44" s="78"/>
      <c r="PMB44" s="78"/>
      <c r="PMC44" s="78"/>
      <c r="PMD44" s="78"/>
      <c r="PME44" s="78"/>
      <c r="PMF44" s="78"/>
      <c r="PMG44" s="78"/>
      <c r="PMH44" s="78"/>
      <c r="PMI44" s="78"/>
      <c r="PMJ44" s="78"/>
      <c r="PMK44" s="78"/>
      <c r="PML44" s="78"/>
      <c r="PMM44" s="78"/>
      <c r="PMN44" s="78"/>
      <c r="PMO44" s="78"/>
      <c r="PMP44" s="78"/>
      <c r="PMQ44" s="78"/>
      <c r="PMR44" s="78"/>
      <c r="PMS44" s="78"/>
      <c r="PMT44" s="78"/>
      <c r="PMU44" s="78"/>
      <c r="PMV44" s="78"/>
      <c r="PMW44" s="78"/>
      <c r="PMX44" s="78"/>
      <c r="PMY44" s="78"/>
      <c r="PMZ44" s="78"/>
      <c r="PNA44" s="78"/>
      <c r="PNB44" s="78"/>
      <c r="PNC44" s="78"/>
      <c r="PND44" s="78"/>
      <c r="PNE44" s="78"/>
      <c r="PNF44" s="78"/>
      <c r="PNG44" s="78"/>
      <c r="PNH44" s="78"/>
      <c r="PNI44" s="78"/>
      <c r="PNJ44" s="78"/>
      <c r="PNK44" s="78"/>
      <c r="PNL44" s="78"/>
      <c r="PNM44" s="78"/>
      <c r="PNN44" s="78"/>
      <c r="PNO44" s="78"/>
      <c r="PNP44" s="78"/>
      <c r="PNQ44" s="78"/>
      <c r="PNR44" s="78"/>
      <c r="PNS44" s="78"/>
      <c r="PNT44" s="78"/>
      <c r="PNU44" s="78"/>
      <c r="PNV44" s="78"/>
      <c r="PNW44" s="78"/>
      <c r="PNX44" s="78"/>
      <c r="PNY44" s="78"/>
      <c r="PNZ44" s="78"/>
      <c r="POA44" s="78"/>
      <c r="POB44" s="78"/>
      <c r="POC44" s="78"/>
      <c r="POD44" s="78"/>
      <c r="POE44" s="78"/>
      <c r="POF44" s="78"/>
      <c r="POG44" s="78"/>
      <c r="POH44" s="78"/>
      <c r="POI44" s="78"/>
      <c r="POJ44" s="78"/>
      <c r="POK44" s="78"/>
      <c r="POL44" s="78"/>
      <c r="POM44" s="78"/>
      <c r="PON44" s="78"/>
      <c r="POO44" s="78"/>
      <c r="POP44" s="78"/>
      <c r="POQ44" s="78"/>
      <c r="POR44" s="78"/>
      <c r="POS44" s="78"/>
      <c r="POT44" s="78"/>
      <c r="POU44" s="78"/>
      <c r="POV44" s="78"/>
      <c r="POW44" s="78"/>
      <c r="POX44" s="78"/>
      <c r="POY44" s="78"/>
      <c r="POZ44" s="78"/>
      <c r="PPA44" s="78"/>
      <c r="PPB44" s="78"/>
      <c r="PPC44" s="78"/>
      <c r="PPD44" s="78"/>
      <c r="PPE44" s="78"/>
      <c r="PPF44" s="78"/>
      <c r="PPG44" s="78"/>
      <c r="PPH44" s="78"/>
      <c r="PPI44" s="78"/>
      <c r="PPJ44" s="78"/>
      <c r="PPK44" s="78"/>
      <c r="PPL44" s="78"/>
      <c r="PPM44" s="78"/>
      <c r="PPN44" s="78"/>
      <c r="PPO44" s="78"/>
      <c r="PPP44" s="78"/>
      <c r="PPQ44" s="78"/>
      <c r="PPR44" s="78"/>
      <c r="PPS44" s="78"/>
      <c r="PPT44" s="78"/>
      <c r="PPU44" s="78"/>
      <c r="PPV44" s="78"/>
      <c r="PPW44" s="78"/>
      <c r="PPX44" s="78"/>
      <c r="PPY44" s="78"/>
      <c r="PPZ44" s="78"/>
      <c r="PQA44" s="78"/>
      <c r="PQB44" s="78"/>
      <c r="PQC44" s="78"/>
      <c r="PQD44" s="78"/>
      <c r="PQE44" s="78"/>
      <c r="PQF44" s="78"/>
      <c r="PQG44" s="78"/>
      <c r="PQH44" s="78"/>
      <c r="PQI44" s="78"/>
      <c r="PQJ44" s="78"/>
      <c r="PQK44" s="78"/>
      <c r="PQL44" s="78"/>
      <c r="PQM44" s="78"/>
      <c r="PQN44" s="78"/>
      <c r="PQO44" s="78"/>
      <c r="PQP44" s="78"/>
      <c r="PQQ44" s="78"/>
      <c r="PQR44" s="78"/>
      <c r="PQS44" s="78"/>
      <c r="PQT44" s="78"/>
      <c r="PQU44" s="78"/>
      <c r="PQV44" s="78"/>
      <c r="PQW44" s="78"/>
      <c r="PQX44" s="78"/>
      <c r="PQY44" s="78"/>
      <c r="PQZ44" s="78"/>
      <c r="PRA44" s="78"/>
      <c r="PRB44" s="78"/>
      <c r="PRC44" s="78"/>
      <c r="PRD44" s="78"/>
      <c r="PRE44" s="78"/>
      <c r="PRF44" s="78"/>
      <c r="PRG44" s="78"/>
      <c r="PRH44" s="78"/>
      <c r="PRI44" s="78"/>
      <c r="PRJ44" s="78"/>
      <c r="PRK44" s="78"/>
      <c r="PRL44" s="78"/>
      <c r="PRM44" s="78"/>
      <c r="PRN44" s="78"/>
      <c r="PRO44" s="78"/>
      <c r="PRP44" s="78"/>
      <c r="PRQ44" s="78"/>
      <c r="PRR44" s="78"/>
      <c r="PRS44" s="78"/>
      <c r="PRT44" s="78"/>
      <c r="PRU44" s="78"/>
      <c r="PRV44" s="78"/>
      <c r="PRW44" s="78"/>
      <c r="PRX44" s="78"/>
      <c r="PRY44" s="78"/>
      <c r="PRZ44" s="78"/>
      <c r="PSA44" s="78"/>
      <c r="PSB44" s="78"/>
      <c r="PSC44" s="78"/>
      <c r="PSD44" s="78"/>
      <c r="PSE44" s="78"/>
      <c r="PSF44" s="78"/>
      <c r="PSG44" s="78"/>
      <c r="PSH44" s="78"/>
      <c r="PSI44" s="78"/>
      <c r="PSJ44" s="78"/>
      <c r="PSK44" s="78"/>
      <c r="PSL44" s="78"/>
      <c r="PSM44" s="78"/>
      <c r="PSN44" s="78"/>
      <c r="PSO44" s="78"/>
      <c r="PSP44" s="78"/>
      <c r="PSQ44" s="78"/>
      <c r="PSR44" s="78"/>
      <c r="PSS44" s="78"/>
      <c r="PST44" s="78"/>
      <c r="PSU44" s="78"/>
      <c r="PSV44" s="78"/>
      <c r="PSW44" s="78"/>
      <c r="PSX44" s="78"/>
      <c r="PSY44" s="78"/>
      <c r="PSZ44" s="78"/>
      <c r="PTA44" s="78"/>
      <c r="PTB44" s="78"/>
      <c r="PTC44" s="78"/>
      <c r="PTD44" s="78"/>
      <c r="PTE44" s="78"/>
      <c r="PTF44" s="78"/>
      <c r="PTG44" s="78"/>
      <c r="PTH44" s="78"/>
      <c r="PTI44" s="78"/>
      <c r="PTJ44" s="78"/>
      <c r="PTK44" s="78"/>
      <c r="PTL44" s="78"/>
      <c r="PTM44" s="78"/>
      <c r="PTN44" s="78"/>
      <c r="PTO44" s="78"/>
      <c r="PTP44" s="78"/>
      <c r="PTQ44" s="78"/>
      <c r="PTR44" s="78"/>
      <c r="PTS44" s="78"/>
      <c r="PTT44" s="78"/>
      <c r="PTU44" s="78"/>
      <c r="PTV44" s="78"/>
      <c r="PTW44" s="78"/>
      <c r="PTX44" s="78"/>
      <c r="PTY44" s="78"/>
      <c r="PTZ44" s="78"/>
      <c r="PUA44" s="78"/>
      <c r="PUB44" s="78"/>
      <c r="PUC44" s="78"/>
      <c r="PUD44" s="78"/>
      <c r="PUE44" s="78"/>
      <c r="PUF44" s="78"/>
      <c r="PUG44" s="78"/>
      <c r="PUH44" s="78"/>
      <c r="PUI44" s="78"/>
      <c r="PUJ44" s="78"/>
      <c r="PUK44" s="78"/>
      <c r="PUL44" s="78"/>
      <c r="PUM44" s="78"/>
      <c r="PUN44" s="78"/>
      <c r="PUO44" s="78"/>
      <c r="PUP44" s="78"/>
      <c r="PUQ44" s="78"/>
      <c r="PUR44" s="78"/>
      <c r="PUS44" s="78"/>
      <c r="PUT44" s="78"/>
      <c r="PUU44" s="78"/>
      <c r="PUV44" s="78"/>
      <c r="PUW44" s="78"/>
      <c r="PUX44" s="78"/>
      <c r="PUY44" s="78"/>
      <c r="PUZ44" s="78"/>
      <c r="PVA44" s="78"/>
      <c r="PVB44" s="78"/>
      <c r="PVC44" s="78"/>
      <c r="PVD44" s="78"/>
      <c r="PVE44" s="78"/>
      <c r="PVF44" s="78"/>
      <c r="PVG44" s="78"/>
      <c r="PVH44" s="78"/>
      <c r="PVI44" s="78"/>
      <c r="PVJ44" s="78"/>
      <c r="PVK44" s="78"/>
      <c r="PVL44" s="78"/>
      <c r="PVM44" s="78"/>
      <c r="PVN44" s="78"/>
      <c r="PVO44" s="78"/>
      <c r="PVP44" s="78"/>
      <c r="PVQ44" s="78"/>
      <c r="PVR44" s="78"/>
      <c r="PVS44" s="78"/>
      <c r="PVT44" s="78"/>
      <c r="PVU44" s="78"/>
      <c r="PVV44" s="78"/>
      <c r="PVW44" s="78"/>
      <c r="PVX44" s="78"/>
      <c r="PVY44" s="78"/>
      <c r="PVZ44" s="78"/>
      <c r="PWA44" s="78"/>
      <c r="PWB44" s="78"/>
      <c r="PWC44" s="78"/>
      <c r="PWD44" s="78"/>
      <c r="PWE44" s="78"/>
      <c r="PWF44" s="78"/>
      <c r="PWG44" s="78"/>
      <c r="PWH44" s="78"/>
      <c r="PWI44" s="78"/>
      <c r="PWJ44" s="78"/>
      <c r="PWK44" s="78"/>
      <c r="PWL44" s="78"/>
      <c r="PWM44" s="78"/>
      <c r="PWN44" s="78"/>
      <c r="PWO44" s="78"/>
      <c r="PWP44" s="78"/>
      <c r="PWQ44" s="78"/>
      <c r="PWR44" s="78"/>
      <c r="PWS44" s="78"/>
      <c r="PWT44" s="78"/>
      <c r="PWU44" s="78"/>
      <c r="PWV44" s="78"/>
      <c r="PWW44" s="78"/>
      <c r="PWX44" s="78"/>
      <c r="PWY44" s="78"/>
      <c r="PWZ44" s="78"/>
      <c r="PXA44" s="78"/>
      <c r="PXB44" s="78"/>
      <c r="PXC44" s="78"/>
      <c r="PXD44" s="78"/>
      <c r="PXE44" s="78"/>
      <c r="PXF44" s="78"/>
      <c r="PXG44" s="78"/>
      <c r="PXH44" s="78"/>
      <c r="PXI44" s="78"/>
      <c r="PXJ44" s="78"/>
      <c r="PXK44" s="78"/>
      <c r="PXL44" s="78"/>
      <c r="PXM44" s="78"/>
      <c r="PXN44" s="78"/>
      <c r="PXO44" s="78"/>
      <c r="PXP44" s="78"/>
      <c r="PXQ44" s="78"/>
      <c r="PXR44" s="78"/>
      <c r="PXS44" s="78"/>
      <c r="PXT44" s="78"/>
      <c r="PXU44" s="78"/>
      <c r="PXV44" s="78"/>
      <c r="PXW44" s="78"/>
      <c r="PXX44" s="78"/>
      <c r="PXY44" s="78"/>
      <c r="PXZ44" s="78"/>
      <c r="PYA44" s="78"/>
      <c r="PYB44" s="78"/>
      <c r="PYC44" s="78"/>
      <c r="PYD44" s="78"/>
      <c r="PYE44" s="78"/>
      <c r="PYF44" s="78"/>
      <c r="PYG44" s="78"/>
      <c r="PYH44" s="78"/>
      <c r="PYI44" s="78"/>
      <c r="PYJ44" s="78"/>
      <c r="PYK44" s="78"/>
      <c r="PYL44" s="78"/>
      <c r="PYM44" s="78"/>
      <c r="PYN44" s="78"/>
      <c r="PYO44" s="78"/>
      <c r="PYP44" s="78"/>
      <c r="PYQ44" s="78"/>
      <c r="PYR44" s="78"/>
      <c r="PYS44" s="78"/>
      <c r="PYT44" s="78"/>
      <c r="PYU44" s="78"/>
      <c r="PYV44" s="78"/>
      <c r="PYW44" s="78"/>
      <c r="PYX44" s="78"/>
      <c r="PYY44" s="78"/>
      <c r="PYZ44" s="78"/>
      <c r="PZA44" s="78"/>
      <c r="PZB44" s="78"/>
      <c r="PZC44" s="78"/>
      <c r="PZD44" s="78"/>
      <c r="PZE44" s="78"/>
      <c r="PZF44" s="78"/>
      <c r="PZG44" s="78"/>
      <c r="PZH44" s="78"/>
      <c r="PZI44" s="78"/>
      <c r="PZJ44" s="78"/>
      <c r="PZK44" s="78"/>
      <c r="PZL44" s="78"/>
      <c r="PZM44" s="78"/>
      <c r="PZN44" s="78"/>
      <c r="PZO44" s="78"/>
      <c r="PZP44" s="78"/>
      <c r="PZQ44" s="78"/>
      <c r="PZR44" s="78"/>
      <c r="PZS44" s="78"/>
      <c r="PZT44" s="78"/>
      <c r="PZU44" s="78"/>
      <c r="PZV44" s="78"/>
      <c r="PZW44" s="78"/>
      <c r="PZX44" s="78"/>
      <c r="PZY44" s="78"/>
      <c r="PZZ44" s="78"/>
      <c r="QAA44" s="78"/>
      <c r="QAB44" s="78"/>
      <c r="QAC44" s="78"/>
      <c r="QAD44" s="78"/>
      <c r="QAE44" s="78"/>
      <c r="QAF44" s="78"/>
      <c r="QAG44" s="78"/>
      <c r="QAH44" s="78"/>
      <c r="QAI44" s="78"/>
      <c r="QAJ44" s="78"/>
      <c r="QAK44" s="78"/>
      <c r="QAL44" s="78"/>
      <c r="QAM44" s="78"/>
      <c r="QAN44" s="78"/>
      <c r="QAO44" s="78"/>
      <c r="QAP44" s="78"/>
      <c r="QAQ44" s="78"/>
      <c r="QAR44" s="78"/>
      <c r="QAS44" s="78"/>
      <c r="QAT44" s="78"/>
      <c r="QAU44" s="78"/>
      <c r="QAV44" s="78"/>
      <c r="QAW44" s="78"/>
      <c r="QAX44" s="78"/>
      <c r="QAY44" s="78"/>
      <c r="QAZ44" s="78"/>
      <c r="QBA44" s="78"/>
      <c r="QBB44" s="78"/>
      <c r="QBC44" s="78"/>
      <c r="QBD44" s="78"/>
      <c r="QBE44" s="78"/>
      <c r="QBF44" s="78"/>
      <c r="QBG44" s="78"/>
      <c r="QBH44" s="78"/>
      <c r="QBI44" s="78"/>
      <c r="QBJ44" s="78"/>
      <c r="QBK44" s="78"/>
      <c r="QBL44" s="78"/>
      <c r="QBM44" s="78"/>
      <c r="QBN44" s="78"/>
      <c r="QBO44" s="78"/>
      <c r="QBP44" s="78"/>
      <c r="QBQ44" s="78"/>
      <c r="QBR44" s="78"/>
      <c r="QBS44" s="78"/>
      <c r="QBT44" s="78"/>
      <c r="QBU44" s="78"/>
      <c r="QBV44" s="78"/>
      <c r="QBW44" s="78"/>
      <c r="QBX44" s="78"/>
      <c r="QBY44" s="78"/>
      <c r="QBZ44" s="78"/>
      <c r="QCA44" s="78"/>
      <c r="QCB44" s="78"/>
      <c r="QCC44" s="78"/>
      <c r="QCD44" s="78"/>
      <c r="QCE44" s="78"/>
      <c r="QCF44" s="78"/>
      <c r="QCG44" s="78"/>
      <c r="QCH44" s="78"/>
      <c r="QCI44" s="78"/>
      <c r="QCJ44" s="78"/>
      <c r="QCK44" s="78"/>
      <c r="QCL44" s="78"/>
      <c r="QCM44" s="78"/>
      <c r="QCN44" s="78"/>
      <c r="QCO44" s="78"/>
      <c r="QCP44" s="78"/>
      <c r="QCQ44" s="78"/>
      <c r="QCR44" s="78"/>
      <c r="QCS44" s="78"/>
      <c r="QCT44" s="78"/>
      <c r="QCU44" s="78"/>
      <c r="QCV44" s="78"/>
      <c r="QCW44" s="78"/>
      <c r="QCX44" s="78"/>
      <c r="QCY44" s="78"/>
      <c r="QCZ44" s="78"/>
      <c r="QDA44" s="78"/>
      <c r="QDB44" s="78"/>
      <c r="QDC44" s="78"/>
      <c r="QDD44" s="78"/>
      <c r="QDE44" s="78"/>
      <c r="QDF44" s="78"/>
      <c r="QDG44" s="78"/>
      <c r="QDH44" s="78"/>
      <c r="QDI44" s="78"/>
      <c r="QDJ44" s="78"/>
      <c r="QDK44" s="78"/>
      <c r="QDL44" s="78"/>
      <c r="QDM44" s="78"/>
      <c r="QDN44" s="78"/>
      <c r="QDO44" s="78"/>
      <c r="QDP44" s="78"/>
      <c r="QDQ44" s="78"/>
      <c r="QDR44" s="78"/>
      <c r="QDS44" s="78"/>
      <c r="QDT44" s="78"/>
      <c r="QDU44" s="78"/>
      <c r="QDV44" s="78"/>
      <c r="QDW44" s="78"/>
      <c r="QDX44" s="78"/>
      <c r="QDY44" s="78"/>
      <c r="QDZ44" s="78"/>
      <c r="QEA44" s="78"/>
      <c r="QEB44" s="78"/>
      <c r="QEC44" s="78"/>
      <c r="QED44" s="78"/>
      <c r="QEE44" s="78"/>
      <c r="QEF44" s="78"/>
      <c r="QEG44" s="78"/>
      <c r="QEH44" s="78"/>
      <c r="QEI44" s="78"/>
      <c r="QEJ44" s="78"/>
      <c r="QEK44" s="78"/>
      <c r="QEL44" s="78"/>
      <c r="QEM44" s="78"/>
      <c r="QEN44" s="78"/>
      <c r="QEO44" s="78"/>
      <c r="QEP44" s="78"/>
      <c r="QEQ44" s="78"/>
      <c r="QER44" s="78"/>
      <c r="QES44" s="78"/>
      <c r="QET44" s="78"/>
      <c r="QEU44" s="78"/>
      <c r="QEV44" s="78"/>
      <c r="QEW44" s="78"/>
      <c r="QEX44" s="78"/>
      <c r="QEY44" s="78"/>
      <c r="QEZ44" s="78"/>
      <c r="QFA44" s="78"/>
      <c r="QFB44" s="78"/>
      <c r="QFC44" s="78"/>
      <c r="QFD44" s="78"/>
      <c r="QFE44" s="78"/>
      <c r="QFF44" s="78"/>
      <c r="QFG44" s="78"/>
      <c r="QFH44" s="78"/>
      <c r="QFI44" s="78"/>
      <c r="QFJ44" s="78"/>
      <c r="QFK44" s="78"/>
      <c r="QFL44" s="78"/>
      <c r="QFM44" s="78"/>
      <c r="QFN44" s="78"/>
      <c r="QFO44" s="78"/>
      <c r="QFP44" s="78"/>
      <c r="QFQ44" s="78"/>
      <c r="QFR44" s="78"/>
      <c r="QFS44" s="78"/>
      <c r="QFT44" s="78"/>
      <c r="QFU44" s="78"/>
      <c r="QFV44" s="78"/>
      <c r="QFW44" s="78"/>
      <c r="QFX44" s="78"/>
      <c r="QFY44" s="78"/>
      <c r="QFZ44" s="78"/>
      <c r="QGA44" s="78"/>
      <c r="QGB44" s="78"/>
      <c r="QGC44" s="78"/>
      <c r="QGD44" s="78"/>
      <c r="QGE44" s="78"/>
      <c r="QGF44" s="78"/>
      <c r="QGG44" s="78"/>
      <c r="QGH44" s="78"/>
      <c r="QGI44" s="78"/>
      <c r="QGJ44" s="78"/>
      <c r="QGK44" s="78"/>
      <c r="QGL44" s="78"/>
      <c r="QGM44" s="78"/>
      <c r="QGN44" s="78"/>
      <c r="QGO44" s="78"/>
      <c r="QGP44" s="78"/>
      <c r="QGQ44" s="78"/>
      <c r="QGR44" s="78"/>
      <c r="QGS44" s="78"/>
      <c r="QGT44" s="78"/>
      <c r="QGU44" s="78"/>
      <c r="QGV44" s="78"/>
      <c r="QGW44" s="78"/>
      <c r="QGX44" s="78"/>
      <c r="QGY44" s="78"/>
      <c r="QGZ44" s="78"/>
      <c r="QHA44" s="78"/>
      <c r="QHB44" s="78"/>
      <c r="QHC44" s="78"/>
      <c r="QHD44" s="78"/>
      <c r="QHE44" s="78"/>
      <c r="QHF44" s="78"/>
      <c r="QHG44" s="78"/>
      <c r="QHH44" s="78"/>
      <c r="QHI44" s="78"/>
      <c r="QHJ44" s="78"/>
      <c r="QHK44" s="78"/>
      <c r="QHL44" s="78"/>
      <c r="QHM44" s="78"/>
      <c r="QHN44" s="78"/>
      <c r="QHO44" s="78"/>
      <c r="QHP44" s="78"/>
      <c r="QHQ44" s="78"/>
      <c r="QHR44" s="78"/>
      <c r="QHS44" s="78"/>
      <c r="QHT44" s="78"/>
      <c r="QHU44" s="78"/>
      <c r="QHV44" s="78"/>
      <c r="QHW44" s="78"/>
      <c r="QHX44" s="78"/>
      <c r="QHY44" s="78"/>
      <c r="QHZ44" s="78"/>
      <c r="QIA44" s="78"/>
      <c r="QIB44" s="78"/>
      <c r="QIC44" s="78"/>
      <c r="QID44" s="78"/>
      <c r="QIE44" s="78"/>
      <c r="QIF44" s="78"/>
      <c r="QIG44" s="78"/>
      <c r="QIH44" s="78"/>
      <c r="QII44" s="78"/>
      <c r="QIJ44" s="78"/>
      <c r="QIK44" s="78"/>
      <c r="QIL44" s="78"/>
      <c r="QIM44" s="78"/>
      <c r="QIN44" s="78"/>
      <c r="QIO44" s="78"/>
      <c r="QIP44" s="78"/>
      <c r="QIQ44" s="78"/>
      <c r="QIR44" s="78"/>
      <c r="QIS44" s="78"/>
      <c r="QIT44" s="78"/>
      <c r="QIU44" s="78"/>
      <c r="QIV44" s="78"/>
      <c r="QIW44" s="78"/>
      <c r="QIX44" s="78"/>
      <c r="QIY44" s="78"/>
      <c r="QIZ44" s="78"/>
      <c r="QJA44" s="78"/>
      <c r="QJB44" s="78"/>
      <c r="QJC44" s="78"/>
      <c r="QJD44" s="78"/>
      <c r="QJE44" s="78"/>
      <c r="QJF44" s="78"/>
      <c r="QJG44" s="78"/>
      <c r="QJH44" s="78"/>
      <c r="QJI44" s="78"/>
      <c r="QJJ44" s="78"/>
      <c r="QJK44" s="78"/>
      <c r="QJL44" s="78"/>
      <c r="QJM44" s="78"/>
      <c r="QJN44" s="78"/>
      <c r="QJO44" s="78"/>
      <c r="QJP44" s="78"/>
      <c r="QJQ44" s="78"/>
      <c r="QJR44" s="78"/>
      <c r="QJS44" s="78"/>
      <c r="QJT44" s="78"/>
      <c r="QJU44" s="78"/>
      <c r="QJV44" s="78"/>
      <c r="QJW44" s="78"/>
      <c r="QJX44" s="78"/>
      <c r="QJY44" s="78"/>
      <c r="QJZ44" s="78"/>
      <c r="QKA44" s="78"/>
      <c r="QKB44" s="78"/>
      <c r="QKC44" s="78"/>
      <c r="QKD44" s="78"/>
      <c r="QKE44" s="78"/>
      <c r="QKF44" s="78"/>
      <c r="QKG44" s="78"/>
      <c r="QKH44" s="78"/>
      <c r="QKI44" s="78"/>
      <c r="QKJ44" s="78"/>
      <c r="QKK44" s="78"/>
      <c r="QKL44" s="78"/>
      <c r="QKM44" s="78"/>
      <c r="QKN44" s="78"/>
      <c r="QKO44" s="78"/>
      <c r="QKP44" s="78"/>
      <c r="QKQ44" s="78"/>
      <c r="QKR44" s="78"/>
      <c r="QKS44" s="78"/>
      <c r="QKT44" s="78"/>
      <c r="QKU44" s="78"/>
      <c r="QKV44" s="78"/>
      <c r="QKW44" s="78"/>
      <c r="QKX44" s="78"/>
      <c r="QKY44" s="78"/>
      <c r="QKZ44" s="78"/>
      <c r="QLA44" s="78"/>
      <c r="QLB44" s="78"/>
      <c r="QLC44" s="78"/>
      <c r="QLD44" s="78"/>
      <c r="QLE44" s="78"/>
      <c r="QLF44" s="78"/>
      <c r="QLG44" s="78"/>
      <c r="QLH44" s="78"/>
      <c r="QLI44" s="78"/>
      <c r="QLJ44" s="78"/>
      <c r="QLK44" s="78"/>
      <c r="QLL44" s="78"/>
      <c r="QLM44" s="78"/>
      <c r="QLN44" s="78"/>
      <c r="QLO44" s="78"/>
      <c r="QLP44" s="78"/>
      <c r="QLQ44" s="78"/>
      <c r="QLR44" s="78"/>
      <c r="QLS44" s="78"/>
      <c r="QLT44" s="78"/>
      <c r="QLU44" s="78"/>
      <c r="QLV44" s="78"/>
      <c r="QLW44" s="78"/>
      <c r="QLX44" s="78"/>
      <c r="QLY44" s="78"/>
      <c r="QLZ44" s="78"/>
      <c r="QMA44" s="78"/>
      <c r="QMB44" s="78"/>
      <c r="QMC44" s="78"/>
      <c r="QMD44" s="78"/>
      <c r="QME44" s="78"/>
      <c r="QMF44" s="78"/>
      <c r="QMG44" s="78"/>
      <c r="QMH44" s="78"/>
      <c r="QMI44" s="78"/>
      <c r="QMJ44" s="78"/>
      <c r="QMK44" s="78"/>
      <c r="QML44" s="78"/>
      <c r="QMM44" s="78"/>
      <c r="QMN44" s="78"/>
      <c r="QMO44" s="78"/>
      <c r="QMP44" s="78"/>
      <c r="QMQ44" s="78"/>
      <c r="QMR44" s="78"/>
      <c r="QMS44" s="78"/>
      <c r="QMT44" s="78"/>
      <c r="QMU44" s="78"/>
      <c r="QMV44" s="78"/>
      <c r="QMW44" s="78"/>
      <c r="QMX44" s="78"/>
      <c r="QMY44" s="78"/>
      <c r="QMZ44" s="78"/>
      <c r="QNA44" s="78"/>
      <c r="QNB44" s="78"/>
      <c r="QNC44" s="78"/>
      <c r="QND44" s="78"/>
      <c r="QNE44" s="78"/>
      <c r="QNF44" s="78"/>
      <c r="QNG44" s="78"/>
      <c r="QNH44" s="78"/>
      <c r="QNI44" s="78"/>
      <c r="QNJ44" s="78"/>
      <c r="QNK44" s="78"/>
      <c r="QNL44" s="78"/>
      <c r="QNM44" s="78"/>
      <c r="QNN44" s="78"/>
      <c r="QNO44" s="78"/>
      <c r="QNP44" s="78"/>
      <c r="QNQ44" s="78"/>
      <c r="QNR44" s="78"/>
      <c r="QNS44" s="78"/>
      <c r="QNT44" s="78"/>
      <c r="QNU44" s="78"/>
      <c r="QNV44" s="78"/>
      <c r="QNW44" s="78"/>
      <c r="QNX44" s="78"/>
      <c r="QNY44" s="78"/>
      <c r="QNZ44" s="78"/>
      <c r="QOA44" s="78"/>
      <c r="QOB44" s="78"/>
      <c r="QOC44" s="78"/>
      <c r="QOD44" s="78"/>
      <c r="QOE44" s="78"/>
      <c r="QOF44" s="78"/>
      <c r="QOG44" s="78"/>
      <c r="QOH44" s="78"/>
      <c r="QOI44" s="78"/>
      <c r="QOJ44" s="78"/>
      <c r="QOK44" s="78"/>
      <c r="QOL44" s="78"/>
      <c r="QOM44" s="78"/>
      <c r="QON44" s="78"/>
      <c r="QOO44" s="78"/>
      <c r="QOP44" s="78"/>
      <c r="QOQ44" s="78"/>
      <c r="QOR44" s="78"/>
      <c r="QOS44" s="78"/>
      <c r="QOT44" s="78"/>
      <c r="QOU44" s="78"/>
      <c r="QOV44" s="78"/>
      <c r="QOW44" s="78"/>
      <c r="QOX44" s="78"/>
      <c r="QOY44" s="78"/>
      <c r="QOZ44" s="78"/>
      <c r="QPA44" s="78"/>
      <c r="QPB44" s="78"/>
      <c r="QPC44" s="78"/>
      <c r="QPD44" s="78"/>
      <c r="QPE44" s="78"/>
      <c r="QPF44" s="78"/>
      <c r="QPG44" s="78"/>
      <c r="QPH44" s="78"/>
      <c r="QPI44" s="78"/>
      <c r="QPJ44" s="78"/>
      <c r="QPK44" s="78"/>
      <c r="QPL44" s="78"/>
      <c r="QPM44" s="78"/>
      <c r="QPN44" s="78"/>
      <c r="QPO44" s="78"/>
      <c r="QPP44" s="78"/>
      <c r="QPQ44" s="78"/>
      <c r="QPR44" s="78"/>
      <c r="QPS44" s="78"/>
      <c r="QPT44" s="78"/>
      <c r="QPU44" s="78"/>
      <c r="QPV44" s="78"/>
      <c r="QPW44" s="78"/>
      <c r="QPX44" s="78"/>
      <c r="QPY44" s="78"/>
      <c r="QPZ44" s="78"/>
      <c r="QQA44" s="78"/>
      <c r="QQB44" s="78"/>
      <c r="QQC44" s="78"/>
      <c r="QQD44" s="78"/>
      <c r="QQE44" s="78"/>
      <c r="QQF44" s="78"/>
      <c r="QQG44" s="78"/>
      <c r="QQH44" s="78"/>
      <c r="QQI44" s="78"/>
      <c r="QQJ44" s="78"/>
      <c r="QQK44" s="78"/>
      <c r="QQL44" s="78"/>
      <c r="QQM44" s="78"/>
      <c r="QQN44" s="78"/>
      <c r="QQO44" s="78"/>
      <c r="QQP44" s="78"/>
      <c r="QQQ44" s="78"/>
      <c r="QQR44" s="78"/>
      <c r="QQS44" s="78"/>
      <c r="QQT44" s="78"/>
      <c r="QQU44" s="78"/>
      <c r="QQV44" s="78"/>
      <c r="QQW44" s="78"/>
      <c r="QQX44" s="78"/>
      <c r="QQY44" s="78"/>
      <c r="QQZ44" s="78"/>
      <c r="QRA44" s="78"/>
      <c r="QRB44" s="78"/>
      <c r="QRC44" s="78"/>
      <c r="QRD44" s="78"/>
      <c r="QRE44" s="78"/>
      <c r="QRF44" s="78"/>
      <c r="QRG44" s="78"/>
      <c r="QRH44" s="78"/>
      <c r="QRI44" s="78"/>
      <c r="QRJ44" s="78"/>
      <c r="QRK44" s="78"/>
      <c r="QRL44" s="78"/>
      <c r="QRM44" s="78"/>
      <c r="QRN44" s="78"/>
      <c r="QRO44" s="78"/>
      <c r="QRP44" s="78"/>
      <c r="QRQ44" s="78"/>
      <c r="QRR44" s="78"/>
      <c r="QRS44" s="78"/>
      <c r="QRT44" s="78"/>
      <c r="QRU44" s="78"/>
      <c r="QRV44" s="78"/>
      <c r="QRW44" s="78"/>
      <c r="QRX44" s="78"/>
      <c r="QRY44" s="78"/>
      <c r="QRZ44" s="78"/>
      <c r="QSA44" s="78"/>
      <c r="QSB44" s="78"/>
      <c r="QSC44" s="78"/>
      <c r="QSD44" s="78"/>
      <c r="QSE44" s="78"/>
      <c r="QSF44" s="78"/>
      <c r="QSG44" s="78"/>
      <c r="QSH44" s="78"/>
      <c r="QSI44" s="78"/>
      <c r="QSJ44" s="78"/>
      <c r="QSK44" s="78"/>
      <c r="QSL44" s="78"/>
      <c r="QSM44" s="78"/>
      <c r="QSN44" s="78"/>
      <c r="QSO44" s="78"/>
      <c r="QSP44" s="78"/>
      <c r="QSQ44" s="78"/>
      <c r="QSR44" s="78"/>
      <c r="QSS44" s="78"/>
      <c r="QST44" s="78"/>
      <c r="QSU44" s="78"/>
      <c r="QSV44" s="78"/>
      <c r="QSW44" s="78"/>
      <c r="QSX44" s="78"/>
      <c r="QSY44" s="78"/>
      <c r="QSZ44" s="78"/>
      <c r="QTA44" s="78"/>
      <c r="QTB44" s="78"/>
      <c r="QTC44" s="78"/>
      <c r="QTD44" s="78"/>
      <c r="QTE44" s="78"/>
      <c r="QTF44" s="78"/>
      <c r="QTG44" s="78"/>
      <c r="QTH44" s="78"/>
      <c r="QTI44" s="78"/>
      <c r="QTJ44" s="78"/>
      <c r="QTK44" s="78"/>
      <c r="QTL44" s="78"/>
      <c r="QTM44" s="78"/>
      <c r="QTN44" s="78"/>
      <c r="QTO44" s="78"/>
      <c r="QTP44" s="78"/>
      <c r="QTQ44" s="78"/>
      <c r="QTR44" s="78"/>
      <c r="QTS44" s="78"/>
      <c r="QTT44" s="78"/>
      <c r="QTU44" s="78"/>
      <c r="QTV44" s="78"/>
      <c r="QTW44" s="78"/>
      <c r="QTX44" s="78"/>
      <c r="QTY44" s="78"/>
      <c r="QTZ44" s="78"/>
      <c r="QUA44" s="78"/>
      <c r="QUB44" s="78"/>
      <c r="QUC44" s="78"/>
      <c r="QUD44" s="78"/>
      <c r="QUE44" s="78"/>
      <c r="QUF44" s="78"/>
      <c r="QUG44" s="78"/>
      <c r="QUH44" s="78"/>
      <c r="QUI44" s="78"/>
      <c r="QUJ44" s="78"/>
      <c r="QUK44" s="78"/>
      <c r="QUL44" s="78"/>
      <c r="QUM44" s="78"/>
      <c r="QUN44" s="78"/>
      <c r="QUO44" s="78"/>
      <c r="QUP44" s="78"/>
      <c r="QUQ44" s="78"/>
      <c r="QUR44" s="78"/>
      <c r="QUS44" s="78"/>
      <c r="QUT44" s="78"/>
      <c r="QUU44" s="78"/>
      <c r="QUV44" s="78"/>
      <c r="QUW44" s="78"/>
      <c r="QUX44" s="78"/>
      <c r="QUY44" s="78"/>
      <c r="QUZ44" s="78"/>
      <c r="QVA44" s="78"/>
      <c r="QVB44" s="78"/>
      <c r="QVC44" s="78"/>
      <c r="QVD44" s="78"/>
      <c r="QVE44" s="78"/>
      <c r="QVF44" s="78"/>
      <c r="QVG44" s="78"/>
      <c r="QVH44" s="78"/>
      <c r="QVI44" s="78"/>
      <c r="QVJ44" s="78"/>
      <c r="QVK44" s="78"/>
      <c r="QVL44" s="78"/>
      <c r="QVM44" s="78"/>
      <c r="QVN44" s="78"/>
      <c r="QVO44" s="78"/>
      <c r="QVP44" s="78"/>
      <c r="QVQ44" s="78"/>
      <c r="QVR44" s="78"/>
      <c r="QVS44" s="78"/>
      <c r="QVT44" s="78"/>
      <c r="QVU44" s="78"/>
      <c r="QVV44" s="78"/>
      <c r="QVW44" s="78"/>
      <c r="QVX44" s="78"/>
      <c r="QVY44" s="78"/>
      <c r="QVZ44" s="78"/>
      <c r="QWA44" s="78"/>
      <c r="QWB44" s="78"/>
      <c r="QWC44" s="78"/>
      <c r="QWD44" s="78"/>
      <c r="QWE44" s="78"/>
      <c r="QWF44" s="78"/>
      <c r="QWG44" s="78"/>
      <c r="QWH44" s="78"/>
      <c r="QWI44" s="78"/>
      <c r="QWJ44" s="78"/>
      <c r="QWK44" s="78"/>
      <c r="QWL44" s="78"/>
      <c r="QWM44" s="78"/>
      <c r="QWN44" s="78"/>
      <c r="QWO44" s="78"/>
      <c r="QWP44" s="78"/>
      <c r="QWQ44" s="78"/>
      <c r="QWR44" s="78"/>
      <c r="QWS44" s="78"/>
      <c r="QWT44" s="78"/>
      <c r="QWU44" s="78"/>
      <c r="QWV44" s="78"/>
      <c r="QWW44" s="78"/>
      <c r="QWX44" s="78"/>
      <c r="QWY44" s="78"/>
      <c r="QWZ44" s="78"/>
      <c r="QXA44" s="78"/>
      <c r="QXB44" s="78"/>
      <c r="QXC44" s="78"/>
      <c r="QXD44" s="78"/>
      <c r="QXE44" s="78"/>
      <c r="QXF44" s="78"/>
      <c r="QXG44" s="78"/>
      <c r="QXH44" s="78"/>
      <c r="QXI44" s="78"/>
      <c r="QXJ44" s="78"/>
      <c r="QXK44" s="78"/>
      <c r="QXL44" s="78"/>
      <c r="QXM44" s="78"/>
      <c r="QXN44" s="78"/>
      <c r="QXO44" s="78"/>
      <c r="QXP44" s="78"/>
      <c r="QXQ44" s="78"/>
      <c r="QXR44" s="78"/>
      <c r="QXS44" s="78"/>
      <c r="QXT44" s="78"/>
      <c r="QXU44" s="78"/>
      <c r="QXV44" s="78"/>
      <c r="QXW44" s="78"/>
      <c r="QXX44" s="78"/>
      <c r="QXY44" s="78"/>
      <c r="QXZ44" s="78"/>
      <c r="QYA44" s="78"/>
      <c r="QYB44" s="78"/>
      <c r="QYC44" s="78"/>
      <c r="QYD44" s="78"/>
      <c r="QYE44" s="78"/>
      <c r="QYF44" s="78"/>
      <c r="QYG44" s="78"/>
      <c r="QYH44" s="78"/>
      <c r="QYI44" s="78"/>
      <c r="QYJ44" s="78"/>
      <c r="QYK44" s="78"/>
      <c r="QYL44" s="78"/>
      <c r="QYM44" s="78"/>
      <c r="QYN44" s="78"/>
      <c r="QYO44" s="78"/>
      <c r="QYP44" s="78"/>
      <c r="QYQ44" s="78"/>
      <c r="QYR44" s="78"/>
      <c r="QYS44" s="78"/>
      <c r="QYT44" s="78"/>
      <c r="QYU44" s="78"/>
      <c r="QYV44" s="78"/>
      <c r="QYW44" s="78"/>
      <c r="QYX44" s="78"/>
      <c r="QYY44" s="78"/>
      <c r="QYZ44" s="78"/>
      <c r="QZA44" s="78"/>
      <c r="QZB44" s="78"/>
      <c r="QZC44" s="78"/>
      <c r="QZD44" s="78"/>
      <c r="QZE44" s="78"/>
      <c r="QZF44" s="78"/>
      <c r="QZG44" s="78"/>
      <c r="QZH44" s="78"/>
      <c r="QZI44" s="78"/>
      <c r="QZJ44" s="78"/>
      <c r="QZK44" s="78"/>
      <c r="QZL44" s="78"/>
      <c r="QZM44" s="78"/>
      <c r="QZN44" s="78"/>
      <c r="QZO44" s="78"/>
      <c r="QZP44" s="78"/>
      <c r="QZQ44" s="78"/>
      <c r="QZR44" s="78"/>
      <c r="QZS44" s="78"/>
      <c r="QZT44" s="78"/>
      <c r="QZU44" s="78"/>
      <c r="QZV44" s="78"/>
      <c r="QZW44" s="78"/>
      <c r="QZX44" s="78"/>
      <c r="QZY44" s="78"/>
      <c r="QZZ44" s="78"/>
      <c r="RAA44" s="78"/>
      <c r="RAB44" s="78"/>
      <c r="RAC44" s="78"/>
      <c r="RAD44" s="78"/>
      <c r="RAE44" s="78"/>
      <c r="RAF44" s="78"/>
      <c r="RAG44" s="78"/>
      <c r="RAH44" s="78"/>
      <c r="RAI44" s="78"/>
      <c r="RAJ44" s="78"/>
      <c r="RAK44" s="78"/>
      <c r="RAL44" s="78"/>
      <c r="RAM44" s="78"/>
      <c r="RAN44" s="78"/>
      <c r="RAO44" s="78"/>
      <c r="RAP44" s="78"/>
      <c r="RAQ44" s="78"/>
      <c r="RAR44" s="78"/>
      <c r="RAS44" s="78"/>
      <c r="RAT44" s="78"/>
      <c r="RAU44" s="78"/>
      <c r="RAV44" s="78"/>
      <c r="RAW44" s="78"/>
      <c r="RAX44" s="78"/>
      <c r="RAY44" s="78"/>
      <c r="RAZ44" s="78"/>
      <c r="RBA44" s="78"/>
      <c r="RBB44" s="78"/>
      <c r="RBC44" s="78"/>
      <c r="RBD44" s="78"/>
      <c r="RBE44" s="78"/>
      <c r="RBF44" s="78"/>
      <c r="RBG44" s="78"/>
      <c r="RBH44" s="78"/>
      <c r="RBI44" s="78"/>
      <c r="RBJ44" s="78"/>
      <c r="RBK44" s="78"/>
      <c r="RBL44" s="78"/>
      <c r="RBM44" s="78"/>
      <c r="RBN44" s="78"/>
      <c r="RBO44" s="78"/>
      <c r="RBP44" s="78"/>
      <c r="RBQ44" s="78"/>
      <c r="RBR44" s="78"/>
      <c r="RBS44" s="78"/>
      <c r="RBT44" s="78"/>
      <c r="RBU44" s="78"/>
      <c r="RBV44" s="78"/>
      <c r="RBW44" s="78"/>
      <c r="RBX44" s="78"/>
      <c r="RBY44" s="78"/>
      <c r="RBZ44" s="78"/>
      <c r="RCA44" s="78"/>
      <c r="RCB44" s="78"/>
      <c r="RCC44" s="78"/>
      <c r="RCD44" s="78"/>
      <c r="RCE44" s="78"/>
      <c r="RCF44" s="78"/>
      <c r="RCG44" s="78"/>
      <c r="RCH44" s="78"/>
      <c r="RCI44" s="78"/>
      <c r="RCJ44" s="78"/>
      <c r="RCK44" s="78"/>
      <c r="RCL44" s="78"/>
      <c r="RCM44" s="78"/>
      <c r="RCN44" s="78"/>
      <c r="RCO44" s="78"/>
      <c r="RCP44" s="78"/>
      <c r="RCQ44" s="78"/>
      <c r="RCR44" s="78"/>
      <c r="RCS44" s="78"/>
      <c r="RCT44" s="78"/>
      <c r="RCU44" s="78"/>
      <c r="RCV44" s="78"/>
      <c r="RCW44" s="78"/>
      <c r="RCX44" s="78"/>
      <c r="RCY44" s="78"/>
      <c r="RCZ44" s="78"/>
      <c r="RDA44" s="78"/>
      <c r="RDB44" s="78"/>
      <c r="RDC44" s="78"/>
      <c r="RDD44" s="78"/>
      <c r="RDE44" s="78"/>
      <c r="RDF44" s="78"/>
      <c r="RDG44" s="78"/>
      <c r="RDH44" s="78"/>
      <c r="RDI44" s="78"/>
      <c r="RDJ44" s="78"/>
      <c r="RDK44" s="78"/>
      <c r="RDL44" s="78"/>
      <c r="RDM44" s="78"/>
      <c r="RDN44" s="78"/>
      <c r="RDO44" s="78"/>
      <c r="RDP44" s="78"/>
      <c r="RDQ44" s="78"/>
      <c r="RDR44" s="78"/>
      <c r="RDS44" s="78"/>
      <c r="RDT44" s="78"/>
      <c r="RDU44" s="78"/>
      <c r="RDV44" s="78"/>
      <c r="RDW44" s="78"/>
      <c r="RDX44" s="78"/>
      <c r="RDY44" s="78"/>
      <c r="RDZ44" s="78"/>
      <c r="REA44" s="78"/>
      <c r="REB44" s="78"/>
      <c r="REC44" s="78"/>
      <c r="RED44" s="78"/>
      <c r="REE44" s="78"/>
      <c r="REF44" s="78"/>
      <c r="REG44" s="78"/>
      <c r="REH44" s="78"/>
      <c r="REI44" s="78"/>
      <c r="REJ44" s="78"/>
      <c r="REK44" s="78"/>
      <c r="REL44" s="78"/>
      <c r="REM44" s="78"/>
      <c r="REN44" s="78"/>
      <c r="REO44" s="78"/>
      <c r="REP44" s="78"/>
      <c r="REQ44" s="78"/>
      <c r="RER44" s="78"/>
      <c r="RES44" s="78"/>
      <c r="RET44" s="78"/>
      <c r="REU44" s="78"/>
      <c r="REV44" s="78"/>
      <c r="REW44" s="78"/>
      <c r="REX44" s="78"/>
      <c r="REY44" s="78"/>
      <c r="REZ44" s="78"/>
      <c r="RFA44" s="78"/>
      <c r="RFB44" s="78"/>
      <c r="RFC44" s="78"/>
      <c r="RFD44" s="78"/>
      <c r="RFE44" s="78"/>
      <c r="RFF44" s="78"/>
      <c r="RFG44" s="78"/>
      <c r="RFH44" s="78"/>
      <c r="RFI44" s="78"/>
      <c r="RFJ44" s="78"/>
      <c r="RFK44" s="78"/>
      <c r="RFL44" s="78"/>
      <c r="RFM44" s="78"/>
      <c r="RFN44" s="78"/>
      <c r="RFO44" s="78"/>
      <c r="RFP44" s="78"/>
      <c r="RFQ44" s="78"/>
      <c r="RFR44" s="78"/>
      <c r="RFS44" s="78"/>
      <c r="RFT44" s="78"/>
      <c r="RFU44" s="78"/>
      <c r="RFV44" s="78"/>
      <c r="RFW44" s="78"/>
      <c r="RFX44" s="78"/>
      <c r="RFY44" s="78"/>
      <c r="RFZ44" s="78"/>
      <c r="RGA44" s="78"/>
      <c r="RGB44" s="78"/>
      <c r="RGC44" s="78"/>
      <c r="RGD44" s="78"/>
      <c r="RGE44" s="78"/>
      <c r="RGF44" s="78"/>
      <c r="RGG44" s="78"/>
      <c r="RGH44" s="78"/>
      <c r="RGI44" s="78"/>
      <c r="RGJ44" s="78"/>
      <c r="RGK44" s="78"/>
      <c r="RGL44" s="78"/>
      <c r="RGM44" s="78"/>
      <c r="RGN44" s="78"/>
      <c r="RGO44" s="78"/>
      <c r="RGP44" s="78"/>
      <c r="RGQ44" s="78"/>
      <c r="RGR44" s="78"/>
      <c r="RGS44" s="78"/>
      <c r="RGT44" s="78"/>
      <c r="RGU44" s="78"/>
      <c r="RGV44" s="78"/>
      <c r="RGW44" s="78"/>
      <c r="RGX44" s="78"/>
      <c r="RGY44" s="78"/>
      <c r="RGZ44" s="78"/>
      <c r="RHA44" s="78"/>
      <c r="RHB44" s="78"/>
      <c r="RHC44" s="78"/>
      <c r="RHD44" s="78"/>
      <c r="RHE44" s="78"/>
      <c r="RHF44" s="78"/>
      <c r="RHG44" s="78"/>
      <c r="RHH44" s="78"/>
      <c r="RHI44" s="78"/>
      <c r="RHJ44" s="78"/>
      <c r="RHK44" s="78"/>
      <c r="RHL44" s="78"/>
      <c r="RHM44" s="78"/>
      <c r="RHN44" s="78"/>
      <c r="RHO44" s="78"/>
      <c r="RHP44" s="78"/>
      <c r="RHQ44" s="78"/>
      <c r="RHR44" s="78"/>
      <c r="RHS44" s="78"/>
      <c r="RHT44" s="78"/>
      <c r="RHU44" s="78"/>
      <c r="RHV44" s="78"/>
      <c r="RHW44" s="78"/>
      <c r="RHX44" s="78"/>
      <c r="RHY44" s="78"/>
      <c r="RHZ44" s="78"/>
      <c r="RIA44" s="78"/>
      <c r="RIB44" s="78"/>
      <c r="RIC44" s="78"/>
      <c r="RID44" s="78"/>
      <c r="RIE44" s="78"/>
      <c r="RIF44" s="78"/>
      <c r="RIG44" s="78"/>
      <c r="RIH44" s="78"/>
      <c r="RII44" s="78"/>
      <c r="RIJ44" s="78"/>
      <c r="RIK44" s="78"/>
      <c r="RIL44" s="78"/>
      <c r="RIM44" s="78"/>
      <c r="RIN44" s="78"/>
      <c r="RIO44" s="78"/>
      <c r="RIP44" s="78"/>
      <c r="RIQ44" s="78"/>
      <c r="RIR44" s="78"/>
      <c r="RIS44" s="78"/>
      <c r="RIT44" s="78"/>
      <c r="RIU44" s="78"/>
      <c r="RIV44" s="78"/>
      <c r="RIW44" s="78"/>
      <c r="RIX44" s="78"/>
      <c r="RIY44" s="78"/>
      <c r="RIZ44" s="78"/>
      <c r="RJA44" s="78"/>
      <c r="RJB44" s="78"/>
      <c r="RJC44" s="78"/>
      <c r="RJD44" s="78"/>
      <c r="RJE44" s="78"/>
      <c r="RJF44" s="78"/>
      <c r="RJG44" s="78"/>
      <c r="RJH44" s="78"/>
      <c r="RJI44" s="78"/>
      <c r="RJJ44" s="78"/>
      <c r="RJK44" s="78"/>
      <c r="RJL44" s="78"/>
      <c r="RJM44" s="78"/>
      <c r="RJN44" s="78"/>
      <c r="RJO44" s="78"/>
      <c r="RJP44" s="78"/>
      <c r="RJQ44" s="78"/>
      <c r="RJR44" s="78"/>
      <c r="RJS44" s="78"/>
      <c r="RJT44" s="78"/>
      <c r="RJU44" s="78"/>
      <c r="RJV44" s="78"/>
      <c r="RJW44" s="78"/>
      <c r="RJX44" s="78"/>
      <c r="RJY44" s="78"/>
      <c r="RJZ44" s="78"/>
      <c r="RKA44" s="78"/>
      <c r="RKB44" s="78"/>
      <c r="RKC44" s="78"/>
      <c r="RKD44" s="78"/>
      <c r="RKE44" s="78"/>
      <c r="RKF44" s="78"/>
      <c r="RKG44" s="78"/>
      <c r="RKH44" s="78"/>
      <c r="RKI44" s="78"/>
      <c r="RKJ44" s="78"/>
      <c r="RKK44" s="78"/>
      <c r="RKL44" s="78"/>
      <c r="RKM44" s="78"/>
      <c r="RKN44" s="78"/>
      <c r="RKO44" s="78"/>
      <c r="RKP44" s="78"/>
      <c r="RKQ44" s="78"/>
      <c r="RKR44" s="78"/>
      <c r="RKS44" s="78"/>
      <c r="RKT44" s="78"/>
      <c r="RKU44" s="78"/>
      <c r="RKV44" s="78"/>
      <c r="RKW44" s="78"/>
      <c r="RKX44" s="78"/>
      <c r="RKY44" s="78"/>
      <c r="RKZ44" s="78"/>
      <c r="RLA44" s="78"/>
      <c r="RLB44" s="78"/>
      <c r="RLC44" s="78"/>
      <c r="RLD44" s="78"/>
      <c r="RLE44" s="78"/>
      <c r="RLF44" s="78"/>
      <c r="RLG44" s="78"/>
      <c r="RLH44" s="78"/>
      <c r="RLI44" s="78"/>
      <c r="RLJ44" s="78"/>
      <c r="RLK44" s="78"/>
      <c r="RLL44" s="78"/>
      <c r="RLM44" s="78"/>
      <c r="RLN44" s="78"/>
      <c r="RLO44" s="78"/>
      <c r="RLP44" s="78"/>
      <c r="RLQ44" s="78"/>
      <c r="RLR44" s="78"/>
      <c r="RLS44" s="78"/>
      <c r="RLT44" s="78"/>
      <c r="RLU44" s="78"/>
      <c r="RLV44" s="78"/>
      <c r="RLW44" s="78"/>
      <c r="RLX44" s="78"/>
      <c r="RLY44" s="78"/>
      <c r="RLZ44" s="78"/>
      <c r="RMA44" s="78"/>
      <c r="RMB44" s="78"/>
      <c r="RMC44" s="78"/>
      <c r="RMD44" s="78"/>
      <c r="RME44" s="78"/>
      <c r="RMF44" s="78"/>
      <c r="RMG44" s="78"/>
      <c r="RMH44" s="78"/>
      <c r="RMI44" s="78"/>
      <c r="RMJ44" s="78"/>
      <c r="RMK44" s="78"/>
      <c r="RML44" s="78"/>
      <c r="RMM44" s="78"/>
      <c r="RMN44" s="78"/>
      <c r="RMO44" s="78"/>
      <c r="RMP44" s="78"/>
      <c r="RMQ44" s="78"/>
      <c r="RMR44" s="78"/>
      <c r="RMS44" s="78"/>
      <c r="RMT44" s="78"/>
      <c r="RMU44" s="78"/>
      <c r="RMV44" s="78"/>
      <c r="RMW44" s="78"/>
      <c r="RMX44" s="78"/>
      <c r="RMY44" s="78"/>
      <c r="RMZ44" s="78"/>
      <c r="RNA44" s="78"/>
      <c r="RNB44" s="78"/>
      <c r="RNC44" s="78"/>
      <c r="RND44" s="78"/>
      <c r="RNE44" s="78"/>
      <c r="RNF44" s="78"/>
      <c r="RNG44" s="78"/>
      <c r="RNH44" s="78"/>
      <c r="RNI44" s="78"/>
      <c r="RNJ44" s="78"/>
      <c r="RNK44" s="78"/>
      <c r="RNL44" s="78"/>
      <c r="RNM44" s="78"/>
      <c r="RNN44" s="78"/>
      <c r="RNO44" s="78"/>
      <c r="RNP44" s="78"/>
      <c r="RNQ44" s="78"/>
      <c r="RNR44" s="78"/>
      <c r="RNS44" s="78"/>
      <c r="RNT44" s="78"/>
      <c r="RNU44" s="78"/>
      <c r="RNV44" s="78"/>
      <c r="RNW44" s="78"/>
      <c r="RNX44" s="78"/>
      <c r="RNY44" s="78"/>
      <c r="RNZ44" s="78"/>
      <c r="ROA44" s="78"/>
      <c r="ROB44" s="78"/>
      <c r="ROC44" s="78"/>
      <c r="ROD44" s="78"/>
      <c r="ROE44" s="78"/>
      <c r="ROF44" s="78"/>
      <c r="ROG44" s="78"/>
      <c r="ROH44" s="78"/>
      <c r="ROI44" s="78"/>
      <c r="ROJ44" s="78"/>
      <c r="ROK44" s="78"/>
      <c r="ROL44" s="78"/>
      <c r="ROM44" s="78"/>
      <c r="RON44" s="78"/>
      <c r="ROO44" s="78"/>
      <c r="ROP44" s="78"/>
      <c r="ROQ44" s="78"/>
      <c r="ROR44" s="78"/>
      <c r="ROS44" s="78"/>
      <c r="ROT44" s="78"/>
      <c r="ROU44" s="78"/>
      <c r="ROV44" s="78"/>
      <c r="ROW44" s="78"/>
      <c r="ROX44" s="78"/>
      <c r="ROY44" s="78"/>
      <c r="ROZ44" s="78"/>
      <c r="RPA44" s="78"/>
      <c r="RPB44" s="78"/>
      <c r="RPC44" s="78"/>
      <c r="RPD44" s="78"/>
      <c r="RPE44" s="78"/>
      <c r="RPF44" s="78"/>
      <c r="RPG44" s="78"/>
      <c r="RPH44" s="78"/>
      <c r="RPI44" s="78"/>
      <c r="RPJ44" s="78"/>
      <c r="RPK44" s="78"/>
      <c r="RPL44" s="78"/>
      <c r="RPM44" s="78"/>
      <c r="RPN44" s="78"/>
      <c r="RPO44" s="78"/>
      <c r="RPP44" s="78"/>
      <c r="RPQ44" s="78"/>
      <c r="RPR44" s="78"/>
      <c r="RPS44" s="78"/>
      <c r="RPT44" s="78"/>
      <c r="RPU44" s="78"/>
      <c r="RPV44" s="78"/>
      <c r="RPW44" s="78"/>
      <c r="RPX44" s="78"/>
      <c r="RPY44" s="78"/>
      <c r="RPZ44" s="78"/>
      <c r="RQA44" s="78"/>
      <c r="RQB44" s="78"/>
      <c r="RQC44" s="78"/>
      <c r="RQD44" s="78"/>
      <c r="RQE44" s="78"/>
      <c r="RQF44" s="78"/>
      <c r="RQG44" s="78"/>
      <c r="RQH44" s="78"/>
      <c r="RQI44" s="78"/>
      <c r="RQJ44" s="78"/>
      <c r="RQK44" s="78"/>
      <c r="RQL44" s="78"/>
      <c r="RQM44" s="78"/>
      <c r="RQN44" s="78"/>
      <c r="RQO44" s="78"/>
      <c r="RQP44" s="78"/>
      <c r="RQQ44" s="78"/>
      <c r="RQR44" s="78"/>
      <c r="RQS44" s="78"/>
      <c r="RQT44" s="78"/>
      <c r="RQU44" s="78"/>
      <c r="RQV44" s="78"/>
      <c r="RQW44" s="78"/>
      <c r="RQX44" s="78"/>
      <c r="RQY44" s="78"/>
      <c r="RQZ44" s="78"/>
      <c r="RRA44" s="78"/>
      <c r="RRB44" s="78"/>
      <c r="RRC44" s="78"/>
      <c r="RRD44" s="78"/>
      <c r="RRE44" s="78"/>
      <c r="RRF44" s="78"/>
      <c r="RRG44" s="78"/>
      <c r="RRH44" s="78"/>
      <c r="RRI44" s="78"/>
      <c r="RRJ44" s="78"/>
      <c r="RRK44" s="78"/>
      <c r="RRL44" s="78"/>
      <c r="RRM44" s="78"/>
      <c r="RRN44" s="78"/>
      <c r="RRO44" s="78"/>
      <c r="RRP44" s="78"/>
      <c r="RRQ44" s="78"/>
      <c r="RRR44" s="78"/>
      <c r="RRS44" s="78"/>
      <c r="RRT44" s="78"/>
      <c r="RRU44" s="78"/>
      <c r="RRV44" s="78"/>
      <c r="RRW44" s="78"/>
      <c r="RRX44" s="78"/>
      <c r="RRY44" s="78"/>
      <c r="RRZ44" s="78"/>
      <c r="RSA44" s="78"/>
      <c r="RSB44" s="78"/>
      <c r="RSC44" s="78"/>
      <c r="RSD44" s="78"/>
      <c r="RSE44" s="78"/>
      <c r="RSF44" s="78"/>
      <c r="RSG44" s="78"/>
      <c r="RSH44" s="78"/>
      <c r="RSI44" s="78"/>
      <c r="RSJ44" s="78"/>
      <c r="RSK44" s="78"/>
      <c r="RSL44" s="78"/>
      <c r="RSM44" s="78"/>
      <c r="RSN44" s="78"/>
      <c r="RSO44" s="78"/>
      <c r="RSP44" s="78"/>
      <c r="RSQ44" s="78"/>
      <c r="RSR44" s="78"/>
      <c r="RSS44" s="78"/>
      <c r="RST44" s="78"/>
      <c r="RSU44" s="78"/>
      <c r="RSV44" s="78"/>
      <c r="RSW44" s="78"/>
      <c r="RSX44" s="78"/>
      <c r="RSY44" s="78"/>
      <c r="RSZ44" s="78"/>
      <c r="RTA44" s="78"/>
      <c r="RTB44" s="78"/>
      <c r="RTC44" s="78"/>
      <c r="RTD44" s="78"/>
      <c r="RTE44" s="78"/>
      <c r="RTF44" s="78"/>
      <c r="RTG44" s="78"/>
      <c r="RTH44" s="78"/>
      <c r="RTI44" s="78"/>
      <c r="RTJ44" s="78"/>
      <c r="RTK44" s="78"/>
      <c r="RTL44" s="78"/>
      <c r="RTM44" s="78"/>
      <c r="RTN44" s="78"/>
      <c r="RTO44" s="78"/>
      <c r="RTP44" s="78"/>
      <c r="RTQ44" s="78"/>
      <c r="RTR44" s="78"/>
      <c r="RTS44" s="78"/>
      <c r="RTT44" s="78"/>
      <c r="RTU44" s="78"/>
      <c r="RTV44" s="78"/>
      <c r="RTW44" s="78"/>
      <c r="RTX44" s="78"/>
      <c r="RTY44" s="78"/>
      <c r="RTZ44" s="78"/>
      <c r="RUA44" s="78"/>
      <c r="RUB44" s="78"/>
      <c r="RUC44" s="78"/>
      <c r="RUD44" s="78"/>
      <c r="RUE44" s="78"/>
      <c r="RUF44" s="78"/>
      <c r="RUG44" s="78"/>
      <c r="RUH44" s="78"/>
      <c r="RUI44" s="78"/>
      <c r="RUJ44" s="78"/>
      <c r="RUK44" s="78"/>
      <c r="RUL44" s="78"/>
      <c r="RUM44" s="78"/>
      <c r="RUN44" s="78"/>
      <c r="RUO44" s="78"/>
      <c r="RUP44" s="78"/>
      <c r="RUQ44" s="78"/>
      <c r="RUR44" s="78"/>
      <c r="RUS44" s="78"/>
      <c r="RUT44" s="78"/>
      <c r="RUU44" s="78"/>
      <c r="RUV44" s="78"/>
      <c r="RUW44" s="78"/>
      <c r="RUX44" s="78"/>
      <c r="RUY44" s="78"/>
      <c r="RUZ44" s="78"/>
      <c r="RVA44" s="78"/>
      <c r="RVB44" s="78"/>
      <c r="RVC44" s="78"/>
      <c r="RVD44" s="78"/>
      <c r="RVE44" s="78"/>
      <c r="RVF44" s="78"/>
      <c r="RVG44" s="78"/>
      <c r="RVH44" s="78"/>
      <c r="RVI44" s="78"/>
      <c r="RVJ44" s="78"/>
      <c r="RVK44" s="78"/>
      <c r="RVL44" s="78"/>
      <c r="RVM44" s="78"/>
      <c r="RVN44" s="78"/>
      <c r="RVO44" s="78"/>
      <c r="RVP44" s="78"/>
      <c r="RVQ44" s="78"/>
      <c r="RVR44" s="78"/>
      <c r="RVS44" s="78"/>
      <c r="RVT44" s="78"/>
      <c r="RVU44" s="78"/>
      <c r="RVV44" s="78"/>
      <c r="RVW44" s="78"/>
      <c r="RVX44" s="78"/>
      <c r="RVY44" s="78"/>
      <c r="RVZ44" s="78"/>
      <c r="RWA44" s="78"/>
      <c r="RWB44" s="78"/>
      <c r="RWC44" s="78"/>
      <c r="RWD44" s="78"/>
      <c r="RWE44" s="78"/>
      <c r="RWF44" s="78"/>
      <c r="RWG44" s="78"/>
      <c r="RWH44" s="78"/>
      <c r="RWI44" s="78"/>
      <c r="RWJ44" s="78"/>
      <c r="RWK44" s="78"/>
      <c r="RWL44" s="78"/>
      <c r="RWM44" s="78"/>
      <c r="RWN44" s="78"/>
      <c r="RWO44" s="78"/>
      <c r="RWP44" s="78"/>
      <c r="RWQ44" s="78"/>
      <c r="RWR44" s="78"/>
      <c r="RWS44" s="78"/>
      <c r="RWT44" s="78"/>
      <c r="RWU44" s="78"/>
      <c r="RWV44" s="78"/>
      <c r="RWW44" s="78"/>
      <c r="RWX44" s="78"/>
      <c r="RWY44" s="78"/>
      <c r="RWZ44" s="78"/>
      <c r="RXA44" s="78"/>
      <c r="RXB44" s="78"/>
      <c r="RXC44" s="78"/>
      <c r="RXD44" s="78"/>
      <c r="RXE44" s="78"/>
      <c r="RXF44" s="78"/>
      <c r="RXG44" s="78"/>
      <c r="RXH44" s="78"/>
      <c r="RXI44" s="78"/>
      <c r="RXJ44" s="78"/>
      <c r="RXK44" s="78"/>
      <c r="RXL44" s="78"/>
      <c r="RXM44" s="78"/>
      <c r="RXN44" s="78"/>
      <c r="RXO44" s="78"/>
      <c r="RXP44" s="78"/>
      <c r="RXQ44" s="78"/>
      <c r="RXR44" s="78"/>
      <c r="RXS44" s="78"/>
      <c r="RXT44" s="78"/>
      <c r="RXU44" s="78"/>
      <c r="RXV44" s="78"/>
      <c r="RXW44" s="78"/>
      <c r="RXX44" s="78"/>
      <c r="RXY44" s="78"/>
      <c r="RXZ44" s="78"/>
      <c r="RYA44" s="78"/>
      <c r="RYB44" s="78"/>
      <c r="RYC44" s="78"/>
      <c r="RYD44" s="78"/>
      <c r="RYE44" s="78"/>
      <c r="RYF44" s="78"/>
      <c r="RYG44" s="78"/>
      <c r="RYH44" s="78"/>
      <c r="RYI44" s="78"/>
      <c r="RYJ44" s="78"/>
      <c r="RYK44" s="78"/>
      <c r="RYL44" s="78"/>
      <c r="RYM44" s="78"/>
      <c r="RYN44" s="78"/>
      <c r="RYO44" s="78"/>
      <c r="RYP44" s="78"/>
      <c r="RYQ44" s="78"/>
      <c r="RYR44" s="78"/>
      <c r="RYS44" s="78"/>
      <c r="RYT44" s="78"/>
      <c r="RYU44" s="78"/>
      <c r="RYV44" s="78"/>
      <c r="RYW44" s="78"/>
      <c r="RYX44" s="78"/>
      <c r="RYY44" s="78"/>
      <c r="RYZ44" s="78"/>
      <c r="RZA44" s="78"/>
      <c r="RZB44" s="78"/>
      <c r="RZC44" s="78"/>
      <c r="RZD44" s="78"/>
      <c r="RZE44" s="78"/>
      <c r="RZF44" s="78"/>
      <c r="RZG44" s="78"/>
      <c r="RZH44" s="78"/>
      <c r="RZI44" s="78"/>
      <c r="RZJ44" s="78"/>
      <c r="RZK44" s="78"/>
      <c r="RZL44" s="78"/>
      <c r="RZM44" s="78"/>
      <c r="RZN44" s="78"/>
      <c r="RZO44" s="78"/>
      <c r="RZP44" s="78"/>
      <c r="RZQ44" s="78"/>
      <c r="RZR44" s="78"/>
      <c r="RZS44" s="78"/>
      <c r="RZT44" s="78"/>
      <c r="RZU44" s="78"/>
      <c r="RZV44" s="78"/>
      <c r="RZW44" s="78"/>
      <c r="RZX44" s="78"/>
      <c r="RZY44" s="78"/>
      <c r="RZZ44" s="78"/>
      <c r="SAA44" s="78"/>
      <c r="SAB44" s="78"/>
      <c r="SAC44" s="78"/>
      <c r="SAD44" s="78"/>
      <c r="SAE44" s="78"/>
      <c r="SAF44" s="78"/>
      <c r="SAG44" s="78"/>
      <c r="SAH44" s="78"/>
      <c r="SAI44" s="78"/>
      <c r="SAJ44" s="78"/>
      <c r="SAK44" s="78"/>
      <c r="SAL44" s="78"/>
      <c r="SAM44" s="78"/>
      <c r="SAN44" s="78"/>
      <c r="SAO44" s="78"/>
      <c r="SAP44" s="78"/>
      <c r="SAQ44" s="78"/>
      <c r="SAR44" s="78"/>
      <c r="SAS44" s="78"/>
      <c r="SAT44" s="78"/>
      <c r="SAU44" s="78"/>
      <c r="SAV44" s="78"/>
      <c r="SAW44" s="78"/>
      <c r="SAX44" s="78"/>
      <c r="SAY44" s="78"/>
      <c r="SAZ44" s="78"/>
      <c r="SBA44" s="78"/>
      <c r="SBB44" s="78"/>
      <c r="SBC44" s="78"/>
      <c r="SBD44" s="78"/>
      <c r="SBE44" s="78"/>
      <c r="SBF44" s="78"/>
      <c r="SBG44" s="78"/>
      <c r="SBH44" s="78"/>
      <c r="SBI44" s="78"/>
      <c r="SBJ44" s="78"/>
      <c r="SBK44" s="78"/>
      <c r="SBL44" s="78"/>
      <c r="SBM44" s="78"/>
      <c r="SBN44" s="78"/>
      <c r="SBO44" s="78"/>
      <c r="SBP44" s="78"/>
      <c r="SBQ44" s="78"/>
      <c r="SBR44" s="78"/>
      <c r="SBS44" s="78"/>
      <c r="SBT44" s="78"/>
      <c r="SBU44" s="78"/>
      <c r="SBV44" s="78"/>
      <c r="SBW44" s="78"/>
      <c r="SBX44" s="78"/>
      <c r="SBY44" s="78"/>
      <c r="SBZ44" s="78"/>
      <c r="SCA44" s="78"/>
      <c r="SCB44" s="78"/>
      <c r="SCC44" s="78"/>
      <c r="SCD44" s="78"/>
      <c r="SCE44" s="78"/>
      <c r="SCF44" s="78"/>
      <c r="SCG44" s="78"/>
      <c r="SCH44" s="78"/>
      <c r="SCI44" s="78"/>
      <c r="SCJ44" s="78"/>
      <c r="SCK44" s="78"/>
      <c r="SCL44" s="78"/>
      <c r="SCM44" s="78"/>
      <c r="SCN44" s="78"/>
      <c r="SCO44" s="78"/>
      <c r="SCP44" s="78"/>
      <c r="SCQ44" s="78"/>
      <c r="SCR44" s="78"/>
      <c r="SCS44" s="78"/>
      <c r="SCT44" s="78"/>
      <c r="SCU44" s="78"/>
      <c r="SCV44" s="78"/>
      <c r="SCW44" s="78"/>
      <c r="SCX44" s="78"/>
      <c r="SCY44" s="78"/>
      <c r="SCZ44" s="78"/>
      <c r="SDA44" s="78"/>
      <c r="SDB44" s="78"/>
      <c r="SDC44" s="78"/>
      <c r="SDD44" s="78"/>
      <c r="SDE44" s="78"/>
      <c r="SDF44" s="78"/>
      <c r="SDG44" s="78"/>
      <c r="SDH44" s="78"/>
      <c r="SDI44" s="78"/>
      <c r="SDJ44" s="78"/>
      <c r="SDK44" s="78"/>
      <c r="SDL44" s="78"/>
      <c r="SDM44" s="78"/>
      <c r="SDN44" s="78"/>
      <c r="SDO44" s="78"/>
      <c r="SDP44" s="78"/>
      <c r="SDQ44" s="78"/>
      <c r="SDR44" s="78"/>
      <c r="SDS44" s="78"/>
      <c r="SDT44" s="78"/>
      <c r="SDU44" s="78"/>
      <c r="SDV44" s="78"/>
      <c r="SDW44" s="78"/>
      <c r="SDX44" s="78"/>
      <c r="SDY44" s="78"/>
      <c r="SDZ44" s="78"/>
      <c r="SEA44" s="78"/>
      <c r="SEB44" s="78"/>
      <c r="SEC44" s="78"/>
      <c r="SED44" s="78"/>
      <c r="SEE44" s="78"/>
      <c r="SEF44" s="78"/>
      <c r="SEG44" s="78"/>
      <c r="SEH44" s="78"/>
      <c r="SEI44" s="78"/>
      <c r="SEJ44" s="78"/>
      <c r="SEK44" s="78"/>
      <c r="SEL44" s="78"/>
      <c r="SEM44" s="78"/>
      <c r="SEN44" s="78"/>
      <c r="SEO44" s="78"/>
      <c r="SEP44" s="78"/>
      <c r="SEQ44" s="78"/>
      <c r="SER44" s="78"/>
      <c r="SES44" s="78"/>
      <c r="SET44" s="78"/>
      <c r="SEU44" s="78"/>
      <c r="SEV44" s="78"/>
      <c r="SEW44" s="78"/>
      <c r="SEX44" s="78"/>
      <c r="SEY44" s="78"/>
      <c r="SEZ44" s="78"/>
      <c r="SFA44" s="78"/>
      <c r="SFB44" s="78"/>
      <c r="SFC44" s="78"/>
      <c r="SFD44" s="78"/>
      <c r="SFE44" s="78"/>
      <c r="SFF44" s="78"/>
      <c r="SFG44" s="78"/>
      <c r="SFH44" s="78"/>
      <c r="SFI44" s="78"/>
      <c r="SFJ44" s="78"/>
      <c r="SFK44" s="78"/>
      <c r="SFL44" s="78"/>
      <c r="SFM44" s="78"/>
      <c r="SFN44" s="78"/>
      <c r="SFO44" s="78"/>
      <c r="SFP44" s="78"/>
      <c r="SFQ44" s="78"/>
      <c r="SFR44" s="78"/>
      <c r="SFS44" s="78"/>
      <c r="SFT44" s="78"/>
      <c r="SFU44" s="78"/>
      <c r="SFV44" s="78"/>
      <c r="SFW44" s="78"/>
      <c r="SFX44" s="78"/>
      <c r="SFY44" s="78"/>
      <c r="SFZ44" s="78"/>
      <c r="SGA44" s="78"/>
      <c r="SGB44" s="78"/>
      <c r="SGC44" s="78"/>
      <c r="SGD44" s="78"/>
      <c r="SGE44" s="78"/>
      <c r="SGF44" s="78"/>
      <c r="SGG44" s="78"/>
      <c r="SGH44" s="78"/>
      <c r="SGI44" s="78"/>
      <c r="SGJ44" s="78"/>
      <c r="SGK44" s="78"/>
      <c r="SGL44" s="78"/>
      <c r="SGM44" s="78"/>
      <c r="SGN44" s="78"/>
      <c r="SGO44" s="78"/>
      <c r="SGP44" s="78"/>
      <c r="SGQ44" s="78"/>
      <c r="SGR44" s="78"/>
      <c r="SGS44" s="78"/>
      <c r="SGT44" s="78"/>
      <c r="SGU44" s="78"/>
      <c r="SGV44" s="78"/>
      <c r="SGW44" s="78"/>
      <c r="SGX44" s="78"/>
      <c r="SGY44" s="78"/>
      <c r="SGZ44" s="78"/>
      <c r="SHA44" s="78"/>
      <c r="SHB44" s="78"/>
      <c r="SHC44" s="78"/>
      <c r="SHD44" s="78"/>
      <c r="SHE44" s="78"/>
      <c r="SHF44" s="78"/>
      <c r="SHG44" s="78"/>
      <c r="SHH44" s="78"/>
      <c r="SHI44" s="78"/>
      <c r="SHJ44" s="78"/>
      <c r="SHK44" s="78"/>
      <c r="SHL44" s="78"/>
      <c r="SHM44" s="78"/>
      <c r="SHN44" s="78"/>
      <c r="SHO44" s="78"/>
      <c r="SHP44" s="78"/>
      <c r="SHQ44" s="78"/>
      <c r="SHR44" s="78"/>
      <c r="SHS44" s="78"/>
      <c r="SHT44" s="78"/>
      <c r="SHU44" s="78"/>
      <c r="SHV44" s="78"/>
      <c r="SHW44" s="78"/>
      <c r="SHX44" s="78"/>
      <c r="SHY44" s="78"/>
      <c r="SHZ44" s="78"/>
      <c r="SIA44" s="78"/>
      <c r="SIB44" s="78"/>
      <c r="SIC44" s="78"/>
      <c r="SID44" s="78"/>
      <c r="SIE44" s="78"/>
      <c r="SIF44" s="78"/>
      <c r="SIG44" s="78"/>
      <c r="SIH44" s="78"/>
      <c r="SII44" s="78"/>
      <c r="SIJ44" s="78"/>
      <c r="SIK44" s="78"/>
      <c r="SIL44" s="78"/>
      <c r="SIM44" s="78"/>
      <c r="SIN44" s="78"/>
      <c r="SIO44" s="78"/>
      <c r="SIP44" s="78"/>
      <c r="SIQ44" s="78"/>
      <c r="SIR44" s="78"/>
      <c r="SIS44" s="78"/>
      <c r="SIT44" s="78"/>
      <c r="SIU44" s="78"/>
      <c r="SIV44" s="78"/>
      <c r="SIW44" s="78"/>
      <c r="SIX44" s="78"/>
      <c r="SIY44" s="78"/>
      <c r="SIZ44" s="78"/>
      <c r="SJA44" s="78"/>
      <c r="SJB44" s="78"/>
      <c r="SJC44" s="78"/>
      <c r="SJD44" s="78"/>
      <c r="SJE44" s="78"/>
      <c r="SJF44" s="78"/>
      <c r="SJG44" s="78"/>
      <c r="SJH44" s="78"/>
      <c r="SJI44" s="78"/>
      <c r="SJJ44" s="78"/>
      <c r="SJK44" s="78"/>
      <c r="SJL44" s="78"/>
      <c r="SJM44" s="78"/>
      <c r="SJN44" s="78"/>
      <c r="SJO44" s="78"/>
      <c r="SJP44" s="78"/>
      <c r="SJQ44" s="78"/>
      <c r="SJR44" s="78"/>
      <c r="SJS44" s="78"/>
      <c r="SJT44" s="78"/>
      <c r="SJU44" s="78"/>
      <c r="SJV44" s="78"/>
      <c r="SJW44" s="78"/>
      <c r="SJX44" s="78"/>
      <c r="SJY44" s="78"/>
      <c r="SJZ44" s="78"/>
      <c r="SKA44" s="78"/>
      <c r="SKB44" s="78"/>
      <c r="SKC44" s="78"/>
      <c r="SKD44" s="78"/>
      <c r="SKE44" s="78"/>
      <c r="SKF44" s="78"/>
      <c r="SKG44" s="78"/>
      <c r="SKH44" s="78"/>
      <c r="SKI44" s="78"/>
      <c r="SKJ44" s="78"/>
      <c r="SKK44" s="78"/>
      <c r="SKL44" s="78"/>
      <c r="SKM44" s="78"/>
      <c r="SKN44" s="78"/>
      <c r="SKO44" s="78"/>
      <c r="SKP44" s="78"/>
      <c r="SKQ44" s="78"/>
      <c r="SKR44" s="78"/>
      <c r="SKS44" s="78"/>
      <c r="SKT44" s="78"/>
      <c r="SKU44" s="78"/>
      <c r="SKV44" s="78"/>
      <c r="SKW44" s="78"/>
      <c r="SKX44" s="78"/>
      <c r="SKY44" s="78"/>
      <c r="SKZ44" s="78"/>
      <c r="SLA44" s="78"/>
      <c r="SLB44" s="78"/>
      <c r="SLC44" s="78"/>
      <c r="SLD44" s="78"/>
      <c r="SLE44" s="78"/>
      <c r="SLF44" s="78"/>
      <c r="SLG44" s="78"/>
      <c r="SLH44" s="78"/>
      <c r="SLI44" s="78"/>
      <c r="SLJ44" s="78"/>
      <c r="SLK44" s="78"/>
      <c r="SLL44" s="78"/>
      <c r="SLM44" s="78"/>
      <c r="SLN44" s="78"/>
      <c r="SLO44" s="78"/>
      <c r="SLP44" s="78"/>
      <c r="SLQ44" s="78"/>
      <c r="SLR44" s="78"/>
      <c r="SLS44" s="78"/>
      <c r="SLT44" s="78"/>
      <c r="SLU44" s="78"/>
      <c r="SLV44" s="78"/>
      <c r="SLW44" s="78"/>
      <c r="SLX44" s="78"/>
      <c r="SLY44" s="78"/>
      <c r="SLZ44" s="78"/>
      <c r="SMA44" s="78"/>
      <c r="SMB44" s="78"/>
      <c r="SMC44" s="78"/>
      <c r="SMD44" s="78"/>
      <c r="SME44" s="78"/>
      <c r="SMF44" s="78"/>
      <c r="SMG44" s="78"/>
      <c r="SMH44" s="78"/>
      <c r="SMI44" s="78"/>
      <c r="SMJ44" s="78"/>
      <c r="SMK44" s="78"/>
      <c r="SML44" s="78"/>
      <c r="SMM44" s="78"/>
      <c r="SMN44" s="78"/>
      <c r="SMO44" s="78"/>
      <c r="SMP44" s="78"/>
      <c r="SMQ44" s="78"/>
      <c r="SMR44" s="78"/>
      <c r="SMS44" s="78"/>
      <c r="SMT44" s="78"/>
      <c r="SMU44" s="78"/>
      <c r="SMV44" s="78"/>
      <c r="SMW44" s="78"/>
      <c r="SMX44" s="78"/>
      <c r="SMY44" s="78"/>
      <c r="SMZ44" s="78"/>
      <c r="SNA44" s="78"/>
      <c r="SNB44" s="78"/>
      <c r="SNC44" s="78"/>
      <c r="SND44" s="78"/>
      <c r="SNE44" s="78"/>
      <c r="SNF44" s="78"/>
      <c r="SNG44" s="78"/>
      <c r="SNH44" s="78"/>
      <c r="SNI44" s="78"/>
      <c r="SNJ44" s="78"/>
      <c r="SNK44" s="78"/>
      <c r="SNL44" s="78"/>
      <c r="SNM44" s="78"/>
      <c r="SNN44" s="78"/>
      <c r="SNO44" s="78"/>
      <c r="SNP44" s="78"/>
      <c r="SNQ44" s="78"/>
      <c r="SNR44" s="78"/>
      <c r="SNS44" s="78"/>
      <c r="SNT44" s="78"/>
      <c r="SNU44" s="78"/>
      <c r="SNV44" s="78"/>
      <c r="SNW44" s="78"/>
      <c r="SNX44" s="78"/>
      <c r="SNY44" s="78"/>
      <c r="SNZ44" s="78"/>
      <c r="SOA44" s="78"/>
      <c r="SOB44" s="78"/>
      <c r="SOC44" s="78"/>
      <c r="SOD44" s="78"/>
      <c r="SOE44" s="78"/>
      <c r="SOF44" s="78"/>
      <c r="SOG44" s="78"/>
      <c r="SOH44" s="78"/>
      <c r="SOI44" s="78"/>
      <c r="SOJ44" s="78"/>
      <c r="SOK44" s="78"/>
      <c r="SOL44" s="78"/>
      <c r="SOM44" s="78"/>
      <c r="SON44" s="78"/>
      <c r="SOO44" s="78"/>
      <c r="SOP44" s="78"/>
      <c r="SOQ44" s="78"/>
      <c r="SOR44" s="78"/>
      <c r="SOS44" s="78"/>
      <c r="SOT44" s="78"/>
      <c r="SOU44" s="78"/>
      <c r="SOV44" s="78"/>
      <c r="SOW44" s="78"/>
      <c r="SOX44" s="78"/>
      <c r="SOY44" s="78"/>
      <c r="SOZ44" s="78"/>
      <c r="SPA44" s="78"/>
      <c r="SPB44" s="78"/>
      <c r="SPC44" s="78"/>
      <c r="SPD44" s="78"/>
      <c r="SPE44" s="78"/>
      <c r="SPF44" s="78"/>
      <c r="SPG44" s="78"/>
      <c r="SPH44" s="78"/>
      <c r="SPI44" s="78"/>
      <c r="SPJ44" s="78"/>
      <c r="SPK44" s="78"/>
      <c r="SPL44" s="78"/>
      <c r="SPM44" s="78"/>
      <c r="SPN44" s="78"/>
      <c r="SPO44" s="78"/>
      <c r="SPP44" s="78"/>
      <c r="SPQ44" s="78"/>
      <c r="SPR44" s="78"/>
      <c r="SPS44" s="78"/>
      <c r="SPT44" s="78"/>
      <c r="SPU44" s="78"/>
      <c r="SPV44" s="78"/>
      <c r="SPW44" s="78"/>
      <c r="SPX44" s="78"/>
      <c r="SPY44" s="78"/>
      <c r="SPZ44" s="78"/>
      <c r="SQA44" s="78"/>
      <c r="SQB44" s="78"/>
      <c r="SQC44" s="78"/>
      <c r="SQD44" s="78"/>
      <c r="SQE44" s="78"/>
      <c r="SQF44" s="78"/>
      <c r="SQG44" s="78"/>
      <c r="SQH44" s="78"/>
      <c r="SQI44" s="78"/>
      <c r="SQJ44" s="78"/>
      <c r="SQK44" s="78"/>
      <c r="SQL44" s="78"/>
      <c r="SQM44" s="78"/>
      <c r="SQN44" s="78"/>
      <c r="SQO44" s="78"/>
      <c r="SQP44" s="78"/>
      <c r="SQQ44" s="78"/>
      <c r="SQR44" s="78"/>
      <c r="SQS44" s="78"/>
      <c r="SQT44" s="78"/>
      <c r="SQU44" s="78"/>
      <c r="SQV44" s="78"/>
      <c r="SQW44" s="78"/>
      <c r="SQX44" s="78"/>
      <c r="SQY44" s="78"/>
      <c r="SQZ44" s="78"/>
      <c r="SRA44" s="78"/>
      <c r="SRB44" s="78"/>
      <c r="SRC44" s="78"/>
      <c r="SRD44" s="78"/>
      <c r="SRE44" s="78"/>
      <c r="SRF44" s="78"/>
      <c r="SRG44" s="78"/>
      <c r="SRH44" s="78"/>
      <c r="SRI44" s="78"/>
      <c r="SRJ44" s="78"/>
      <c r="SRK44" s="78"/>
      <c r="SRL44" s="78"/>
      <c r="SRM44" s="78"/>
      <c r="SRN44" s="78"/>
      <c r="SRO44" s="78"/>
      <c r="SRP44" s="78"/>
      <c r="SRQ44" s="78"/>
      <c r="SRR44" s="78"/>
      <c r="SRS44" s="78"/>
      <c r="SRT44" s="78"/>
      <c r="SRU44" s="78"/>
      <c r="SRV44" s="78"/>
      <c r="SRW44" s="78"/>
      <c r="SRX44" s="78"/>
      <c r="SRY44" s="78"/>
      <c r="SRZ44" s="78"/>
      <c r="SSA44" s="78"/>
      <c r="SSB44" s="78"/>
      <c r="SSC44" s="78"/>
      <c r="SSD44" s="78"/>
      <c r="SSE44" s="78"/>
      <c r="SSF44" s="78"/>
      <c r="SSG44" s="78"/>
      <c r="SSH44" s="78"/>
      <c r="SSI44" s="78"/>
      <c r="SSJ44" s="78"/>
      <c r="SSK44" s="78"/>
      <c r="SSL44" s="78"/>
      <c r="SSM44" s="78"/>
      <c r="SSN44" s="78"/>
      <c r="SSO44" s="78"/>
      <c r="SSP44" s="78"/>
      <c r="SSQ44" s="78"/>
      <c r="SSR44" s="78"/>
      <c r="SSS44" s="78"/>
      <c r="SST44" s="78"/>
      <c r="SSU44" s="78"/>
      <c r="SSV44" s="78"/>
      <c r="SSW44" s="78"/>
      <c r="SSX44" s="78"/>
      <c r="SSY44" s="78"/>
      <c r="SSZ44" s="78"/>
      <c r="STA44" s="78"/>
      <c r="STB44" s="78"/>
      <c r="STC44" s="78"/>
      <c r="STD44" s="78"/>
      <c r="STE44" s="78"/>
      <c r="STF44" s="78"/>
      <c r="STG44" s="78"/>
      <c r="STH44" s="78"/>
      <c r="STI44" s="78"/>
      <c r="STJ44" s="78"/>
      <c r="STK44" s="78"/>
      <c r="STL44" s="78"/>
      <c r="STM44" s="78"/>
      <c r="STN44" s="78"/>
      <c r="STO44" s="78"/>
      <c r="STP44" s="78"/>
      <c r="STQ44" s="78"/>
      <c r="STR44" s="78"/>
      <c r="STS44" s="78"/>
      <c r="STT44" s="78"/>
      <c r="STU44" s="78"/>
      <c r="STV44" s="78"/>
      <c r="STW44" s="78"/>
      <c r="STX44" s="78"/>
      <c r="STY44" s="78"/>
      <c r="STZ44" s="78"/>
      <c r="SUA44" s="78"/>
      <c r="SUB44" s="78"/>
      <c r="SUC44" s="78"/>
      <c r="SUD44" s="78"/>
      <c r="SUE44" s="78"/>
      <c r="SUF44" s="78"/>
      <c r="SUG44" s="78"/>
      <c r="SUH44" s="78"/>
      <c r="SUI44" s="78"/>
      <c r="SUJ44" s="78"/>
      <c r="SUK44" s="78"/>
      <c r="SUL44" s="78"/>
      <c r="SUM44" s="78"/>
      <c r="SUN44" s="78"/>
      <c r="SUO44" s="78"/>
      <c r="SUP44" s="78"/>
      <c r="SUQ44" s="78"/>
      <c r="SUR44" s="78"/>
      <c r="SUS44" s="78"/>
      <c r="SUT44" s="78"/>
      <c r="SUU44" s="78"/>
      <c r="SUV44" s="78"/>
      <c r="SUW44" s="78"/>
      <c r="SUX44" s="78"/>
      <c r="SUY44" s="78"/>
      <c r="SUZ44" s="78"/>
      <c r="SVA44" s="78"/>
      <c r="SVB44" s="78"/>
      <c r="SVC44" s="78"/>
      <c r="SVD44" s="78"/>
      <c r="SVE44" s="78"/>
      <c r="SVF44" s="78"/>
      <c r="SVG44" s="78"/>
      <c r="SVH44" s="78"/>
      <c r="SVI44" s="78"/>
      <c r="SVJ44" s="78"/>
      <c r="SVK44" s="78"/>
      <c r="SVL44" s="78"/>
      <c r="SVM44" s="78"/>
      <c r="SVN44" s="78"/>
      <c r="SVO44" s="78"/>
      <c r="SVP44" s="78"/>
      <c r="SVQ44" s="78"/>
      <c r="SVR44" s="78"/>
      <c r="SVS44" s="78"/>
      <c r="SVT44" s="78"/>
      <c r="SVU44" s="78"/>
      <c r="SVV44" s="78"/>
      <c r="SVW44" s="78"/>
      <c r="SVX44" s="78"/>
      <c r="SVY44" s="78"/>
      <c r="SVZ44" s="78"/>
      <c r="SWA44" s="78"/>
      <c r="SWB44" s="78"/>
      <c r="SWC44" s="78"/>
      <c r="SWD44" s="78"/>
      <c r="SWE44" s="78"/>
      <c r="SWF44" s="78"/>
      <c r="SWG44" s="78"/>
      <c r="SWH44" s="78"/>
      <c r="SWI44" s="78"/>
      <c r="SWJ44" s="78"/>
      <c r="SWK44" s="78"/>
      <c r="SWL44" s="78"/>
      <c r="SWM44" s="78"/>
      <c r="SWN44" s="78"/>
      <c r="SWO44" s="78"/>
      <c r="SWP44" s="78"/>
      <c r="SWQ44" s="78"/>
      <c r="SWR44" s="78"/>
      <c r="SWS44" s="78"/>
      <c r="SWT44" s="78"/>
      <c r="SWU44" s="78"/>
      <c r="SWV44" s="78"/>
      <c r="SWW44" s="78"/>
      <c r="SWX44" s="78"/>
      <c r="SWY44" s="78"/>
      <c r="SWZ44" s="78"/>
      <c r="SXA44" s="78"/>
      <c r="SXB44" s="78"/>
      <c r="SXC44" s="78"/>
      <c r="SXD44" s="78"/>
      <c r="SXE44" s="78"/>
      <c r="SXF44" s="78"/>
      <c r="SXG44" s="78"/>
      <c r="SXH44" s="78"/>
      <c r="SXI44" s="78"/>
      <c r="SXJ44" s="78"/>
      <c r="SXK44" s="78"/>
      <c r="SXL44" s="78"/>
      <c r="SXM44" s="78"/>
      <c r="SXN44" s="78"/>
      <c r="SXO44" s="78"/>
      <c r="SXP44" s="78"/>
      <c r="SXQ44" s="78"/>
      <c r="SXR44" s="78"/>
      <c r="SXS44" s="78"/>
      <c r="SXT44" s="78"/>
      <c r="SXU44" s="78"/>
      <c r="SXV44" s="78"/>
      <c r="SXW44" s="78"/>
      <c r="SXX44" s="78"/>
      <c r="SXY44" s="78"/>
      <c r="SXZ44" s="78"/>
      <c r="SYA44" s="78"/>
      <c r="SYB44" s="78"/>
      <c r="SYC44" s="78"/>
      <c r="SYD44" s="78"/>
      <c r="SYE44" s="78"/>
      <c r="SYF44" s="78"/>
      <c r="SYG44" s="78"/>
      <c r="SYH44" s="78"/>
      <c r="SYI44" s="78"/>
      <c r="SYJ44" s="78"/>
      <c r="SYK44" s="78"/>
      <c r="SYL44" s="78"/>
      <c r="SYM44" s="78"/>
      <c r="SYN44" s="78"/>
      <c r="SYO44" s="78"/>
      <c r="SYP44" s="78"/>
      <c r="SYQ44" s="78"/>
      <c r="SYR44" s="78"/>
      <c r="SYS44" s="78"/>
      <c r="SYT44" s="78"/>
      <c r="SYU44" s="78"/>
      <c r="SYV44" s="78"/>
      <c r="SYW44" s="78"/>
      <c r="SYX44" s="78"/>
      <c r="SYY44" s="78"/>
      <c r="SYZ44" s="78"/>
      <c r="SZA44" s="78"/>
      <c r="SZB44" s="78"/>
      <c r="SZC44" s="78"/>
      <c r="SZD44" s="78"/>
      <c r="SZE44" s="78"/>
      <c r="SZF44" s="78"/>
      <c r="SZG44" s="78"/>
      <c r="SZH44" s="78"/>
      <c r="SZI44" s="78"/>
      <c r="SZJ44" s="78"/>
      <c r="SZK44" s="78"/>
      <c r="SZL44" s="78"/>
      <c r="SZM44" s="78"/>
      <c r="SZN44" s="78"/>
      <c r="SZO44" s="78"/>
      <c r="SZP44" s="78"/>
      <c r="SZQ44" s="78"/>
      <c r="SZR44" s="78"/>
      <c r="SZS44" s="78"/>
      <c r="SZT44" s="78"/>
      <c r="SZU44" s="78"/>
      <c r="SZV44" s="78"/>
      <c r="SZW44" s="78"/>
      <c r="SZX44" s="78"/>
      <c r="SZY44" s="78"/>
      <c r="SZZ44" s="78"/>
      <c r="TAA44" s="78"/>
      <c r="TAB44" s="78"/>
      <c r="TAC44" s="78"/>
      <c r="TAD44" s="78"/>
      <c r="TAE44" s="78"/>
      <c r="TAF44" s="78"/>
      <c r="TAG44" s="78"/>
      <c r="TAH44" s="78"/>
      <c r="TAI44" s="78"/>
      <c r="TAJ44" s="78"/>
      <c r="TAK44" s="78"/>
      <c r="TAL44" s="78"/>
      <c r="TAM44" s="78"/>
      <c r="TAN44" s="78"/>
      <c r="TAO44" s="78"/>
      <c r="TAP44" s="78"/>
      <c r="TAQ44" s="78"/>
      <c r="TAR44" s="78"/>
      <c r="TAS44" s="78"/>
      <c r="TAT44" s="78"/>
      <c r="TAU44" s="78"/>
      <c r="TAV44" s="78"/>
      <c r="TAW44" s="78"/>
      <c r="TAX44" s="78"/>
      <c r="TAY44" s="78"/>
      <c r="TAZ44" s="78"/>
      <c r="TBA44" s="78"/>
      <c r="TBB44" s="78"/>
      <c r="TBC44" s="78"/>
      <c r="TBD44" s="78"/>
      <c r="TBE44" s="78"/>
      <c r="TBF44" s="78"/>
      <c r="TBG44" s="78"/>
      <c r="TBH44" s="78"/>
      <c r="TBI44" s="78"/>
      <c r="TBJ44" s="78"/>
      <c r="TBK44" s="78"/>
      <c r="TBL44" s="78"/>
      <c r="TBM44" s="78"/>
      <c r="TBN44" s="78"/>
      <c r="TBO44" s="78"/>
      <c r="TBP44" s="78"/>
      <c r="TBQ44" s="78"/>
      <c r="TBR44" s="78"/>
      <c r="TBS44" s="78"/>
      <c r="TBT44" s="78"/>
      <c r="TBU44" s="78"/>
      <c r="TBV44" s="78"/>
      <c r="TBW44" s="78"/>
      <c r="TBX44" s="78"/>
      <c r="TBY44" s="78"/>
      <c r="TBZ44" s="78"/>
      <c r="TCA44" s="78"/>
      <c r="TCB44" s="78"/>
      <c r="TCC44" s="78"/>
      <c r="TCD44" s="78"/>
      <c r="TCE44" s="78"/>
      <c r="TCF44" s="78"/>
      <c r="TCG44" s="78"/>
      <c r="TCH44" s="78"/>
      <c r="TCI44" s="78"/>
      <c r="TCJ44" s="78"/>
      <c r="TCK44" s="78"/>
      <c r="TCL44" s="78"/>
      <c r="TCM44" s="78"/>
      <c r="TCN44" s="78"/>
      <c r="TCO44" s="78"/>
      <c r="TCP44" s="78"/>
      <c r="TCQ44" s="78"/>
      <c r="TCR44" s="78"/>
      <c r="TCS44" s="78"/>
      <c r="TCT44" s="78"/>
      <c r="TCU44" s="78"/>
      <c r="TCV44" s="78"/>
      <c r="TCW44" s="78"/>
      <c r="TCX44" s="78"/>
      <c r="TCY44" s="78"/>
      <c r="TCZ44" s="78"/>
      <c r="TDA44" s="78"/>
      <c r="TDB44" s="78"/>
      <c r="TDC44" s="78"/>
      <c r="TDD44" s="78"/>
      <c r="TDE44" s="78"/>
      <c r="TDF44" s="78"/>
      <c r="TDG44" s="78"/>
      <c r="TDH44" s="78"/>
      <c r="TDI44" s="78"/>
      <c r="TDJ44" s="78"/>
      <c r="TDK44" s="78"/>
      <c r="TDL44" s="78"/>
      <c r="TDM44" s="78"/>
      <c r="TDN44" s="78"/>
      <c r="TDO44" s="78"/>
      <c r="TDP44" s="78"/>
      <c r="TDQ44" s="78"/>
      <c r="TDR44" s="78"/>
      <c r="TDS44" s="78"/>
      <c r="TDT44" s="78"/>
      <c r="TDU44" s="78"/>
      <c r="TDV44" s="78"/>
      <c r="TDW44" s="78"/>
      <c r="TDX44" s="78"/>
      <c r="TDY44" s="78"/>
      <c r="TDZ44" s="78"/>
      <c r="TEA44" s="78"/>
      <c r="TEB44" s="78"/>
      <c r="TEC44" s="78"/>
      <c r="TED44" s="78"/>
      <c r="TEE44" s="78"/>
      <c r="TEF44" s="78"/>
      <c r="TEG44" s="78"/>
      <c r="TEH44" s="78"/>
      <c r="TEI44" s="78"/>
      <c r="TEJ44" s="78"/>
      <c r="TEK44" s="78"/>
      <c r="TEL44" s="78"/>
      <c r="TEM44" s="78"/>
      <c r="TEN44" s="78"/>
      <c r="TEO44" s="78"/>
      <c r="TEP44" s="78"/>
      <c r="TEQ44" s="78"/>
      <c r="TER44" s="78"/>
      <c r="TES44" s="78"/>
      <c r="TET44" s="78"/>
      <c r="TEU44" s="78"/>
      <c r="TEV44" s="78"/>
      <c r="TEW44" s="78"/>
      <c r="TEX44" s="78"/>
      <c r="TEY44" s="78"/>
      <c r="TEZ44" s="78"/>
      <c r="TFA44" s="78"/>
      <c r="TFB44" s="78"/>
      <c r="TFC44" s="78"/>
      <c r="TFD44" s="78"/>
      <c r="TFE44" s="78"/>
      <c r="TFF44" s="78"/>
      <c r="TFG44" s="78"/>
      <c r="TFH44" s="78"/>
      <c r="TFI44" s="78"/>
      <c r="TFJ44" s="78"/>
      <c r="TFK44" s="78"/>
      <c r="TFL44" s="78"/>
      <c r="TFM44" s="78"/>
      <c r="TFN44" s="78"/>
      <c r="TFO44" s="78"/>
      <c r="TFP44" s="78"/>
      <c r="TFQ44" s="78"/>
      <c r="TFR44" s="78"/>
      <c r="TFS44" s="78"/>
      <c r="TFT44" s="78"/>
      <c r="TFU44" s="78"/>
      <c r="TFV44" s="78"/>
      <c r="TFW44" s="78"/>
      <c r="TFX44" s="78"/>
      <c r="TFY44" s="78"/>
      <c r="TFZ44" s="78"/>
      <c r="TGA44" s="78"/>
      <c r="TGB44" s="78"/>
      <c r="TGC44" s="78"/>
      <c r="TGD44" s="78"/>
      <c r="TGE44" s="78"/>
      <c r="TGF44" s="78"/>
      <c r="TGG44" s="78"/>
      <c r="TGH44" s="78"/>
      <c r="TGI44" s="78"/>
      <c r="TGJ44" s="78"/>
      <c r="TGK44" s="78"/>
      <c r="TGL44" s="78"/>
      <c r="TGM44" s="78"/>
      <c r="TGN44" s="78"/>
      <c r="TGO44" s="78"/>
      <c r="TGP44" s="78"/>
      <c r="TGQ44" s="78"/>
      <c r="TGR44" s="78"/>
      <c r="TGS44" s="78"/>
      <c r="TGT44" s="78"/>
      <c r="TGU44" s="78"/>
      <c r="TGV44" s="78"/>
      <c r="TGW44" s="78"/>
      <c r="TGX44" s="78"/>
      <c r="TGY44" s="78"/>
      <c r="TGZ44" s="78"/>
      <c r="THA44" s="78"/>
      <c r="THB44" s="78"/>
      <c r="THC44" s="78"/>
      <c r="THD44" s="78"/>
      <c r="THE44" s="78"/>
      <c r="THF44" s="78"/>
      <c r="THG44" s="78"/>
      <c r="THH44" s="78"/>
      <c r="THI44" s="78"/>
      <c r="THJ44" s="78"/>
      <c r="THK44" s="78"/>
      <c r="THL44" s="78"/>
      <c r="THM44" s="78"/>
      <c r="THN44" s="78"/>
      <c r="THO44" s="78"/>
      <c r="THP44" s="78"/>
      <c r="THQ44" s="78"/>
      <c r="THR44" s="78"/>
      <c r="THS44" s="78"/>
      <c r="THT44" s="78"/>
      <c r="THU44" s="78"/>
      <c r="THV44" s="78"/>
      <c r="THW44" s="78"/>
      <c r="THX44" s="78"/>
      <c r="THY44" s="78"/>
      <c r="THZ44" s="78"/>
      <c r="TIA44" s="78"/>
      <c r="TIB44" s="78"/>
      <c r="TIC44" s="78"/>
      <c r="TID44" s="78"/>
      <c r="TIE44" s="78"/>
      <c r="TIF44" s="78"/>
      <c r="TIG44" s="78"/>
      <c r="TIH44" s="78"/>
      <c r="TII44" s="78"/>
      <c r="TIJ44" s="78"/>
      <c r="TIK44" s="78"/>
      <c r="TIL44" s="78"/>
      <c r="TIM44" s="78"/>
      <c r="TIN44" s="78"/>
      <c r="TIO44" s="78"/>
      <c r="TIP44" s="78"/>
      <c r="TIQ44" s="78"/>
      <c r="TIR44" s="78"/>
      <c r="TIS44" s="78"/>
      <c r="TIT44" s="78"/>
      <c r="TIU44" s="78"/>
      <c r="TIV44" s="78"/>
      <c r="TIW44" s="78"/>
      <c r="TIX44" s="78"/>
      <c r="TIY44" s="78"/>
      <c r="TIZ44" s="78"/>
      <c r="TJA44" s="78"/>
      <c r="TJB44" s="78"/>
      <c r="TJC44" s="78"/>
      <c r="TJD44" s="78"/>
      <c r="TJE44" s="78"/>
      <c r="TJF44" s="78"/>
      <c r="TJG44" s="78"/>
      <c r="TJH44" s="78"/>
      <c r="TJI44" s="78"/>
      <c r="TJJ44" s="78"/>
      <c r="TJK44" s="78"/>
      <c r="TJL44" s="78"/>
      <c r="TJM44" s="78"/>
      <c r="TJN44" s="78"/>
      <c r="TJO44" s="78"/>
      <c r="TJP44" s="78"/>
      <c r="TJQ44" s="78"/>
      <c r="TJR44" s="78"/>
      <c r="TJS44" s="78"/>
      <c r="TJT44" s="78"/>
      <c r="TJU44" s="78"/>
      <c r="TJV44" s="78"/>
      <c r="TJW44" s="78"/>
      <c r="TJX44" s="78"/>
      <c r="TJY44" s="78"/>
      <c r="TJZ44" s="78"/>
      <c r="TKA44" s="78"/>
      <c r="TKB44" s="78"/>
      <c r="TKC44" s="78"/>
      <c r="TKD44" s="78"/>
      <c r="TKE44" s="78"/>
      <c r="TKF44" s="78"/>
      <c r="TKG44" s="78"/>
      <c r="TKH44" s="78"/>
      <c r="TKI44" s="78"/>
      <c r="TKJ44" s="78"/>
      <c r="TKK44" s="78"/>
      <c r="TKL44" s="78"/>
      <c r="TKM44" s="78"/>
      <c r="TKN44" s="78"/>
      <c r="TKO44" s="78"/>
      <c r="TKP44" s="78"/>
      <c r="TKQ44" s="78"/>
      <c r="TKR44" s="78"/>
      <c r="TKS44" s="78"/>
      <c r="TKT44" s="78"/>
      <c r="TKU44" s="78"/>
      <c r="TKV44" s="78"/>
      <c r="TKW44" s="78"/>
      <c r="TKX44" s="78"/>
      <c r="TKY44" s="78"/>
      <c r="TKZ44" s="78"/>
      <c r="TLA44" s="78"/>
      <c r="TLB44" s="78"/>
      <c r="TLC44" s="78"/>
      <c r="TLD44" s="78"/>
      <c r="TLE44" s="78"/>
      <c r="TLF44" s="78"/>
      <c r="TLG44" s="78"/>
      <c r="TLH44" s="78"/>
      <c r="TLI44" s="78"/>
      <c r="TLJ44" s="78"/>
      <c r="TLK44" s="78"/>
      <c r="TLL44" s="78"/>
      <c r="TLM44" s="78"/>
      <c r="TLN44" s="78"/>
      <c r="TLO44" s="78"/>
      <c r="TLP44" s="78"/>
      <c r="TLQ44" s="78"/>
      <c r="TLR44" s="78"/>
      <c r="TLS44" s="78"/>
      <c r="TLT44" s="78"/>
      <c r="TLU44" s="78"/>
      <c r="TLV44" s="78"/>
      <c r="TLW44" s="78"/>
      <c r="TLX44" s="78"/>
      <c r="TLY44" s="78"/>
      <c r="TLZ44" s="78"/>
      <c r="TMA44" s="78"/>
      <c r="TMB44" s="78"/>
      <c r="TMC44" s="78"/>
      <c r="TMD44" s="78"/>
      <c r="TME44" s="78"/>
      <c r="TMF44" s="78"/>
      <c r="TMG44" s="78"/>
      <c r="TMH44" s="78"/>
      <c r="TMI44" s="78"/>
      <c r="TMJ44" s="78"/>
      <c r="TMK44" s="78"/>
      <c r="TML44" s="78"/>
      <c r="TMM44" s="78"/>
      <c r="TMN44" s="78"/>
      <c r="TMO44" s="78"/>
      <c r="TMP44" s="78"/>
      <c r="TMQ44" s="78"/>
      <c r="TMR44" s="78"/>
      <c r="TMS44" s="78"/>
      <c r="TMT44" s="78"/>
      <c r="TMU44" s="78"/>
      <c r="TMV44" s="78"/>
      <c r="TMW44" s="78"/>
      <c r="TMX44" s="78"/>
      <c r="TMY44" s="78"/>
      <c r="TMZ44" s="78"/>
      <c r="TNA44" s="78"/>
      <c r="TNB44" s="78"/>
      <c r="TNC44" s="78"/>
      <c r="TND44" s="78"/>
      <c r="TNE44" s="78"/>
      <c r="TNF44" s="78"/>
      <c r="TNG44" s="78"/>
      <c r="TNH44" s="78"/>
      <c r="TNI44" s="78"/>
      <c r="TNJ44" s="78"/>
      <c r="TNK44" s="78"/>
      <c r="TNL44" s="78"/>
      <c r="TNM44" s="78"/>
      <c r="TNN44" s="78"/>
      <c r="TNO44" s="78"/>
      <c r="TNP44" s="78"/>
      <c r="TNQ44" s="78"/>
      <c r="TNR44" s="78"/>
      <c r="TNS44" s="78"/>
      <c r="TNT44" s="78"/>
      <c r="TNU44" s="78"/>
      <c r="TNV44" s="78"/>
      <c r="TNW44" s="78"/>
      <c r="TNX44" s="78"/>
      <c r="TNY44" s="78"/>
      <c r="TNZ44" s="78"/>
      <c r="TOA44" s="78"/>
      <c r="TOB44" s="78"/>
      <c r="TOC44" s="78"/>
      <c r="TOD44" s="78"/>
      <c r="TOE44" s="78"/>
      <c r="TOF44" s="78"/>
      <c r="TOG44" s="78"/>
      <c r="TOH44" s="78"/>
      <c r="TOI44" s="78"/>
      <c r="TOJ44" s="78"/>
      <c r="TOK44" s="78"/>
      <c r="TOL44" s="78"/>
      <c r="TOM44" s="78"/>
      <c r="TON44" s="78"/>
      <c r="TOO44" s="78"/>
      <c r="TOP44" s="78"/>
      <c r="TOQ44" s="78"/>
      <c r="TOR44" s="78"/>
      <c r="TOS44" s="78"/>
      <c r="TOT44" s="78"/>
      <c r="TOU44" s="78"/>
      <c r="TOV44" s="78"/>
      <c r="TOW44" s="78"/>
      <c r="TOX44" s="78"/>
      <c r="TOY44" s="78"/>
      <c r="TOZ44" s="78"/>
      <c r="TPA44" s="78"/>
      <c r="TPB44" s="78"/>
      <c r="TPC44" s="78"/>
      <c r="TPD44" s="78"/>
      <c r="TPE44" s="78"/>
      <c r="TPF44" s="78"/>
      <c r="TPG44" s="78"/>
      <c r="TPH44" s="78"/>
      <c r="TPI44" s="78"/>
      <c r="TPJ44" s="78"/>
      <c r="TPK44" s="78"/>
      <c r="TPL44" s="78"/>
      <c r="TPM44" s="78"/>
      <c r="TPN44" s="78"/>
      <c r="TPO44" s="78"/>
      <c r="TPP44" s="78"/>
      <c r="TPQ44" s="78"/>
      <c r="TPR44" s="78"/>
      <c r="TPS44" s="78"/>
      <c r="TPT44" s="78"/>
      <c r="TPU44" s="78"/>
      <c r="TPV44" s="78"/>
      <c r="TPW44" s="78"/>
      <c r="TPX44" s="78"/>
      <c r="TPY44" s="78"/>
      <c r="TPZ44" s="78"/>
      <c r="TQA44" s="78"/>
      <c r="TQB44" s="78"/>
      <c r="TQC44" s="78"/>
      <c r="TQD44" s="78"/>
      <c r="TQE44" s="78"/>
      <c r="TQF44" s="78"/>
      <c r="TQG44" s="78"/>
      <c r="TQH44" s="78"/>
      <c r="TQI44" s="78"/>
      <c r="TQJ44" s="78"/>
      <c r="TQK44" s="78"/>
      <c r="TQL44" s="78"/>
      <c r="TQM44" s="78"/>
      <c r="TQN44" s="78"/>
      <c r="TQO44" s="78"/>
      <c r="TQP44" s="78"/>
      <c r="TQQ44" s="78"/>
      <c r="TQR44" s="78"/>
      <c r="TQS44" s="78"/>
      <c r="TQT44" s="78"/>
      <c r="TQU44" s="78"/>
      <c r="TQV44" s="78"/>
      <c r="TQW44" s="78"/>
      <c r="TQX44" s="78"/>
      <c r="TQY44" s="78"/>
      <c r="TQZ44" s="78"/>
      <c r="TRA44" s="78"/>
      <c r="TRB44" s="78"/>
      <c r="TRC44" s="78"/>
      <c r="TRD44" s="78"/>
      <c r="TRE44" s="78"/>
      <c r="TRF44" s="78"/>
      <c r="TRG44" s="78"/>
      <c r="TRH44" s="78"/>
      <c r="TRI44" s="78"/>
      <c r="TRJ44" s="78"/>
      <c r="TRK44" s="78"/>
      <c r="TRL44" s="78"/>
      <c r="TRM44" s="78"/>
      <c r="TRN44" s="78"/>
      <c r="TRO44" s="78"/>
      <c r="TRP44" s="78"/>
      <c r="TRQ44" s="78"/>
      <c r="TRR44" s="78"/>
      <c r="TRS44" s="78"/>
      <c r="TRT44" s="78"/>
      <c r="TRU44" s="78"/>
      <c r="TRV44" s="78"/>
      <c r="TRW44" s="78"/>
      <c r="TRX44" s="78"/>
      <c r="TRY44" s="78"/>
      <c r="TRZ44" s="78"/>
      <c r="TSA44" s="78"/>
      <c r="TSB44" s="78"/>
      <c r="TSC44" s="78"/>
      <c r="TSD44" s="78"/>
      <c r="TSE44" s="78"/>
      <c r="TSF44" s="78"/>
      <c r="TSG44" s="78"/>
      <c r="TSH44" s="78"/>
      <c r="TSI44" s="78"/>
      <c r="TSJ44" s="78"/>
      <c r="TSK44" s="78"/>
      <c r="TSL44" s="78"/>
      <c r="TSM44" s="78"/>
      <c r="TSN44" s="78"/>
      <c r="TSO44" s="78"/>
      <c r="TSP44" s="78"/>
      <c r="TSQ44" s="78"/>
      <c r="TSR44" s="78"/>
      <c r="TSS44" s="78"/>
      <c r="TST44" s="78"/>
      <c r="TSU44" s="78"/>
      <c r="TSV44" s="78"/>
      <c r="TSW44" s="78"/>
      <c r="TSX44" s="78"/>
      <c r="TSY44" s="78"/>
      <c r="TSZ44" s="78"/>
      <c r="TTA44" s="78"/>
      <c r="TTB44" s="78"/>
      <c r="TTC44" s="78"/>
      <c r="TTD44" s="78"/>
      <c r="TTE44" s="78"/>
      <c r="TTF44" s="78"/>
      <c r="TTG44" s="78"/>
      <c r="TTH44" s="78"/>
      <c r="TTI44" s="78"/>
      <c r="TTJ44" s="78"/>
      <c r="TTK44" s="78"/>
      <c r="TTL44" s="78"/>
      <c r="TTM44" s="78"/>
      <c r="TTN44" s="78"/>
      <c r="TTO44" s="78"/>
      <c r="TTP44" s="78"/>
      <c r="TTQ44" s="78"/>
      <c r="TTR44" s="78"/>
      <c r="TTS44" s="78"/>
      <c r="TTT44" s="78"/>
      <c r="TTU44" s="78"/>
      <c r="TTV44" s="78"/>
      <c r="TTW44" s="78"/>
      <c r="TTX44" s="78"/>
      <c r="TTY44" s="78"/>
      <c r="TTZ44" s="78"/>
      <c r="TUA44" s="78"/>
      <c r="TUB44" s="78"/>
      <c r="TUC44" s="78"/>
      <c r="TUD44" s="78"/>
      <c r="TUE44" s="78"/>
      <c r="TUF44" s="78"/>
      <c r="TUG44" s="78"/>
      <c r="TUH44" s="78"/>
      <c r="TUI44" s="78"/>
      <c r="TUJ44" s="78"/>
      <c r="TUK44" s="78"/>
      <c r="TUL44" s="78"/>
      <c r="TUM44" s="78"/>
      <c r="TUN44" s="78"/>
      <c r="TUO44" s="78"/>
      <c r="TUP44" s="78"/>
      <c r="TUQ44" s="78"/>
      <c r="TUR44" s="78"/>
      <c r="TUS44" s="78"/>
      <c r="TUT44" s="78"/>
      <c r="TUU44" s="78"/>
      <c r="TUV44" s="78"/>
      <c r="TUW44" s="78"/>
      <c r="TUX44" s="78"/>
      <c r="TUY44" s="78"/>
      <c r="TUZ44" s="78"/>
      <c r="TVA44" s="78"/>
      <c r="TVB44" s="78"/>
      <c r="TVC44" s="78"/>
      <c r="TVD44" s="78"/>
      <c r="TVE44" s="78"/>
      <c r="TVF44" s="78"/>
      <c r="TVG44" s="78"/>
      <c r="TVH44" s="78"/>
      <c r="TVI44" s="78"/>
      <c r="TVJ44" s="78"/>
      <c r="TVK44" s="78"/>
      <c r="TVL44" s="78"/>
      <c r="TVM44" s="78"/>
      <c r="TVN44" s="78"/>
      <c r="TVO44" s="78"/>
      <c r="TVP44" s="78"/>
      <c r="TVQ44" s="78"/>
      <c r="TVR44" s="78"/>
      <c r="TVS44" s="78"/>
      <c r="TVT44" s="78"/>
      <c r="TVU44" s="78"/>
      <c r="TVV44" s="78"/>
      <c r="TVW44" s="78"/>
      <c r="TVX44" s="78"/>
      <c r="TVY44" s="78"/>
      <c r="TVZ44" s="78"/>
      <c r="TWA44" s="78"/>
      <c r="TWB44" s="78"/>
      <c r="TWC44" s="78"/>
      <c r="TWD44" s="78"/>
      <c r="TWE44" s="78"/>
      <c r="TWF44" s="78"/>
      <c r="TWG44" s="78"/>
      <c r="TWH44" s="78"/>
      <c r="TWI44" s="78"/>
      <c r="TWJ44" s="78"/>
      <c r="TWK44" s="78"/>
      <c r="TWL44" s="78"/>
      <c r="TWM44" s="78"/>
      <c r="TWN44" s="78"/>
      <c r="TWO44" s="78"/>
      <c r="TWP44" s="78"/>
      <c r="TWQ44" s="78"/>
      <c r="TWR44" s="78"/>
      <c r="TWS44" s="78"/>
      <c r="TWT44" s="78"/>
      <c r="TWU44" s="78"/>
      <c r="TWV44" s="78"/>
      <c r="TWW44" s="78"/>
      <c r="TWX44" s="78"/>
      <c r="TWY44" s="78"/>
      <c r="TWZ44" s="78"/>
      <c r="TXA44" s="78"/>
      <c r="TXB44" s="78"/>
      <c r="TXC44" s="78"/>
      <c r="TXD44" s="78"/>
      <c r="TXE44" s="78"/>
      <c r="TXF44" s="78"/>
      <c r="TXG44" s="78"/>
      <c r="TXH44" s="78"/>
      <c r="TXI44" s="78"/>
      <c r="TXJ44" s="78"/>
      <c r="TXK44" s="78"/>
      <c r="TXL44" s="78"/>
      <c r="TXM44" s="78"/>
      <c r="TXN44" s="78"/>
      <c r="TXO44" s="78"/>
      <c r="TXP44" s="78"/>
      <c r="TXQ44" s="78"/>
      <c r="TXR44" s="78"/>
      <c r="TXS44" s="78"/>
      <c r="TXT44" s="78"/>
      <c r="TXU44" s="78"/>
      <c r="TXV44" s="78"/>
      <c r="TXW44" s="78"/>
      <c r="TXX44" s="78"/>
      <c r="TXY44" s="78"/>
      <c r="TXZ44" s="78"/>
      <c r="TYA44" s="78"/>
      <c r="TYB44" s="78"/>
      <c r="TYC44" s="78"/>
      <c r="TYD44" s="78"/>
      <c r="TYE44" s="78"/>
      <c r="TYF44" s="78"/>
      <c r="TYG44" s="78"/>
      <c r="TYH44" s="78"/>
      <c r="TYI44" s="78"/>
      <c r="TYJ44" s="78"/>
      <c r="TYK44" s="78"/>
      <c r="TYL44" s="78"/>
      <c r="TYM44" s="78"/>
      <c r="TYN44" s="78"/>
      <c r="TYO44" s="78"/>
      <c r="TYP44" s="78"/>
      <c r="TYQ44" s="78"/>
      <c r="TYR44" s="78"/>
      <c r="TYS44" s="78"/>
      <c r="TYT44" s="78"/>
      <c r="TYU44" s="78"/>
      <c r="TYV44" s="78"/>
      <c r="TYW44" s="78"/>
      <c r="TYX44" s="78"/>
      <c r="TYY44" s="78"/>
      <c r="TYZ44" s="78"/>
      <c r="TZA44" s="78"/>
      <c r="TZB44" s="78"/>
      <c r="TZC44" s="78"/>
      <c r="TZD44" s="78"/>
      <c r="TZE44" s="78"/>
      <c r="TZF44" s="78"/>
      <c r="TZG44" s="78"/>
      <c r="TZH44" s="78"/>
      <c r="TZI44" s="78"/>
      <c r="TZJ44" s="78"/>
      <c r="TZK44" s="78"/>
      <c r="TZL44" s="78"/>
      <c r="TZM44" s="78"/>
      <c r="TZN44" s="78"/>
      <c r="TZO44" s="78"/>
      <c r="TZP44" s="78"/>
      <c r="TZQ44" s="78"/>
      <c r="TZR44" s="78"/>
      <c r="TZS44" s="78"/>
      <c r="TZT44" s="78"/>
      <c r="TZU44" s="78"/>
      <c r="TZV44" s="78"/>
      <c r="TZW44" s="78"/>
      <c r="TZX44" s="78"/>
      <c r="TZY44" s="78"/>
      <c r="TZZ44" s="78"/>
      <c r="UAA44" s="78"/>
      <c r="UAB44" s="78"/>
      <c r="UAC44" s="78"/>
      <c r="UAD44" s="78"/>
      <c r="UAE44" s="78"/>
      <c r="UAF44" s="78"/>
      <c r="UAG44" s="78"/>
      <c r="UAH44" s="78"/>
      <c r="UAI44" s="78"/>
      <c r="UAJ44" s="78"/>
      <c r="UAK44" s="78"/>
      <c r="UAL44" s="78"/>
      <c r="UAM44" s="78"/>
      <c r="UAN44" s="78"/>
      <c r="UAO44" s="78"/>
      <c r="UAP44" s="78"/>
      <c r="UAQ44" s="78"/>
      <c r="UAR44" s="78"/>
      <c r="UAS44" s="78"/>
      <c r="UAT44" s="78"/>
      <c r="UAU44" s="78"/>
      <c r="UAV44" s="78"/>
      <c r="UAW44" s="78"/>
      <c r="UAX44" s="78"/>
      <c r="UAY44" s="78"/>
      <c r="UAZ44" s="78"/>
      <c r="UBA44" s="78"/>
      <c r="UBB44" s="78"/>
      <c r="UBC44" s="78"/>
      <c r="UBD44" s="78"/>
      <c r="UBE44" s="78"/>
      <c r="UBF44" s="78"/>
      <c r="UBG44" s="78"/>
      <c r="UBH44" s="78"/>
      <c r="UBI44" s="78"/>
      <c r="UBJ44" s="78"/>
      <c r="UBK44" s="78"/>
      <c r="UBL44" s="78"/>
      <c r="UBM44" s="78"/>
      <c r="UBN44" s="78"/>
      <c r="UBO44" s="78"/>
      <c r="UBP44" s="78"/>
      <c r="UBQ44" s="78"/>
      <c r="UBR44" s="78"/>
      <c r="UBS44" s="78"/>
      <c r="UBT44" s="78"/>
      <c r="UBU44" s="78"/>
      <c r="UBV44" s="78"/>
      <c r="UBW44" s="78"/>
      <c r="UBX44" s="78"/>
      <c r="UBY44" s="78"/>
      <c r="UBZ44" s="78"/>
      <c r="UCA44" s="78"/>
      <c r="UCB44" s="78"/>
      <c r="UCC44" s="78"/>
      <c r="UCD44" s="78"/>
      <c r="UCE44" s="78"/>
      <c r="UCF44" s="78"/>
      <c r="UCG44" s="78"/>
      <c r="UCH44" s="78"/>
      <c r="UCI44" s="78"/>
      <c r="UCJ44" s="78"/>
      <c r="UCK44" s="78"/>
      <c r="UCL44" s="78"/>
      <c r="UCM44" s="78"/>
      <c r="UCN44" s="78"/>
      <c r="UCO44" s="78"/>
      <c r="UCP44" s="78"/>
      <c r="UCQ44" s="78"/>
      <c r="UCR44" s="78"/>
      <c r="UCS44" s="78"/>
      <c r="UCT44" s="78"/>
      <c r="UCU44" s="78"/>
      <c r="UCV44" s="78"/>
      <c r="UCW44" s="78"/>
      <c r="UCX44" s="78"/>
      <c r="UCY44" s="78"/>
      <c r="UCZ44" s="78"/>
      <c r="UDA44" s="78"/>
      <c r="UDB44" s="78"/>
      <c r="UDC44" s="78"/>
      <c r="UDD44" s="78"/>
      <c r="UDE44" s="78"/>
      <c r="UDF44" s="78"/>
      <c r="UDG44" s="78"/>
      <c r="UDH44" s="78"/>
      <c r="UDI44" s="78"/>
      <c r="UDJ44" s="78"/>
      <c r="UDK44" s="78"/>
      <c r="UDL44" s="78"/>
      <c r="UDM44" s="78"/>
      <c r="UDN44" s="78"/>
      <c r="UDO44" s="78"/>
      <c r="UDP44" s="78"/>
      <c r="UDQ44" s="78"/>
      <c r="UDR44" s="78"/>
      <c r="UDS44" s="78"/>
      <c r="UDT44" s="78"/>
      <c r="UDU44" s="78"/>
      <c r="UDV44" s="78"/>
      <c r="UDW44" s="78"/>
      <c r="UDX44" s="78"/>
      <c r="UDY44" s="78"/>
      <c r="UDZ44" s="78"/>
      <c r="UEA44" s="78"/>
      <c r="UEB44" s="78"/>
      <c r="UEC44" s="78"/>
      <c r="UED44" s="78"/>
      <c r="UEE44" s="78"/>
      <c r="UEF44" s="78"/>
      <c r="UEG44" s="78"/>
      <c r="UEH44" s="78"/>
      <c r="UEI44" s="78"/>
      <c r="UEJ44" s="78"/>
      <c r="UEK44" s="78"/>
      <c r="UEL44" s="78"/>
      <c r="UEM44" s="78"/>
      <c r="UEN44" s="78"/>
      <c r="UEO44" s="78"/>
      <c r="UEP44" s="78"/>
      <c r="UEQ44" s="78"/>
      <c r="UER44" s="78"/>
      <c r="UES44" s="78"/>
      <c r="UET44" s="78"/>
      <c r="UEU44" s="78"/>
      <c r="UEV44" s="78"/>
      <c r="UEW44" s="78"/>
      <c r="UEX44" s="78"/>
      <c r="UEY44" s="78"/>
      <c r="UEZ44" s="78"/>
      <c r="UFA44" s="78"/>
      <c r="UFB44" s="78"/>
      <c r="UFC44" s="78"/>
      <c r="UFD44" s="78"/>
      <c r="UFE44" s="78"/>
      <c r="UFF44" s="78"/>
      <c r="UFG44" s="78"/>
      <c r="UFH44" s="78"/>
      <c r="UFI44" s="78"/>
      <c r="UFJ44" s="78"/>
      <c r="UFK44" s="78"/>
      <c r="UFL44" s="78"/>
      <c r="UFM44" s="78"/>
      <c r="UFN44" s="78"/>
      <c r="UFO44" s="78"/>
      <c r="UFP44" s="78"/>
      <c r="UFQ44" s="78"/>
      <c r="UFR44" s="78"/>
      <c r="UFS44" s="78"/>
      <c r="UFT44" s="78"/>
      <c r="UFU44" s="78"/>
      <c r="UFV44" s="78"/>
      <c r="UFW44" s="78"/>
      <c r="UFX44" s="78"/>
      <c r="UFY44" s="78"/>
      <c r="UFZ44" s="78"/>
      <c r="UGA44" s="78"/>
      <c r="UGB44" s="78"/>
      <c r="UGC44" s="78"/>
      <c r="UGD44" s="78"/>
      <c r="UGE44" s="78"/>
      <c r="UGF44" s="78"/>
      <c r="UGG44" s="78"/>
      <c r="UGH44" s="78"/>
      <c r="UGI44" s="78"/>
      <c r="UGJ44" s="78"/>
      <c r="UGK44" s="78"/>
      <c r="UGL44" s="78"/>
      <c r="UGM44" s="78"/>
      <c r="UGN44" s="78"/>
      <c r="UGO44" s="78"/>
      <c r="UGP44" s="78"/>
      <c r="UGQ44" s="78"/>
      <c r="UGR44" s="78"/>
      <c r="UGS44" s="78"/>
      <c r="UGT44" s="78"/>
      <c r="UGU44" s="78"/>
      <c r="UGV44" s="78"/>
      <c r="UGW44" s="78"/>
      <c r="UGX44" s="78"/>
      <c r="UGY44" s="78"/>
      <c r="UGZ44" s="78"/>
      <c r="UHA44" s="78"/>
      <c r="UHB44" s="78"/>
      <c r="UHC44" s="78"/>
      <c r="UHD44" s="78"/>
      <c r="UHE44" s="78"/>
      <c r="UHF44" s="78"/>
      <c r="UHG44" s="78"/>
      <c r="UHH44" s="78"/>
      <c r="UHI44" s="78"/>
      <c r="UHJ44" s="78"/>
      <c r="UHK44" s="78"/>
      <c r="UHL44" s="78"/>
      <c r="UHM44" s="78"/>
      <c r="UHN44" s="78"/>
      <c r="UHO44" s="78"/>
      <c r="UHP44" s="78"/>
      <c r="UHQ44" s="78"/>
      <c r="UHR44" s="78"/>
      <c r="UHS44" s="78"/>
      <c r="UHT44" s="78"/>
      <c r="UHU44" s="78"/>
      <c r="UHV44" s="78"/>
      <c r="UHW44" s="78"/>
      <c r="UHX44" s="78"/>
      <c r="UHY44" s="78"/>
      <c r="UHZ44" s="78"/>
      <c r="UIA44" s="78"/>
      <c r="UIB44" s="78"/>
      <c r="UIC44" s="78"/>
      <c r="UID44" s="78"/>
      <c r="UIE44" s="78"/>
      <c r="UIF44" s="78"/>
      <c r="UIG44" s="78"/>
      <c r="UIH44" s="78"/>
      <c r="UII44" s="78"/>
      <c r="UIJ44" s="78"/>
      <c r="UIK44" s="78"/>
      <c r="UIL44" s="78"/>
      <c r="UIM44" s="78"/>
      <c r="UIN44" s="78"/>
      <c r="UIO44" s="78"/>
      <c r="UIP44" s="78"/>
      <c r="UIQ44" s="78"/>
      <c r="UIR44" s="78"/>
      <c r="UIS44" s="78"/>
      <c r="UIT44" s="78"/>
      <c r="UIU44" s="78"/>
      <c r="UIV44" s="78"/>
      <c r="UIW44" s="78"/>
      <c r="UIX44" s="78"/>
      <c r="UIY44" s="78"/>
      <c r="UIZ44" s="78"/>
      <c r="UJA44" s="78"/>
      <c r="UJB44" s="78"/>
      <c r="UJC44" s="78"/>
      <c r="UJD44" s="78"/>
      <c r="UJE44" s="78"/>
      <c r="UJF44" s="78"/>
      <c r="UJG44" s="78"/>
      <c r="UJH44" s="78"/>
      <c r="UJI44" s="78"/>
      <c r="UJJ44" s="78"/>
      <c r="UJK44" s="78"/>
      <c r="UJL44" s="78"/>
      <c r="UJM44" s="78"/>
      <c r="UJN44" s="78"/>
      <c r="UJO44" s="78"/>
      <c r="UJP44" s="78"/>
      <c r="UJQ44" s="78"/>
      <c r="UJR44" s="78"/>
      <c r="UJS44" s="78"/>
      <c r="UJT44" s="78"/>
      <c r="UJU44" s="78"/>
      <c r="UJV44" s="78"/>
      <c r="UJW44" s="78"/>
      <c r="UJX44" s="78"/>
      <c r="UJY44" s="78"/>
      <c r="UJZ44" s="78"/>
      <c r="UKA44" s="78"/>
      <c r="UKB44" s="78"/>
      <c r="UKC44" s="78"/>
      <c r="UKD44" s="78"/>
      <c r="UKE44" s="78"/>
      <c r="UKF44" s="78"/>
      <c r="UKG44" s="78"/>
      <c r="UKH44" s="78"/>
      <c r="UKI44" s="78"/>
      <c r="UKJ44" s="78"/>
      <c r="UKK44" s="78"/>
      <c r="UKL44" s="78"/>
      <c r="UKM44" s="78"/>
      <c r="UKN44" s="78"/>
      <c r="UKO44" s="78"/>
      <c r="UKP44" s="78"/>
      <c r="UKQ44" s="78"/>
      <c r="UKR44" s="78"/>
      <c r="UKS44" s="78"/>
      <c r="UKT44" s="78"/>
      <c r="UKU44" s="78"/>
      <c r="UKV44" s="78"/>
      <c r="UKW44" s="78"/>
      <c r="UKX44" s="78"/>
      <c r="UKY44" s="78"/>
      <c r="UKZ44" s="78"/>
      <c r="ULA44" s="78"/>
      <c r="ULB44" s="78"/>
      <c r="ULC44" s="78"/>
      <c r="ULD44" s="78"/>
      <c r="ULE44" s="78"/>
      <c r="ULF44" s="78"/>
      <c r="ULG44" s="78"/>
      <c r="ULH44" s="78"/>
      <c r="ULI44" s="78"/>
      <c r="ULJ44" s="78"/>
      <c r="ULK44" s="78"/>
      <c r="ULL44" s="78"/>
      <c r="ULM44" s="78"/>
      <c r="ULN44" s="78"/>
      <c r="ULO44" s="78"/>
      <c r="ULP44" s="78"/>
      <c r="ULQ44" s="78"/>
      <c r="ULR44" s="78"/>
      <c r="ULS44" s="78"/>
      <c r="ULT44" s="78"/>
      <c r="ULU44" s="78"/>
      <c r="ULV44" s="78"/>
      <c r="ULW44" s="78"/>
      <c r="ULX44" s="78"/>
      <c r="ULY44" s="78"/>
      <c r="ULZ44" s="78"/>
      <c r="UMA44" s="78"/>
      <c r="UMB44" s="78"/>
      <c r="UMC44" s="78"/>
      <c r="UMD44" s="78"/>
      <c r="UME44" s="78"/>
      <c r="UMF44" s="78"/>
      <c r="UMG44" s="78"/>
      <c r="UMH44" s="78"/>
      <c r="UMI44" s="78"/>
      <c r="UMJ44" s="78"/>
      <c r="UMK44" s="78"/>
      <c r="UML44" s="78"/>
      <c r="UMM44" s="78"/>
      <c r="UMN44" s="78"/>
      <c r="UMO44" s="78"/>
      <c r="UMP44" s="78"/>
      <c r="UMQ44" s="78"/>
      <c r="UMR44" s="78"/>
      <c r="UMS44" s="78"/>
      <c r="UMT44" s="78"/>
      <c r="UMU44" s="78"/>
      <c r="UMV44" s="78"/>
      <c r="UMW44" s="78"/>
      <c r="UMX44" s="78"/>
      <c r="UMY44" s="78"/>
      <c r="UMZ44" s="78"/>
      <c r="UNA44" s="78"/>
      <c r="UNB44" s="78"/>
      <c r="UNC44" s="78"/>
      <c r="UND44" s="78"/>
      <c r="UNE44" s="78"/>
      <c r="UNF44" s="78"/>
      <c r="UNG44" s="78"/>
      <c r="UNH44" s="78"/>
      <c r="UNI44" s="78"/>
      <c r="UNJ44" s="78"/>
      <c r="UNK44" s="78"/>
      <c r="UNL44" s="78"/>
      <c r="UNM44" s="78"/>
      <c r="UNN44" s="78"/>
      <c r="UNO44" s="78"/>
      <c r="UNP44" s="78"/>
      <c r="UNQ44" s="78"/>
      <c r="UNR44" s="78"/>
      <c r="UNS44" s="78"/>
      <c r="UNT44" s="78"/>
      <c r="UNU44" s="78"/>
      <c r="UNV44" s="78"/>
      <c r="UNW44" s="78"/>
      <c r="UNX44" s="78"/>
      <c r="UNY44" s="78"/>
      <c r="UNZ44" s="78"/>
      <c r="UOA44" s="78"/>
      <c r="UOB44" s="78"/>
      <c r="UOC44" s="78"/>
      <c r="UOD44" s="78"/>
      <c r="UOE44" s="78"/>
      <c r="UOF44" s="78"/>
      <c r="UOG44" s="78"/>
      <c r="UOH44" s="78"/>
      <c r="UOI44" s="78"/>
      <c r="UOJ44" s="78"/>
      <c r="UOK44" s="78"/>
      <c r="UOL44" s="78"/>
      <c r="UOM44" s="78"/>
      <c r="UON44" s="78"/>
      <c r="UOO44" s="78"/>
      <c r="UOP44" s="78"/>
      <c r="UOQ44" s="78"/>
      <c r="UOR44" s="78"/>
      <c r="UOS44" s="78"/>
      <c r="UOT44" s="78"/>
      <c r="UOU44" s="78"/>
      <c r="UOV44" s="78"/>
      <c r="UOW44" s="78"/>
      <c r="UOX44" s="78"/>
      <c r="UOY44" s="78"/>
      <c r="UOZ44" s="78"/>
      <c r="UPA44" s="78"/>
      <c r="UPB44" s="78"/>
      <c r="UPC44" s="78"/>
      <c r="UPD44" s="78"/>
      <c r="UPE44" s="78"/>
      <c r="UPF44" s="78"/>
      <c r="UPG44" s="78"/>
      <c r="UPH44" s="78"/>
      <c r="UPI44" s="78"/>
      <c r="UPJ44" s="78"/>
      <c r="UPK44" s="78"/>
      <c r="UPL44" s="78"/>
      <c r="UPM44" s="78"/>
      <c r="UPN44" s="78"/>
      <c r="UPO44" s="78"/>
      <c r="UPP44" s="78"/>
      <c r="UPQ44" s="78"/>
      <c r="UPR44" s="78"/>
      <c r="UPS44" s="78"/>
      <c r="UPT44" s="78"/>
      <c r="UPU44" s="78"/>
      <c r="UPV44" s="78"/>
      <c r="UPW44" s="78"/>
      <c r="UPX44" s="78"/>
      <c r="UPY44" s="78"/>
      <c r="UPZ44" s="78"/>
      <c r="UQA44" s="78"/>
      <c r="UQB44" s="78"/>
      <c r="UQC44" s="78"/>
      <c r="UQD44" s="78"/>
      <c r="UQE44" s="78"/>
      <c r="UQF44" s="78"/>
      <c r="UQG44" s="78"/>
      <c r="UQH44" s="78"/>
      <c r="UQI44" s="78"/>
      <c r="UQJ44" s="78"/>
      <c r="UQK44" s="78"/>
      <c r="UQL44" s="78"/>
      <c r="UQM44" s="78"/>
      <c r="UQN44" s="78"/>
      <c r="UQO44" s="78"/>
      <c r="UQP44" s="78"/>
      <c r="UQQ44" s="78"/>
      <c r="UQR44" s="78"/>
      <c r="UQS44" s="78"/>
      <c r="UQT44" s="78"/>
      <c r="UQU44" s="78"/>
      <c r="UQV44" s="78"/>
      <c r="UQW44" s="78"/>
      <c r="UQX44" s="78"/>
      <c r="UQY44" s="78"/>
      <c r="UQZ44" s="78"/>
      <c r="URA44" s="78"/>
      <c r="URB44" s="78"/>
      <c r="URC44" s="78"/>
      <c r="URD44" s="78"/>
      <c r="URE44" s="78"/>
      <c r="URF44" s="78"/>
      <c r="URG44" s="78"/>
      <c r="URH44" s="78"/>
      <c r="URI44" s="78"/>
      <c r="URJ44" s="78"/>
      <c r="URK44" s="78"/>
      <c r="URL44" s="78"/>
      <c r="URM44" s="78"/>
      <c r="URN44" s="78"/>
      <c r="URO44" s="78"/>
      <c r="URP44" s="78"/>
      <c r="URQ44" s="78"/>
      <c r="URR44" s="78"/>
      <c r="URS44" s="78"/>
      <c r="URT44" s="78"/>
      <c r="URU44" s="78"/>
      <c r="URV44" s="78"/>
      <c r="URW44" s="78"/>
      <c r="URX44" s="78"/>
      <c r="URY44" s="78"/>
      <c r="URZ44" s="78"/>
      <c r="USA44" s="78"/>
      <c r="USB44" s="78"/>
      <c r="USC44" s="78"/>
      <c r="USD44" s="78"/>
      <c r="USE44" s="78"/>
      <c r="USF44" s="78"/>
      <c r="USG44" s="78"/>
      <c r="USH44" s="78"/>
      <c r="USI44" s="78"/>
      <c r="USJ44" s="78"/>
      <c r="USK44" s="78"/>
      <c r="USL44" s="78"/>
      <c r="USM44" s="78"/>
      <c r="USN44" s="78"/>
      <c r="USO44" s="78"/>
      <c r="USP44" s="78"/>
      <c r="USQ44" s="78"/>
      <c r="USR44" s="78"/>
      <c r="USS44" s="78"/>
      <c r="UST44" s="78"/>
      <c r="USU44" s="78"/>
      <c r="USV44" s="78"/>
      <c r="USW44" s="78"/>
      <c r="USX44" s="78"/>
      <c r="USY44" s="78"/>
      <c r="USZ44" s="78"/>
      <c r="UTA44" s="78"/>
      <c r="UTB44" s="78"/>
      <c r="UTC44" s="78"/>
      <c r="UTD44" s="78"/>
      <c r="UTE44" s="78"/>
      <c r="UTF44" s="78"/>
      <c r="UTG44" s="78"/>
      <c r="UTH44" s="78"/>
      <c r="UTI44" s="78"/>
      <c r="UTJ44" s="78"/>
      <c r="UTK44" s="78"/>
      <c r="UTL44" s="78"/>
      <c r="UTM44" s="78"/>
      <c r="UTN44" s="78"/>
      <c r="UTO44" s="78"/>
      <c r="UTP44" s="78"/>
      <c r="UTQ44" s="78"/>
      <c r="UTR44" s="78"/>
      <c r="UTS44" s="78"/>
      <c r="UTT44" s="78"/>
      <c r="UTU44" s="78"/>
      <c r="UTV44" s="78"/>
      <c r="UTW44" s="78"/>
      <c r="UTX44" s="78"/>
      <c r="UTY44" s="78"/>
      <c r="UTZ44" s="78"/>
      <c r="UUA44" s="78"/>
      <c r="UUB44" s="78"/>
      <c r="UUC44" s="78"/>
      <c r="UUD44" s="78"/>
      <c r="UUE44" s="78"/>
      <c r="UUF44" s="78"/>
      <c r="UUG44" s="78"/>
      <c r="UUH44" s="78"/>
      <c r="UUI44" s="78"/>
      <c r="UUJ44" s="78"/>
      <c r="UUK44" s="78"/>
      <c r="UUL44" s="78"/>
      <c r="UUM44" s="78"/>
      <c r="UUN44" s="78"/>
      <c r="UUO44" s="78"/>
      <c r="UUP44" s="78"/>
      <c r="UUQ44" s="78"/>
      <c r="UUR44" s="78"/>
      <c r="UUS44" s="78"/>
      <c r="UUT44" s="78"/>
      <c r="UUU44" s="78"/>
      <c r="UUV44" s="78"/>
      <c r="UUW44" s="78"/>
      <c r="UUX44" s="78"/>
      <c r="UUY44" s="78"/>
      <c r="UUZ44" s="78"/>
      <c r="UVA44" s="78"/>
      <c r="UVB44" s="78"/>
      <c r="UVC44" s="78"/>
      <c r="UVD44" s="78"/>
      <c r="UVE44" s="78"/>
      <c r="UVF44" s="78"/>
      <c r="UVG44" s="78"/>
      <c r="UVH44" s="78"/>
      <c r="UVI44" s="78"/>
      <c r="UVJ44" s="78"/>
      <c r="UVK44" s="78"/>
      <c r="UVL44" s="78"/>
      <c r="UVM44" s="78"/>
      <c r="UVN44" s="78"/>
      <c r="UVO44" s="78"/>
      <c r="UVP44" s="78"/>
      <c r="UVQ44" s="78"/>
      <c r="UVR44" s="78"/>
      <c r="UVS44" s="78"/>
      <c r="UVT44" s="78"/>
      <c r="UVU44" s="78"/>
      <c r="UVV44" s="78"/>
      <c r="UVW44" s="78"/>
      <c r="UVX44" s="78"/>
      <c r="UVY44" s="78"/>
      <c r="UVZ44" s="78"/>
      <c r="UWA44" s="78"/>
      <c r="UWB44" s="78"/>
      <c r="UWC44" s="78"/>
      <c r="UWD44" s="78"/>
      <c r="UWE44" s="78"/>
      <c r="UWF44" s="78"/>
      <c r="UWG44" s="78"/>
      <c r="UWH44" s="78"/>
      <c r="UWI44" s="78"/>
      <c r="UWJ44" s="78"/>
      <c r="UWK44" s="78"/>
      <c r="UWL44" s="78"/>
      <c r="UWM44" s="78"/>
      <c r="UWN44" s="78"/>
      <c r="UWO44" s="78"/>
      <c r="UWP44" s="78"/>
      <c r="UWQ44" s="78"/>
      <c r="UWR44" s="78"/>
      <c r="UWS44" s="78"/>
      <c r="UWT44" s="78"/>
      <c r="UWU44" s="78"/>
      <c r="UWV44" s="78"/>
      <c r="UWW44" s="78"/>
      <c r="UWX44" s="78"/>
      <c r="UWY44" s="78"/>
      <c r="UWZ44" s="78"/>
      <c r="UXA44" s="78"/>
      <c r="UXB44" s="78"/>
      <c r="UXC44" s="78"/>
      <c r="UXD44" s="78"/>
      <c r="UXE44" s="78"/>
      <c r="UXF44" s="78"/>
      <c r="UXG44" s="78"/>
      <c r="UXH44" s="78"/>
      <c r="UXI44" s="78"/>
      <c r="UXJ44" s="78"/>
      <c r="UXK44" s="78"/>
      <c r="UXL44" s="78"/>
      <c r="UXM44" s="78"/>
      <c r="UXN44" s="78"/>
      <c r="UXO44" s="78"/>
      <c r="UXP44" s="78"/>
      <c r="UXQ44" s="78"/>
      <c r="UXR44" s="78"/>
      <c r="UXS44" s="78"/>
      <c r="UXT44" s="78"/>
      <c r="UXU44" s="78"/>
      <c r="UXV44" s="78"/>
      <c r="UXW44" s="78"/>
      <c r="UXX44" s="78"/>
      <c r="UXY44" s="78"/>
      <c r="UXZ44" s="78"/>
      <c r="UYA44" s="78"/>
      <c r="UYB44" s="78"/>
      <c r="UYC44" s="78"/>
      <c r="UYD44" s="78"/>
      <c r="UYE44" s="78"/>
      <c r="UYF44" s="78"/>
      <c r="UYG44" s="78"/>
      <c r="UYH44" s="78"/>
      <c r="UYI44" s="78"/>
      <c r="UYJ44" s="78"/>
      <c r="UYK44" s="78"/>
      <c r="UYL44" s="78"/>
      <c r="UYM44" s="78"/>
      <c r="UYN44" s="78"/>
      <c r="UYO44" s="78"/>
      <c r="UYP44" s="78"/>
      <c r="UYQ44" s="78"/>
      <c r="UYR44" s="78"/>
      <c r="UYS44" s="78"/>
      <c r="UYT44" s="78"/>
      <c r="UYU44" s="78"/>
      <c r="UYV44" s="78"/>
      <c r="UYW44" s="78"/>
      <c r="UYX44" s="78"/>
      <c r="UYY44" s="78"/>
      <c r="UYZ44" s="78"/>
      <c r="UZA44" s="78"/>
      <c r="UZB44" s="78"/>
      <c r="UZC44" s="78"/>
      <c r="UZD44" s="78"/>
      <c r="UZE44" s="78"/>
      <c r="UZF44" s="78"/>
      <c r="UZG44" s="78"/>
      <c r="UZH44" s="78"/>
      <c r="UZI44" s="78"/>
      <c r="UZJ44" s="78"/>
      <c r="UZK44" s="78"/>
      <c r="UZL44" s="78"/>
      <c r="UZM44" s="78"/>
      <c r="UZN44" s="78"/>
      <c r="UZO44" s="78"/>
      <c r="UZP44" s="78"/>
      <c r="UZQ44" s="78"/>
      <c r="UZR44" s="78"/>
      <c r="UZS44" s="78"/>
      <c r="UZT44" s="78"/>
      <c r="UZU44" s="78"/>
      <c r="UZV44" s="78"/>
      <c r="UZW44" s="78"/>
      <c r="UZX44" s="78"/>
      <c r="UZY44" s="78"/>
      <c r="UZZ44" s="78"/>
      <c r="VAA44" s="78"/>
      <c r="VAB44" s="78"/>
      <c r="VAC44" s="78"/>
      <c r="VAD44" s="78"/>
      <c r="VAE44" s="78"/>
      <c r="VAF44" s="78"/>
      <c r="VAG44" s="78"/>
      <c r="VAH44" s="78"/>
      <c r="VAI44" s="78"/>
      <c r="VAJ44" s="78"/>
      <c r="VAK44" s="78"/>
      <c r="VAL44" s="78"/>
      <c r="VAM44" s="78"/>
      <c r="VAN44" s="78"/>
      <c r="VAO44" s="78"/>
      <c r="VAP44" s="78"/>
      <c r="VAQ44" s="78"/>
      <c r="VAR44" s="78"/>
      <c r="VAS44" s="78"/>
      <c r="VAT44" s="78"/>
      <c r="VAU44" s="78"/>
      <c r="VAV44" s="78"/>
      <c r="VAW44" s="78"/>
      <c r="VAX44" s="78"/>
      <c r="VAY44" s="78"/>
      <c r="VAZ44" s="78"/>
      <c r="VBA44" s="78"/>
      <c r="VBB44" s="78"/>
      <c r="VBC44" s="78"/>
      <c r="VBD44" s="78"/>
      <c r="VBE44" s="78"/>
      <c r="VBF44" s="78"/>
      <c r="VBG44" s="78"/>
      <c r="VBH44" s="78"/>
      <c r="VBI44" s="78"/>
      <c r="VBJ44" s="78"/>
      <c r="VBK44" s="78"/>
      <c r="VBL44" s="78"/>
      <c r="VBM44" s="78"/>
      <c r="VBN44" s="78"/>
      <c r="VBO44" s="78"/>
      <c r="VBP44" s="78"/>
      <c r="VBQ44" s="78"/>
      <c r="VBR44" s="78"/>
      <c r="VBS44" s="78"/>
      <c r="VBT44" s="78"/>
      <c r="VBU44" s="78"/>
      <c r="VBV44" s="78"/>
      <c r="VBW44" s="78"/>
      <c r="VBX44" s="78"/>
      <c r="VBY44" s="78"/>
      <c r="VBZ44" s="78"/>
      <c r="VCA44" s="78"/>
      <c r="VCB44" s="78"/>
      <c r="VCC44" s="78"/>
      <c r="VCD44" s="78"/>
      <c r="VCE44" s="78"/>
      <c r="VCF44" s="78"/>
      <c r="VCG44" s="78"/>
      <c r="VCH44" s="78"/>
      <c r="VCI44" s="78"/>
      <c r="VCJ44" s="78"/>
      <c r="VCK44" s="78"/>
      <c r="VCL44" s="78"/>
      <c r="VCM44" s="78"/>
      <c r="VCN44" s="78"/>
      <c r="VCO44" s="78"/>
      <c r="VCP44" s="78"/>
      <c r="VCQ44" s="78"/>
      <c r="VCR44" s="78"/>
      <c r="VCS44" s="78"/>
      <c r="VCT44" s="78"/>
      <c r="VCU44" s="78"/>
      <c r="VCV44" s="78"/>
      <c r="VCW44" s="78"/>
      <c r="VCX44" s="78"/>
      <c r="VCY44" s="78"/>
      <c r="VCZ44" s="78"/>
      <c r="VDA44" s="78"/>
      <c r="VDB44" s="78"/>
      <c r="VDC44" s="78"/>
      <c r="VDD44" s="78"/>
      <c r="VDE44" s="78"/>
      <c r="VDF44" s="78"/>
      <c r="VDG44" s="78"/>
      <c r="VDH44" s="78"/>
      <c r="VDI44" s="78"/>
      <c r="VDJ44" s="78"/>
      <c r="VDK44" s="78"/>
      <c r="VDL44" s="78"/>
      <c r="VDM44" s="78"/>
      <c r="VDN44" s="78"/>
      <c r="VDO44" s="78"/>
      <c r="VDP44" s="78"/>
      <c r="VDQ44" s="78"/>
      <c r="VDR44" s="78"/>
      <c r="VDS44" s="78"/>
      <c r="VDT44" s="78"/>
      <c r="VDU44" s="78"/>
      <c r="VDV44" s="78"/>
      <c r="VDW44" s="78"/>
      <c r="VDX44" s="78"/>
      <c r="VDY44" s="78"/>
      <c r="VDZ44" s="78"/>
      <c r="VEA44" s="78"/>
      <c r="VEB44" s="78"/>
      <c r="VEC44" s="78"/>
      <c r="VED44" s="78"/>
      <c r="VEE44" s="78"/>
      <c r="VEF44" s="78"/>
      <c r="VEG44" s="78"/>
      <c r="VEH44" s="78"/>
      <c r="VEI44" s="78"/>
      <c r="VEJ44" s="78"/>
      <c r="VEK44" s="78"/>
      <c r="VEL44" s="78"/>
      <c r="VEM44" s="78"/>
      <c r="VEN44" s="78"/>
      <c r="VEO44" s="78"/>
      <c r="VEP44" s="78"/>
      <c r="VEQ44" s="78"/>
      <c r="VER44" s="78"/>
      <c r="VES44" s="78"/>
      <c r="VET44" s="78"/>
      <c r="VEU44" s="78"/>
      <c r="VEV44" s="78"/>
      <c r="VEW44" s="78"/>
      <c r="VEX44" s="78"/>
      <c r="VEY44" s="78"/>
      <c r="VEZ44" s="78"/>
      <c r="VFA44" s="78"/>
      <c r="VFB44" s="78"/>
      <c r="VFC44" s="78"/>
      <c r="VFD44" s="78"/>
      <c r="VFE44" s="78"/>
      <c r="VFF44" s="78"/>
      <c r="VFG44" s="78"/>
      <c r="VFH44" s="78"/>
      <c r="VFI44" s="78"/>
      <c r="VFJ44" s="78"/>
      <c r="VFK44" s="78"/>
      <c r="VFL44" s="78"/>
      <c r="VFM44" s="78"/>
      <c r="VFN44" s="78"/>
      <c r="VFO44" s="78"/>
      <c r="VFP44" s="78"/>
      <c r="VFQ44" s="78"/>
      <c r="VFR44" s="78"/>
      <c r="VFS44" s="78"/>
      <c r="VFT44" s="78"/>
      <c r="VFU44" s="78"/>
      <c r="VFV44" s="78"/>
      <c r="VFW44" s="78"/>
      <c r="VFX44" s="78"/>
      <c r="VFY44" s="78"/>
      <c r="VFZ44" s="78"/>
      <c r="VGA44" s="78"/>
      <c r="VGB44" s="78"/>
      <c r="VGC44" s="78"/>
      <c r="VGD44" s="78"/>
      <c r="VGE44" s="78"/>
      <c r="VGF44" s="78"/>
      <c r="VGG44" s="78"/>
      <c r="VGH44" s="78"/>
      <c r="VGI44" s="78"/>
      <c r="VGJ44" s="78"/>
      <c r="VGK44" s="78"/>
      <c r="VGL44" s="78"/>
      <c r="VGM44" s="78"/>
      <c r="VGN44" s="78"/>
      <c r="VGO44" s="78"/>
      <c r="VGP44" s="78"/>
      <c r="VGQ44" s="78"/>
      <c r="VGR44" s="78"/>
      <c r="VGS44" s="78"/>
      <c r="VGT44" s="78"/>
      <c r="VGU44" s="78"/>
      <c r="VGV44" s="78"/>
      <c r="VGW44" s="78"/>
      <c r="VGX44" s="78"/>
      <c r="VGY44" s="78"/>
      <c r="VGZ44" s="78"/>
      <c r="VHA44" s="78"/>
      <c r="VHB44" s="78"/>
      <c r="VHC44" s="78"/>
      <c r="VHD44" s="78"/>
      <c r="VHE44" s="78"/>
      <c r="VHF44" s="78"/>
      <c r="VHG44" s="78"/>
      <c r="VHH44" s="78"/>
      <c r="VHI44" s="78"/>
      <c r="VHJ44" s="78"/>
      <c r="VHK44" s="78"/>
      <c r="VHL44" s="78"/>
      <c r="VHM44" s="78"/>
      <c r="VHN44" s="78"/>
      <c r="VHO44" s="78"/>
      <c r="VHP44" s="78"/>
      <c r="VHQ44" s="78"/>
      <c r="VHR44" s="78"/>
      <c r="VHS44" s="78"/>
      <c r="VHT44" s="78"/>
      <c r="VHU44" s="78"/>
      <c r="VHV44" s="78"/>
      <c r="VHW44" s="78"/>
      <c r="VHX44" s="78"/>
      <c r="VHY44" s="78"/>
      <c r="VHZ44" s="78"/>
      <c r="VIA44" s="78"/>
      <c r="VIB44" s="78"/>
      <c r="VIC44" s="78"/>
      <c r="VID44" s="78"/>
      <c r="VIE44" s="78"/>
      <c r="VIF44" s="78"/>
      <c r="VIG44" s="78"/>
      <c r="VIH44" s="78"/>
      <c r="VII44" s="78"/>
      <c r="VIJ44" s="78"/>
      <c r="VIK44" s="78"/>
      <c r="VIL44" s="78"/>
      <c r="VIM44" s="78"/>
      <c r="VIN44" s="78"/>
      <c r="VIO44" s="78"/>
      <c r="VIP44" s="78"/>
      <c r="VIQ44" s="78"/>
      <c r="VIR44" s="78"/>
      <c r="VIS44" s="78"/>
      <c r="VIT44" s="78"/>
      <c r="VIU44" s="78"/>
      <c r="VIV44" s="78"/>
      <c r="VIW44" s="78"/>
      <c r="VIX44" s="78"/>
      <c r="VIY44" s="78"/>
      <c r="VIZ44" s="78"/>
      <c r="VJA44" s="78"/>
      <c r="VJB44" s="78"/>
      <c r="VJC44" s="78"/>
      <c r="VJD44" s="78"/>
      <c r="VJE44" s="78"/>
      <c r="VJF44" s="78"/>
      <c r="VJG44" s="78"/>
      <c r="VJH44" s="78"/>
      <c r="VJI44" s="78"/>
      <c r="VJJ44" s="78"/>
      <c r="VJK44" s="78"/>
      <c r="VJL44" s="78"/>
      <c r="VJM44" s="78"/>
      <c r="VJN44" s="78"/>
      <c r="VJO44" s="78"/>
      <c r="VJP44" s="78"/>
      <c r="VJQ44" s="78"/>
      <c r="VJR44" s="78"/>
      <c r="VJS44" s="78"/>
      <c r="VJT44" s="78"/>
      <c r="VJU44" s="78"/>
      <c r="VJV44" s="78"/>
      <c r="VJW44" s="78"/>
      <c r="VJX44" s="78"/>
      <c r="VJY44" s="78"/>
      <c r="VJZ44" s="78"/>
      <c r="VKA44" s="78"/>
      <c r="VKB44" s="78"/>
      <c r="VKC44" s="78"/>
      <c r="VKD44" s="78"/>
      <c r="VKE44" s="78"/>
      <c r="VKF44" s="78"/>
      <c r="VKG44" s="78"/>
      <c r="VKH44" s="78"/>
      <c r="VKI44" s="78"/>
      <c r="VKJ44" s="78"/>
      <c r="VKK44" s="78"/>
      <c r="VKL44" s="78"/>
      <c r="VKM44" s="78"/>
      <c r="VKN44" s="78"/>
      <c r="VKO44" s="78"/>
      <c r="VKP44" s="78"/>
      <c r="VKQ44" s="78"/>
      <c r="VKR44" s="78"/>
      <c r="VKS44" s="78"/>
      <c r="VKT44" s="78"/>
      <c r="VKU44" s="78"/>
      <c r="VKV44" s="78"/>
      <c r="VKW44" s="78"/>
      <c r="VKX44" s="78"/>
      <c r="VKY44" s="78"/>
      <c r="VKZ44" s="78"/>
      <c r="VLA44" s="78"/>
      <c r="VLB44" s="78"/>
      <c r="VLC44" s="78"/>
      <c r="VLD44" s="78"/>
      <c r="VLE44" s="78"/>
      <c r="VLF44" s="78"/>
      <c r="VLG44" s="78"/>
      <c r="VLH44" s="78"/>
      <c r="VLI44" s="78"/>
      <c r="VLJ44" s="78"/>
      <c r="VLK44" s="78"/>
      <c r="VLL44" s="78"/>
      <c r="VLM44" s="78"/>
      <c r="VLN44" s="78"/>
      <c r="VLO44" s="78"/>
      <c r="VLP44" s="78"/>
      <c r="VLQ44" s="78"/>
      <c r="VLR44" s="78"/>
      <c r="VLS44" s="78"/>
      <c r="VLT44" s="78"/>
      <c r="VLU44" s="78"/>
      <c r="VLV44" s="78"/>
      <c r="VLW44" s="78"/>
      <c r="VLX44" s="78"/>
      <c r="VLY44" s="78"/>
      <c r="VLZ44" s="78"/>
      <c r="VMA44" s="78"/>
      <c r="VMB44" s="78"/>
      <c r="VMC44" s="78"/>
      <c r="VMD44" s="78"/>
      <c r="VME44" s="78"/>
      <c r="VMF44" s="78"/>
      <c r="VMG44" s="78"/>
      <c r="VMH44" s="78"/>
      <c r="VMI44" s="78"/>
      <c r="VMJ44" s="78"/>
      <c r="VMK44" s="78"/>
      <c r="VML44" s="78"/>
      <c r="VMM44" s="78"/>
      <c r="VMN44" s="78"/>
      <c r="VMO44" s="78"/>
      <c r="VMP44" s="78"/>
      <c r="VMQ44" s="78"/>
      <c r="VMR44" s="78"/>
      <c r="VMS44" s="78"/>
      <c r="VMT44" s="78"/>
      <c r="VMU44" s="78"/>
      <c r="VMV44" s="78"/>
      <c r="VMW44" s="78"/>
      <c r="VMX44" s="78"/>
      <c r="VMY44" s="78"/>
      <c r="VMZ44" s="78"/>
      <c r="VNA44" s="78"/>
      <c r="VNB44" s="78"/>
      <c r="VNC44" s="78"/>
      <c r="VND44" s="78"/>
      <c r="VNE44" s="78"/>
      <c r="VNF44" s="78"/>
      <c r="VNG44" s="78"/>
      <c r="VNH44" s="78"/>
      <c r="VNI44" s="78"/>
      <c r="VNJ44" s="78"/>
      <c r="VNK44" s="78"/>
      <c r="VNL44" s="78"/>
      <c r="VNM44" s="78"/>
      <c r="VNN44" s="78"/>
      <c r="VNO44" s="78"/>
      <c r="VNP44" s="78"/>
      <c r="VNQ44" s="78"/>
      <c r="VNR44" s="78"/>
      <c r="VNS44" s="78"/>
      <c r="VNT44" s="78"/>
      <c r="VNU44" s="78"/>
      <c r="VNV44" s="78"/>
      <c r="VNW44" s="78"/>
      <c r="VNX44" s="78"/>
      <c r="VNY44" s="78"/>
      <c r="VNZ44" s="78"/>
      <c r="VOA44" s="78"/>
      <c r="VOB44" s="78"/>
      <c r="VOC44" s="78"/>
      <c r="VOD44" s="78"/>
      <c r="VOE44" s="78"/>
      <c r="VOF44" s="78"/>
      <c r="VOG44" s="78"/>
      <c r="VOH44" s="78"/>
      <c r="VOI44" s="78"/>
      <c r="VOJ44" s="78"/>
      <c r="VOK44" s="78"/>
      <c r="VOL44" s="78"/>
      <c r="VOM44" s="78"/>
      <c r="VON44" s="78"/>
      <c r="VOO44" s="78"/>
      <c r="VOP44" s="78"/>
      <c r="VOQ44" s="78"/>
      <c r="VOR44" s="78"/>
      <c r="VOS44" s="78"/>
      <c r="VOT44" s="78"/>
      <c r="VOU44" s="78"/>
      <c r="VOV44" s="78"/>
      <c r="VOW44" s="78"/>
      <c r="VOX44" s="78"/>
      <c r="VOY44" s="78"/>
      <c r="VOZ44" s="78"/>
      <c r="VPA44" s="78"/>
      <c r="VPB44" s="78"/>
      <c r="VPC44" s="78"/>
      <c r="VPD44" s="78"/>
      <c r="VPE44" s="78"/>
      <c r="VPF44" s="78"/>
      <c r="VPG44" s="78"/>
      <c r="VPH44" s="78"/>
      <c r="VPI44" s="78"/>
      <c r="VPJ44" s="78"/>
      <c r="VPK44" s="78"/>
      <c r="VPL44" s="78"/>
      <c r="VPM44" s="78"/>
      <c r="VPN44" s="78"/>
      <c r="VPO44" s="78"/>
      <c r="VPP44" s="78"/>
      <c r="VPQ44" s="78"/>
      <c r="VPR44" s="78"/>
      <c r="VPS44" s="78"/>
      <c r="VPT44" s="78"/>
      <c r="VPU44" s="78"/>
      <c r="VPV44" s="78"/>
      <c r="VPW44" s="78"/>
      <c r="VPX44" s="78"/>
      <c r="VPY44" s="78"/>
      <c r="VPZ44" s="78"/>
      <c r="VQA44" s="78"/>
      <c r="VQB44" s="78"/>
      <c r="VQC44" s="78"/>
      <c r="VQD44" s="78"/>
      <c r="VQE44" s="78"/>
      <c r="VQF44" s="78"/>
      <c r="VQG44" s="78"/>
      <c r="VQH44" s="78"/>
      <c r="VQI44" s="78"/>
      <c r="VQJ44" s="78"/>
      <c r="VQK44" s="78"/>
      <c r="VQL44" s="78"/>
      <c r="VQM44" s="78"/>
      <c r="VQN44" s="78"/>
      <c r="VQO44" s="78"/>
      <c r="VQP44" s="78"/>
      <c r="VQQ44" s="78"/>
      <c r="VQR44" s="78"/>
      <c r="VQS44" s="78"/>
      <c r="VQT44" s="78"/>
      <c r="VQU44" s="78"/>
      <c r="VQV44" s="78"/>
      <c r="VQW44" s="78"/>
      <c r="VQX44" s="78"/>
      <c r="VQY44" s="78"/>
      <c r="VQZ44" s="78"/>
      <c r="VRA44" s="78"/>
      <c r="VRB44" s="78"/>
      <c r="VRC44" s="78"/>
      <c r="VRD44" s="78"/>
      <c r="VRE44" s="78"/>
      <c r="VRF44" s="78"/>
      <c r="VRG44" s="78"/>
      <c r="VRH44" s="78"/>
      <c r="VRI44" s="78"/>
      <c r="VRJ44" s="78"/>
      <c r="VRK44" s="78"/>
      <c r="VRL44" s="78"/>
      <c r="VRM44" s="78"/>
      <c r="VRN44" s="78"/>
      <c r="VRO44" s="78"/>
      <c r="VRP44" s="78"/>
      <c r="VRQ44" s="78"/>
      <c r="VRR44" s="78"/>
      <c r="VRS44" s="78"/>
      <c r="VRT44" s="78"/>
      <c r="VRU44" s="78"/>
      <c r="VRV44" s="78"/>
      <c r="VRW44" s="78"/>
      <c r="VRX44" s="78"/>
      <c r="VRY44" s="78"/>
      <c r="VRZ44" s="78"/>
      <c r="VSA44" s="78"/>
      <c r="VSB44" s="78"/>
      <c r="VSC44" s="78"/>
      <c r="VSD44" s="78"/>
      <c r="VSE44" s="78"/>
      <c r="VSF44" s="78"/>
      <c r="VSG44" s="78"/>
      <c r="VSH44" s="78"/>
      <c r="VSI44" s="78"/>
      <c r="VSJ44" s="78"/>
      <c r="VSK44" s="78"/>
      <c r="VSL44" s="78"/>
      <c r="VSM44" s="78"/>
      <c r="VSN44" s="78"/>
      <c r="VSO44" s="78"/>
      <c r="VSP44" s="78"/>
      <c r="VSQ44" s="78"/>
      <c r="VSR44" s="78"/>
      <c r="VSS44" s="78"/>
      <c r="VST44" s="78"/>
      <c r="VSU44" s="78"/>
      <c r="VSV44" s="78"/>
      <c r="VSW44" s="78"/>
      <c r="VSX44" s="78"/>
      <c r="VSY44" s="78"/>
      <c r="VSZ44" s="78"/>
      <c r="VTA44" s="78"/>
      <c r="VTB44" s="78"/>
      <c r="VTC44" s="78"/>
      <c r="VTD44" s="78"/>
      <c r="VTE44" s="78"/>
      <c r="VTF44" s="78"/>
      <c r="VTG44" s="78"/>
      <c r="VTH44" s="78"/>
      <c r="VTI44" s="78"/>
      <c r="VTJ44" s="78"/>
      <c r="VTK44" s="78"/>
      <c r="VTL44" s="78"/>
      <c r="VTM44" s="78"/>
      <c r="VTN44" s="78"/>
      <c r="VTO44" s="78"/>
      <c r="VTP44" s="78"/>
      <c r="VTQ44" s="78"/>
      <c r="VTR44" s="78"/>
      <c r="VTS44" s="78"/>
      <c r="VTT44" s="78"/>
      <c r="VTU44" s="78"/>
      <c r="VTV44" s="78"/>
      <c r="VTW44" s="78"/>
      <c r="VTX44" s="78"/>
      <c r="VTY44" s="78"/>
      <c r="VTZ44" s="78"/>
      <c r="VUA44" s="78"/>
      <c r="VUB44" s="78"/>
      <c r="VUC44" s="78"/>
      <c r="VUD44" s="78"/>
      <c r="VUE44" s="78"/>
      <c r="VUF44" s="78"/>
      <c r="VUG44" s="78"/>
      <c r="VUH44" s="78"/>
      <c r="VUI44" s="78"/>
      <c r="VUJ44" s="78"/>
      <c r="VUK44" s="78"/>
      <c r="VUL44" s="78"/>
      <c r="VUM44" s="78"/>
      <c r="VUN44" s="78"/>
      <c r="VUO44" s="78"/>
      <c r="VUP44" s="78"/>
      <c r="VUQ44" s="78"/>
      <c r="VUR44" s="78"/>
      <c r="VUS44" s="78"/>
      <c r="VUT44" s="78"/>
      <c r="VUU44" s="78"/>
      <c r="VUV44" s="78"/>
      <c r="VUW44" s="78"/>
      <c r="VUX44" s="78"/>
      <c r="VUY44" s="78"/>
      <c r="VUZ44" s="78"/>
      <c r="VVA44" s="78"/>
      <c r="VVB44" s="78"/>
      <c r="VVC44" s="78"/>
      <c r="VVD44" s="78"/>
      <c r="VVE44" s="78"/>
      <c r="VVF44" s="78"/>
      <c r="VVG44" s="78"/>
      <c r="VVH44" s="78"/>
      <c r="VVI44" s="78"/>
      <c r="VVJ44" s="78"/>
      <c r="VVK44" s="78"/>
      <c r="VVL44" s="78"/>
      <c r="VVM44" s="78"/>
      <c r="VVN44" s="78"/>
      <c r="VVO44" s="78"/>
      <c r="VVP44" s="78"/>
      <c r="VVQ44" s="78"/>
      <c r="VVR44" s="78"/>
      <c r="VVS44" s="78"/>
      <c r="VVT44" s="78"/>
      <c r="VVU44" s="78"/>
      <c r="VVV44" s="78"/>
      <c r="VVW44" s="78"/>
      <c r="VVX44" s="78"/>
      <c r="VVY44" s="78"/>
      <c r="VVZ44" s="78"/>
      <c r="VWA44" s="78"/>
      <c r="VWB44" s="78"/>
      <c r="VWC44" s="78"/>
      <c r="VWD44" s="78"/>
      <c r="VWE44" s="78"/>
      <c r="VWF44" s="78"/>
      <c r="VWG44" s="78"/>
      <c r="VWH44" s="78"/>
      <c r="VWI44" s="78"/>
      <c r="VWJ44" s="78"/>
      <c r="VWK44" s="78"/>
      <c r="VWL44" s="78"/>
      <c r="VWM44" s="78"/>
      <c r="VWN44" s="78"/>
      <c r="VWO44" s="78"/>
      <c r="VWP44" s="78"/>
      <c r="VWQ44" s="78"/>
      <c r="VWR44" s="78"/>
      <c r="VWS44" s="78"/>
      <c r="VWT44" s="78"/>
      <c r="VWU44" s="78"/>
      <c r="VWV44" s="78"/>
      <c r="VWW44" s="78"/>
      <c r="VWX44" s="78"/>
      <c r="VWY44" s="78"/>
      <c r="VWZ44" s="78"/>
      <c r="VXA44" s="78"/>
      <c r="VXB44" s="78"/>
      <c r="VXC44" s="78"/>
      <c r="VXD44" s="78"/>
      <c r="VXE44" s="78"/>
      <c r="VXF44" s="78"/>
      <c r="VXG44" s="78"/>
      <c r="VXH44" s="78"/>
      <c r="VXI44" s="78"/>
      <c r="VXJ44" s="78"/>
      <c r="VXK44" s="78"/>
      <c r="VXL44" s="78"/>
      <c r="VXM44" s="78"/>
      <c r="VXN44" s="78"/>
      <c r="VXO44" s="78"/>
      <c r="VXP44" s="78"/>
      <c r="VXQ44" s="78"/>
      <c r="VXR44" s="78"/>
      <c r="VXS44" s="78"/>
      <c r="VXT44" s="78"/>
      <c r="VXU44" s="78"/>
      <c r="VXV44" s="78"/>
      <c r="VXW44" s="78"/>
      <c r="VXX44" s="78"/>
      <c r="VXY44" s="78"/>
      <c r="VXZ44" s="78"/>
      <c r="VYA44" s="78"/>
      <c r="VYB44" s="78"/>
      <c r="VYC44" s="78"/>
      <c r="VYD44" s="78"/>
      <c r="VYE44" s="78"/>
      <c r="VYF44" s="78"/>
      <c r="VYG44" s="78"/>
      <c r="VYH44" s="78"/>
      <c r="VYI44" s="78"/>
      <c r="VYJ44" s="78"/>
      <c r="VYK44" s="78"/>
      <c r="VYL44" s="78"/>
      <c r="VYM44" s="78"/>
      <c r="VYN44" s="78"/>
      <c r="VYO44" s="78"/>
      <c r="VYP44" s="78"/>
      <c r="VYQ44" s="78"/>
      <c r="VYR44" s="78"/>
      <c r="VYS44" s="78"/>
      <c r="VYT44" s="78"/>
      <c r="VYU44" s="78"/>
      <c r="VYV44" s="78"/>
      <c r="VYW44" s="78"/>
      <c r="VYX44" s="78"/>
      <c r="VYY44" s="78"/>
      <c r="VYZ44" s="78"/>
      <c r="VZA44" s="78"/>
      <c r="VZB44" s="78"/>
      <c r="VZC44" s="78"/>
      <c r="VZD44" s="78"/>
      <c r="VZE44" s="78"/>
      <c r="VZF44" s="78"/>
      <c r="VZG44" s="78"/>
      <c r="VZH44" s="78"/>
      <c r="VZI44" s="78"/>
      <c r="VZJ44" s="78"/>
      <c r="VZK44" s="78"/>
      <c r="VZL44" s="78"/>
      <c r="VZM44" s="78"/>
      <c r="VZN44" s="78"/>
      <c r="VZO44" s="78"/>
      <c r="VZP44" s="78"/>
      <c r="VZQ44" s="78"/>
      <c r="VZR44" s="78"/>
      <c r="VZS44" s="78"/>
      <c r="VZT44" s="78"/>
      <c r="VZU44" s="78"/>
      <c r="VZV44" s="78"/>
      <c r="VZW44" s="78"/>
      <c r="VZX44" s="78"/>
      <c r="VZY44" s="78"/>
      <c r="VZZ44" s="78"/>
      <c r="WAA44" s="78"/>
      <c r="WAB44" s="78"/>
      <c r="WAC44" s="78"/>
      <c r="WAD44" s="78"/>
      <c r="WAE44" s="78"/>
      <c r="WAF44" s="78"/>
      <c r="WAG44" s="78"/>
      <c r="WAH44" s="78"/>
      <c r="WAI44" s="78"/>
      <c r="WAJ44" s="78"/>
      <c r="WAK44" s="78"/>
      <c r="WAL44" s="78"/>
      <c r="WAM44" s="78"/>
      <c r="WAN44" s="78"/>
      <c r="WAO44" s="78"/>
      <c r="WAP44" s="78"/>
      <c r="WAQ44" s="78"/>
      <c r="WAR44" s="78"/>
      <c r="WAS44" s="78"/>
      <c r="WAT44" s="78"/>
      <c r="WAU44" s="78"/>
      <c r="WAV44" s="78"/>
      <c r="WAW44" s="78"/>
      <c r="WAX44" s="78"/>
      <c r="WAY44" s="78"/>
      <c r="WAZ44" s="78"/>
      <c r="WBA44" s="78"/>
      <c r="WBB44" s="78"/>
      <c r="WBC44" s="78"/>
      <c r="WBD44" s="78"/>
      <c r="WBE44" s="78"/>
      <c r="WBF44" s="78"/>
      <c r="WBG44" s="78"/>
      <c r="WBH44" s="78"/>
      <c r="WBI44" s="78"/>
      <c r="WBJ44" s="78"/>
      <c r="WBK44" s="78"/>
      <c r="WBL44" s="78"/>
      <c r="WBM44" s="78"/>
      <c r="WBN44" s="78"/>
      <c r="WBO44" s="78"/>
      <c r="WBP44" s="78"/>
      <c r="WBQ44" s="78"/>
      <c r="WBR44" s="78"/>
      <c r="WBS44" s="78"/>
      <c r="WBT44" s="78"/>
      <c r="WBU44" s="78"/>
      <c r="WBV44" s="78"/>
      <c r="WBW44" s="78"/>
      <c r="WBX44" s="78"/>
      <c r="WBY44" s="78"/>
      <c r="WBZ44" s="78"/>
      <c r="WCA44" s="78"/>
      <c r="WCB44" s="78"/>
      <c r="WCC44" s="78"/>
      <c r="WCD44" s="78"/>
      <c r="WCE44" s="78"/>
      <c r="WCF44" s="78"/>
      <c r="WCG44" s="78"/>
      <c r="WCH44" s="78"/>
      <c r="WCI44" s="78"/>
      <c r="WCJ44" s="78"/>
      <c r="WCK44" s="78"/>
      <c r="WCL44" s="78"/>
      <c r="WCM44" s="78"/>
      <c r="WCN44" s="78"/>
      <c r="WCO44" s="78"/>
      <c r="WCP44" s="78"/>
      <c r="WCQ44" s="78"/>
      <c r="WCR44" s="78"/>
      <c r="WCS44" s="78"/>
      <c r="WCT44" s="78"/>
      <c r="WCU44" s="78"/>
      <c r="WCV44" s="78"/>
      <c r="WCW44" s="78"/>
      <c r="WCX44" s="78"/>
      <c r="WCY44" s="78"/>
      <c r="WCZ44" s="78"/>
      <c r="WDA44" s="78"/>
      <c r="WDB44" s="78"/>
      <c r="WDC44" s="78"/>
      <c r="WDD44" s="78"/>
      <c r="WDE44" s="78"/>
      <c r="WDF44" s="78"/>
      <c r="WDG44" s="78"/>
      <c r="WDH44" s="78"/>
      <c r="WDI44" s="78"/>
      <c r="WDJ44" s="78"/>
      <c r="WDK44" s="78"/>
      <c r="WDL44" s="78"/>
      <c r="WDM44" s="78"/>
      <c r="WDN44" s="78"/>
      <c r="WDO44" s="78"/>
      <c r="WDP44" s="78"/>
      <c r="WDQ44" s="78"/>
      <c r="WDR44" s="78"/>
      <c r="WDS44" s="78"/>
      <c r="WDT44" s="78"/>
      <c r="WDU44" s="78"/>
      <c r="WDV44" s="78"/>
      <c r="WDW44" s="78"/>
      <c r="WDX44" s="78"/>
      <c r="WDY44" s="78"/>
      <c r="WDZ44" s="78"/>
      <c r="WEA44" s="78"/>
      <c r="WEB44" s="78"/>
      <c r="WEC44" s="78"/>
      <c r="WED44" s="78"/>
      <c r="WEE44" s="78"/>
      <c r="WEF44" s="78"/>
      <c r="WEG44" s="78"/>
      <c r="WEH44" s="78"/>
      <c r="WEI44" s="78"/>
      <c r="WEJ44" s="78"/>
      <c r="WEK44" s="78"/>
      <c r="WEL44" s="78"/>
      <c r="WEM44" s="78"/>
      <c r="WEN44" s="78"/>
      <c r="WEO44" s="78"/>
      <c r="WEP44" s="78"/>
      <c r="WEQ44" s="78"/>
      <c r="WER44" s="78"/>
      <c r="WES44" s="78"/>
      <c r="WET44" s="78"/>
      <c r="WEU44" s="78"/>
      <c r="WEV44" s="78"/>
      <c r="WEW44" s="78"/>
      <c r="WEX44" s="78"/>
      <c r="WEY44" s="78"/>
      <c r="WEZ44" s="78"/>
      <c r="WFA44" s="78"/>
      <c r="WFB44" s="78"/>
      <c r="WFC44" s="78"/>
      <c r="WFD44" s="78"/>
      <c r="WFE44" s="78"/>
      <c r="WFF44" s="78"/>
      <c r="WFG44" s="78"/>
      <c r="WFH44" s="78"/>
      <c r="WFI44" s="78"/>
      <c r="WFJ44" s="78"/>
      <c r="WFK44" s="78"/>
      <c r="WFL44" s="78"/>
      <c r="WFM44" s="78"/>
      <c r="WFN44" s="78"/>
      <c r="WFO44" s="78"/>
      <c r="WFP44" s="78"/>
      <c r="WFQ44" s="78"/>
      <c r="WFR44" s="78"/>
      <c r="WFS44" s="78"/>
      <c r="WFT44" s="78"/>
      <c r="WFU44" s="78"/>
      <c r="WFV44" s="78"/>
      <c r="WFW44" s="78"/>
      <c r="WFX44" s="78"/>
      <c r="WFY44" s="78"/>
      <c r="WFZ44" s="78"/>
      <c r="WGA44" s="78"/>
      <c r="WGB44" s="78"/>
      <c r="WGC44" s="78"/>
      <c r="WGD44" s="78"/>
      <c r="WGE44" s="78"/>
      <c r="WGF44" s="78"/>
      <c r="WGG44" s="78"/>
      <c r="WGH44" s="78"/>
      <c r="WGI44" s="78"/>
      <c r="WGJ44" s="78"/>
      <c r="WGK44" s="78"/>
      <c r="WGL44" s="78"/>
      <c r="WGM44" s="78"/>
      <c r="WGN44" s="78"/>
      <c r="WGO44" s="78"/>
      <c r="WGP44" s="78"/>
      <c r="WGQ44" s="78"/>
      <c r="WGR44" s="78"/>
      <c r="WGS44" s="78"/>
      <c r="WGT44" s="78"/>
      <c r="WGU44" s="78"/>
      <c r="WGV44" s="78"/>
      <c r="WGW44" s="78"/>
      <c r="WGX44" s="78"/>
      <c r="WGY44" s="78"/>
      <c r="WGZ44" s="78"/>
      <c r="WHA44" s="78"/>
      <c r="WHB44" s="78"/>
      <c r="WHC44" s="78"/>
      <c r="WHD44" s="78"/>
      <c r="WHE44" s="78"/>
      <c r="WHF44" s="78"/>
      <c r="WHG44" s="78"/>
      <c r="WHH44" s="78"/>
      <c r="WHI44" s="78"/>
      <c r="WHJ44" s="78"/>
      <c r="WHK44" s="78"/>
      <c r="WHL44" s="78"/>
    </row>
    <row r="45" spans="1:15768" s="75" customFormat="1" ht="30" hidden="1" customHeight="1">
      <c r="A45" s="77"/>
      <c r="C45" s="79"/>
      <c r="D45" s="79"/>
      <c r="F45" s="992" t="s">
        <v>103</v>
      </c>
      <c r="G45" s="993"/>
      <c r="H45" s="287"/>
      <c r="I45" s="287"/>
      <c r="J45" s="287"/>
      <c r="K45" s="287"/>
      <c r="L45" s="287"/>
      <c r="M45" s="79"/>
    </row>
    <row r="46" spans="1:15768" s="78" customFormat="1" ht="30" hidden="1" customHeight="1">
      <c r="A46" s="77"/>
      <c r="C46" s="79"/>
      <c r="D46" s="79"/>
      <c r="E46" s="79"/>
      <c r="F46" s="119" t="s">
        <v>97</v>
      </c>
      <c r="G46" s="119" t="s">
        <v>98</v>
      </c>
      <c r="H46" s="288"/>
      <c r="I46" s="288"/>
      <c r="J46" s="288"/>
      <c r="K46" s="288"/>
      <c r="L46" s="288"/>
      <c r="AC46" s="77"/>
      <c r="AD46" s="77"/>
      <c r="AZ46" s="77"/>
      <c r="BA46" s="77"/>
      <c r="BW46" s="77"/>
      <c r="BX46" s="77"/>
      <c r="CT46" s="77"/>
      <c r="CU46" s="77"/>
    </row>
    <row r="47" spans="1:15768" s="78" customFormat="1" ht="66" hidden="1" customHeight="1">
      <c r="A47" s="120"/>
      <c r="C47" s="994" t="s">
        <v>104</v>
      </c>
      <c r="D47" s="995"/>
      <c r="E47" s="112" t="s">
        <v>131</v>
      </c>
      <c r="F47" s="121">
        <v>16</v>
      </c>
      <c r="G47" s="121">
        <v>17</v>
      </c>
      <c r="H47" s="289"/>
      <c r="I47" s="289"/>
      <c r="J47" s="289"/>
      <c r="K47" s="289"/>
      <c r="L47" s="289"/>
      <c r="P47" s="124" t="s">
        <v>99</v>
      </c>
      <c r="Q47" s="124"/>
      <c r="R47" s="145" t="s">
        <v>41</v>
      </c>
      <c r="AC47" s="77"/>
      <c r="AD47" s="77"/>
      <c r="AM47" s="124" t="s">
        <v>99</v>
      </c>
      <c r="AN47" s="124"/>
      <c r="AO47" s="189" t="s">
        <v>41</v>
      </c>
      <c r="AZ47" s="77"/>
      <c r="BA47" s="77"/>
      <c r="BJ47" s="124" t="s">
        <v>99</v>
      </c>
      <c r="BK47" s="124"/>
      <c r="BL47" s="189" t="s">
        <v>41</v>
      </c>
      <c r="BW47" s="77"/>
      <c r="BX47" s="77"/>
      <c r="CG47" s="124" t="s">
        <v>99</v>
      </c>
      <c r="CH47" s="124"/>
      <c r="CI47" s="189" t="s">
        <v>41</v>
      </c>
      <c r="CT47" s="77"/>
      <c r="CU47" s="77"/>
    </row>
    <row r="48" spans="1:15768" s="78" customFormat="1" ht="30" hidden="1" customHeight="1">
      <c r="A48" s="120"/>
      <c r="C48" s="111">
        <v>1</v>
      </c>
      <c r="D48" s="113" t="str">
        <f>VLOOKUP(C48,LISTA_OFERENTES,2,FALSE)</f>
        <v>INTERVE S.A.S.</v>
      </c>
      <c r="E48" s="122">
        <f t="shared" ref="E48:E64" ca="1" si="104">INDIRECT(F48,TRUE)</f>
        <v>0</v>
      </c>
      <c r="F48" s="114" t="str">
        <f>ADDRESS(82,G48,1,1)</f>
        <v>$P$82</v>
      </c>
      <c r="G48" s="114">
        <f>F47</f>
        <v>16</v>
      </c>
      <c r="H48" s="290"/>
      <c r="I48" s="290"/>
      <c r="J48" s="290"/>
      <c r="K48" s="290"/>
      <c r="L48" s="290"/>
      <c r="P48" s="111">
        <v>1</v>
      </c>
      <c r="Q48" s="113" t="str">
        <f t="shared" ref="Q48:Q64" si="105">VLOOKUP(P48,LISTA_OFERENTES,2,FALSE)</f>
        <v>INTERVE S.A.S.</v>
      </c>
      <c r="R48" s="111" t="e">
        <f>IF(HLOOKUP(P48,VER_UNI,2,FALSE)="OK","H","NH")</f>
        <v>#N/A</v>
      </c>
      <c r="AC48" s="77"/>
      <c r="AD48" s="77"/>
      <c r="AM48" s="111">
        <v>1</v>
      </c>
      <c r="AN48" s="113" t="str">
        <f t="shared" ref="AN48:AN64" si="106">VLOOKUP(AM48,LISTA_OFERENTES,2,FALSE)</f>
        <v>INTERVE S.A.S.</v>
      </c>
      <c r="AO48" s="111" t="e">
        <f>IF(HLOOKUP(AM48,VER_UNI,2,FALSE)="OK","H","NH")</f>
        <v>#N/A</v>
      </c>
      <c r="AZ48" s="77"/>
      <c r="BA48" s="77"/>
      <c r="BJ48" s="111">
        <v>1</v>
      </c>
      <c r="BK48" s="113" t="str">
        <f t="shared" ref="BK48:BK64" si="107">VLOOKUP(BJ48,LISTA_OFERENTES,2,FALSE)</f>
        <v>INTERVE S.A.S.</v>
      </c>
      <c r="BL48" s="111" t="e">
        <f>IF(HLOOKUP(BJ48,VER_UNI,2,FALSE)="OK","H","NH")</f>
        <v>#N/A</v>
      </c>
      <c r="BW48" s="77"/>
      <c r="BX48" s="77"/>
      <c r="CG48" s="111">
        <v>1</v>
      </c>
      <c r="CH48" s="113" t="str">
        <f t="shared" ref="CH48:CH64" si="108">VLOOKUP(CG48,LISTA_OFERENTES,2,FALSE)</f>
        <v>INTERVE S.A.S.</v>
      </c>
      <c r="CI48" s="111" t="e">
        <f>IF(HLOOKUP(CG48,VER_UNI,2,FALSE)="OK","H","NH")</f>
        <v>#N/A</v>
      </c>
      <c r="CT48" s="77"/>
      <c r="CU48" s="77"/>
    </row>
    <row r="49" spans="1:99" s="78" customFormat="1" ht="30" hidden="1" customHeight="1">
      <c r="A49" s="120"/>
      <c r="C49" s="111">
        <v>2</v>
      </c>
      <c r="D49" s="113" t="str">
        <f t="shared" ref="D49:D64" si="109">VLOOKUP(C49,LISTA_OFERENTES,2,FALSE)</f>
        <v>CONSORCIO VALCO - ACI</v>
      </c>
      <c r="E49" s="122">
        <f t="shared" ca="1" si="104"/>
        <v>0</v>
      </c>
      <c r="F49" s="114" t="str">
        <f t="shared" ref="F49:F64" si="110">ADDRESS(82,G49,1,1)</f>
        <v>$AG$82</v>
      </c>
      <c r="G49" s="123">
        <f>G48+$G$47</f>
        <v>33</v>
      </c>
      <c r="H49" s="291"/>
      <c r="I49" s="291"/>
      <c r="J49" s="291"/>
      <c r="K49" s="291"/>
      <c r="L49" s="291"/>
      <c r="P49" s="111">
        <v>2</v>
      </c>
      <c r="Q49" s="113" t="str">
        <f t="shared" si="105"/>
        <v>CONSORCIO VALCO - ACI</v>
      </c>
      <c r="R49" s="111" t="e">
        <f t="shared" ref="R49:R64" si="111">IF(HLOOKUP(P49,VER_UNI,2,FALSE)="OK","H","NH")</f>
        <v>#N/A</v>
      </c>
      <c r="AC49" s="77"/>
      <c r="AD49" s="77"/>
      <c r="AM49" s="111">
        <v>2</v>
      </c>
      <c r="AN49" s="113" t="str">
        <f t="shared" si="106"/>
        <v>CONSORCIO VALCO - ACI</v>
      </c>
      <c r="AO49" s="111" t="e">
        <f t="shared" ref="AO49:AO64" si="112">IF(HLOOKUP(AM49,VER_UNI,2,FALSE)="OK","H","NH")</f>
        <v>#N/A</v>
      </c>
      <c r="AZ49" s="77"/>
      <c r="BA49" s="77"/>
      <c r="BJ49" s="111">
        <v>2</v>
      </c>
      <c r="BK49" s="113" t="str">
        <f t="shared" si="107"/>
        <v>CONSORCIO VALCO - ACI</v>
      </c>
      <c r="BL49" s="111" t="e">
        <f t="shared" ref="BL49:BL64" si="113">IF(HLOOKUP(BJ49,VER_UNI,2,FALSE)="OK","H","NH")</f>
        <v>#N/A</v>
      </c>
      <c r="BW49" s="77"/>
      <c r="BX49" s="77"/>
      <c r="CG49" s="111">
        <v>2</v>
      </c>
      <c r="CH49" s="113" t="str">
        <f t="shared" si="108"/>
        <v>CONSORCIO VALCO - ACI</v>
      </c>
      <c r="CI49" s="111" t="e">
        <f t="shared" ref="CI49:CI64" si="114">IF(HLOOKUP(CG49,VER_UNI,2,FALSE)="OK","H","NH")</f>
        <v>#N/A</v>
      </c>
      <c r="CT49" s="77"/>
      <c r="CU49" s="77"/>
    </row>
    <row r="50" spans="1:99" s="78" customFormat="1" ht="30" hidden="1" customHeight="1">
      <c r="A50" s="120"/>
      <c r="C50" s="111">
        <v>3</v>
      </c>
      <c r="D50" s="113" t="str">
        <f t="shared" si="109"/>
        <v>ARQ S.A.S.</v>
      </c>
      <c r="E50" s="122">
        <f t="shared" ca="1" si="104"/>
        <v>0</v>
      </c>
      <c r="F50" s="114" t="str">
        <f t="shared" si="110"/>
        <v>$AX$82</v>
      </c>
      <c r="G50" s="123">
        <f t="shared" ref="G50:G64" si="115">G49+$G$47</f>
        <v>50</v>
      </c>
      <c r="H50" s="291"/>
      <c r="I50" s="291"/>
      <c r="J50" s="291"/>
      <c r="K50" s="291"/>
      <c r="L50" s="291"/>
      <c r="P50" s="111">
        <v>3</v>
      </c>
      <c r="Q50" s="113" t="str">
        <f t="shared" si="105"/>
        <v>ARQ S.A.S.</v>
      </c>
      <c r="R50" s="111" t="e">
        <f t="shared" si="111"/>
        <v>#N/A</v>
      </c>
      <c r="AC50" s="77"/>
      <c r="AD50" s="77"/>
      <c r="AM50" s="111">
        <v>3</v>
      </c>
      <c r="AN50" s="113" t="str">
        <f t="shared" si="106"/>
        <v>ARQ S.A.S.</v>
      </c>
      <c r="AO50" s="111" t="e">
        <f t="shared" si="112"/>
        <v>#N/A</v>
      </c>
      <c r="AZ50" s="77"/>
      <c r="BA50" s="77"/>
      <c r="BJ50" s="111">
        <v>3</v>
      </c>
      <c r="BK50" s="113" t="str">
        <f t="shared" si="107"/>
        <v>ARQ S.A.S.</v>
      </c>
      <c r="BL50" s="111" t="e">
        <f t="shared" si="113"/>
        <v>#N/A</v>
      </c>
      <c r="BW50" s="77"/>
      <c r="BX50" s="77"/>
      <c r="CG50" s="111">
        <v>3</v>
      </c>
      <c r="CH50" s="113" t="str">
        <f t="shared" si="108"/>
        <v>ARQ S.A.S.</v>
      </c>
      <c r="CI50" s="111" t="e">
        <f t="shared" si="114"/>
        <v>#N/A</v>
      </c>
      <c r="CT50" s="77"/>
      <c r="CU50" s="77"/>
    </row>
    <row r="51" spans="1:99" s="78" customFormat="1" ht="30" hidden="1" customHeight="1">
      <c r="A51" s="120"/>
      <c r="C51" s="111">
        <v>4</v>
      </c>
      <c r="D51" s="113" t="str">
        <f t="shared" si="109"/>
        <v>PREVEO S.A.S.</v>
      </c>
      <c r="E51" s="122">
        <f t="shared" ca="1" si="104"/>
        <v>0</v>
      </c>
      <c r="F51" s="114" t="str">
        <f t="shared" si="110"/>
        <v>$BO$82</v>
      </c>
      <c r="G51" s="123">
        <f t="shared" si="115"/>
        <v>67</v>
      </c>
      <c r="H51" s="291"/>
      <c r="I51" s="291"/>
      <c r="J51" s="291"/>
      <c r="K51" s="291"/>
      <c r="L51" s="291"/>
      <c r="P51" s="111">
        <v>4</v>
      </c>
      <c r="Q51" s="113" t="str">
        <f t="shared" si="105"/>
        <v>PREVEO S.A.S.</v>
      </c>
      <c r="R51" s="111" t="e">
        <f t="shared" si="111"/>
        <v>#N/A</v>
      </c>
      <c r="AC51" s="77"/>
      <c r="AD51" s="77"/>
      <c r="AM51" s="111">
        <v>4</v>
      </c>
      <c r="AN51" s="113" t="str">
        <f t="shared" si="106"/>
        <v>PREVEO S.A.S.</v>
      </c>
      <c r="AO51" s="111" t="e">
        <f t="shared" si="112"/>
        <v>#N/A</v>
      </c>
      <c r="AZ51" s="77"/>
      <c r="BA51" s="77"/>
      <c r="BJ51" s="111">
        <v>4</v>
      </c>
      <c r="BK51" s="113" t="str">
        <f t="shared" si="107"/>
        <v>PREVEO S.A.S.</v>
      </c>
      <c r="BL51" s="111" t="e">
        <f t="shared" si="113"/>
        <v>#N/A</v>
      </c>
      <c r="BW51" s="77"/>
      <c r="BX51" s="77"/>
      <c r="CG51" s="111">
        <v>4</v>
      </c>
      <c r="CH51" s="113" t="str">
        <f t="shared" si="108"/>
        <v>PREVEO S.A.S.</v>
      </c>
      <c r="CI51" s="111" t="e">
        <f t="shared" si="114"/>
        <v>#N/A</v>
      </c>
      <c r="CT51" s="77"/>
      <c r="CU51" s="77"/>
    </row>
    <row r="52" spans="1:99" s="78" customFormat="1" ht="30" hidden="1" customHeight="1">
      <c r="A52" s="120"/>
      <c r="C52" s="111">
        <v>5</v>
      </c>
      <c r="D52" s="113">
        <f t="shared" si="109"/>
        <v>0</v>
      </c>
      <c r="E52" s="122">
        <f t="shared" ca="1" si="104"/>
        <v>0</v>
      </c>
      <c r="F52" s="114" t="str">
        <f t="shared" si="110"/>
        <v>$CF$82</v>
      </c>
      <c r="G52" s="123">
        <f t="shared" si="115"/>
        <v>84</v>
      </c>
      <c r="H52" s="291"/>
      <c r="I52" s="291"/>
      <c r="J52" s="291"/>
      <c r="K52" s="291"/>
      <c r="L52" s="291"/>
      <c r="P52" s="111">
        <v>5</v>
      </c>
      <c r="Q52" s="113">
        <f t="shared" si="105"/>
        <v>0</v>
      </c>
      <c r="R52" s="111" t="e">
        <f t="shared" si="111"/>
        <v>#N/A</v>
      </c>
      <c r="AM52" s="111">
        <v>5</v>
      </c>
      <c r="AN52" s="113">
        <f t="shared" si="106"/>
        <v>0</v>
      </c>
      <c r="AO52" s="111" t="e">
        <f t="shared" si="112"/>
        <v>#N/A</v>
      </c>
      <c r="BJ52" s="111">
        <v>5</v>
      </c>
      <c r="BK52" s="113">
        <f t="shared" si="107"/>
        <v>0</v>
      </c>
      <c r="BL52" s="111" t="e">
        <f t="shared" si="113"/>
        <v>#N/A</v>
      </c>
      <c r="CG52" s="111">
        <v>5</v>
      </c>
      <c r="CH52" s="113">
        <f t="shared" si="108"/>
        <v>0</v>
      </c>
      <c r="CI52" s="111" t="e">
        <f t="shared" si="114"/>
        <v>#N/A</v>
      </c>
    </row>
    <row r="53" spans="1:99" s="78" customFormat="1" ht="30" hidden="1" customHeight="1">
      <c r="A53" s="120"/>
      <c r="C53" s="111">
        <v>6</v>
      </c>
      <c r="D53" s="113">
        <f t="shared" si="109"/>
        <v>0</v>
      </c>
      <c r="E53" s="122">
        <f t="shared" ca="1" si="104"/>
        <v>0</v>
      </c>
      <c r="F53" s="114" t="str">
        <f t="shared" si="110"/>
        <v>$CW$82</v>
      </c>
      <c r="G53" s="123">
        <f t="shared" si="115"/>
        <v>101</v>
      </c>
      <c r="H53" s="291"/>
      <c r="I53" s="291"/>
      <c r="J53" s="291"/>
      <c r="K53" s="291"/>
      <c r="L53" s="291"/>
      <c r="P53" s="111">
        <v>6</v>
      </c>
      <c r="Q53" s="113">
        <f t="shared" si="105"/>
        <v>0</v>
      </c>
      <c r="R53" s="111" t="e">
        <f t="shared" si="111"/>
        <v>#N/A</v>
      </c>
      <c r="AM53" s="111">
        <v>6</v>
      </c>
      <c r="AN53" s="113">
        <f t="shared" si="106"/>
        <v>0</v>
      </c>
      <c r="AO53" s="111" t="e">
        <f t="shared" si="112"/>
        <v>#N/A</v>
      </c>
      <c r="BJ53" s="111">
        <v>6</v>
      </c>
      <c r="BK53" s="113">
        <f t="shared" si="107"/>
        <v>0</v>
      </c>
      <c r="BL53" s="111" t="e">
        <f t="shared" si="113"/>
        <v>#N/A</v>
      </c>
      <c r="CG53" s="111">
        <v>6</v>
      </c>
      <c r="CH53" s="113">
        <f t="shared" si="108"/>
        <v>0</v>
      </c>
      <c r="CI53" s="111" t="e">
        <f t="shared" si="114"/>
        <v>#N/A</v>
      </c>
    </row>
    <row r="54" spans="1:99" s="78" customFormat="1" ht="30" hidden="1" customHeight="1">
      <c r="A54" s="120"/>
      <c r="C54" s="111">
        <v>7</v>
      </c>
      <c r="D54" s="113">
        <f t="shared" si="109"/>
        <v>0</v>
      </c>
      <c r="E54" s="122">
        <f t="shared" ca="1" si="104"/>
        <v>0</v>
      </c>
      <c r="F54" s="114" t="str">
        <f t="shared" si="110"/>
        <v>$DN$82</v>
      </c>
      <c r="G54" s="123">
        <f t="shared" si="115"/>
        <v>118</v>
      </c>
      <c r="H54" s="291"/>
      <c r="I54" s="291"/>
      <c r="J54" s="291"/>
      <c r="K54" s="291"/>
      <c r="L54" s="291"/>
      <c r="P54" s="111">
        <v>7</v>
      </c>
      <c r="Q54" s="113">
        <f t="shared" si="105"/>
        <v>0</v>
      </c>
      <c r="R54" s="111" t="e">
        <f t="shared" si="111"/>
        <v>#N/A</v>
      </c>
      <c r="AM54" s="111">
        <v>7</v>
      </c>
      <c r="AN54" s="113">
        <f t="shared" si="106"/>
        <v>0</v>
      </c>
      <c r="AO54" s="111" t="e">
        <f t="shared" si="112"/>
        <v>#N/A</v>
      </c>
      <c r="BJ54" s="111">
        <v>7</v>
      </c>
      <c r="BK54" s="113">
        <f t="shared" si="107"/>
        <v>0</v>
      </c>
      <c r="BL54" s="111" t="e">
        <f t="shared" si="113"/>
        <v>#N/A</v>
      </c>
      <c r="CG54" s="111">
        <v>7</v>
      </c>
      <c r="CH54" s="113">
        <f t="shared" si="108"/>
        <v>0</v>
      </c>
      <c r="CI54" s="111" t="e">
        <f t="shared" si="114"/>
        <v>#N/A</v>
      </c>
    </row>
    <row r="55" spans="1:99" s="78" customFormat="1" ht="30" hidden="1" customHeight="1">
      <c r="A55" s="120"/>
      <c r="C55" s="111">
        <v>8</v>
      </c>
      <c r="D55" s="113">
        <f t="shared" si="109"/>
        <v>0</v>
      </c>
      <c r="E55" s="122">
        <f t="shared" ca="1" si="104"/>
        <v>0</v>
      </c>
      <c r="F55" s="114" t="str">
        <f t="shared" si="110"/>
        <v>$EE$82</v>
      </c>
      <c r="G55" s="123">
        <f t="shared" si="115"/>
        <v>135</v>
      </c>
      <c r="H55" s="291"/>
      <c r="I55" s="291"/>
      <c r="J55" s="291"/>
      <c r="K55" s="291"/>
      <c r="L55" s="291"/>
      <c r="P55" s="111">
        <v>8</v>
      </c>
      <c r="Q55" s="113">
        <f t="shared" si="105"/>
        <v>0</v>
      </c>
      <c r="R55" s="111" t="e">
        <f t="shared" si="111"/>
        <v>#N/A</v>
      </c>
      <c r="AM55" s="111">
        <v>8</v>
      </c>
      <c r="AN55" s="113">
        <f t="shared" si="106"/>
        <v>0</v>
      </c>
      <c r="AO55" s="111" t="e">
        <f t="shared" si="112"/>
        <v>#N/A</v>
      </c>
      <c r="BJ55" s="111">
        <v>8</v>
      </c>
      <c r="BK55" s="113">
        <f t="shared" si="107"/>
        <v>0</v>
      </c>
      <c r="BL55" s="111" t="e">
        <f t="shared" si="113"/>
        <v>#N/A</v>
      </c>
      <c r="CG55" s="111">
        <v>8</v>
      </c>
      <c r="CH55" s="113">
        <f t="shared" si="108"/>
        <v>0</v>
      </c>
      <c r="CI55" s="111" t="e">
        <f t="shared" si="114"/>
        <v>#N/A</v>
      </c>
    </row>
    <row r="56" spans="1:99" s="78" customFormat="1" ht="30" hidden="1" customHeight="1">
      <c r="A56" s="120"/>
      <c r="C56" s="111">
        <v>9</v>
      </c>
      <c r="D56" s="113">
        <f t="shared" si="109"/>
        <v>0</v>
      </c>
      <c r="E56" s="122">
        <f t="shared" ca="1" si="104"/>
        <v>0</v>
      </c>
      <c r="F56" s="114" t="str">
        <f t="shared" si="110"/>
        <v>$EV$82</v>
      </c>
      <c r="G56" s="123">
        <f t="shared" si="115"/>
        <v>152</v>
      </c>
      <c r="H56" s="291"/>
      <c r="I56" s="291"/>
      <c r="J56" s="291"/>
      <c r="K56" s="291"/>
      <c r="L56" s="291"/>
      <c r="P56" s="111">
        <v>9</v>
      </c>
      <c r="Q56" s="113">
        <f t="shared" si="105"/>
        <v>0</v>
      </c>
      <c r="R56" s="111" t="e">
        <f t="shared" si="111"/>
        <v>#N/A</v>
      </c>
      <c r="AM56" s="111">
        <v>9</v>
      </c>
      <c r="AN56" s="113">
        <f t="shared" si="106"/>
        <v>0</v>
      </c>
      <c r="AO56" s="111" t="e">
        <f t="shared" si="112"/>
        <v>#N/A</v>
      </c>
      <c r="BJ56" s="111">
        <v>9</v>
      </c>
      <c r="BK56" s="113">
        <f t="shared" si="107"/>
        <v>0</v>
      </c>
      <c r="BL56" s="111" t="e">
        <f t="shared" si="113"/>
        <v>#N/A</v>
      </c>
      <c r="CG56" s="111">
        <v>9</v>
      </c>
      <c r="CH56" s="113">
        <f t="shared" si="108"/>
        <v>0</v>
      </c>
      <c r="CI56" s="111" t="e">
        <f t="shared" si="114"/>
        <v>#N/A</v>
      </c>
    </row>
    <row r="57" spans="1:99" s="78" customFormat="1" ht="30" hidden="1" customHeight="1">
      <c r="A57" s="120"/>
      <c r="C57" s="111">
        <v>10</v>
      </c>
      <c r="D57" s="113">
        <f t="shared" si="109"/>
        <v>0</v>
      </c>
      <c r="E57" s="122">
        <f t="shared" ca="1" si="104"/>
        <v>0</v>
      </c>
      <c r="F57" s="114" t="str">
        <f t="shared" si="110"/>
        <v>$FM$82</v>
      </c>
      <c r="G57" s="123">
        <f t="shared" si="115"/>
        <v>169</v>
      </c>
      <c r="H57" s="291"/>
      <c r="I57" s="291"/>
      <c r="J57" s="291"/>
      <c r="K57" s="291"/>
      <c r="L57" s="291"/>
      <c r="P57" s="111">
        <v>10</v>
      </c>
      <c r="Q57" s="113">
        <f t="shared" si="105"/>
        <v>0</v>
      </c>
      <c r="R57" s="111" t="e">
        <f t="shared" si="111"/>
        <v>#N/A</v>
      </c>
      <c r="AM57" s="111">
        <v>10</v>
      </c>
      <c r="AN57" s="113">
        <f t="shared" si="106"/>
        <v>0</v>
      </c>
      <c r="AO57" s="111" t="e">
        <f t="shared" si="112"/>
        <v>#N/A</v>
      </c>
      <c r="BJ57" s="111">
        <v>10</v>
      </c>
      <c r="BK57" s="113">
        <f t="shared" si="107"/>
        <v>0</v>
      </c>
      <c r="BL57" s="111" t="e">
        <f t="shared" si="113"/>
        <v>#N/A</v>
      </c>
      <c r="CG57" s="111">
        <v>10</v>
      </c>
      <c r="CH57" s="113">
        <f t="shared" si="108"/>
        <v>0</v>
      </c>
      <c r="CI57" s="111" t="e">
        <f t="shared" si="114"/>
        <v>#N/A</v>
      </c>
    </row>
    <row r="58" spans="1:99" s="78" customFormat="1" ht="30" hidden="1" customHeight="1">
      <c r="A58" s="120"/>
      <c r="C58" s="111">
        <v>11</v>
      </c>
      <c r="D58" s="113">
        <f t="shared" si="109"/>
        <v>0</v>
      </c>
      <c r="E58" s="122">
        <f t="shared" ca="1" si="104"/>
        <v>0</v>
      </c>
      <c r="F58" s="114" t="str">
        <f t="shared" si="110"/>
        <v>$GD$82</v>
      </c>
      <c r="G58" s="123">
        <f t="shared" si="115"/>
        <v>186</v>
      </c>
      <c r="H58" s="291"/>
      <c r="I58" s="291"/>
      <c r="J58" s="291"/>
      <c r="K58" s="291"/>
      <c r="L58" s="291"/>
      <c r="P58" s="111">
        <v>11</v>
      </c>
      <c r="Q58" s="113">
        <f t="shared" si="105"/>
        <v>0</v>
      </c>
      <c r="R58" s="111" t="e">
        <f t="shared" si="111"/>
        <v>#N/A</v>
      </c>
      <c r="AM58" s="111">
        <v>11</v>
      </c>
      <c r="AN58" s="113">
        <f t="shared" si="106"/>
        <v>0</v>
      </c>
      <c r="AO58" s="111" t="e">
        <f t="shared" si="112"/>
        <v>#N/A</v>
      </c>
      <c r="BJ58" s="111">
        <v>11</v>
      </c>
      <c r="BK58" s="113">
        <f t="shared" si="107"/>
        <v>0</v>
      </c>
      <c r="BL58" s="111" t="e">
        <f t="shared" si="113"/>
        <v>#N/A</v>
      </c>
      <c r="CG58" s="111">
        <v>11</v>
      </c>
      <c r="CH58" s="113">
        <f t="shared" si="108"/>
        <v>0</v>
      </c>
      <c r="CI58" s="111" t="e">
        <f t="shared" si="114"/>
        <v>#N/A</v>
      </c>
    </row>
    <row r="59" spans="1:99" s="78" customFormat="1" ht="30" hidden="1" customHeight="1">
      <c r="A59" s="120"/>
      <c r="C59" s="111">
        <v>12</v>
      </c>
      <c r="D59" s="113">
        <f t="shared" si="109"/>
        <v>0</v>
      </c>
      <c r="E59" s="122">
        <f t="shared" ca="1" si="104"/>
        <v>0</v>
      </c>
      <c r="F59" s="114" t="str">
        <f t="shared" si="110"/>
        <v>$GU$82</v>
      </c>
      <c r="G59" s="123">
        <f t="shared" si="115"/>
        <v>203</v>
      </c>
      <c r="H59" s="291"/>
      <c r="I59" s="291"/>
      <c r="J59" s="291"/>
      <c r="K59" s="291"/>
      <c r="L59" s="291"/>
      <c r="P59" s="111">
        <v>12</v>
      </c>
      <c r="Q59" s="113">
        <f t="shared" si="105"/>
        <v>0</v>
      </c>
      <c r="R59" s="111" t="e">
        <f t="shared" si="111"/>
        <v>#N/A</v>
      </c>
      <c r="AM59" s="111">
        <v>12</v>
      </c>
      <c r="AN59" s="113">
        <f t="shared" si="106"/>
        <v>0</v>
      </c>
      <c r="AO59" s="111" t="e">
        <f t="shared" si="112"/>
        <v>#N/A</v>
      </c>
      <c r="BJ59" s="111">
        <v>12</v>
      </c>
      <c r="BK59" s="113">
        <f t="shared" si="107"/>
        <v>0</v>
      </c>
      <c r="BL59" s="111" t="e">
        <f t="shared" si="113"/>
        <v>#N/A</v>
      </c>
      <c r="CG59" s="111">
        <v>12</v>
      </c>
      <c r="CH59" s="113">
        <f t="shared" si="108"/>
        <v>0</v>
      </c>
      <c r="CI59" s="111" t="e">
        <f t="shared" si="114"/>
        <v>#N/A</v>
      </c>
    </row>
    <row r="60" spans="1:99" s="78" customFormat="1" ht="30" hidden="1" customHeight="1">
      <c r="A60" s="120"/>
      <c r="C60" s="111">
        <v>13</v>
      </c>
      <c r="D60" s="113">
        <f t="shared" si="109"/>
        <v>0</v>
      </c>
      <c r="E60" s="122">
        <f t="shared" ca="1" si="104"/>
        <v>0</v>
      </c>
      <c r="F60" s="114" t="str">
        <f t="shared" si="110"/>
        <v>$HL$82</v>
      </c>
      <c r="G60" s="123">
        <f t="shared" si="115"/>
        <v>220</v>
      </c>
      <c r="H60" s="291"/>
      <c r="I60" s="291"/>
      <c r="J60" s="291"/>
      <c r="K60" s="291"/>
      <c r="L60" s="291"/>
      <c r="P60" s="111">
        <v>13</v>
      </c>
      <c r="Q60" s="113">
        <f t="shared" si="105"/>
        <v>0</v>
      </c>
      <c r="R60" s="111" t="e">
        <f t="shared" si="111"/>
        <v>#N/A</v>
      </c>
      <c r="AM60" s="111">
        <v>13</v>
      </c>
      <c r="AN60" s="113">
        <f t="shared" si="106"/>
        <v>0</v>
      </c>
      <c r="AO60" s="111" t="e">
        <f t="shared" si="112"/>
        <v>#N/A</v>
      </c>
      <c r="BJ60" s="111">
        <v>13</v>
      </c>
      <c r="BK60" s="113">
        <f t="shared" si="107"/>
        <v>0</v>
      </c>
      <c r="BL60" s="111" t="e">
        <f t="shared" si="113"/>
        <v>#N/A</v>
      </c>
      <c r="CG60" s="111">
        <v>13</v>
      </c>
      <c r="CH60" s="113">
        <f t="shared" si="108"/>
        <v>0</v>
      </c>
      <c r="CI60" s="111" t="e">
        <f t="shared" si="114"/>
        <v>#N/A</v>
      </c>
    </row>
    <row r="61" spans="1:99" s="78" customFormat="1" ht="30" hidden="1" customHeight="1">
      <c r="A61" s="120"/>
      <c r="C61" s="111">
        <v>14</v>
      </c>
      <c r="D61" s="113">
        <f t="shared" si="109"/>
        <v>0</v>
      </c>
      <c r="E61" s="122">
        <f t="shared" ca="1" si="104"/>
        <v>0</v>
      </c>
      <c r="F61" s="114" t="str">
        <f t="shared" si="110"/>
        <v>$IC$82</v>
      </c>
      <c r="G61" s="123">
        <f t="shared" si="115"/>
        <v>237</v>
      </c>
      <c r="H61" s="291"/>
      <c r="I61" s="291"/>
      <c r="J61" s="291"/>
      <c r="K61" s="291"/>
      <c r="L61" s="291"/>
      <c r="P61" s="111">
        <v>14</v>
      </c>
      <c r="Q61" s="113">
        <f t="shared" si="105"/>
        <v>0</v>
      </c>
      <c r="R61" s="111" t="e">
        <f t="shared" si="111"/>
        <v>#N/A</v>
      </c>
      <c r="AM61" s="111">
        <v>14</v>
      </c>
      <c r="AN61" s="113">
        <f t="shared" si="106"/>
        <v>0</v>
      </c>
      <c r="AO61" s="111" t="e">
        <f t="shared" si="112"/>
        <v>#N/A</v>
      </c>
      <c r="BJ61" s="111">
        <v>14</v>
      </c>
      <c r="BK61" s="113">
        <f t="shared" si="107"/>
        <v>0</v>
      </c>
      <c r="BL61" s="111" t="e">
        <f t="shared" si="113"/>
        <v>#N/A</v>
      </c>
      <c r="CG61" s="111">
        <v>14</v>
      </c>
      <c r="CH61" s="113">
        <f t="shared" si="108"/>
        <v>0</v>
      </c>
      <c r="CI61" s="111" t="e">
        <f t="shared" si="114"/>
        <v>#N/A</v>
      </c>
    </row>
    <row r="62" spans="1:99" s="78" customFormat="1" ht="30" hidden="1" customHeight="1">
      <c r="A62" s="120"/>
      <c r="C62" s="111">
        <v>15</v>
      </c>
      <c r="D62" s="113">
        <f t="shared" si="109"/>
        <v>0</v>
      </c>
      <c r="E62" s="122">
        <f t="shared" ca="1" si="104"/>
        <v>0</v>
      </c>
      <c r="F62" s="114" t="str">
        <f t="shared" si="110"/>
        <v>$IT$82</v>
      </c>
      <c r="G62" s="123">
        <f t="shared" si="115"/>
        <v>254</v>
      </c>
      <c r="H62" s="291"/>
      <c r="I62" s="291"/>
      <c r="J62" s="291"/>
      <c r="K62" s="291"/>
      <c r="L62" s="291"/>
      <c r="P62" s="111">
        <v>15</v>
      </c>
      <c r="Q62" s="113">
        <f t="shared" si="105"/>
        <v>0</v>
      </c>
      <c r="R62" s="111" t="e">
        <f t="shared" si="111"/>
        <v>#N/A</v>
      </c>
      <c r="AM62" s="111">
        <v>15</v>
      </c>
      <c r="AN62" s="113">
        <f t="shared" si="106"/>
        <v>0</v>
      </c>
      <c r="AO62" s="111" t="e">
        <f t="shared" si="112"/>
        <v>#N/A</v>
      </c>
      <c r="BJ62" s="111">
        <v>15</v>
      </c>
      <c r="BK62" s="113">
        <f t="shared" si="107"/>
        <v>0</v>
      </c>
      <c r="BL62" s="111" t="e">
        <f t="shared" si="113"/>
        <v>#N/A</v>
      </c>
      <c r="CG62" s="111">
        <v>15</v>
      </c>
      <c r="CH62" s="113">
        <f t="shared" si="108"/>
        <v>0</v>
      </c>
      <c r="CI62" s="111" t="e">
        <f t="shared" si="114"/>
        <v>#N/A</v>
      </c>
    </row>
    <row r="63" spans="1:99" s="78" customFormat="1" ht="30" hidden="1" customHeight="1">
      <c r="A63" s="120"/>
      <c r="C63" s="111">
        <v>16</v>
      </c>
      <c r="D63" s="113">
        <f t="shared" si="109"/>
        <v>0</v>
      </c>
      <c r="E63" s="122">
        <f t="shared" ca="1" si="104"/>
        <v>0</v>
      </c>
      <c r="F63" s="114" t="str">
        <f t="shared" si="110"/>
        <v>$JK$82</v>
      </c>
      <c r="G63" s="123">
        <f t="shared" si="115"/>
        <v>271</v>
      </c>
      <c r="H63" s="291"/>
      <c r="I63" s="291"/>
      <c r="J63" s="291"/>
      <c r="K63" s="291"/>
      <c r="L63" s="291"/>
      <c r="P63" s="111">
        <v>16</v>
      </c>
      <c r="Q63" s="113">
        <f t="shared" si="105"/>
        <v>0</v>
      </c>
      <c r="R63" s="111" t="e">
        <f t="shared" si="111"/>
        <v>#N/A</v>
      </c>
      <c r="AM63" s="111">
        <v>16</v>
      </c>
      <c r="AN63" s="113">
        <f t="shared" si="106"/>
        <v>0</v>
      </c>
      <c r="AO63" s="111" t="e">
        <f t="shared" si="112"/>
        <v>#N/A</v>
      </c>
      <c r="BJ63" s="111">
        <v>16</v>
      </c>
      <c r="BK63" s="113">
        <f t="shared" si="107"/>
        <v>0</v>
      </c>
      <c r="BL63" s="111" t="e">
        <f t="shared" si="113"/>
        <v>#N/A</v>
      </c>
      <c r="CG63" s="111">
        <v>16</v>
      </c>
      <c r="CH63" s="113">
        <f t="shared" si="108"/>
        <v>0</v>
      </c>
      <c r="CI63" s="111" t="e">
        <f t="shared" si="114"/>
        <v>#N/A</v>
      </c>
    </row>
    <row r="64" spans="1:99" s="78" customFormat="1" ht="30" hidden="1" customHeight="1">
      <c r="A64" s="120"/>
      <c r="C64" s="111">
        <v>17</v>
      </c>
      <c r="D64" s="113">
        <f t="shared" si="109"/>
        <v>0</v>
      </c>
      <c r="E64" s="122">
        <f t="shared" ca="1" si="104"/>
        <v>0</v>
      </c>
      <c r="F64" s="114" t="str">
        <f t="shared" si="110"/>
        <v>$KB$82</v>
      </c>
      <c r="G64" s="123">
        <f t="shared" si="115"/>
        <v>288</v>
      </c>
      <c r="H64" s="291"/>
      <c r="I64" s="291"/>
      <c r="J64" s="291"/>
      <c r="K64" s="291"/>
      <c r="L64" s="291"/>
      <c r="P64" s="111">
        <v>17</v>
      </c>
      <c r="Q64" s="113">
        <f t="shared" si="105"/>
        <v>0</v>
      </c>
      <c r="R64" s="111" t="e">
        <f t="shared" si="111"/>
        <v>#N/A</v>
      </c>
      <c r="AM64" s="111">
        <v>17</v>
      </c>
      <c r="AN64" s="113">
        <f t="shared" si="106"/>
        <v>0</v>
      </c>
      <c r="AO64" s="111" t="e">
        <f t="shared" si="112"/>
        <v>#N/A</v>
      </c>
      <c r="BJ64" s="111">
        <v>17</v>
      </c>
      <c r="BK64" s="113">
        <f t="shared" si="107"/>
        <v>0</v>
      </c>
      <c r="BL64" s="111" t="e">
        <f t="shared" si="113"/>
        <v>#N/A</v>
      </c>
      <c r="CG64" s="111">
        <v>17</v>
      </c>
      <c r="CH64" s="113">
        <f t="shared" si="108"/>
        <v>0</v>
      </c>
      <c r="CI64" s="111" t="e">
        <f t="shared" si="114"/>
        <v>#N/A</v>
      </c>
    </row>
    <row r="65" spans="3:104" ht="15.75" hidden="1" customHeight="1">
      <c r="AA65" s="78"/>
      <c r="AB65" s="78"/>
      <c r="AC65" s="78"/>
      <c r="AD65" s="78"/>
      <c r="AE65" s="78"/>
      <c r="AF65" s="78"/>
      <c r="AG65" s="78"/>
      <c r="AH65" s="78"/>
      <c r="AI65" s="78"/>
      <c r="AX65" s="78"/>
      <c r="AY65" s="78"/>
      <c r="AZ65" s="78"/>
      <c r="BA65" s="78"/>
      <c r="BB65" s="78"/>
      <c r="BC65" s="78"/>
      <c r="BD65" s="78"/>
      <c r="BE65" s="78"/>
      <c r="BF65" s="78"/>
      <c r="BU65" s="78"/>
      <c r="BV65" s="78"/>
      <c r="BW65" s="78"/>
      <c r="BX65" s="78"/>
      <c r="BY65" s="78"/>
      <c r="BZ65" s="78"/>
      <c r="CA65" s="78"/>
      <c r="CB65" s="78"/>
      <c r="CC65" s="78"/>
      <c r="CR65" s="78"/>
      <c r="CS65" s="78"/>
      <c r="CT65" s="78"/>
      <c r="CU65" s="78"/>
      <c r="CV65" s="78"/>
      <c r="CW65" s="78"/>
      <c r="CX65" s="78"/>
      <c r="CY65" s="78"/>
      <c r="CZ65" s="78"/>
    </row>
    <row r="66" spans="3:104" ht="15.75" hidden="1" customHeight="1">
      <c r="AA66" s="78"/>
      <c r="AB66" s="78"/>
      <c r="AC66" s="78"/>
      <c r="AD66" s="78"/>
      <c r="AE66" s="78"/>
      <c r="AF66" s="78"/>
      <c r="AG66" s="78"/>
      <c r="AH66" s="78"/>
      <c r="AI66" s="78"/>
      <c r="AX66" s="78"/>
      <c r="AY66" s="78"/>
      <c r="AZ66" s="78"/>
      <c r="BA66" s="78"/>
      <c r="BB66" s="78"/>
      <c r="BC66" s="78"/>
      <c r="BD66" s="78"/>
      <c r="BE66" s="78"/>
      <c r="BF66" s="78"/>
      <c r="BU66" s="78"/>
      <c r="BV66" s="78"/>
      <c r="BW66" s="78"/>
      <c r="BX66" s="78"/>
      <c r="BY66" s="78"/>
      <c r="BZ66" s="78"/>
      <c r="CA66" s="78"/>
      <c r="CB66" s="78"/>
      <c r="CC66" s="78"/>
      <c r="CR66" s="78"/>
      <c r="CS66" s="78"/>
      <c r="CT66" s="78"/>
      <c r="CU66" s="78"/>
      <c r="CV66" s="78"/>
      <c r="CW66" s="78"/>
      <c r="CX66" s="78"/>
      <c r="CY66" s="78"/>
      <c r="CZ66" s="78"/>
    </row>
    <row r="67" spans="3:104" ht="15.75" hidden="1" customHeight="1">
      <c r="AA67" s="78"/>
      <c r="AB67" s="78"/>
      <c r="AC67" s="78"/>
      <c r="AD67" s="78"/>
      <c r="AE67" s="78"/>
      <c r="AF67" s="78"/>
      <c r="AG67" s="78"/>
      <c r="AH67" s="78"/>
      <c r="AI67" s="78"/>
      <c r="AX67" s="78"/>
      <c r="AY67" s="78"/>
      <c r="AZ67" s="78"/>
      <c r="BA67" s="78"/>
      <c r="BB67" s="78"/>
      <c r="BC67" s="78"/>
      <c r="BD67" s="78"/>
      <c r="BE67" s="78"/>
      <c r="BF67" s="78"/>
      <c r="BU67" s="78"/>
      <c r="BV67" s="78"/>
      <c r="BW67" s="78"/>
      <c r="BX67" s="78"/>
      <c r="BY67" s="78"/>
      <c r="BZ67" s="78"/>
      <c r="CA67" s="78"/>
      <c r="CB67" s="78"/>
      <c r="CC67" s="78"/>
      <c r="CR67" s="78"/>
      <c r="CS67" s="78"/>
      <c r="CT67" s="78"/>
      <c r="CU67" s="78"/>
      <c r="CV67" s="78"/>
      <c r="CW67" s="78"/>
      <c r="CX67" s="78"/>
      <c r="CY67" s="78"/>
      <c r="CZ67" s="78"/>
    </row>
    <row r="68" spans="3:104" ht="15.75" hidden="1" customHeight="1">
      <c r="AA68" s="78"/>
      <c r="AB68" s="78"/>
      <c r="AC68" s="78"/>
      <c r="AD68" s="78"/>
      <c r="AE68" s="78"/>
      <c r="AF68" s="78"/>
      <c r="AG68" s="78"/>
      <c r="AH68" s="78"/>
      <c r="AI68" s="78"/>
      <c r="AX68" s="78"/>
      <c r="AY68" s="78"/>
      <c r="AZ68" s="78"/>
      <c r="BA68" s="78"/>
      <c r="BB68" s="78"/>
      <c r="BC68" s="78"/>
      <c r="BD68" s="78"/>
      <c r="BE68" s="78"/>
      <c r="BF68" s="78"/>
      <c r="BU68" s="78"/>
      <c r="BV68" s="78"/>
      <c r="BW68" s="78"/>
      <c r="BX68" s="78"/>
      <c r="BY68" s="78"/>
      <c r="BZ68" s="78"/>
      <c r="CA68" s="78"/>
      <c r="CB68" s="78"/>
      <c r="CC68" s="78"/>
      <c r="CR68" s="78"/>
      <c r="CS68" s="78"/>
      <c r="CT68" s="78"/>
      <c r="CU68" s="78"/>
      <c r="CV68" s="78"/>
      <c r="CW68" s="78"/>
      <c r="CX68" s="78"/>
      <c r="CY68" s="78"/>
      <c r="CZ68" s="78"/>
    </row>
    <row r="69" spans="3:104" ht="15.75" hidden="1" customHeight="1">
      <c r="C69" s="990" t="s">
        <v>100</v>
      </c>
      <c r="D69" s="991"/>
      <c r="E69" s="79"/>
      <c r="F69" s="79"/>
    </row>
    <row r="70" spans="3:104" ht="30" hidden="1" customHeight="1">
      <c r="C70" s="110" t="s">
        <v>97</v>
      </c>
      <c r="D70" s="110" t="s">
        <v>101</v>
      </c>
      <c r="E70" s="79"/>
      <c r="F70" s="79"/>
      <c r="AA70" s="75"/>
      <c r="AB70" s="75"/>
      <c r="AC70" s="75"/>
      <c r="AD70" s="75"/>
      <c r="AE70" s="75"/>
      <c r="AF70" s="75"/>
      <c r="AG70" s="75"/>
      <c r="AH70" s="75"/>
      <c r="AI70" s="75"/>
      <c r="AX70" s="75"/>
      <c r="AY70" s="75"/>
      <c r="AZ70" s="75"/>
      <c r="BA70" s="75"/>
      <c r="BB70" s="75"/>
      <c r="BC70" s="75"/>
      <c r="BD70" s="75"/>
      <c r="BE70" s="75"/>
      <c r="BF70" s="75"/>
      <c r="BU70" s="75"/>
      <c r="BV70" s="75"/>
      <c r="BW70" s="75"/>
      <c r="BX70" s="75"/>
      <c r="BY70" s="75"/>
      <c r="BZ70" s="75"/>
      <c r="CA70" s="75"/>
      <c r="CB70" s="75"/>
      <c r="CC70" s="75"/>
      <c r="CR70" s="75"/>
      <c r="CS70" s="75"/>
      <c r="CT70" s="75"/>
      <c r="CU70" s="75"/>
      <c r="CV70" s="75"/>
      <c r="CW70" s="75"/>
      <c r="CX70" s="75"/>
      <c r="CY70" s="75"/>
      <c r="CZ70" s="75"/>
    </row>
    <row r="71" spans="3:104" ht="15.75" hidden="1" customHeight="1">
      <c r="C71" s="111">
        <v>15</v>
      </c>
      <c r="D71" s="111">
        <v>17</v>
      </c>
      <c r="E71" s="79"/>
      <c r="F71" s="79"/>
    </row>
    <row r="72" spans="3:104" ht="15.75" hidden="1" customHeight="1">
      <c r="C72" s="79"/>
      <c r="D72" s="79"/>
      <c r="E72" s="79"/>
      <c r="F72" s="79"/>
    </row>
    <row r="73" spans="3:104" ht="15.75" hidden="1" customHeight="1">
      <c r="C73" s="189" t="s">
        <v>3</v>
      </c>
      <c r="D73" s="112" t="s">
        <v>102</v>
      </c>
      <c r="E73" s="79"/>
      <c r="F73" s="79"/>
    </row>
    <row r="74" spans="3:104" ht="18" hidden="1" customHeight="1">
      <c r="C74" s="115">
        <v>1</v>
      </c>
      <c r="D74" s="116">
        <f t="shared" ref="D74:D83" ca="1" si="116">INDIRECT(E74,TRUE)</f>
        <v>0</v>
      </c>
      <c r="E74" s="117" t="str">
        <f>ADDRESS(88,F74,1,1)</f>
        <v>$O$88</v>
      </c>
      <c r="F74" s="117">
        <f>C71</f>
        <v>15</v>
      </c>
    </row>
    <row r="75" spans="3:104" ht="18" hidden="1" customHeight="1">
      <c r="C75" s="115">
        <v>2</v>
      </c>
      <c r="D75" s="116">
        <f t="shared" ca="1" si="116"/>
        <v>0</v>
      </c>
      <c r="E75" s="117" t="str">
        <f t="shared" ref="E75:E87" si="117">ADDRESS(88,F75,1,1)</f>
        <v>$AF$88</v>
      </c>
      <c r="F75" s="117">
        <f>F74+$D$71</f>
        <v>32</v>
      </c>
    </row>
    <row r="76" spans="3:104" ht="18" hidden="1" customHeight="1">
      <c r="C76" s="115">
        <v>3</v>
      </c>
      <c r="D76" s="116">
        <f t="shared" ca="1" si="116"/>
        <v>0</v>
      </c>
      <c r="E76" s="117" t="str">
        <f t="shared" si="117"/>
        <v>$AW$88</v>
      </c>
      <c r="F76" s="117">
        <f t="shared" ref="F76:F87" si="118">F75+$D$71</f>
        <v>49</v>
      </c>
    </row>
    <row r="77" spans="3:104" ht="18" hidden="1" customHeight="1">
      <c r="C77" s="115">
        <v>4</v>
      </c>
      <c r="D77" s="116">
        <f t="shared" ca="1" si="116"/>
        <v>0</v>
      </c>
      <c r="E77" s="117" t="str">
        <f t="shared" si="117"/>
        <v>$BN$88</v>
      </c>
      <c r="F77" s="117">
        <f t="shared" si="118"/>
        <v>66</v>
      </c>
    </row>
    <row r="78" spans="3:104" ht="18" hidden="1" customHeight="1">
      <c r="C78" s="115">
        <v>5</v>
      </c>
      <c r="D78" s="116">
        <f t="shared" ca="1" si="116"/>
        <v>0</v>
      </c>
      <c r="E78" s="117" t="str">
        <f t="shared" si="117"/>
        <v>$CE$88</v>
      </c>
      <c r="F78" s="117">
        <f t="shared" si="118"/>
        <v>83</v>
      </c>
    </row>
    <row r="79" spans="3:104" ht="18" hidden="1" customHeight="1">
      <c r="C79" s="115">
        <v>6</v>
      </c>
      <c r="D79" s="116">
        <f t="shared" ca="1" si="116"/>
        <v>0</v>
      </c>
      <c r="E79" s="117" t="str">
        <f t="shared" si="117"/>
        <v>$CV$88</v>
      </c>
      <c r="F79" s="117">
        <f t="shared" si="118"/>
        <v>100</v>
      </c>
    </row>
    <row r="80" spans="3:104" ht="18" hidden="1" customHeight="1">
      <c r="C80" s="115">
        <v>7</v>
      </c>
      <c r="D80" s="116">
        <f t="shared" ca="1" si="116"/>
        <v>0</v>
      </c>
      <c r="E80" s="117" t="str">
        <f t="shared" si="117"/>
        <v>$DM$88</v>
      </c>
      <c r="F80" s="117">
        <f t="shared" si="118"/>
        <v>117</v>
      </c>
    </row>
    <row r="81" spans="3:26" ht="18" hidden="1" customHeight="1">
      <c r="C81" s="115">
        <v>8</v>
      </c>
      <c r="D81" s="116">
        <f t="shared" ca="1" si="116"/>
        <v>0</v>
      </c>
      <c r="E81" s="117" t="str">
        <f t="shared" si="117"/>
        <v>$ED$88</v>
      </c>
      <c r="F81" s="117">
        <f t="shared" si="118"/>
        <v>134</v>
      </c>
    </row>
    <row r="82" spans="3:26" ht="18" hidden="1" customHeight="1">
      <c r="C82" s="115">
        <v>9</v>
      </c>
      <c r="D82" s="116">
        <f t="shared" ca="1" si="116"/>
        <v>0</v>
      </c>
      <c r="E82" s="117" t="str">
        <f t="shared" si="117"/>
        <v>$EU$88</v>
      </c>
      <c r="F82" s="117">
        <f t="shared" si="118"/>
        <v>151</v>
      </c>
    </row>
    <row r="83" spans="3:26" ht="18" hidden="1" customHeight="1">
      <c r="C83" s="115">
        <v>10</v>
      </c>
      <c r="D83" s="116">
        <f t="shared" ca="1" si="116"/>
        <v>0</v>
      </c>
      <c r="E83" s="117" t="str">
        <f t="shared" si="117"/>
        <v>$FL$88</v>
      </c>
      <c r="F83" s="117">
        <f t="shared" si="118"/>
        <v>168</v>
      </c>
    </row>
    <row r="84" spans="3:26" ht="18" hidden="1" customHeight="1">
      <c r="C84" s="115">
        <v>11</v>
      </c>
      <c r="D84" s="116">
        <f t="shared" ref="D84:D87" ca="1" si="119">INDIRECT(E84,TRUE)</f>
        <v>0</v>
      </c>
      <c r="E84" s="117" t="str">
        <f t="shared" si="117"/>
        <v>$GC$88</v>
      </c>
      <c r="F84" s="117">
        <f t="shared" si="118"/>
        <v>185</v>
      </c>
    </row>
    <row r="85" spans="3:26" ht="18" hidden="1" customHeight="1">
      <c r="C85" s="115">
        <v>12</v>
      </c>
      <c r="D85" s="116">
        <f t="shared" ca="1" si="119"/>
        <v>0</v>
      </c>
      <c r="E85" s="117" t="str">
        <f t="shared" si="117"/>
        <v>$GT$88</v>
      </c>
      <c r="F85" s="117">
        <f t="shared" si="118"/>
        <v>202</v>
      </c>
    </row>
    <row r="86" spans="3:26" ht="18" hidden="1" customHeight="1">
      <c r="C86" s="115">
        <v>13</v>
      </c>
      <c r="D86" s="116">
        <f t="shared" ca="1" si="119"/>
        <v>0</v>
      </c>
      <c r="E86" s="117" t="str">
        <f t="shared" si="117"/>
        <v>$HK$88</v>
      </c>
      <c r="F86" s="117">
        <f t="shared" si="118"/>
        <v>219</v>
      </c>
    </row>
    <row r="87" spans="3:26" ht="18" hidden="1" customHeight="1">
      <c r="C87" s="115">
        <v>14</v>
      </c>
      <c r="D87" s="116">
        <f t="shared" ca="1" si="119"/>
        <v>0</v>
      </c>
      <c r="E87" s="117" t="str">
        <f t="shared" si="117"/>
        <v>$IB$88</v>
      </c>
      <c r="F87" s="117">
        <f t="shared" si="118"/>
        <v>236</v>
      </c>
    </row>
    <row r="88" spans="3:26" ht="15.75" hidden="1" customHeight="1"/>
    <row r="89" spans="3:26" ht="15.75" hidden="1" customHeight="1"/>
    <row r="90" spans="3:26" ht="15.75" hidden="1" customHeight="1"/>
    <row r="91" spans="3:26" ht="15.75" hidden="1" customHeight="1"/>
    <row r="92" spans="3:26" ht="15.75" hidden="1" customHeight="1"/>
    <row r="93" spans="3:26">
      <c r="C93" s="176">
        <v>1</v>
      </c>
      <c r="D93" s="696">
        <v>438009481</v>
      </c>
      <c r="Z93" s="682">
        <f>+Z25*Z26</f>
        <v>1024942185.54</v>
      </c>
    </row>
    <row r="94" spans="3:26">
      <c r="C94" s="176">
        <v>2</v>
      </c>
      <c r="D94" s="696">
        <v>434689842</v>
      </c>
      <c r="Z94" s="683">
        <f>+Z34</f>
        <v>21330000</v>
      </c>
    </row>
    <row r="95" spans="3:26">
      <c r="C95" s="176">
        <v>3</v>
      </c>
      <c r="D95" s="696">
        <v>435321650</v>
      </c>
      <c r="Z95" s="683">
        <f>+Z93+Z94</f>
        <v>1046272185.54</v>
      </c>
    </row>
    <row r="96" spans="3:26">
      <c r="C96" s="176">
        <v>4</v>
      </c>
      <c r="D96" s="696">
        <v>432626179</v>
      </c>
      <c r="Z96" s="176">
        <f>+Z95*0.19</f>
        <v>198791715.25259998</v>
      </c>
    </row>
    <row r="97" spans="3:104">
      <c r="Z97" s="683">
        <f>+Z95+Z96</f>
        <v>1245063900.7925999</v>
      </c>
    </row>
    <row r="98" spans="3:104">
      <c r="C98" s="79" t="s">
        <v>119</v>
      </c>
    </row>
    <row r="99" spans="3:104">
      <c r="C99" s="176">
        <v>1</v>
      </c>
      <c r="D99" s="697">
        <f>+Z26</f>
        <v>2.34</v>
      </c>
    </row>
    <row r="100" spans="3:104">
      <c r="C100" s="176">
        <v>2</v>
      </c>
      <c r="D100" s="697">
        <f>+AW26</f>
        <v>2.3199999999999998</v>
      </c>
    </row>
    <row r="101" spans="3:104">
      <c r="C101" s="176">
        <v>3</v>
      </c>
      <c r="D101" s="697">
        <f>+BT26</f>
        <v>2.3199999999999998</v>
      </c>
    </row>
    <row r="102" spans="3:104">
      <c r="C102" s="176">
        <v>4</v>
      </c>
      <c r="D102" s="697">
        <f>+CQ26</f>
        <v>2.34</v>
      </c>
    </row>
    <row r="108" spans="3:104">
      <c r="AA108" s="75"/>
      <c r="AB108" s="77"/>
      <c r="AC108" s="78"/>
      <c r="AD108" s="77"/>
      <c r="AE108" s="78"/>
      <c r="AF108" s="77"/>
      <c r="AG108" s="78"/>
      <c r="AH108" s="77"/>
      <c r="AI108" s="75"/>
      <c r="AX108" s="75"/>
      <c r="AY108" s="77"/>
      <c r="AZ108" s="78"/>
      <c r="BA108" s="77"/>
      <c r="BB108" s="78"/>
      <c r="BC108" s="77"/>
      <c r="BD108" s="78"/>
      <c r="BE108" s="77"/>
      <c r="BF108" s="75"/>
      <c r="BU108" s="75"/>
      <c r="BV108" s="77"/>
      <c r="BW108" s="78"/>
      <c r="BX108" s="77"/>
      <c r="BY108" s="78"/>
      <c r="BZ108" s="77"/>
      <c r="CA108" s="78"/>
      <c r="CB108" s="77"/>
      <c r="CC108" s="75"/>
      <c r="CR108" s="75"/>
      <c r="CS108" s="77"/>
      <c r="CT108" s="78"/>
      <c r="CU108" s="77"/>
      <c r="CV108" s="78"/>
      <c r="CW108" s="77"/>
      <c r="CX108" s="78"/>
      <c r="CY108" s="77"/>
      <c r="CZ108" s="75"/>
    </row>
    <row r="109" spans="3:104">
      <c r="AA109" s="75"/>
      <c r="AB109" s="75"/>
      <c r="AC109" s="75"/>
      <c r="AD109" s="75"/>
      <c r="AE109" s="75"/>
      <c r="AF109" s="75"/>
      <c r="AG109" s="75"/>
      <c r="AH109" s="75"/>
      <c r="AI109" s="75"/>
      <c r="AX109" s="75"/>
      <c r="AY109" s="75"/>
      <c r="AZ109" s="75"/>
      <c r="BA109" s="75"/>
      <c r="BB109" s="75"/>
      <c r="BC109" s="75"/>
      <c r="BD109" s="75"/>
      <c r="BE109" s="75"/>
      <c r="BF109" s="75"/>
      <c r="BU109" s="75"/>
      <c r="BV109" s="75"/>
      <c r="BW109" s="75"/>
      <c r="BX109" s="75"/>
      <c r="BY109" s="75"/>
      <c r="BZ109" s="75"/>
      <c r="CA109" s="75"/>
      <c r="CB109" s="75"/>
      <c r="CC109" s="75"/>
      <c r="CR109" s="75"/>
      <c r="CS109" s="75"/>
      <c r="CT109" s="75"/>
      <c r="CU109" s="75"/>
      <c r="CV109" s="75"/>
      <c r="CW109" s="75"/>
      <c r="CX109" s="75"/>
      <c r="CY109" s="75"/>
      <c r="CZ109" s="75"/>
    </row>
    <row r="110" spans="3:104">
      <c r="AA110" s="78"/>
      <c r="AB110" s="77"/>
      <c r="AC110" s="78"/>
      <c r="AD110" s="77"/>
      <c r="AE110" s="78"/>
      <c r="AF110" s="77"/>
      <c r="AG110" s="78"/>
      <c r="AH110" s="77"/>
      <c r="AI110" s="78"/>
      <c r="AX110" s="78"/>
      <c r="AY110" s="77"/>
      <c r="AZ110" s="78"/>
      <c r="BA110" s="77"/>
      <c r="BB110" s="78"/>
      <c r="BC110" s="77"/>
      <c r="BD110" s="78"/>
      <c r="BE110" s="77"/>
      <c r="BF110" s="78"/>
      <c r="BU110" s="78"/>
      <c r="BV110" s="77"/>
      <c r="BW110" s="78"/>
      <c r="BX110" s="77"/>
      <c r="BY110" s="78"/>
      <c r="BZ110" s="77"/>
      <c r="CA110" s="78"/>
      <c r="CB110" s="77"/>
      <c r="CC110" s="78"/>
      <c r="CR110" s="78"/>
      <c r="CS110" s="77"/>
      <c r="CT110" s="78"/>
      <c r="CU110" s="77"/>
      <c r="CV110" s="78"/>
      <c r="CW110" s="77"/>
      <c r="CX110" s="78"/>
      <c r="CY110" s="77"/>
      <c r="CZ110" s="78"/>
    </row>
    <row r="111" spans="3:104">
      <c r="AA111" s="78"/>
      <c r="AB111" s="77"/>
      <c r="AC111" s="78"/>
      <c r="AD111" s="77"/>
      <c r="AE111" s="78"/>
      <c r="AF111" s="77"/>
      <c r="AG111" s="78"/>
      <c r="AH111" s="77"/>
      <c r="AI111" s="78"/>
      <c r="AX111" s="78"/>
      <c r="AY111" s="77"/>
      <c r="AZ111" s="78"/>
      <c r="BA111" s="77"/>
      <c r="BB111" s="78"/>
      <c r="BC111" s="77"/>
      <c r="BD111" s="78"/>
      <c r="BE111" s="77"/>
      <c r="BF111" s="78"/>
      <c r="BU111" s="78"/>
      <c r="BV111" s="77"/>
      <c r="BW111" s="78"/>
      <c r="BX111" s="77"/>
      <c r="BY111" s="78"/>
      <c r="BZ111" s="77"/>
      <c r="CA111" s="78"/>
      <c r="CB111" s="77"/>
      <c r="CC111" s="78"/>
      <c r="CR111" s="78"/>
      <c r="CS111" s="77"/>
      <c r="CT111" s="78"/>
      <c r="CU111" s="77"/>
      <c r="CV111" s="78"/>
      <c r="CW111" s="77"/>
      <c r="CX111" s="78"/>
      <c r="CY111" s="77"/>
      <c r="CZ111" s="78"/>
    </row>
    <row r="112" spans="3:104">
      <c r="AA112" s="78"/>
      <c r="AB112" s="77"/>
      <c r="AC112" s="78"/>
      <c r="AD112" s="77"/>
      <c r="AE112" s="78"/>
      <c r="AF112" s="77"/>
      <c r="AG112" s="78"/>
      <c r="AH112" s="77"/>
      <c r="AI112" s="78"/>
      <c r="AX112" s="78"/>
      <c r="AY112" s="77"/>
      <c r="AZ112" s="78"/>
      <c r="BA112" s="77"/>
      <c r="BB112" s="78"/>
      <c r="BC112" s="77"/>
      <c r="BD112" s="78"/>
      <c r="BE112" s="77"/>
      <c r="BF112" s="78"/>
      <c r="BU112" s="78"/>
      <c r="BV112" s="77"/>
      <c r="BW112" s="78"/>
      <c r="BX112" s="77"/>
      <c r="BY112" s="78"/>
      <c r="BZ112" s="77"/>
      <c r="CA112" s="78"/>
      <c r="CB112" s="77"/>
      <c r="CC112" s="78"/>
      <c r="CR112" s="78"/>
      <c r="CS112" s="77"/>
      <c r="CT112" s="78"/>
      <c r="CU112" s="77"/>
      <c r="CV112" s="78"/>
      <c r="CW112" s="77"/>
      <c r="CX112" s="78"/>
      <c r="CY112" s="77"/>
      <c r="CZ112" s="78"/>
    </row>
    <row r="113" spans="27:104">
      <c r="AA113" s="78"/>
      <c r="AB113" s="77"/>
      <c r="AC113" s="78"/>
      <c r="AD113" s="77"/>
      <c r="AE113" s="78"/>
      <c r="AF113" s="77"/>
      <c r="AG113" s="78"/>
      <c r="AH113" s="77"/>
      <c r="AI113" s="78"/>
      <c r="AX113" s="78"/>
      <c r="AY113" s="77"/>
      <c r="AZ113" s="78"/>
      <c r="BA113" s="77"/>
      <c r="BB113" s="78"/>
      <c r="BC113" s="77"/>
      <c r="BD113" s="78"/>
      <c r="BE113" s="77"/>
      <c r="BF113" s="78"/>
      <c r="BU113" s="78"/>
      <c r="BV113" s="77"/>
      <c r="BW113" s="78"/>
      <c r="BX113" s="77"/>
      <c r="BY113" s="78"/>
      <c r="BZ113" s="77"/>
      <c r="CA113" s="78"/>
      <c r="CB113" s="77"/>
      <c r="CC113" s="78"/>
      <c r="CR113" s="78"/>
      <c r="CS113" s="77"/>
      <c r="CT113" s="78"/>
      <c r="CU113" s="77"/>
      <c r="CV113" s="78"/>
      <c r="CW113" s="77"/>
      <c r="CX113" s="78"/>
      <c r="CY113" s="77"/>
      <c r="CZ113" s="78"/>
    </row>
    <row r="114" spans="27:104">
      <c r="AA114" s="78"/>
      <c r="AB114" s="77"/>
      <c r="AC114" s="78"/>
      <c r="AD114" s="77"/>
      <c r="AE114" s="78"/>
      <c r="AF114" s="77"/>
      <c r="AG114" s="78"/>
      <c r="AH114" s="77"/>
      <c r="AI114" s="78"/>
      <c r="AX114" s="78"/>
      <c r="AY114" s="77"/>
      <c r="AZ114" s="78"/>
      <c r="BA114" s="77"/>
      <c r="BB114" s="78"/>
      <c r="BC114" s="77"/>
      <c r="BD114" s="78"/>
      <c r="BE114" s="77"/>
      <c r="BF114" s="78"/>
      <c r="BU114" s="78"/>
      <c r="BV114" s="77"/>
      <c r="BW114" s="78"/>
      <c r="BX114" s="77"/>
      <c r="BY114" s="78"/>
      <c r="BZ114" s="77"/>
      <c r="CA114" s="78"/>
      <c r="CB114" s="77"/>
      <c r="CC114" s="78"/>
      <c r="CR114" s="78"/>
      <c r="CS114" s="77"/>
      <c r="CT114" s="78"/>
      <c r="CU114" s="77"/>
      <c r="CV114" s="78"/>
      <c r="CW114" s="77"/>
      <c r="CX114" s="78"/>
      <c r="CY114" s="77"/>
      <c r="CZ114" s="78"/>
    </row>
    <row r="115" spans="27:104">
      <c r="AA115" s="78"/>
      <c r="AB115" s="77"/>
      <c r="AC115" s="78"/>
      <c r="AD115" s="77"/>
      <c r="AE115" s="78"/>
      <c r="AF115" s="77"/>
      <c r="AG115" s="78"/>
      <c r="AH115" s="77"/>
      <c r="AI115" s="78"/>
      <c r="AX115" s="78"/>
      <c r="AY115" s="77"/>
      <c r="AZ115" s="78"/>
      <c r="BA115" s="77"/>
      <c r="BB115" s="78"/>
      <c r="BC115" s="77"/>
      <c r="BD115" s="78"/>
      <c r="BE115" s="77"/>
      <c r="BF115" s="78"/>
      <c r="BU115" s="78"/>
      <c r="BV115" s="77"/>
      <c r="BW115" s="78"/>
      <c r="BX115" s="77"/>
      <c r="BY115" s="78"/>
      <c r="BZ115" s="77"/>
      <c r="CA115" s="78"/>
      <c r="CB115" s="77"/>
      <c r="CC115" s="78"/>
      <c r="CR115" s="78"/>
      <c r="CS115" s="77"/>
      <c r="CT115" s="78"/>
      <c r="CU115" s="77"/>
      <c r="CV115" s="78"/>
      <c r="CW115" s="77"/>
      <c r="CX115" s="78"/>
      <c r="CY115" s="77"/>
      <c r="CZ115" s="78"/>
    </row>
    <row r="116" spans="27:104">
      <c r="AA116" s="78"/>
      <c r="AB116" s="78"/>
      <c r="AC116" s="78"/>
      <c r="AD116" s="78"/>
      <c r="AE116" s="78"/>
      <c r="AF116" s="78"/>
      <c r="AG116" s="78"/>
      <c r="AH116" s="78"/>
      <c r="AI116" s="78"/>
      <c r="AX116" s="78"/>
      <c r="AY116" s="78"/>
      <c r="AZ116" s="78"/>
      <c r="BA116" s="78"/>
      <c r="BB116" s="78"/>
      <c r="BC116" s="78"/>
      <c r="BD116" s="78"/>
      <c r="BE116" s="78"/>
      <c r="BF116" s="78"/>
      <c r="BU116" s="78"/>
      <c r="BV116" s="78"/>
      <c r="BW116" s="78"/>
      <c r="BX116" s="78"/>
      <c r="BY116" s="78"/>
      <c r="BZ116" s="78"/>
      <c r="CA116" s="78"/>
      <c r="CB116" s="78"/>
      <c r="CC116" s="78"/>
      <c r="CR116" s="78"/>
      <c r="CS116" s="78"/>
      <c r="CT116" s="78"/>
      <c r="CU116" s="78"/>
      <c r="CV116" s="78"/>
      <c r="CW116" s="78"/>
      <c r="CX116" s="78"/>
      <c r="CY116" s="78"/>
      <c r="CZ116" s="78"/>
    </row>
    <row r="117" spans="27:104">
      <c r="AA117" s="78"/>
      <c r="AB117" s="78"/>
      <c r="AC117" s="78"/>
      <c r="AD117" s="78"/>
      <c r="AE117" s="78"/>
      <c r="AF117" s="78"/>
      <c r="AG117" s="78"/>
      <c r="AH117" s="78"/>
      <c r="AI117" s="78"/>
      <c r="AX117" s="78"/>
      <c r="AY117" s="78"/>
      <c r="AZ117" s="78"/>
      <c r="BA117" s="78"/>
      <c r="BB117" s="78"/>
      <c r="BC117" s="78"/>
      <c r="BD117" s="78"/>
      <c r="BE117" s="78"/>
      <c r="BF117" s="78"/>
      <c r="BU117" s="78"/>
      <c r="BV117" s="78"/>
      <c r="BW117" s="78"/>
      <c r="BX117" s="78"/>
      <c r="BY117" s="78"/>
      <c r="BZ117" s="78"/>
      <c r="CA117" s="78"/>
      <c r="CB117" s="78"/>
      <c r="CC117" s="78"/>
      <c r="CR117" s="78"/>
      <c r="CS117" s="78"/>
      <c r="CT117" s="78"/>
      <c r="CU117" s="78"/>
      <c r="CV117" s="78"/>
      <c r="CW117" s="78"/>
      <c r="CX117" s="78"/>
      <c r="CY117" s="78"/>
      <c r="CZ117" s="78"/>
    </row>
    <row r="118" spans="27:104">
      <c r="AA118" s="78"/>
      <c r="AB118" s="78"/>
      <c r="AC118" s="78"/>
      <c r="AD118" s="78"/>
      <c r="AE118" s="78"/>
      <c r="AF118" s="78"/>
      <c r="AG118" s="78"/>
      <c r="AH118" s="78"/>
      <c r="AI118" s="78"/>
      <c r="AX118" s="78"/>
      <c r="AY118" s="78"/>
      <c r="AZ118" s="78"/>
      <c r="BA118" s="78"/>
      <c r="BB118" s="78"/>
      <c r="BC118" s="78"/>
      <c r="BD118" s="78"/>
      <c r="BE118" s="78"/>
      <c r="BF118" s="78"/>
      <c r="BU118" s="78"/>
      <c r="BV118" s="78"/>
      <c r="BW118" s="78"/>
      <c r="BX118" s="78"/>
      <c r="BY118" s="78"/>
      <c r="BZ118" s="78"/>
      <c r="CA118" s="78"/>
      <c r="CB118" s="78"/>
      <c r="CC118" s="78"/>
      <c r="CR118" s="78"/>
      <c r="CS118" s="78"/>
      <c r="CT118" s="78"/>
      <c r="CU118" s="78"/>
      <c r="CV118" s="78"/>
      <c r="CW118" s="78"/>
      <c r="CX118" s="78"/>
      <c r="CY118" s="78"/>
      <c r="CZ118" s="78"/>
    </row>
    <row r="119" spans="27:104">
      <c r="AA119" s="78"/>
      <c r="AB119" s="78"/>
      <c r="AC119" s="78"/>
      <c r="AD119" s="78"/>
      <c r="AE119" s="78"/>
      <c r="AF119" s="78"/>
      <c r="AG119" s="78"/>
      <c r="AH119" s="78"/>
      <c r="AI119" s="78"/>
      <c r="AX119" s="78"/>
      <c r="AY119" s="78"/>
      <c r="AZ119" s="78"/>
      <c r="BA119" s="78"/>
      <c r="BB119" s="78"/>
      <c r="BC119" s="78"/>
      <c r="BD119" s="78"/>
      <c r="BE119" s="78"/>
      <c r="BF119" s="78"/>
      <c r="BU119" s="78"/>
      <c r="BV119" s="78"/>
      <c r="BW119" s="78"/>
      <c r="BX119" s="78"/>
      <c r="BY119" s="78"/>
      <c r="BZ119" s="78"/>
      <c r="CA119" s="78"/>
      <c r="CB119" s="78"/>
      <c r="CC119" s="78"/>
      <c r="CR119" s="78"/>
      <c r="CS119" s="78"/>
      <c r="CT119" s="78"/>
      <c r="CU119" s="78"/>
      <c r="CV119" s="78"/>
      <c r="CW119" s="78"/>
      <c r="CX119" s="78"/>
      <c r="CY119" s="78"/>
      <c r="CZ119" s="78"/>
    </row>
    <row r="120" spans="27:104">
      <c r="AA120" s="78"/>
      <c r="AB120" s="78"/>
      <c r="AC120" s="78"/>
      <c r="AD120" s="78"/>
      <c r="AE120" s="78"/>
      <c r="AF120" s="78"/>
      <c r="AG120" s="78"/>
      <c r="AH120" s="78"/>
      <c r="AI120" s="78"/>
      <c r="AX120" s="78"/>
      <c r="AY120" s="78"/>
      <c r="AZ120" s="78"/>
      <c r="BA120" s="78"/>
      <c r="BB120" s="78"/>
      <c r="BC120" s="78"/>
      <c r="BD120" s="78"/>
      <c r="BE120" s="78"/>
      <c r="BF120" s="78"/>
      <c r="BU120" s="78"/>
      <c r="BV120" s="78"/>
      <c r="BW120" s="78"/>
      <c r="BX120" s="78"/>
      <c r="BY120" s="78"/>
      <c r="BZ120" s="78"/>
      <c r="CA120" s="78"/>
      <c r="CB120" s="78"/>
      <c r="CC120" s="78"/>
      <c r="CR120" s="78"/>
      <c r="CS120" s="78"/>
      <c r="CT120" s="78"/>
      <c r="CU120" s="78"/>
      <c r="CV120" s="78"/>
      <c r="CW120" s="78"/>
      <c r="CX120" s="78"/>
      <c r="CY120" s="78"/>
      <c r="CZ120" s="78"/>
    </row>
    <row r="121" spans="27:104">
      <c r="AA121" s="78"/>
      <c r="AB121" s="78"/>
      <c r="AC121" s="78"/>
      <c r="AD121" s="78"/>
      <c r="AE121" s="78"/>
      <c r="AF121" s="78"/>
      <c r="AG121" s="78"/>
      <c r="AH121" s="78"/>
      <c r="AI121" s="78"/>
      <c r="AX121" s="78"/>
      <c r="AY121" s="78"/>
      <c r="AZ121" s="78"/>
      <c r="BA121" s="78"/>
      <c r="BB121" s="78"/>
      <c r="BC121" s="78"/>
      <c r="BD121" s="78"/>
      <c r="BE121" s="78"/>
      <c r="BF121" s="78"/>
      <c r="BU121" s="78"/>
      <c r="BV121" s="78"/>
      <c r="BW121" s="78"/>
      <c r="BX121" s="78"/>
      <c r="BY121" s="78"/>
      <c r="BZ121" s="78"/>
      <c r="CA121" s="78"/>
      <c r="CB121" s="78"/>
      <c r="CC121" s="78"/>
      <c r="CR121" s="78"/>
      <c r="CS121" s="78"/>
      <c r="CT121" s="78"/>
      <c r="CU121" s="78"/>
      <c r="CV121" s="78"/>
      <c r="CW121" s="78"/>
      <c r="CX121" s="78"/>
      <c r="CY121" s="78"/>
      <c r="CZ121" s="78"/>
    </row>
    <row r="122" spans="27:104">
      <c r="AA122" s="78"/>
      <c r="AB122" s="78"/>
      <c r="AC122" s="78"/>
      <c r="AD122" s="78"/>
      <c r="AE122" s="78"/>
      <c r="AF122" s="78"/>
      <c r="AG122" s="78"/>
      <c r="AH122" s="78"/>
      <c r="AI122" s="78"/>
      <c r="AX122" s="78"/>
      <c r="AY122" s="78"/>
      <c r="AZ122" s="78"/>
      <c r="BA122" s="78"/>
      <c r="BB122" s="78"/>
      <c r="BC122" s="78"/>
      <c r="BD122" s="78"/>
      <c r="BE122" s="78"/>
      <c r="BF122" s="78"/>
      <c r="BU122" s="78"/>
      <c r="BV122" s="78"/>
      <c r="BW122" s="78"/>
      <c r="BX122" s="78"/>
      <c r="BY122" s="78"/>
      <c r="BZ122" s="78"/>
      <c r="CA122" s="78"/>
      <c r="CB122" s="78"/>
      <c r="CC122" s="78"/>
      <c r="CR122" s="78"/>
      <c r="CS122" s="78"/>
      <c r="CT122" s="78"/>
      <c r="CU122" s="78"/>
      <c r="CV122" s="78"/>
      <c r="CW122" s="78"/>
      <c r="CX122" s="78"/>
      <c r="CY122" s="78"/>
      <c r="CZ122" s="78"/>
    </row>
    <row r="123" spans="27:104">
      <c r="AA123" s="78"/>
      <c r="AB123" s="78"/>
      <c r="AC123" s="78"/>
      <c r="AD123" s="78"/>
      <c r="AE123" s="78"/>
      <c r="AF123" s="78"/>
      <c r="AG123" s="78"/>
      <c r="AH123" s="78"/>
      <c r="AI123" s="78"/>
      <c r="AX123" s="78"/>
      <c r="AY123" s="78"/>
      <c r="AZ123" s="78"/>
      <c r="BA123" s="78"/>
      <c r="BB123" s="78"/>
      <c r="BC123" s="78"/>
      <c r="BD123" s="78"/>
      <c r="BE123" s="78"/>
      <c r="BF123" s="78"/>
      <c r="BU123" s="78"/>
      <c r="BV123" s="78"/>
      <c r="BW123" s="78"/>
      <c r="BX123" s="78"/>
      <c r="BY123" s="78"/>
      <c r="BZ123" s="78"/>
      <c r="CA123" s="78"/>
      <c r="CB123" s="78"/>
      <c r="CC123" s="78"/>
      <c r="CR123" s="78"/>
      <c r="CS123" s="78"/>
      <c r="CT123" s="78"/>
      <c r="CU123" s="78"/>
      <c r="CV123" s="78"/>
      <c r="CW123" s="78"/>
      <c r="CX123" s="78"/>
      <c r="CY123" s="78"/>
      <c r="CZ123" s="78"/>
    </row>
    <row r="124" spans="27:104">
      <c r="AA124" s="78"/>
      <c r="AB124" s="78"/>
      <c r="AC124" s="78"/>
      <c r="AD124" s="78"/>
      <c r="AE124" s="78"/>
      <c r="AF124" s="78"/>
      <c r="AG124" s="78"/>
      <c r="AH124" s="78"/>
      <c r="AI124" s="78"/>
      <c r="AX124" s="78"/>
      <c r="AY124" s="78"/>
      <c r="AZ124" s="78"/>
      <c r="BA124" s="78"/>
      <c r="BB124" s="78"/>
      <c r="BC124" s="78"/>
      <c r="BD124" s="78"/>
      <c r="BE124" s="78"/>
      <c r="BF124" s="78"/>
      <c r="BU124" s="78"/>
      <c r="BV124" s="78"/>
      <c r="BW124" s="78"/>
      <c r="BX124" s="78"/>
      <c r="BY124" s="78"/>
      <c r="BZ124" s="78"/>
      <c r="CA124" s="78"/>
      <c r="CB124" s="78"/>
      <c r="CC124" s="78"/>
      <c r="CR124" s="78"/>
      <c r="CS124" s="78"/>
      <c r="CT124" s="78"/>
      <c r="CU124" s="78"/>
      <c r="CV124" s="78"/>
      <c r="CW124" s="78"/>
      <c r="CX124" s="78"/>
      <c r="CY124" s="78"/>
      <c r="CZ124" s="78"/>
    </row>
    <row r="125" spans="27:104">
      <c r="AA125" s="78"/>
      <c r="AB125" s="78"/>
      <c r="AC125" s="78"/>
      <c r="AD125" s="78"/>
      <c r="AE125" s="78"/>
      <c r="AF125" s="78"/>
      <c r="AG125" s="78"/>
      <c r="AH125" s="78"/>
      <c r="AI125" s="78"/>
      <c r="AX125" s="78"/>
      <c r="AY125" s="78"/>
      <c r="AZ125" s="78"/>
      <c r="BA125" s="78"/>
      <c r="BB125" s="78"/>
      <c r="BC125" s="78"/>
      <c r="BD125" s="78"/>
      <c r="BE125" s="78"/>
      <c r="BF125" s="78"/>
      <c r="BU125" s="78"/>
      <c r="BV125" s="78"/>
      <c r="BW125" s="78"/>
      <c r="BX125" s="78"/>
      <c r="BY125" s="78"/>
      <c r="BZ125" s="78"/>
      <c r="CA125" s="78"/>
      <c r="CB125" s="78"/>
      <c r="CC125" s="78"/>
      <c r="CR125" s="78"/>
      <c r="CS125" s="78"/>
      <c r="CT125" s="78"/>
      <c r="CU125" s="78"/>
      <c r="CV125" s="78"/>
      <c r="CW125" s="78"/>
      <c r="CX125" s="78"/>
      <c r="CY125" s="78"/>
      <c r="CZ125" s="78"/>
    </row>
    <row r="126" spans="27:104">
      <c r="AA126" s="77"/>
      <c r="AB126" s="77"/>
      <c r="AC126" s="77"/>
      <c r="AD126" s="77"/>
      <c r="AE126" s="77"/>
      <c r="AF126" s="77"/>
      <c r="AG126" s="77"/>
      <c r="AH126" s="77"/>
      <c r="AI126" s="79"/>
      <c r="AX126" s="77"/>
      <c r="AY126" s="77"/>
      <c r="AZ126" s="77"/>
      <c r="BA126" s="77"/>
      <c r="BB126" s="77"/>
      <c r="BC126" s="77"/>
      <c r="BD126" s="77"/>
      <c r="BE126" s="77"/>
      <c r="BF126" s="79"/>
      <c r="BU126" s="77"/>
      <c r="BV126" s="77"/>
      <c r="BW126" s="77"/>
      <c r="BX126" s="77"/>
      <c r="BY126" s="77"/>
      <c r="BZ126" s="77"/>
      <c r="CA126" s="77"/>
      <c r="CB126" s="77"/>
      <c r="CC126" s="79"/>
      <c r="CR126" s="77"/>
      <c r="CS126" s="77"/>
      <c r="CT126" s="77"/>
      <c r="CU126" s="77"/>
      <c r="CV126" s="77"/>
      <c r="CW126" s="77"/>
      <c r="CX126" s="77"/>
      <c r="CY126" s="77"/>
      <c r="CZ126" s="79"/>
    </row>
    <row r="127" spans="27:104">
      <c r="AA127" s="77"/>
      <c r="AB127" s="77"/>
      <c r="AC127" s="77"/>
      <c r="AD127" s="77"/>
      <c r="AE127" s="77"/>
      <c r="AF127" s="77"/>
      <c r="AG127" s="77"/>
      <c r="AH127" s="77"/>
      <c r="AI127" s="79"/>
      <c r="AX127" s="77"/>
      <c r="AY127" s="77"/>
      <c r="AZ127" s="77"/>
      <c r="BA127" s="77"/>
      <c r="BB127" s="77"/>
      <c r="BC127" s="77"/>
      <c r="BD127" s="77"/>
      <c r="BE127" s="77"/>
      <c r="BF127" s="79"/>
      <c r="BU127" s="77"/>
      <c r="BV127" s="77"/>
      <c r="BW127" s="77"/>
      <c r="BX127" s="77"/>
      <c r="BY127" s="77"/>
      <c r="BZ127" s="77"/>
      <c r="CA127" s="77"/>
      <c r="CB127" s="77"/>
      <c r="CC127" s="79"/>
      <c r="CR127" s="77"/>
      <c r="CS127" s="77"/>
      <c r="CT127" s="77"/>
      <c r="CU127" s="77"/>
      <c r="CV127" s="77"/>
      <c r="CW127" s="77"/>
      <c r="CX127" s="77"/>
      <c r="CY127" s="77"/>
      <c r="CZ127" s="79"/>
    </row>
    <row r="128" spans="27:104">
      <c r="AA128" s="77"/>
      <c r="AB128" s="77"/>
      <c r="AC128" s="77"/>
      <c r="AD128" s="77"/>
      <c r="AE128" s="77"/>
      <c r="AF128" s="77"/>
      <c r="AG128" s="77"/>
      <c r="AH128" s="77"/>
      <c r="AI128" s="79"/>
      <c r="AX128" s="77"/>
      <c r="AY128" s="77"/>
      <c r="AZ128" s="77"/>
      <c r="BA128" s="77"/>
      <c r="BB128" s="77"/>
      <c r="BC128" s="77"/>
      <c r="BD128" s="77"/>
      <c r="BE128" s="77"/>
      <c r="BF128" s="79"/>
      <c r="BU128" s="77"/>
      <c r="BV128" s="77"/>
      <c r="BW128" s="77"/>
      <c r="BX128" s="77"/>
      <c r="BY128" s="77"/>
      <c r="BZ128" s="77"/>
      <c r="CA128" s="77"/>
      <c r="CB128" s="77"/>
      <c r="CC128" s="79"/>
      <c r="CR128" s="77"/>
      <c r="CS128" s="77"/>
      <c r="CT128" s="77"/>
      <c r="CU128" s="77"/>
      <c r="CV128" s="77"/>
      <c r="CW128" s="77"/>
      <c r="CX128" s="77"/>
      <c r="CY128" s="77"/>
      <c r="CZ128" s="79"/>
    </row>
    <row r="129" spans="27:104">
      <c r="AA129" s="77"/>
      <c r="AB129" s="77"/>
      <c r="AC129" s="77"/>
      <c r="AD129" s="77"/>
      <c r="AE129" s="77"/>
      <c r="AF129" s="77"/>
      <c r="AG129" s="77"/>
      <c r="AH129" s="77"/>
      <c r="AI129" s="79"/>
      <c r="AX129" s="77"/>
      <c r="AY129" s="77"/>
      <c r="AZ129" s="77"/>
      <c r="BA129" s="77"/>
      <c r="BB129" s="77"/>
      <c r="BC129" s="77"/>
      <c r="BD129" s="77"/>
      <c r="BE129" s="77"/>
      <c r="BF129" s="79"/>
      <c r="BU129" s="77"/>
      <c r="BV129" s="77"/>
      <c r="BW129" s="77"/>
      <c r="BX129" s="77"/>
      <c r="BY129" s="77"/>
      <c r="BZ129" s="77"/>
      <c r="CA129" s="77"/>
      <c r="CB129" s="77"/>
      <c r="CC129" s="79"/>
      <c r="CR129" s="77"/>
      <c r="CS129" s="77"/>
      <c r="CT129" s="77"/>
      <c r="CU129" s="77"/>
      <c r="CV129" s="77"/>
      <c r="CW129" s="77"/>
      <c r="CX129" s="77"/>
      <c r="CY129" s="77"/>
      <c r="CZ129" s="79"/>
    </row>
    <row r="130" spans="27:104">
      <c r="AA130" s="77"/>
      <c r="AB130" s="77"/>
      <c r="AC130" s="77"/>
      <c r="AD130" s="77"/>
      <c r="AE130" s="77"/>
      <c r="AF130" s="77"/>
      <c r="AG130" s="77"/>
      <c r="AH130" s="77"/>
      <c r="AI130" s="79"/>
      <c r="AX130" s="77"/>
      <c r="AY130" s="77"/>
      <c r="AZ130" s="77"/>
      <c r="BA130" s="77"/>
      <c r="BB130" s="77"/>
      <c r="BC130" s="77"/>
      <c r="BD130" s="77"/>
      <c r="BE130" s="77"/>
      <c r="BF130" s="79"/>
      <c r="BU130" s="77"/>
      <c r="BV130" s="77"/>
      <c r="BW130" s="77"/>
      <c r="BX130" s="77"/>
      <c r="BY130" s="77"/>
      <c r="BZ130" s="77"/>
      <c r="CA130" s="77"/>
      <c r="CB130" s="77"/>
      <c r="CC130" s="79"/>
      <c r="CR130" s="77"/>
      <c r="CS130" s="77"/>
      <c r="CT130" s="77"/>
      <c r="CU130" s="77"/>
      <c r="CV130" s="77"/>
      <c r="CW130" s="77"/>
      <c r="CX130" s="77"/>
      <c r="CY130" s="77"/>
      <c r="CZ130" s="79"/>
    </row>
    <row r="131" spans="27:104">
      <c r="AA131" s="77"/>
      <c r="AB131" s="77"/>
      <c r="AC131" s="77"/>
      <c r="AD131" s="77"/>
      <c r="AE131" s="77"/>
      <c r="AF131" s="77"/>
      <c r="AG131" s="77"/>
      <c r="AH131" s="77"/>
      <c r="AI131" s="79"/>
      <c r="AX131" s="77"/>
      <c r="AY131" s="77"/>
      <c r="AZ131" s="77"/>
      <c r="BA131" s="77"/>
      <c r="BB131" s="77"/>
      <c r="BC131" s="77"/>
      <c r="BD131" s="77"/>
      <c r="BE131" s="77"/>
      <c r="BF131" s="79"/>
      <c r="BU131" s="77"/>
      <c r="BV131" s="77"/>
      <c r="BW131" s="77"/>
      <c r="BX131" s="77"/>
      <c r="BY131" s="77"/>
      <c r="BZ131" s="77"/>
      <c r="CA131" s="77"/>
      <c r="CB131" s="77"/>
      <c r="CC131" s="79"/>
      <c r="CR131" s="77"/>
      <c r="CS131" s="77"/>
      <c r="CT131" s="77"/>
      <c r="CU131" s="77"/>
      <c r="CV131" s="77"/>
      <c r="CW131" s="77"/>
      <c r="CX131" s="77"/>
      <c r="CY131" s="77"/>
      <c r="CZ131" s="79"/>
    </row>
    <row r="132" spans="27:104">
      <c r="AA132" s="77"/>
      <c r="AB132" s="77"/>
      <c r="AC132" s="77"/>
      <c r="AD132" s="77"/>
      <c r="AE132" s="77"/>
      <c r="AF132" s="77"/>
      <c r="AG132" s="77"/>
      <c r="AH132" s="77"/>
      <c r="AI132" s="79"/>
      <c r="AX132" s="77"/>
      <c r="AY132" s="77"/>
      <c r="AZ132" s="77"/>
      <c r="BA132" s="77"/>
      <c r="BB132" s="77"/>
      <c r="BC132" s="77"/>
      <c r="BD132" s="77"/>
      <c r="BE132" s="77"/>
      <c r="BF132" s="79"/>
      <c r="BU132" s="77"/>
      <c r="BV132" s="77"/>
      <c r="BW132" s="77"/>
      <c r="BX132" s="77"/>
      <c r="BY132" s="77"/>
      <c r="BZ132" s="77"/>
      <c r="CA132" s="77"/>
      <c r="CB132" s="77"/>
      <c r="CC132" s="79"/>
      <c r="CR132" s="77"/>
      <c r="CS132" s="77"/>
      <c r="CT132" s="77"/>
      <c r="CU132" s="77"/>
      <c r="CV132" s="77"/>
      <c r="CW132" s="77"/>
      <c r="CX132" s="77"/>
      <c r="CY132" s="77"/>
      <c r="CZ132" s="79"/>
    </row>
    <row r="133" spans="27:104">
      <c r="AA133" s="77"/>
      <c r="AB133" s="77"/>
      <c r="AC133" s="77"/>
      <c r="AD133" s="77"/>
      <c r="AE133" s="77"/>
      <c r="AF133" s="77"/>
      <c r="AG133" s="77"/>
      <c r="AH133" s="77"/>
      <c r="AI133" s="79"/>
      <c r="AX133" s="77"/>
      <c r="AY133" s="77"/>
      <c r="AZ133" s="77"/>
      <c r="BA133" s="77"/>
      <c r="BB133" s="77"/>
      <c r="BC133" s="77"/>
      <c r="BD133" s="77"/>
      <c r="BE133" s="77"/>
      <c r="BF133" s="79"/>
      <c r="BU133" s="77"/>
      <c r="BV133" s="77"/>
      <c r="BW133" s="77"/>
      <c r="BX133" s="77"/>
      <c r="BY133" s="77"/>
      <c r="BZ133" s="77"/>
      <c r="CA133" s="77"/>
      <c r="CB133" s="77"/>
      <c r="CC133" s="79"/>
      <c r="CR133" s="77"/>
      <c r="CS133" s="77"/>
      <c r="CT133" s="77"/>
      <c r="CU133" s="77"/>
      <c r="CV133" s="77"/>
      <c r="CW133" s="77"/>
      <c r="CX133" s="77"/>
      <c r="CY133" s="77"/>
      <c r="CZ133" s="79"/>
    </row>
    <row r="134" spans="27:104">
      <c r="AA134" s="77"/>
      <c r="AB134" s="77"/>
      <c r="AC134" s="77"/>
      <c r="AD134" s="77"/>
      <c r="AE134" s="77"/>
      <c r="AF134" s="77"/>
      <c r="AG134" s="77"/>
      <c r="AH134" s="77"/>
      <c r="AI134" s="79"/>
      <c r="AX134" s="77"/>
      <c r="AY134" s="77"/>
      <c r="AZ134" s="77"/>
      <c r="BA134" s="77"/>
      <c r="BB134" s="77"/>
      <c r="BC134" s="77"/>
      <c r="BD134" s="77"/>
      <c r="BE134" s="77"/>
      <c r="BF134" s="79"/>
      <c r="BU134" s="77"/>
      <c r="BV134" s="77"/>
      <c r="BW134" s="77"/>
      <c r="BX134" s="77"/>
      <c r="BY134" s="77"/>
      <c r="BZ134" s="77"/>
      <c r="CA134" s="77"/>
      <c r="CB134" s="77"/>
      <c r="CC134" s="79"/>
      <c r="CR134" s="77"/>
      <c r="CS134" s="77"/>
      <c r="CT134" s="77"/>
      <c r="CU134" s="77"/>
      <c r="CV134" s="77"/>
      <c r="CW134" s="77"/>
      <c r="CX134" s="77"/>
      <c r="CY134" s="77"/>
      <c r="CZ134" s="79"/>
    </row>
    <row r="135" spans="27:104">
      <c r="AA135" s="77"/>
      <c r="AB135" s="77"/>
      <c r="AC135" s="77"/>
      <c r="AD135" s="77"/>
      <c r="AE135" s="77"/>
      <c r="AF135" s="77"/>
      <c r="AG135" s="77"/>
      <c r="AH135" s="77"/>
      <c r="AI135" s="79"/>
      <c r="AX135" s="77"/>
      <c r="AY135" s="77"/>
      <c r="AZ135" s="77"/>
      <c r="BA135" s="77"/>
      <c r="BB135" s="77"/>
      <c r="BC135" s="77"/>
      <c r="BD135" s="77"/>
      <c r="BE135" s="77"/>
      <c r="BF135" s="79"/>
      <c r="BU135" s="77"/>
      <c r="BV135" s="77"/>
      <c r="BW135" s="77"/>
      <c r="BX135" s="77"/>
      <c r="BY135" s="77"/>
      <c r="BZ135" s="77"/>
      <c r="CA135" s="77"/>
      <c r="CB135" s="77"/>
      <c r="CC135" s="79"/>
      <c r="CR135" s="77"/>
      <c r="CS135" s="77"/>
      <c r="CT135" s="77"/>
      <c r="CU135" s="77"/>
      <c r="CV135" s="77"/>
      <c r="CW135" s="77"/>
      <c r="CX135" s="77"/>
      <c r="CY135" s="77"/>
      <c r="CZ135" s="79"/>
    </row>
    <row r="136" spans="27:104">
      <c r="AA136" s="77"/>
      <c r="AB136" s="77"/>
      <c r="AC136" s="77"/>
      <c r="AD136" s="77"/>
      <c r="AE136" s="77"/>
      <c r="AF136" s="77"/>
      <c r="AG136" s="77"/>
      <c r="AH136" s="77"/>
      <c r="AI136" s="79"/>
      <c r="AX136" s="77"/>
      <c r="AY136" s="77"/>
      <c r="AZ136" s="77"/>
      <c r="BA136" s="77"/>
      <c r="BB136" s="77"/>
      <c r="BC136" s="77"/>
      <c r="BD136" s="77"/>
      <c r="BE136" s="77"/>
      <c r="BF136" s="79"/>
      <c r="BU136" s="77"/>
      <c r="BV136" s="77"/>
      <c r="BW136" s="77"/>
      <c r="BX136" s="77"/>
      <c r="BY136" s="77"/>
      <c r="BZ136" s="77"/>
      <c r="CA136" s="77"/>
      <c r="CB136" s="77"/>
      <c r="CC136" s="79"/>
      <c r="CR136" s="77"/>
      <c r="CS136" s="77"/>
      <c r="CT136" s="77"/>
      <c r="CU136" s="77"/>
      <c r="CV136" s="77"/>
      <c r="CW136" s="77"/>
      <c r="CX136" s="77"/>
      <c r="CY136" s="77"/>
      <c r="CZ136" s="79"/>
    </row>
    <row r="137" spans="27:104">
      <c r="AA137" s="77"/>
      <c r="AB137" s="77"/>
      <c r="AC137" s="77"/>
      <c r="AD137" s="77"/>
      <c r="AE137" s="77"/>
      <c r="AF137" s="77"/>
      <c r="AG137" s="77"/>
      <c r="AH137" s="77"/>
      <c r="AI137" s="79"/>
      <c r="AX137" s="77"/>
      <c r="AY137" s="77"/>
      <c r="AZ137" s="77"/>
      <c r="BA137" s="77"/>
      <c r="BB137" s="77"/>
      <c r="BC137" s="77"/>
      <c r="BD137" s="77"/>
      <c r="BE137" s="77"/>
      <c r="BF137" s="79"/>
      <c r="BU137" s="77"/>
      <c r="BV137" s="77"/>
      <c r="BW137" s="77"/>
      <c r="BX137" s="77"/>
      <c r="BY137" s="77"/>
      <c r="BZ137" s="77"/>
      <c r="CA137" s="77"/>
      <c r="CB137" s="77"/>
      <c r="CC137" s="79"/>
      <c r="CR137" s="77"/>
      <c r="CS137" s="77"/>
      <c r="CT137" s="77"/>
      <c r="CU137" s="77"/>
      <c r="CV137" s="77"/>
      <c r="CW137" s="77"/>
      <c r="CX137" s="77"/>
      <c r="CY137" s="77"/>
      <c r="CZ137" s="79"/>
    </row>
    <row r="138" spans="27:104">
      <c r="AA138" s="77"/>
      <c r="AB138" s="77"/>
      <c r="AC138" s="77"/>
      <c r="AD138" s="77"/>
      <c r="AE138" s="77"/>
      <c r="AF138" s="77"/>
      <c r="AG138" s="77"/>
      <c r="AH138" s="77"/>
      <c r="AI138" s="79"/>
      <c r="AX138" s="77"/>
      <c r="AY138" s="77"/>
      <c r="AZ138" s="77"/>
      <c r="BA138" s="77"/>
      <c r="BB138" s="77"/>
      <c r="BC138" s="77"/>
      <c r="BD138" s="77"/>
      <c r="BE138" s="77"/>
      <c r="BF138" s="79"/>
      <c r="BU138" s="77"/>
      <c r="BV138" s="77"/>
      <c r="BW138" s="77"/>
      <c r="BX138" s="77"/>
      <c r="BY138" s="77"/>
      <c r="BZ138" s="77"/>
      <c r="CA138" s="77"/>
      <c r="CB138" s="77"/>
      <c r="CC138" s="79"/>
      <c r="CR138" s="77"/>
      <c r="CS138" s="77"/>
      <c r="CT138" s="77"/>
      <c r="CU138" s="77"/>
      <c r="CV138" s="77"/>
      <c r="CW138" s="77"/>
      <c r="CX138" s="77"/>
      <c r="CY138" s="77"/>
      <c r="CZ138" s="79"/>
    </row>
    <row r="139" spans="27:104">
      <c r="AA139" s="77"/>
      <c r="AB139" s="77"/>
      <c r="AC139" s="77"/>
      <c r="AD139" s="77"/>
      <c r="AE139" s="77"/>
      <c r="AF139" s="77"/>
      <c r="AG139" s="77"/>
      <c r="AH139" s="77"/>
      <c r="AI139" s="79"/>
      <c r="AX139" s="77"/>
      <c r="AY139" s="77"/>
      <c r="AZ139" s="77"/>
      <c r="BA139" s="77"/>
      <c r="BB139" s="77"/>
      <c r="BC139" s="77"/>
      <c r="BD139" s="77"/>
      <c r="BE139" s="77"/>
      <c r="BF139" s="79"/>
      <c r="BU139" s="77"/>
      <c r="BV139" s="77"/>
      <c r="BW139" s="77"/>
      <c r="BX139" s="77"/>
      <c r="BY139" s="77"/>
      <c r="BZ139" s="77"/>
      <c r="CA139" s="77"/>
      <c r="CB139" s="77"/>
      <c r="CC139" s="79"/>
      <c r="CR139" s="77"/>
      <c r="CS139" s="77"/>
      <c r="CT139" s="77"/>
      <c r="CU139" s="77"/>
      <c r="CV139" s="77"/>
      <c r="CW139" s="77"/>
      <c r="CX139" s="77"/>
      <c r="CY139" s="77"/>
      <c r="CZ139" s="79"/>
    </row>
    <row r="140" spans="27:104">
      <c r="AA140" s="77"/>
      <c r="AB140" s="77"/>
      <c r="AC140" s="77"/>
      <c r="AD140" s="77"/>
      <c r="AE140" s="77"/>
      <c r="AF140" s="77"/>
      <c r="AG140" s="77"/>
      <c r="AH140" s="77"/>
      <c r="AI140" s="79"/>
      <c r="AX140" s="77"/>
      <c r="AY140" s="77"/>
      <c r="AZ140" s="77"/>
      <c r="BA140" s="77"/>
      <c r="BB140" s="77"/>
      <c r="BC140" s="77"/>
      <c r="BD140" s="77"/>
      <c r="BE140" s="77"/>
      <c r="BF140" s="79"/>
      <c r="BU140" s="77"/>
      <c r="BV140" s="77"/>
      <c r="BW140" s="77"/>
      <c r="BX140" s="77"/>
      <c r="BY140" s="77"/>
      <c r="BZ140" s="77"/>
      <c r="CA140" s="77"/>
      <c r="CB140" s="77"/>
      <c r="CC140" s="79"/>
      <c r="CR140" s="77"/>
      <c r="CS140" s="77"/>
      <c r="CT140" s="77"/>
      <c r="CU140" s="77"/>
      <c r="CV140" s="77"/>
      <c r="CW140" s="77"/>
      <c r="CX140" s="77"/>
      <c r="CY140" s="77"/>
      <c r="CZ140" s="79"/>
    </row>
    <row r="141" spans="27:104">
      <c r="AA141" s="77"/>
      <c r="AB141" s="77"/>
      <c r="AC141" s="77"/>
      <c r="AD141" s="77"/>
      <c r="AE141" s="77"/>
      <c r="AF141" s="77"/>
      <c r="AG141" s="77"/>
      <c r="AH141" s="77"/>
      <c r="AI141" s="79"/>
      <c r="AX141" s="77"/>
      <c r="AY141" s="77"/>
      <c r="AZ141" s="77"/>
      <c r="BA141" s="77"/>
      <c r="BB141" s="77"/>
      <c r="BC141" s="77"/>
      <c r="BD141" s="77"/>
      <c r="BE141" s="77"/>
      <c r="BF141" s="79"/>
      <c r="BU141" s="77"/>
      <c r="BV141" s="77"/>
      <c r="BW141" s="77"/>
      <c r="BX141" s="77"/>
      <c r="BY141" s="77"/>
      <c r="BZ141" s="77"/>
      <c r="CA141" s="77"/>
      <c r="CB141" s="77"/>
      <c r="CC141" s="79"/>
      <c r="CR141" s="77"/>
      <c r="CS141" s="77"/>
      <c r="CT141" s="77"/>
      <c r="CU141" s="77"/>
      <c r="CV141" s="77"/>
      <c r="CW141" s="77"/>
      <c r="CX141" s="77"/>
      <c r="CY141" s="77"/>
      <c r="CZ141" s="79"/>
    </row>
    <row r="142" spans="27:104">
      <c r="AA142" s="77"/>
      <c r="AB142" s="77"/>
      <c r="AC142" s="77"/>
      <c r="AD142" s="77"/>
      <c r="AE142" s="77"/>
      <c r="AF142" s="77"/>
      <c r="AG142" s="77"/>
      <c r="AH142" s="77"/>
      <c r="AI142" s="79"/>
      <c r="AX142" s="77"/>
      <c r="AY142" s="77"/>
      <c r="AZ142" s="77"/>
      <c r="BA142" s="77"/>
      <c r="BB142" s="77"/>
      <c r="BC142" s="77"/>
      <c r="BD142" s="77"/>
      <c r="BE142" s="77"/>
      <c r="BF142" s="79"/>
      <c r="BU142" s="77"/>
      <c r="BV142" s="77"/>
      <c r="BW142" s="77"/>
      <c r="BX142" s="77"/>
      <c r="BY142" s="77"/>
      <c r="BZ142" s="77"/>
      <c r="CA142" s="77"/>
      <c r="CB142" s="77"/>
      <c r="CC142" s="79"/>
      <c r="CR142" s="77"/>
      <c r="CS142" s="77"/>
      <c r="CT142" s="77"/>
      <c r="CU142" s="77"/>
      <c r="CV142" s="77"/>
      <c r="CW142" s="77"/>
      <c r="CX142" s="77"/>
      <c r="CY142" s="77"/>
      <c r="CZ142" s="79"/>
    </row>
    <row r="143" spans="27:104">
      <c r="AA143" s="77"/>
      <c r="AB143" s="77"/>
      <c r="AC143" s="77"/>
      <c r="AD143" s="77"/>
      <c r="AE143" s="77"/>
      <c r="AF143" s="77"/>
      <c r="AG143" s="77"/>
      <c r="AH143" s="77"/>
      <c r="AI143" s="79"/>
      <c r="AX143" s="77"/>
      <c r="AY143" s="77"/>
      <c r="AZ143" s="77"/>
      <c r="BA143" s="77"/>
      <c r="BB143" s="77"/>
      <c r="BC143" s="77"/>
      <c r="BD143" s="77"/>
      <c r="BE143" s="77"/>
      <c r="BF143" s="79"/>
      <c r="BU143" s="77"/>
      <c r="BV143" s="77"/>
      <c r="BW143" s="77"/>
      <c r="BX143" s="77"/>
      <c r="BY143" s="77"/>
      <c r="BZ143" s="77"/>
      <c r="CA143" s="77"/>
      <c r="CB143" s="77"/>
      <c r="CC143" s="79"/>
      <c r="CR143" s="77"/>
      <c r="CS143" s="77"/>
      <c r="CT143" s="77"/>
      <c r="CU143" s="77"/>
      <c r="CV143" s="77"/>
      <c r="CW143" s="77"/>
      <c r="CX143" s="77"/>
      <c r="CY143" s="77"/>
      <c r="CZ143" s="79"/>
    </row>
  </sheetData>
  <sheetProtection algorithmName="SHA-512" hashValue="dgxLYu3RswOsdi0/MXb60UL3nuFMo0YTx+HESRt1BtAWNSIrGJfbv4p+dbpNFjgnbvZtA9iJRfXg4bmbcwpISA==" saltValue="MYYzRX8Sa/jJnteaWcQK7g==" spinCount="100000" sheet="1" objects="1" scenarios="1"/>
  <mergeCells count="158">
    <mergeCell ref="CH38:CN38"/>
    <mergeCell ref="CF41:CQ41"/>
    <mergeCell ref="CH30:CQ30"/>
    <mergeCell ref="CR30:CZ30"/>
    <mergeCell ref="CH34:CN34"/>
    <mergeCell ref="CH36:CN36"/>
    <mergeCell ref="CH37:CN37"/>
    <mergeCell ref="CM26:CN26"/>
    <mergeCell ref="CR26:CZ26"/>
    <mergeCell ref="CH27:CN27"/>
    <mergeCell ref="CR28:CZ28"/>
    <mergeCell ref="CR29:CZ29"/>
    <mergeCell ref="CR19:CZ19"/>
    <mergeCell ref="CF23:CN23"/>
    <mergeCell ref="CR23:CZ23"/>
    <mergeCell ref="CR24:CZ24"/>
    <mergeCell ref="CH25:CN25"/>
    <mergeCell ref="CR25:CZ25"/>
    <mergeCell ref="CY3:CY10"/>
    <mergeCell ref="CZ3:CZ10"/>
    <mergeCell ref="CF4:CH8"/>
    <mergeCell ref="CI4:CQ4"/>
    <mergeCell ref="CI5:CQ6"/>
    <mergeCell ref="CI7:CQ8"/>
    <mergeCell ref="CH10:CQ10"/>
    <mergeCell ref="CT3:CT10"/>
    <mergeCell ref="CU3:CU10"/>
    <mergeCell ref="CV3:CV10"/>
    <mergeCell ref="CW3:CW10"/>
    <mergeCell ref="CX3:CX10"/>
    <mergeCell ref="CF2:CF3"/>
    <mergeCell ref="CG2:CH3"/>
    <mergeCell ref="CI2:CQ3"/>
    <mergeCell ref="CR3:CR10"/>
    <mergeCell ref="CS3:CS10"/>
    <mergeCell ref="BZ3:BZ10"/>
    <mergeCell ref="CA3:CA10"/>
    <mergeCell ref="CB3:CB10"/>
    <mergeCell ref="CC3:CC10"/>
    <mergeCell ref="BI4:BK8"/>
    <mergeCell ref="BL4:BT4"/>
    <mergeCell ref="BL5:BT6"/>
    <mergeCell ref="BL7:BT8"/>
    <mergeCell ref="BK10:BT10"/>
    <mergeCell ref="BU3:BU10"/>
    <mergeCell ref="BV3:BV10"/>
    <mergeCell ref="BW3:BW10"/>
    <mergeCell ref="BX3:BX10"/>
    <mergeCell ref="BY3:BY10"/>
    <mergeCell ref="BU26:CC26"/>
    <mergeCell ref="BK27:BQ27"/>
    <mergeCell ref="BU28:CC28"/>
    <mergeCell ref="BU29:CC29"/>
    <mergeCell ref="BK30:BT30"/>
    <mergeCell ref="BU30:CC30"/>
    <mergeCell ref="BU19:CC19"/>
    <mergeCell ref="BI23:BQ23"/>
    <mergeCell ref="BU23:CC23"/>
    <mergeCell ref="BU24:CC24"/>
    <mergeCell ref="BK25:BQ25"/>
    <mergeCell ref="BU25:CC25"/>
    <mergeCell ref="AL41:AW41"/>
    <mergeCell ref="BI2:BI3"/>
    <mergeCell ref="BJ2:BK3"/>
    <mergeCell ref="BL2:BT3"/>
    <mergeCell ref="BP26:BQ26"/>
    <mergeCell ref="BK34:BQ34"/>
    <mergeCell ref="BK36:BQ36"/>
    <mergeCell ref="BK37:BQ37"/>
    <mergeCell ref="BK38:BQ38"/>
    <mergeCell ref="BI41:BT41"/>
    <mergeCell ref="AN30:AW30"/>
    <mergeCell ref="AX30:BF30"/>
    <mergeCell ref="AN34:AT34"/>
    <mergeCell ref="AN36:AT36"/>
    <mergeCell ref="AN37:AT37"/>
    <mergeCell ref="AS26:AT26"/>
    <mergeCell ref="AX26:BF26"/>
    <mergeCell ref="AN27:AT27"/>
    <mergeCell ref="AX28:BF28"/>
    <mergeCell ref="AX29:BF29"/>
    <mergeCell ref="AX19:BF19"/>
    <mergeCell ref="AL23:AT23"/>
    <mergeCell ref="AX23:BF23"/>
    <mergeCell ref="BE3:BE10"/>
    <mergeCell ref="BF3:BF10"/>
    <mergeCell ref="AL4:AN8"/>
    <mergeCell ref="AO4:AW4"/>
    <mergeCell ref="AO5:AW6"/>
    <mergeCell ref="AO7:AW8"/>
    <mergeCell ref="AN10:AW10"/>
    <mergeCell ref="AZ3:AZ10"/>
    <mergeCell ref="BA3:BA10"/>
    <mergeCell ref="BB3:BB10"/>
    <mergeCell ref="BC3:BC10"/>
    <mergeCell ref="BD3:BD10"/>
    <mergeCell ref="AL2:AL3"/>
    <mergeCell ref="AM2:AN3"/>
    <mergeCell ref="AO2:AW3"/>
    <mergeCell ref="AX3:AX10"/>
    <mergeCell ref="Q34:W34"/>
    <mergeCell ref="AA30:AI30"/>
    <mergeCell ref="Q37:W37"/>
    <mergeCell ref="Q30:Z30"/>
    <mergeCell ref="Q38:W38"/>
    <mergeCell ref="AA19:AI19"/>
    <mergeCell ref="AX24:BF24"/>
    <mergeCell ref="AN25:AT25"/>
    <mergeCell ref="AX25:BF25"/>
    <mergeCell ref="AN38:AT38"/>
    <mergeCell ref="I26:J26"/>
    <mergeCell ref="AY3:AY10"/>
    <mergeCell ref="D34:J34"/>
    <mergeCell ref="D36:J36"/>
    <mergeCell ref="D37:J37"/>
    <mergeCell ref="Q10:Z10"/>
    <mergeCell ref="O23:W23"/>
    <mergeCell ref="AA26:AI26"/>
    <mergeCell ref="AA28:AI28"/>
    <mergeCell ref="AA29:AI29"/>
    <mergeCell ref="AA3:AA10"/>
    <mergeCell ref="AB3:AB10"/>
    <mergeCell ref="AC3:AC10"/>
    <mergeCell ref="AD3:AD10"/>
    <mergeCell ref="AE3:AE10"/>
    <mergeCell ref="AF3:AF10"/>
    <mergeCell ref="AG3:AG10"/>
    <mergeCell ref="AI3:AI10"/>
    <mergeCell ref="AA23:AI23"/>
    <mergeCell ref="AA24:AI24"/>
    <mergeCell ref="AA25:AI25"/>
    <mergeCell ref="AH3:AH10"/>
    <mergeCell ref="V26:W26"/>
    <mergeCell ref="Q27:W27"/>
    <mergeCell ref="D27:J27"/>
    <mergeCell ref="Q36:W36"/>
    <mergeCell ref="O41:Z41"/>
    <mergeCell ref="C69:D69"/>
    <mergeCell ref="F45:G45"/>
    <mergeCell ref="C47:D47"/>
    <mergeCell ref="R2:Z3"/>
    <mergeCell ref="B3:M3"/>
    <mergeCell ref="B4:D8"/>
    <mergeCell ref="E4:M4"/>
    <mergeCell ref="E5:M6"/>
    <mergeCell ref="E7:M8"/>
    <mergeCell ref="O4:Q8"/>
    <mergeCell ref="R4:Z4"/>
    <mergeCell ref="R5:Z6"/>
    <mergeCell ref="R7:Z8"/>
    <mergeCell ref="O2:O3"/>
    <mergeCell ref="D25:J25"/>
    <mergeCell ref="P2:Q3"/>
    <mergeCell ref="Q25:W25"/>
    <mergeCell ref="D10:M10"/>
    <mergeCell ref="B23:J23"/>
    <mergeCell ref="D30:M30"/>
    <mergeCell ref="D38:J38"/>
  </mergeCells>
  <conditionalFormatting sqref="O41">
    <cfRule type="cellIs" dxfId="436" priority="8470" operator="equal">
      <formula>"NO HABILITADO"</formula>
    </cfRule>
    <cfRule type="cellIs" dxfId="435" priority="8471" operator="equal">
      <formula>"OK"</formula>
    </cfRule>
  </conditionalFormatting>
  <conditionalFormatting sqref="AA11:AD11">
    <cfRule type="cellIs" dxfId="434" priority="8446" operator="equal">
      <formula>0</formula>
    </cfRule>
    <cfRule type="cellIs" dxfId="433" priority="8447" operator="equal">
      <formula>1</formula>
    </cfRule>
  </conditionalFormatting>
  <conditionalFormatting sqref="AG41">
    <cfRule type="cellIs" dxfId="432" priority="8458" operator="equal">
      <formula>0</formula>
    </cfRule>
    <cfRule type="cellIs" dxfId="431" priority="8459" operator="equal">
      <formula>1</formula>
    </cfRule>
  </conditionalFormatting>
  <conditionalFormatting sqref="AI41">
    <cfRule type="cellIs" dxfId="430" priority="8454" operator="equal">
      <formula>0</formula>
    </cfRule>
    <cfRule type="cellIs" dxfId="429" priority="8455" operator="equal">
      <formula>1</formula>
    </cfRule>
  </conditionalFormatting>
  <conditionalFormatting sqref="AE11:AF11">
    <cfRule type="cellIs" dxfId="428" priority="8450" operator="equal">
      <formula>0</formula>
    </cfRule>
    <cfRule type="cellIs" dxfId="427" priority="8451" operator="equal">
      <formula>1</formula>
    </cfRule>
  </conditionalFormatting>
  <conditionalFormatting sqref="AG11">
    <cfRule type="cellIs" dxfId="426" priority="8448" operator="equal">
      <formula>0</formula>
    </cfRule>
    <cfRule type="cellIs" dxfId="425" priority="8449" operator="equal">
      <formula>1</formula>
    </cfRule>
  </conditionalFormatting>
  <conditionalFormatting sqref="AE11:AF11">
    <cfRule type="cellIs" dxfId="424" priority="8444" operator="equal">
      <formula>0</formula>
    </cfRule>
    <cfRule type="cellIs" dxfId="423" priority="8445" operator="equal">
      <formula>1</formula>
    </cfRule>
  </conditionalFormatting>
  <conditionalFormatting sqref="AF11">
    <cfRule type="cellIs" dxfId="422" priority="8442" operator="equal">
      <formula>0</formula>
    </cfRule>
    <cfRule type="cellIs" dxfId="421" priority="8443" operator="equal">
      <formula>1</formula>
    </cfRule>
  </conditionalFormatting>
  <conditionalFormatting sqref="AB41">
    <cfRule type="cellIs" dxfId="420" priority="6986" operator="equal">
      <formula>0</formula>
    </cfRule>
    <cfRule type="cellIs" dxfId="419" priority="6987" operator="equal">
      <formula>1</formula>
    </cfRule>
  </conditionalFormatting>
  <conditionalFormatting sqref="P44">
    <cfRule type="cellIs" dxfId="418" priority="8106" operator="equal">
      <formula>"OK"</formula>
    </cfRule>
    <cfRule type="cellIs" dxfId="417" priority="8107" operator="equal">
      <formula>"NO HABILITADO"</formula>
    </cfRule>
  </conditionalFormatting>
  <conditionalFormatting sqref="AF44">
    <cfRule type="cellIs" dxfId="416" priority="8104" operator="equal">
      <formula>"OK"</formula>
    </cfRule>
    <cfRule type="cellIs" dxfId="415" priority="8105" operator="equal">
      <formula>"NO HABILITADO"</formula>
    </cfRule>
  </conditionalFormatting>
  <conditionalFormatting sqref="R48:R64">
    <cfRule type="cellIs" dxfId="414" priority="8102" operator="equal">
      <formula>"NH"</formula>
    </cfRule>
    <cfRule type="cellIs" dxfId="413" priority="8103" operator="equal">
      <formula>"H"</formula>
    </cfRule>
  </conditionalFormatting>
  <conditionalFormatting sqref="AD41">
    <cfRule type="cellIs" dxfId="412" priority="7998" operator="equal">
      <formula>0</formula>
    </cfRule>
    <cfRule type="cellIs" dxfId="411" priority="7999" operator="equal">
      <formula>1</formula>
    </cfRule>
  </conditionalFormatting>
  <conditionalFormatting sqref="AA31:AD31">
    <cfRule type="cellIs" dxfId="410" priority="5234" operator="equal">
      <formula>0</formula>
    </cfRule>
    <cfRule type="cellIs" dxfId="409" priority="5235" operator="equal">
      <formula>1</formula>
    </cfRule>
  </conditionalFormatting>
  <conditionalFormatting sqref="AE31:AF31">
    <cfRule type="cellIs" dxfId="408" priority="5238" operator="equal">
      <formula>0</formula>
    </cfRule>
    <cfRule type="cellIs" dxfId="407" priority="5239" operator="equal">
      <formula>1</formula>
    </cfRule>
  </conditionalFormatting>
  <conditionalFormatting sqref="AG31">
    <cfRule type="cellIs" dxfId="406" priority="5236" operator="equal">
      <formula>0</formula>
    </cfRule>
    <cfRule type="cellIs" dxfId="405" priority="5237" operator="equal">
      <formula>1</formula>
    </cfRule>
  </conditionalFormatting>
  <conditionalFormatting sqref="AE31:AF31">
    <cfRule type="cellIs" dxfId="404" priority="5232" operator="equal">
      <formula>0</formula>
    </cfRule>
    <cfRule type="cellIs" dxfId="403" priority="5233" operator="equal">
      <formula>1</formula>
    </cfRule>
  </conditionalFormatting>
  <conditionalFormatting sqref="AF31">
    <cfRule type="cellIs" dxfId="402" priority="5230" operator="equal">
      <formula>0</formula>
    </cfRule>
    <cfRule type="cellIs" dxfId="401" priority="5231" operator="equal">
      <formula>1</formula>
    </cfRule>
  </conditionalFormatting>
  <conditionalFormatting sqref="AA23">
    <cfRule type="cellIs" dxfId="400" priority="907" operator="equal">
      <formula>0</formula>
    </cfRule>
    <cfRule type="cellIs" dxfId="399" priority="908" operator="equal">
      <formula>1</formula>
    </cfRule>
  </conditionalFormatting>
  <conditionalFormatting sqref="AA24:AA26">
    <cfRule type="cellIs" dxfId="398" priority="905" operator="equal">
      <formula>0</formula>
    </cfRule>
    <cfRule type="cellIs" dxfId="397" priority="906" operator="equal">
      <formula>1</formula>
    </cfRule>
  </conditionalFormatting>
  <conditionalFormatting sqref="AA28">
    <cfRule type="cellIs" dxfId="396" priority="883" operator="equal">
      <formula>0</formula>
    </cfRule>
    <cfRule type="cellIs" dxfId="395" priority="884" operator="equal">
      <formula>1</formula>
    </cfRule>
  </conditionalFormatting>
  <conditionalFormatting sqref="AA29">
    <cfRule type="cellIs" dxfId="394" priority="881" operator="equal">
      <formula>0</formula>
    </cfRule>
    <cfRule type="cellIs" dxfId="393" priority="882" operator="equal">
      <formula>1</formula>
    </cfRule>
  </conditionalFormatting>
  <conditionalFormatting sqref="AA32:AD32">
    <cfRule type="cellIs" dxfId="392" priority="875" operator="equal">
      <formula>0</formula>
    </cfRule>
    <cfRule type="cellIs" dxfId="391" priority="876" operator="equal">
      <formula>1</formula>
    </cfRule>
  </conditionalFormatting>
  <conditionalFormatting sqref="AF32">
    <cfRule type="cellIs" dxfId="390" priority="879" operator="equal">
      <formula>0</formula>
    </cfRule>
    <cfRule type="cellIs" dxfId="389" priority="880" operator="equal">
      <formula>1</formula>
    </cfRule>
  </conditionalFormatting>
  <conditionalFormatting sqref="AG32">
    <cfRule type="cellIs" dxfId="388" priority="877" operator="equal">
      <formula>0</formula>
    </cfRule>
    <cfRule type="cellIs" dxfId="387" priority="878" operator="equal">
      <formula>1</formula>
    </cfRule>
  </conditionalFormatting>
  <conditionalFormatting sqref="AF32">
    <cfRule type="cellIs" dxfId="386" priority="873" operator="equal">
      <formula>0</formula>
    </cfRule>
    <cfRule type="cellIs" dxfId="385" priority="874" operator="equal">
      <formula>1</formula>
    </cfRule>
  </conditionalFormatting>
  <conditionalFormatting sqref="AF32">
    <cfRule type="cellIs" dxfId="384" priority="871" operator="equal">
      <formula>0</formula>
    </cfRule>
    <cfRule type="cellIs" dxfId="383" priority="872" operator="equal">
      <formula>1</formula>
    </cfRule>
  </conditionalFormatting>
  <conditionalFormatting sqref="AA19">
    <cfRule type="cellIs" dxfId="382" priority="505" operator="equal">
      <formula>0</formula>
    </cfRule>
    <cfRule type="cellIs" dxfId="381" priority="506" operator="equal">
      <formula>1</formula>
    </cfRule>
  </conditionalFormatting>
  <conditionalFormatting sqref="AE12:AF18">
    <cfRule type="cellIs" dxfId="380" priority="479" operator="equal">
      <formula>0</formula>
    </cfRule>
    <cfRule type="cellIs" dxfId="379" priority="480" operator="equal">
      <formula>1</formula>
    </cfRule>
  </conditionalFormatting>
  <conditionalFormatting sqref="AA33:AD33">
    <cfRule type="cellIs" dxfId="378" priority="489" operator="equal">
      <formula>0</formula>
    </cfRule>
    <cfRule type="cellIs" dxfId="377" priority="490" operator="equal">
      <formula>1</formula>
    </cfRule>
  </conditionalFormatting>
  <conditionalFormatting sqref="AF33">
    <cfRule type="cellIs" dxfId="376" priority="493" operator="equal">
      <formula>0</formula>
    </cfRule>
    <cfRule type="cellIs" dxfId="375" priority="494" operator="equal">
      <formula>1</formula>
    </cfRule>
  </conditionalFormatting>
  <conditionalFormatting sqref="AG33">
    <cfRule type="cellIs" dxfId="374" priority="491" operator="equal">
      <formula>0</formula>
    </cfRule>
    <cfRule type="cellIs" dxfId="373" priority="492" operator="equal">
      <formula>1</formula>
    </cfRule>
  </conditionalFormatting>
  <conditionalFormatting sqref="AF33">
    <cfRule type="cellIs" dxfId="372" priority="487" operator="equal">
      <formula>0</formula>
    </cfRule>
    <cfRule type="cellIs" dxfId="371" priority="488" operator="equal">
      <formula>1</formula>
    </cfRule>
  </conditionalFormatting>
  <conditionalFormatting sqref="AF33">
    <cfRule type="cellIs" dxfId="370" priority="485" operator="equal">
      <formula>0</formula>
    </cfRule>
    <cfRule type="cellIs" dxfId="369" priority="486" operator="equal">
      <formula>1</formula>
    </cfRule>
  </conditionalFormatting>
  <conditionalFormatting sqref="AA12:AC18">
    <cfRule type="cellIs" dxfId="368" priority="475" operator="equal">
      <formula>0</formula>
    </cfRule>
    <cfRule type="cellIs" dxfId="367" priority="476" operator="equal">
      <formula>1</formula>
    </cfRule>
  </conditionalFormatting>
  <conditionalFormatting sqref="AG12:AG18">
    <cfRule type="cellIs" dxfId="366" priority="477" operator="equal">
      <formula>0</formula>
    </cfRule>
    <cfRule type="cellIs" dxfId="365" priority="478" operator="equal">
      <formula>1</formula>
    </cfRule>
  </conditionalFormatting>
  <conditionalFormatting sqref="AE12:AF18">
    <cfRule type="cellIs" dxfId="364" priority="473" operator="equal">
      <formula>0</formula>
    </cfRule>
    <cfRule type="cellIs" dxfId="363" priority="474" operator="equal">
      <formula>1</formula>
    </cfRule>
  </conditionalFormatting>
  <conditionalFormatting sqref="AF12:AF18">
    <cfRule type="cellIs" dxfId="362" priority="471" operator="equal">
      <formula>0</formula>
    </cfRule>
    <cfRule type="cellIs" dxfId="361" priority="472" operator="equal">
      <formula>1</formula>
    </cfRule>
  </conditionalFormatting>
  <conditionalFormatting sqref="AA20:AC22">
    <cfRule type="cellIs" dxfId="360" priority="465" operator="equal">
      <formula>0</formula>
    </cfRule>
    <cfRule type="cellIs" dxfId="359" priority="466" operator="equal">
      <formula>1</formula>
    </cfRule>
  </conditionalFormatting>
  <conditionalFormatting sqref="AE20:AF22">
    <cfRule type="cellIs" dxfId="358" priority="469" operator="equal">
      <formula>0</formula>
    </cfRule>
    <cfRule type="cellIs" dxfId="357" priority="470" operator="equal">
      <formula>1</formula>
    </cfRule>
  </conditionalFormatting>
  <conditionalFormatting sqref="AG20:AG22">
    <cfRule type="cellIs" dxfId="356" priority="467" operator="equal">
      <formula>0</formula>
    </cfRule>
    <cfRule type="cellIs" dxfId="355" priority="468" operator="equal">
      <formula>1</formula>
    </cfRule>
  </conditionalFormatting>
  <conditionalFormatting sqref="AE20:AF22">
    <cfRule type="cellIs" dxfId="354" priority="463" operator="equal">
      <formula>0</formula>
    </cfRule>
    <cfRule type="cellIs" dxfId="353" priority="464" operator="equal">
      <formula>1</formula>
    </cfRule>
  </conditionalFormatting>
  <conditionalFormatting sqref="AF20:AF22">
    <cfRule type="cellIs" dxfId="352" priority="461" operator="equal">
      <formula>0</formula>
    </cfRule>
    <cfRule type="cellIs" dxfId="351" priority="462" operator="equal">
      <formula>1</formula>
    </cfRule>
  </conditionalFormatting>
  <conditionalFormatting sqref="AA30">
    <cfRule type="cellIs" dxfId="350" priority="459" operator="equal">
      <formula>0</formula>
    </cfRule>
    <cfRule type="cellIs" dxfId="349" priority="460" operator="equal">
      <formula>1</formula>
    </cfRule>
  </conditionalFormatting>
  <conditionalFormatting sqref="AE32:AE33">
    <cfRule type="cellIs" dxfId="348" priority="457" operator="equal">
      <formula>0</formula>
    </cfRule>
    <cfRule type="cellIs" dxfId="347" priority="458" operator="equal">
      <formula>1</formula>
    </cfRule>
  </conditionalFormatting>
  <conditionalFormatting sqref="AE32:AE33">
    <cfRule type="cellIs" dxfId="346" priority="455" operator="equal">
      <formula>0</formula>
    </cfRule>
    <cfRule type="cellIs" dxfId="345" priority="456" operator="equal">
      <formula>1</formula>
    </cfRule>
  </conditionalFormatting>
  <conditionalFormatting sqref="AC41">
    <cfRule type="cellIs" dxfId="344" priority="453" operator="equal">
      <formula>0</formula>
    </cfRule>
    <cfRule type="cellIs" dxfId="343" priority="454" operator="equal">
      <formula>1</formula>
    </cfRule>
  </conditionalFormatting>
  <conditionalFormatting sqref="AE41">
    <cfRule type="cellIs" dxfId="342" priority="451" operator="equal">
      <formula>0</formula>
    </cfRule>
    <cfRule type="cellIs" dxfId="341" priority="452" operator="equal">
      <formula>1</formula>
    </cfRule>
  </conditionalFormatting>
  <conditionalFormatting sqref="AM44">
    <cfRule type="cellIs" dxfId="340" priority="433" operator="equal">
      <formula>"OK"</formula>
    </cfRule>
    <cfRule type="cellIs" dxfId="339" priority="434" operator="equal">
      <formula>"NO HABILITADO"</formula>
    </cfRule>
  </conditionalFormatting>
  <conditionalFormatting sqref="BC44">
    <cfRule type="cellIs" dxfId="338" priority="431" operator="equal">
      <formula>"OK"</formula>
    </cfRule>
    <cfRule type="cellIs" dxfId="337" priority="432" operator="equal">
      <formula>"NO HABILITADO"</formula>
    </cfRule>
  </conditionalFormatting>
  <conditionalFormatting sqref="AO48:AO64">
    <cfRule type="cellIs" dxfId="336" priority="429" operator="equal">
      <formula>"NH"</formula>
    </cfRule>
    <cfRule type="cellIs" dxfId="335" priority="430" operator="equal">
      <formula>"H"</formula>
    </cfRule>
  </conditionalFormatting>
  <conditionalFormatting sqref="AX31:BA31">
    <cfRule type="cellIs" dxfId="334" priority="419" operator="equal">
      <formula>0</formula>
    </cfRule>
    <cfRule type="cellIs" dxfId="333" priority="420" operator="equal">
      <formula>1</formula>
    </cfRule>
  </conditionalFormatting>
  <conditionalFormatting sqref="BB31:BC31">
    <cfRule type="cellIs" dxfId="332" priority="423" operator="equal">
      <formula>0</formula>
    </cfRule>
    <cfRule type="cellIs" dxfId="331" priority="424" operator="equal">
      <formula>1</formula>
    </cfRule>
  </conditionalFormatting>
  <conditionalFormatting sqref="BD31">
    <cfRule type="cellIs" dxfId="330" priority="421" operator="equal">
      <formula>0</formula>
    </cfRule>
    <cfRule type="cellIs" dxfId="329" priority="422" operator="equal">
      <formula>1</formula>
    </cfRule>
  </conditionalFormatting>
  <conditionalFormatting sqref="BB31:BC31">
    <cfRule type="cellIs" dxfId="328" priority="417" operator="equal">
      <formula>0</formula>
    </cfRule>
    <cfRule type="cellIs" dxfId="327" priority="418" operator="equal">
      <formula>1</formula>
    </cfRule>
  </conditionalFormatting>
  <conditionalFormatting sqref="BC31">
    <cfRule type="cellIs" dxfId="326" priority="415" operator="equal">
      <formula>0</formula>
    </cfRule>
    <cfRule type="cellIs" dxfId="325" priority="416" operator="equal">
      <formula>1</formula>
    </cfRule>
  </conditionalFormatting>
  <conditionalFormatting sqref="AX23">
    <cfRule type="cellIs" dxfId="324" priority="413" operator="equal">
      <formula>0</formula>
    </cfRule>
    <cfRule type="cellIs" dxfId="323" priority="414" operator="equal">
      <formula>1</formula>
    </cfRule>
  </conditionalFormatting>
  <conditionalFormatting sqref="AX24:AX26">
    <cfRule type="cellIs" dxfId="322" priority="411" operator="equal">
      <formula>0</formula>
    </cfRule>
    <cfRule type="cellIs" dxfId="321" priority="412" operator="equal">
      <formula>1</formula>
    </cfRule>
  </conditionalFormatting>
  <conditionalFormatting sqref="AX28">
    <cfRule type="cellIs" dxfId="320" priority="409" operator="equal">
      <formula>0</formula>
    </cfRule>
    <cfRule type="cellIs" dxfId="319" priority="410" operator="equal">
      <formula>1</formula>
    </cfRule>
  </conditionalFormatting>
  <conditionalFormatting sqref="AX29">
    <cfRule type="cellIs" dxfId="318" priority="407" operator="equal">
      <formula>0</formula>
    </cfRule>
    <cfRule type="cellIs" dxfId="317" priority="408" operator="equal">
      <formula>1</formula>
    </cfRule>
  </conditionalFormatting>
  <conditionalFormatting sqref="AX32:BA32">
    <cfRule type="cellIs" dxfId="316" priority="401" operator="equal">
      <formula>0</formula>
    </cfRule>
    <cfRule type="cellIs" dxfId="315" priority="402" operator="equal">
      <formula>1</formula>
    </cfRule>
  </conditionalFormatting>
  <conditionalFormatting sqref="BC32">
    <cfRule type="cellIs" dxfId="314" priority="405" operator="equal">
      <formula>0</formula>
    </cfRule>
    <cfRule type="cellIs" dxfId="313" priority="406" operator="equal">
      <formula>1</formula>
    </cfRule>
  </conditionalFormatting>
  <conditionalFormatting sqref="BD32">
    <cfRule type="cellIs" dxfId="312" priority="403" operator="equal">
      <formula>0</formula>
    </cfRule>
    <cfRule type="cellIs" dxfId="311" priority="404" operator="equal">
      <formula>1</formula>
    </cfRule>
  </conditionalFormatting>
  <conditionalFormatting sqref="BC32">
    <cfRule type="cellIs" dxfId="310" priority="399" operator="equal">
      <formula>0</formula>
    </cfRule>
    <cfRule type="cellIs" dxfId="309" priority="400" operator="equal">
      <formula>1</formula>
    </cfRule>
  </conditionalFormatting>
  <conditionalFormatting sqref="BC32">
    <cfRule type="cellIs" dxfId="308" priority="397" operator="equal">
      <formula>0</formula>
    </cfRule>
    <cfRule type="cellIs" dxfId="307" priority="398" operator="equal">
      <formula>1</formula>
    </cfRule>
  </conditionalFormatting>
  <conditionalFormatting sqref="AX33:BA33">
    <cfRule type="cellIs" dxfId="306" priority="389" operator="equal">
      <formula>0</formula>
    </cfRule>
    <cfRule type="cellIs" dxfId="305" priority="390" operator="equal">
      <formula>1</formula>
    </cfRule>
  </conditionalFormatting>
  <conditionalFormatting sqref="BC33">
    <cfRule type="cellIs" dxfId="304" priority="393" operator="equal">
      <formula>0</formula>
    </cfRule>
    <cfRule type="cellIs" dxfId="303" priority="394" operator="equal">
      <formula>1</formula>
    </cfRule>
  </conditionalFormatting>
  <conditionalFormatting sqref="BD33">
    <cfRule type="cellIs" dxfId="302" priority="391" operator="equal">
      <formula>0</formula>
    </cfRule>
    <cfRule type="cellIs" dxfId="301" priority="392" operator="equal">
      <formula>1</formula>
    </cfRule>
  </conditionalFormatting>
  <conditionalFormatting sqref="BC33">
    <cfRule type="cellIs" dxfId="300" priority="387" operator="equal">
      <formula>0</formula>
    </cfRule>
    <cfRule type="cellIs" dxfId="299" priority="388" operator="equal">
      <formula>1</formula>
    </cfRule>
  </conditionalFormatting>
  <conditionalFormatting sqref="BC33">
    <cfRule type="cellIs" dxfId="298" priority="385" operator="equal">
      <formula>0</formula>
    </cfRule>
    <cfRule type="cellIs" dxfId="297" priority="386" operator="equal">
      <formula>1</formula>
    </cfRule>
  </conditionalFormatting>
  <conditionalFormatting sqref="AX30">
    <cfRule type="cellIs" dxfId="296" priority="363" operator="equal">
      <formula>0</formula>
    </cfRule>
    <cfRule type="cellIs" dxfId="295" priority="364" operator="equal">
      <formula>1</formula>
    </cfRule>
  </conditionalFormatting>
  <conditionalFormatting sqref="BB32:BB33">
    <cfRule type="cellIs" dxfId="294" priority="361" operator="equal">
      <formula>0</formula>
    </cfRule>
    <cfRule type="cellIs" dxfId="293" priority="362" operator="equal">
      <formula>1</formula>
    </cfRule>
  </conditionalFormatting>
  <conditionalFormatting sqref="BB32:BB33">
    <cfRule type="cellIs" dxfId="292" priority="359" operator="equal">
      <formula>0</formula>
    </cfRule>
    <cfRule type="cellIs" dxfId="291" priority="360" operator="equal">
      <formula>1</formula>
    </cfRule>
  </conditionalFormatting>
  <conditionalFormatting sqref="BZ32">
    <cfRule type="cellIs" dxfId="290" priority="309" operator="equal">
      <formula>0</formula>
    </cfRule>
    <cfRule type="cellIs" dxfId="289" priority="310" operator="equal">
      <formula>1</formula>
    </cfRule>
  </conditionalFormatting>
  <conditionalFormatting sqref="CA32">
    <cfRule type="cellIs" dxfId="288" priority="307" operator="equal">
      <formula>0</formula>
    </cfRule>
    <cfRule type="cellIs" dxfId="287" priority="308" operator="equal">
      <formula>1</formula>
    </cfRule>
  </conditionalFormatting>
  <conditionalFormatting sqref="BU23">
    <cfRule type="cellIs" dxfId="286" priority="317" operator="equal">
      <formula>0</formula>
    </cfRule>
    <cfRule type="cellIs" dxfId="285" priority="318" operator="equal">
      <formula>1</formula>
    </cfRule>
  </conditionalFormatting>
  <conditionalFormatting sqref="BZ33">
    <cfRule type="cellIs" dxfId="284" priority="297" operator="equal">
      <formula>0</formula>
    </cfRule>
    <cfRule type="cellIs" dxfId="283" priority="298" operator="equal">
      <formula>1</formula>
    </cfRule>
  </conditionalFormatting>
  <conditionalFormatting sqref="BJ44">
    <cfRule type="cellIs" dxfId="282" priority="337" operator="equal">
      <formula>"OK"</formula>
    </cfRule>
    <cfRule type="cellIs" dxfId="281" priority="338" operator="equal">
      <formula>"NO HABILITADO"</formula>
    </cfRule>
  </conditionalFormatting>
  <conditionalFormatting sqref="BZ44">
    <cfRule type="cellIs" dxfId="280" priority="335" operator="equal">
      <formula>"OK"</formula>
    </cfRule>
    <cfRule type="cellIs" dxfId="279" priority="336" operator="equal">
      <formula>"NO HABILITADO"</formula>
    </cfRule>
  </conditionalFormatting>
  <conditionalFormatting sqref="BL48:BL64">
    <cfRule type="cellIs" dxfId="278" priority="333" operator="equal">
      <formula>"NH"</formula>
    </cfRule>
    <cfRule type="cellIs" dxfId="277" priority="334" operator="equal">
      <formula>"H"</formula>
    </cfRule>
  </conditionalFormatting>
  <conditionalFormatting sqref="BU31:BX31">
    <cfRule type="cellIs" dxfId="276" priority="323" operator="equal">
      <formula>0</formula>
    </cfRule>
    <cfRule type="cellIs" dxfId="275" priority="324" operator="equal">
      <formula>1</formula>
    </cfRule>
  </conditionalFormatting>
  <conditionalFormatting sqref="BY31:BZ31">
    <cfRule type="cellIs" dxfId="274" priority="327" operator="equal">
      <formula>0</formula>
    </cfRule>
    <cfRule type="cellIs" dxfId="273" priority="328" operator="equal">
      <formula>1</formula>
    </cfRule>
  </conditionalFormatting>
  <conditionalFormatting sqref="CA31">
    <cfRule type="cellIs" dxfId="272" priority="325" operator="equal">
      <formula>0</formula>
    </cfRule>
    <cfRule type="cellIs" dxfId="271" priority="326" operator="equal">
      <formula>1</formula>
    </cfRule>
  </conditionalFormatting>
  <conditionalFormatting sqref="BY31:BZ31">
    <cfRule type="cellIs" dxfId="270" priority="321" operator="equal">
      <formula>0</formula>
    </cfRule>
    <cfRule type="cellIs" dxfId="269" priority="322" operator="equal">
      <formula>1</formula>
    </cfRule>
  </conditionalFormatting>
  <conditionalFormatting sqref="BZ31">
    <cfRule type="cellIs" dxfId="268" priority="319" operator="equal">
      <formula>0</formula>
    </cfRule>
    <cfRule type="cellIs" dxfId="267" priority="320" operator="equal">
      <formula>1</formula>
    </cfRule>
  </conditionalFormatting>
  <conditionalFormatting sqref="BU24:BU26">
    <cfRule type="cellIs" dxfId="266" priority="315" operator="equal">
      <formula>0</formula>
    </cfRule>
    <cfRule type="cellIs" dxfId="265" priority="316" operator="equal">
      <formula>1</formula>
    </cfRule>
  </conditionalFormatting>
  <conditionalFormatting sqref="BU28">
    <cfRule type="cellIs" dxfId="264" priority="313" operator="equal">
      <formula>0</formula>
    </cfRule>
    <cfRule type="cellIs" dxfId="263" priority="314" operator="equal">
      <formula>1</formula>
    </cfRule>
  </conditionalFormatting>
  <conditionalFormatting sqref="BU29">
    <cfRule type="cellIs" dxfId="262" priority="311" operator="equal">
      <formula>0</formula>
    </cfRule>
    <cfRule type="cellIs" dxfId="261" priority="312" operator="equal">
      <formula>1</formula>
    </cfRule>
  </conditionalFormatting>
  <conditionalFormatting sqref="BU32:BX32">
    <cfRule type="cellIs" dxfId="260" priority="305" operator="equal">
      <formula>0</formula>
    </cfRule>
    <cfRule type="cellIs" dxfId="259" priority="306" operator="equal">
      <formula>1</formula>
    </cfRule>
  </conditionalFormatting>
  <conditionalFormatting sqref="BZ32">
    <cfRule type="cellIs" dxfId="258" priority="303" operator="equal">
      <formula>0</formula>
    </cfRule>
    <cfRule type="cellIs" dxfId="257" priority="304" operator="equal">
      <formula>1</formula>
    </cfRule>
  </conditionalFormatting>
  <conditionalFormatting sqref="BZ32">
    <cfRule type="cellIs" dxfId="256" priority="301" operator="equal">
      <formula>0</formula>
    </cfRule>
    <cfRule type="cellIs" dxfId="255" priority="302" operator="equal">
      <formula>1</formula>
    </cfRule>
  </conditionalFormatting>
  <conditionalFormatting sqref="BU33:BX33">
    <cfRule type="cellIs" dxfId="254" priority="293" operator="equal">
      <formula>0</formula>
    </cfRule>
    <cfRule type="cellIs" dxfId="253" priority="294" operator="equal">
      <formula>1</formula>
    </cfRule>
  </conditionalFormatting>
  <conditionalFormatting sqref="CA33">
    <cfRule type="cellIs" dxfId="252" priority="295" operator="equal">
      <formula>0</formula>
    </cfRule>
    <cfRule type="cellIs" dxfId="251" priority="296" operator="equal">
      <formula>1</formula>
    </cfRule>
  </conditionalFormatting>
  <conditionalFormatting sqref="BZ33">
    <cfRule type="cellIs" dxfId="250" priority="291" operator="equal">
      <formula>0</formula>
    </cfRule>
    <cfRule type="cellIs" dxfId="249" priority="292" operator="equal">
      <formula>1</formula>
    </cfRule>
  </conditionalFormatting>
  <conditionalFormatting sqref="BZ33">
    <cfRule type="cellIs" dxfId="248" priority="289" operator="equal">
      <formula>0</formula>
    </cfRule>
    <cfRule type="cellIs" dxfId="247" priority="290" operator="equal">
      <formula>1</formula>
    </cfRule>
  </conditionalFormatting>
  <conditionalFormatting sqref="BU30">
    <cfRule type="cellIs" dxfId="246" priority="267" operator="equal">
      <formula>0</formula>
    </cfRule>
    <cfRule type="cellIs" dxfId="245" priority="268" operator="equal">
      <formula>1</formula>
    </cfRule>
  </conditionalFormatting>
  <conditionalFormatting sqref="BY32:BY33">
    <cfRule type="cellIs" dxfId="244" priority="265" operator="equal">
      <formula>0</formula>
    </cfRule>
    <cfRule type="cellIs" dxfId="243" priority="266" operator="equal">
      <formula>1</formula>
    </cfRule>
  </conditionalFormatting>
  <conditionalFormatting sqref="BY32:BY33">
    <cfRule type="cellIs" dxfId="242" priority="263" operator="equal">
      <formula>0</formula>
    </cfRule>
    <cfRule type="cellIs" dxfId="241" priority="264" operator="equal">
      <formula>1</formula>
    </cfRule>
  </conditionalFormatting>
  <conditionalFormatting sqref="CX31">
    <cfRule type="cellIs" dxfId="240" priority="229" operator="equal">
      <formula>0</formula>
    </cfRule>
    <cfRule type="cellIs" dxfId="239" priority="230" operator="equal">
      <formula>1</formula>
    </cfRule>
  </conditionalFormatting>
  <conditionalFormatting sqref="CR31:CU31">
    <cfRule type="cellIs" dxfId="238" priority="227" operator="equal">
      <formula>0</formula>
    </cfRule>
    <cfRule type="cellIs" dxfId="237" priority="228" operator="equal">
      <formula>1</formula>
    </cfRule>
  </conditionalFormatting>
  <conditionalFormatting sqref="CR28">
    <cfRule type="cellIs" dxfId="236" priority="217" operator="equal">
      <formula>0</formula>
    </cfRule>
    <cfRule type="cellIs" dxfId="235" priority="218" operator="equal">
      <formula>1</formula>
    </cfRule>
  </conditionalFormatting>
  <conditionalFormatting sqref="CG44">
    <cfRule type="cellIs" dxfId="234" priority="241" operator="equal">
      <formula>"OK"</formula>
    </cfRule>
    <cfRule type="cellIs" dxfId="233" priority="242" operator="equal">
      <formula>"NO HABILITADO"</formula>
    </cfRule>
  </conditionalFormatting>
  <conditionalFormatting sqref="CW44">
    <cfRule type="cellIs" dxfId="232" priority="239" operator="equal">
      <formula>"OK"</formula>
    </cfRule>
    <cfRule type="cellIs" dxfId="231" priority="240" operator="equal">
      <formula>"NO HABILITADO"</formula>
    </cfRule>
  </conditionalFormatting>
  <conditionalFormatting sqref="CI48:CI64">
    <cfRule type="cellIs" dxfId="230" priority="237" operator="equal">
      <formula>"NH"</formula>
    </cfRule>
    <cfRule type="cellIs" dxfId="229" priority="238" operator="equal">
      <formula>"H"</formula>
    </cfRule>
  </conditionalFormatting>
  <conditionalFormatting sqref="CR24:CR26">
    <cfRule type="cellIs" dxfId="228" priority="219" operator="equal">
      <formula>0</formula>
    </cfRule>
    <cfRule type="cellIs" dxfId="227" priority="220" operator="equal">
      <formula>1</formula>
    </cfRule>
  </conditionalFormatting>
  <conditionalFormatting sqref="CV31:CW31">
    <cfRule type="cellIs" dxfId="226" priority="231" operator="equal">
      <formula>0</formula>
    </cfRule>
    <cfRule type="cellIs" dxfId="225" priority="232" operator="equal">
      <formula>1</formula>
    </cfRule>
  </conditionalFormatting>
  <conditionalFormatting sqref="CV31:CW31">
    <cfRule type="cellIs" dxfId="224" priority="225" operator="equal">
      <formula>0</formula>
    </cfRule>
    <cfRule type="cellIs" dxfId="223" priority="226" operator="equal">
      <formula>1</formula>
    </cfRule>
  </conditionalFormatting>
  <conditionalFormatting sqref="CW31">
    <cfRule type="cellIs" dxfId="222" priority="223" operator="equal">
      <formula>0</formula>
    </cfRule>
    <cfRule type="cellIs" dxfId="221" priority="224" operator="equal">
      <formula>1</formula>
    </cfRule>
  </conditionalFormatting>
  <conditionalFormatting sqref="CR23">
    <cfRule type="cellIs" dxfId="220" priority="221" operator="equal">
      <formula>0</formula>
    </cfRule>
    <cfRule type="cellIs" dxfId="219" priority="222" operator="equal">
      <formula>1</formula>
    </cfRule>
  </conditionalFormatting>
  <conditionalFormatting sqref="CR29">
    <cfRule type="cellIs" dxfId="218" priority="215" operator="equal">
      <formula>0</formula>
    </cfRule>
    <cfRule type="cellIs" dxfId="217" priority="216" operator="equal">
      <formula>1</formula>
    </cfRule>
  </conditionalFormatting>
  <conditionalFormatting sqref="CR32:CU32">
    <cfRule type="cellIs" dxfId="216" priority="209" operator="equal">
      <formula>0</formula>
    </cfRule>
    <cfRule type="cellIs" dxfId="215" priority="210" operator="equal">
      <formula>1</formula>
    </cfRule>
  </conditionalFormatting>
  <conditionalFormatting sqref="CW32">
    <cfRule type="cellIs" dxfId="214" priority="213" operator="equal">
      <formula>0</formula>
    </cfRule>
    <cfRule type="cellIs" dxfId="213" priority="214" operator="equal">
      <formula>1</formula>
    </cfRule>
  </conditionalFormatting>
  <conditionalFormatting sqref="CX32">
    <cfRule type="cellIs" dxfId="212" priority="211" operator="equal">
      <formula>0</formula>
    </cfRule>
    <cfRule type="cellIs" dxfId="211" priority="212" operator="equal">
      <formula>1</formula>
    </cfRule>
  </conditionalFormatting>
  <conditionalFormatting sqref="CW32">
    <cfRule type="cellIs" dxfId="210" priority="207" operator="equal">
      <formula>0</formula>
    </cfRule>
    <cfRule type="cellIs" dxfId="209" priority="208" operator="equal">
      <formula>1</formula>
    </cfRule>
  </conditionalFormatting>
  <conditionalFormatting sqref="CW32">
    <cfRule type="cellIs" dxfId="208" priority="205" operator="equal">
      <formula>0</formula>
    </cfRule>
    <cfRule type="cellIs" dxfId="207" priority="206" operator="equal">
      <formula>1</formula>
    </cfRule>
  </conditionalFormatting>
  <conditionalFormatting sqref="CR33:CU33">
    <cfRule type="cellIs" dxfId="206" priority="197" operator="equal">
      <formula>0</formula>
    </cfRule>
    <cfRule type="cellIs" dxfId="205" priority="198" operator="equal">
      <formula>1</formula>
    </cfRule>
  </conditionalFormatting>
  <conditionalFormatting sqref="CW33">
    <cfRule type="cellIs" dxfId="204" priority="201" operator="equal">
      <formula>0</formula>
    </cfRule>
    <cfRule type="cellIs" dxfId="203" priority="202" operator="equal">
      <formula>1</formula>
    </cfRule>
  </conditionalFormatting>
  <conditionalFormatting sqref="CX33">
    <cfRule type="cellIs" dxfId="202" priority="199" operator="equal">
      <formula>0</formula>
    </cfRule>
    <cfRule type="cellIs" dxfId="201" priority="200" operator="equal">
      <formula>1</formula>
    </cfRule>
  </conditionalFormatting>
  <conditionalFormatting sqref="CW33">
    <cfRule type="cellIs" dxfId="200" priority="195" operator="equal">
      <formula>0</formula>
    </cfRule>
    <cfRule type="cellIs" dxfId="199" priority="196" operator="equal">
      <formula>1</formula>
    </cfRule>
  </conditionalFormatting>
  <conditionalFormatting sqref="CW33">
    <cfRule type="cellIs" dxfId="198" priority="193" operator="equal">
      <formula>0</formula>
    </cfRule>
    <cfRule type="cellIs" dxfId="197" priority="194" operator="equal">
      <formula>1</formula>
    </cfRule>
  </conditionalFormatting>
  <conditionalFormatting sqref="CR30">
    <cfRule type="cellIs" dxfId="196" priority="171" operator="equal">
      <formula>0</formula>
    </cfRule>
    <cfRule type="cellIs" dxfId="195" priority="172" operator="equal">
      <formula>1</formula>
    </cfRule>
  </conditionalFormatting>
  <conditionalFormatting sqref="CV32:CV33">
    <cfRule type="cellIs" dxfId="194" priority="169" operator="equal">
      <formula>0</formula>
    </cfRule>
    <cfRule type="cellIs" dxfId="193" priority="170" operator="equal">
      <formula>1</formula>
    </cfRule>
  </conditionalFormatting>
  <conditionalFormatting sqref="CV32:CV33">
    <cfRule type="cellIs" dxfId="192" priority="167" operator="equal">
      <formula>0</formula>
    </cfRule>
    <cfRule type="cellIs" dxfId="191" priority="168" operator="equal">
      <formula>1</formula>
    </cfRule>
  </conditionalFormatting>
  <conditionalFormatting sqref="AX19">
    <cfRule type="cellIs" dxfId="190" priority="147" operator="equal">
      <formula>0</formula>
    </cfRule>
    <cfRule type="cellIs" dxfId="189" priority="148" operator="equal">
      <formula>1</formula>
    </cfRule>
  </conditionalFormatting>
  <conditionalFormatting sqref="AD12:AD18">
    <cfRule type="cellIs" dxfId="188" priority="161" operator="equal">
      <formula>0</formula>
    </cfRule>
    <cfRule type="cellIs" dxfId="187" priority="162" operator="equal">
      <formula>1</formula>
    </cfRule>
  </conditionalFormatting>
  <conditionalFormatting sqref="AD20:AD22">
    <cfRule type="cellIs" dxfId="186" priority="159" operator="equal">
      <formula>0</formula>
    </cfRule>
    <cfRule type="cellIs" dxfId="185" priority="160" operator="equal">
      <formula>1</formula>
    </cfRule>
  </conditionalFormatting>
  <conditionalFormatting sqref="AX11:BA11">
    <cfRule type="cellIs" dxfId="184" priority="153" operator="equal">
      <formula>0</formula>
    </cfRule>
    <cfRule type="cellIs" dxfId="183" priority="154" operator="equal">
      <formula>1</formula>
    </cfRule>
  </conditionalFormatting>
  <conditionalFormatting sqref="BB11:BC11">
    <cfRule type="cellIs" dxfId="182" priority="157" operator="equal">
      <formula>0</formula>
    </cfRule>
    <cfRule type="cellIs" dxfId="181" priority="158" operator="equal">
      <formula>1</formula>
    </cfRule>
  </conditionalFormatting>
  <conditionalFormatting sqref="BD11">
    <cfRule type="cellIs" dxfId="180" priority="155" operator="equal">
      <formula>0</formula>
    </cfRule>
    <cfRule type="cellIs" dxfId="179" priority="156" operator="equal">
      <formula>1</formula>
    </cfRule>
  </conditionalFormatting>
  <conditionalFormatting sqref="BB11:BC11">
    <cfRule type="cellIs" dxfId="178" priority="151" operator="equal">
      <formula>0</formula>
    </cfRule>
    <cfRule type="cellIs" dxfId="177" priority="152" operator="equal">
      <formula>1</formula>
    </cfRule>
  </conditionalFormatting>
  <conditionalFormatting sqref="BC11">
    <cfRule type="cellIs" dxfId="176" priority="149" operator="equal">
      <formula>0</formula>
    </cfRule>
    <cfRule type="cellIs" dxfId="175" priority="150" operator="equal">
      <formula>1</formula>
    </cfRule>
  </conditionalFormatting>
  <conditionalFormatting sqref="BB12:BC18">
    <cfRule type="cellIs" dxfId="174" priority="145" operator="equal">
      <formula>0</formula>
    </cfRule>
    <cfRule type="cellIs" dxfId="173" priority="146" operator="equal">
      <formula>1</formula>
    </cfRule>
  </conditionalFormatting>
  <conditionalFormatting sqref="AX12:AZ18">
    <cfRule type="cellIs" dxfId="172" priority="141" operator="equal">
      <formula>0</formula>
    </cfRule>
    <cfRule type="cellIs" dxfId="171" priority="142" operator="equal">
      <formula>1</formula>
    </cfRule>
  </conditionalFormatting>
  <conditionalFormatting sqref="BD12:BD18">
    <cfRule type="cellIs" dxfId="170" priority="143" operator="equal">
      <formula>0</formula>
    </cfRule>
    <cfRule type="cellIs" dxfId="169" priority="144" operator="equal">
      <formula>1</formula>
    </cfRule>
  </conditionalFormatting>
  <conditionalFormatting sqref="BB12:BC18">
    <cfRule type="cellIs" dxfId="168" priority="139" operator="equal">
      <formula>0</formula>
    </cfRule>
    <cfRule type="cellIs" dxfId="167" priority="140" operator="equal">
      <formula>1</formula>
    </cfRule>
  </conditionalFormatting>
  <conditionalFormatting sqref="BC12:BC18">
    <cfRule type="cellIs" dxfId="166" priority="137" operator="equal">
      <formula>0</formula>
    </cfRule>
    <cfRule type="cellIs" dxfId="165" priority="138" operator="equal">
      <formula>1</formula>
    </cfRule>
  </conditionalFormatting>
  <conditionalFormatting sqref="AX20:AZ22">
    <cfRule type="cellIs" dxfId="164" priority="131" operator="equal">
      <formula>0</formula>
    </cfRule>
    <cfRule type="cellIs" dxfId="163" priority="132" operator="equal">
      <formula>1</formula>
    </cfRule>
  </conditionalFormatting>
  <conditionalFormatting sqref="BB20:BC22">
    <cfRule type="cellIs" dxfId="162" priority="135" operator="equal">
      <formula>0</formula>
    </cfRule>
    <cfRule type="cellIs" dxfId="161" priority="136" operator="equal">
      <formula>1</formula>
    </cfRule>
  </conditionalFormatting>
  <conditionalFormatting sqref="BD20:BD22">
    <cfRule type="cellIs" dxfId="160" priority="133" operator="equal">
      <formula>0</formula>
    </cfRule>
    <cfRule type="cellIs" dxfId="159" priority="134" operator="equal">
      <formula>1</formula>
    </cfRule>
  </conditionalFormatting>
  <conditionalFormatting sqref="BB20:BC22">
    <cfRule type="cellIs" dxfId="158" priority="129" operator="equal">
      <formula>0</formula>
    </cfRule>
    <cfRule type="cellIs" dxfId="157" priority="130" operator="equal">
      <formula>1</formula>
    </cfRule>
  </conditionalFormatting>
  <conditionalFormatting sqref="BC20:BC22">
    <cfRule type="cellIs" dxfId="156" priority="127" operator="equal">
      <formula>0</formula>
    </cfRule>
    <cfRule type="cellIs" dxfId="155" priority="128" operator="equal">
      <formula>1</formula>
    </cfRule>
  </conditionalFormatting>
  <conditionalFormatting sqref="BA12:BA18">
    <cfRule type="cellIs" dxfId="154" priority="125" operator="equal">
      <formula>0</formula>
    </cfRule>
    <cfRule type="cellIs" dxfId="153" priority="126" operator="equal">
      <formula>1</formula>
    </cfRule>
  </conditionalFormatting>
  <conditionalFormatting sqref="BA20:BA22">
    <cfRule type="cellIs" dxfId="152" priority="123" operator="equal">
      <formula>0</formula>
    </cfRule>
    <cfRule type="cellIs" dxfId="151" priority="124" operator="equal">
      <formula>1</formula>
    </cfRule>
  </conditionalFormatting>
  <conditionalFormatting sqref="BU11:BX11">
    <cfRule type="cellIs" dxfId="150" priority="117" operator="equal">
      <formula>0</formula>
    </cfRule>
    <cfRule type="cellIs" dxfId="149" priority="118" operator="equal">
      <formula>1</formula>
    </cfRule>
  </conditionalFormatting>
  <conditionalFormatting sqref="BY11:BZ11">
    <cfRule type="cellIs" dxfId="148" priority="121" operator="equal">
      <formula>0</formula>
    </cfRule>
    <cfRule type="cellIs" dxfId="147" priority="122" operator="equal">
      <formula>1</formula>
    </cfRule>
  </conditionalFormatting>
  <conditionalFormatting sqref="CA11">
    <cfRule type="cellIs" dxfId="146" priority="119" operator="equal">
      <formula>0</formula>
    </cfRule>
    <cfRule type="cellIs" dxfId="145" priority="120" operator="equal">
      <formula>1</formula>
    </cfRule>
  </conditionalFormatting>
  <conditionalFormatting sqref="BY11:BZ11">
    <cfRule type="cellIs" dxfId="144" priority="115" operator="equal">
      <formula>0</formula>
    </cfRule>
    <cfRule type="cellIs" dxfId="143" priority="116" operator="equal">
      <formula>1</formula>
    </cfRule>
  </conditionalFormatting>
  <conditionalFormatting sqref="BZ11">
    <cfRule type="cellIs" dxfId="142" priority="113" operator="equal">
      <formula>0</formula>
    </cfRule>
    <cfRule type="cellIs" dxfId="141" priority="114" operator="equal">
      <formula>1</formula>
    </cfRule>
  </conditionalFormatting>
  <conditionalFormatting sqref="BU19">
    <cfRule type="cellIs" dxfId="140" priority="111" operator="equal">
      <formula>0</formula>
    </cfRule>
    <cfRule type="cellIs" dxfId="139" priority="112" operator="equal">
      <formula>1</formula>
    </cfRule>
  </conditionalFormatting>
  <conditionalFormatting sqref="BY12:BZ18">
    <cfRule type="cellIs" dxfId="138" priority="109" operator="equal">
      <formula>0</formula>
    </cfRule>
    <cfRule type="cellIs" dxfId="137" priority="110" operator="equal">
      <formula>1</formula>
    </cfRule>
  </conditionalFormatting>
  <conditionalFormatting sqref="BU12:BW18">
    <cfRule type="cellIs" dxfId="136" priority="105" operator="equal">
      <formula>0</formula>
    </cfRule>
    <cfRule type="cellIs" dxfId="135" priority="106" operator="equal">
      <formula>1</formula>
    </cfRule>
  </conditionalFormatting>
  <conditionalFormatting sqref="CA12:CA18">
    <cfRule type="cellIs" dxfId="134" priority="107" operator="equal">
      <formula>0</formula>
    </cfRule>
    <cfRule type="cellIs" dxfId="133" priority="108" operator="equal">
      <formula>1</formula>
    </cfRule>
  </conditionalFormatting>
  <conditionalFormatting sqref="BY12:BZ18">
    <cfRule type="cellIs" dxfId="132" priority="103" operator="equal">
      <formula>0</formula>
    </cfRule>
    <cfRule type="cellIs" dxfId="131" priority="104" operator="equal">
      <formula>1</formula>
    </cfRule>
  </conditionalFormatting>
  <conditionalFormatting sqref="BZ12:BZ18">
    <cfRule type="cellIs" dxfId="130" priority="101" operator="equal">
      <formula>0</formula>
    </cfRule>
    <cfRule type="cellIs" dxfId="129" priority="102" operator="equal">
      <formula>1</formula>
    </cfRule>
  </conditionalFormatting>
  <conditionalFormatting sqref="BU20:BW22">
    <cfRule type="cellIs" dxfId="128" priority="95" operator="equal">
      <formula>0</formula>
    </cfRule>
    <cfRule type="cellIs" dxfId="127" priority="96" operator="equal">
      <formula>1</formula>
    </cfRule>
  </conditionalFormatting>
  <conditionalFormatting sqref="BY20:BZ22">
    <cfRule type="cellIs" dxfId="126" priority="99" operator="equal">
      <formula>0</formula>
    </cfRule>
    <cfRule type="cellIs" dxfId="125" priority="100" operator="equal">
      <formula>1</formula>
    </cfRule>
  </conditionalFormatting>
  <conditionalFormatting sqref="CA20:CA22">
    <cfRule type="cellIs" dxfId="124" priority="97" operator="equal">
      <formula>0</formula>
    </cfRule>
    <cfRule type="cellIs" dxfId="123" priority="98" operator="equal">
      <formula>1</formula>
    </cfRule>
  </conditionalFormatting>
  <conditionalFormatting sqref="BY20:BZ22">
    <cfRule type="cellIs" dxfId="122" priority="93" operator="equal">
      <formula>0</formula>
    </cfRule>
    <cfRule type="cellIs" dxfId="121" priority="94" operator="equal">
      <formula>1</formula>
    </cfRule>
  </conditionalFormatting>
  <conditionalFormatting sqref="BZ20:BZ22">
    <cfRule type="cellIs" dxfId="120" priority="91" operator="equal">
      <formula>0</formula>
    </cfRule>
    <cfRule type="cellIs" dxfId="119" priority="92" operator="equal">
      <formula>1</formula>
    </cfRule>
  </conditionalFormatting>
  <conditionalFormatting sqref="BX12:BX18">
    <cfRule type="cellIs" dxfId="118" priority="89" operator="equal">
      <formula>0</formula>
    </cfRule>
    <cfRule type="cellIs" dxfId="117" priority="90" operator="equal">
      <formula>1</formula>
    </cfRule>
  </conditionalFormatting>
  <conditionalFormatting sqref="BX20:BX22">
    <cfRule type="cellIs" dxfId="116" priority="87" operator="equal">
      <formula>0</formula>
    </cfRule>
    <cfRule type="cellIs" dxfId="115" priority="88" operator="equal">
      <formula>1</formula>
    </cfRule>
  </conditionalFormatting>
  <conditionalFormatting sqref="CR11:CU11">
    <cfRule type="cellIs" dxfId="114" priority="81" operator="equal">
      <formula>0</formula>
    </cfRule>
    <cfRule type="cellIs" dxfId="113" priority="82" operator="equal">
      <formula>1</formula>
    </cfRule>
  </conditionalFormatting>
  <conditionalFormatting sqref="CV11:CW11">
    <cfRule type="cellIs" dxfId="112" priority="85" operator="equal">
      <formula>0</formula>
    </cfRule>
    <cfRule type="cellIs" dxfId="111" priority="86" operator="equal">
      <formula>1</formula>
    </cfRule>
  </conditionalFormatting>
  <conditionalFormatting sqref="CX11">
    <cfRule type="cellIs" dxfId="110" priority="83" operator="equal">
      <formula>0</formula>
    </cfRule>
    <cfRule type="cellIs" dxfId="109" priority="84" operator="equal">
      <formula>1</formula>
    </cfRule>
  </conditionalFormatting>
  <conditionalFormatting sqref="CV11:CW11">
    <cfRule type="cellIs" dxfId="108" priority="79" operator="equal">
      <formula>0</formula>
    </cfRule>
    <cfRule type="cellIs" dxfId="107" priority="80" operator="equal">
      <formula>1</formula>
    </cfRule>
  </conditionalFormatting>
  <conditionalFormatting sqref="CW11">
    <cfRule type="cellIs" dxfId="106" priority="77" operator="equal">
      <formula>0</formula>
    </cfRule>
    <cfRule type="cellIs" dxfId="105" priority="78" operator="equal">
      <formula>1</formula>
    </cfRule>
  </conditionalFormatting>
  <conditionalFormatting sqref="CR19">
    <cfRule type="cellIs" dxfId="104" priority="75" operator="equal">
      <formula>0</formula>
    </cfRule>
    <cfRule type="cellIs" dxfId="103" priority="76" operator="equal">
      <formula>1</formula>
    </cfRule>
  </conditionalFormatting>
  <conditionalFormatting sqref="CV12:CW18">
    <cfRule type="cellIs" dxfId="102" priority="73" operator="equal">
      <formula>0</formula>
    </cfRule>
    <cfRule type="cellIs" dxfId="101" priority="74" operator="equal">
      <formula>1</formula>
    </cfRule>
  </conditionalFormatting>
  <conditionalFormatting sqref="CR12:CT18">
    <cfRule type="cellIs" dxfId="100" priority="69" operator="equal">
      <formula>0</formula>
    </cfRule>
    <cfRule type="cellIs" dxfId="99" priority="70" operator="equal">
      <formula>1</formula>
    </cfRule>
  </conditionalFormatting>
  <conditionalFormatting sqref="CX12:CX18">
    <cfRule type="cellIs" dxfId="98" priority="71" operator="equal">
      <formula>0</formula>
    </cfRule>
    <cfRule type="cellIs" dxfId="97" priority="72" operator="equal">
      <formula>1</formula>
    </cfRule>
  </conditionalFormatting>
  <conditionalFormatting sqref="CV12:CW18">
    <cfRule type="cellIs" dxfId="96" priority="67" operator="equal">
      <formula>0</formula>
    </cfRule>
    <cfRule type="cellIs" dxfId="95" priority="68" operator="equal">
      <formula>1</formula>
    </cfRule>
  </conditionalFormatting>
  <conditionalFormatting sqref="CW12:CW18">
    <cfRule type="cellIs" dxfId="94" priority="65" operator="equal">
      <formula>0</formula>
    </cfRule>
    <cfRule type="cellIs" dxfId="93" priority="66" operator="equal">
      <formula>1</formula>
    </cfRule>
  </conditionalFormatting>
  <conditionalFormatting sqref="CR20:CT22">
    <cfRule type="cellIs" dxfId="92" priority="59" operator="equal">
      <formula>0</formula>
    </cfRule>
    <cfRule type="cellIs" dxfId="91" priority="60" operator="equal">
      <formula>1</formula>
    </cfRule>
  </conditionalFormatting>
  <conditionalFormatting sqref="CV20:CW22">
    <cfRule type="cellIs" dxfId="90" priority="63" operator="equal">
      <formula>0</formula>
    </cfRule>
    <cfRule type="cellIs" dxfId="89" priority="64" operator="equal">
      <formula>1</formula>
    </cfRule>
  </conditionalFormatting>
  <conditionalFormatting sqref="CX20:CX22">
    <cfRule type="cellIs" dxfId="88" priority="61" operator="equal">
      <formula>0</formula>
    </cfRule>
    <cfRule type="cellIs" dxfId="87" priority="62" operator="equal">
      <formula>1</formula>
    </cfRule>
  </conditionalFormatting>
  <conditionalFormatting sqref="CV20:CW22">
    <cfRule type="cellIs" dxfId="86" priority="57" operator="equal">
      <formula>0</formula>
    </cfRule>
    <cfRule type="cellIs" dxfId="85" priority="58" operator="equal">
      <formula>1</formula>
    </cfRule>
  </conditionalFormatting>
  <conditionalFormatting sqref="CW20:CW22">
    <cfRule type="cellIs" dxfId="84" priority="55" operator="equal">
      <formula>0</formula>
    </cfRule>
    <cfRule type="cellIs" dxfId="83" priority="56" operator="equal">
      <formula>1</formula>
    </cfRule>
  </conditionalFormatting>
  <conditionalFormatting sqref="CU12:CU18">
    <cfRule type="cellIs" dxfId="82" priority="53" operator="equal">
      <formula>0</formula>
    </cfRule>
    <cfRule type="cellIs" dxfId="81" priority="54" operator="equal">
      <formula>1</formula>
    </cfRule>
  </conditionalFormatting>
  <conditionalFormatting sqref="CU20:CU22">
    <cfRule type="cellIs" dxfId="80" priority="51" operator="equal">
      <formula>0</formula>
    </cfRule>
    <cfRule type="cellIs" dxfId="79" priority="52" operator="equal">
      <formula>1</formula>
    </cfRule>
  </conditionalFormatting>
  <conditionalFormatting sqref="AH41">
    <cfRule type="cellIs" dxfId="78" priority="49" operator="equal">
      <formula>0</formula>
    </cfRule>
    <cfRule type="cellIs" dxfId="77" priority="50" operator="equal">
      <formula>1</formula>
    </cfRule>
  </conditionalFormatting>
  <conditionalFormatting sqref="AL41">
    <cfRule type="cellIs" dxfId="76" priority="47" operator="equal">
      <formula>"NO HABILITADO"</formula>
    </cfRule>
    <cfRule type="cellIs" dxfId="75" priority="48" operator="equal">
      <formula>"OK"</formula>
    </cfRule>
  </conditionalFormatting>
  <conditionalFormatting sqref="BD41">
    <cfRule type="cellIs" dxfId="74" priority="45" operator="equal">
      <formula>0</formula>
    </cfRule>
    <cfRule type="cellIs" dxfId="73" priority="46" operator="equal">
      <formula>1</formula>
    </cfRule>
  </conditionalFormatting>
  <conditionalFormatting sqref="BF41">
    <cfRule type="cellIs" dxfId="72" priority="43" operator="equal">
      <formula>0</formula>
    </cfRule>
    <cfRule type="cellIs" dxfId="71" priority="44" operator="equal">
      <formula>1</formula>
    </cfRule>
  </conditionalFormatting>
  <conditionalFormatting sqref="AY41">
    <cfRule type="cellIs" dxfId="70" priority="39" operator="equal">
      <formula>0</formula>
    </cfRule>
    <cfRule type="cellIs" dxfId="69" priority="40" operator="equal">
      <formula>1</formula>
    </cfRule>
  </conditionalFormatting>
  <conditionalFormatting sqref="BA41">
    <cfRule type="cellIs" dxfId="68" priority="41" operator="equal">
      <formula>0</formula>
    </cfRule>
    <cfRule type="cellIs" dxfId="67" priority="42" operator="equal">
      <formula>1</formula>
    </cfRule>
  </conditionalFormatting>
  <conditionalFormatting sqref="AZ41">
    <cfRule type="cellIs" dxfId="66" priority="37" operator="equal">
      <formula>0</formula>
    </cfRule>
    <cfRule type="cellIs" dxfId="65" priority="38" operator="equal">
      <formula>1</formula>
    </cfRule>
  </conditionalFormatting>
  <conditionalFormatting sqref="BB41">
    <cfRule type="cellIs" dxfId="64" priority="35" operator="equal">
      <formula>0</formula>
    </cfRule>
    <cfRule type="cellIs" dxfId="63" priority="36" operator="equal">
      <formula>1</formula>
    </cfRule>
  </conditionalFormatting>
  <conditionalFormatting sqref="BE41">
    <cfRule type="cellIs" dxfId="62" priority="33" operator="equal">
      <formula>0</formula>
    </cfRule>
    <cfRule type="cellIs" dxfId="61" priority="34" operator="equal">
      <formula>1</formula>
    </cfRule>
  </conditionalFormatting>
  <conditionalFormatting sqref="BI41">
    <cfRule type="cellIs" dxfId="60" priority="31" operator="equal">
      <formula>"NO HABILITADO"</formula>
    </cfRule>
    <cfRule type="cellIs" dxfId="59" priority="32" operator="equal">
      <formula>"OK"</formula>
    </cfRule>
  </conditionalFormatting>
  <conditionalFormatting sqref="CA41">
    <cfRule type="cellIs" dxfId="58" priority="29" operator="equal">
      <formula>0</formula>
    </cfRule>
    <cfRule type="cellIs" dxfId="57" priority="30" operator="equal">
      <formula>1</formula>
    </cfRule>
  </conditionalFormatting>
  <conditionalFormatting sqref="CC41">
    <cfRule type="cellIs" dxfId="56" priority="27" operator="equal">
      <formula>0</formula>
    </cfRule>
    <cfRule type="cellIs" dxfId="55" priority="28" operator="equal">
      <formula>1</formula>
    </cfRule>
  </conditionalFormatting>
  <conditionalFormatting sqref="BV41">
    <cfRule type="cellIs" dxfId="54" priority="23" operator="equal">
      <formula>0</formula>
    </cfRule>
    <cfRule type="cellIs" dxfId="53" priority="24" operator="equal">
      <formula>1</formula>
    </cfRule>
  </conditionalFormatting>
  <conditionalFormatting sqref="BX41">
    <cfRule type="cellIs" dxfId="52" priority="25" operator="equal">
      <formula>0</formula>
    </cfRule>
    <cfRule type="cellIs" dxfId="51" priority="26" operator="equal">
      <formula>1</formula>
    </cfRule>
  </conditionalFormatting>
  <conditionalFormatting sqref="BW41">
    <cfRule type="cellIs" dxfId="50" priority="21" operator="equal">
      <formula>0</formula>
    </cfRule>
    <cfRule type="cellIs" dxfId="49" priority="22" operator="equal">
      <formula>1</formula>
    </cfRule>
  </conditionalFormatting>
  <conditionalFormatting sqref="BY41">
    <cfRule type="cellIs" dxfId="48" priority="19" operator="equal">
      <formula>0</formula>
    </cfRule>
    <cfRule type="cellIs" dxfId="47" priority="20" operator="equal">
      <formula>1</formula>
    </cfRule>
  </conditionalFormatting>
  <conditionalFormatting sqref="CB41">
    <cfRule type="cellIs" dxfId="46" priority="17" operator="equal">
      <formula>0</formula>
    </cfRule>
    <cfRule type="cellIs" dxfId="45" priority="18" operator="equal">
      <formula>1</formula>
    </cfRule>
  </conditionalFormatting>
  <conditionalFormatting sqref="CF41">
    <cfRule type="cellIs" dxfId="44" priority="15" operator="equal">
      <formula>"NO HABILITADO"</formula>
    </cfRule>
    <cfRule type="cellIs" dxfId="43" priority="16" operator="equal">
      <formula>"OK"</formula>
    </cfRule>
  </conditionalFormatting>
  <conditionalFormatting sqref="CX41">
    <cfRule type="cellIs" dxfId="42" priority="13" operator="equal">
      <formula>0</formula>
    </cfRule>
    <cfRule type="cellIs" dxfId="41" priority="14" operator="equal">
      <formula>1</formula>
    </cfRule>
  </conditionalFormatting>
  <conditionalFormatting sqref="CZ41">
    <cfRule type="cellIs" dxfId="40" priority="11" operator="equal">
      <formula>0</formula>
    </cfRule>
    <cfRule type="cellIs" dxfId="39" priority="12" operator="equal">
      <formula>1</formula>
    </cfRule>
  </conditionalFormatting>
  <conditionalFormatting sqref="CS41">
    <cfRule type="cellIs" dxfId="38" priority="7" operator="equal">
      <formula>0</formula>
    </cfRule>
    <cfRule type="cellIs" dxfId="37" priority="8" operator="equal">
      <formula>1</formula>
    </cfRule>
  </conditionalFormatting>
  <conditionalFormatting sqref="CU41">
    <cfRule type="cellIs" dxfId="36" priority="9" operator="equal">
      <formula>0</formula>
    </cfRule>
    <cfRule type="cellIs" dxfId="35" priority="10" operator="equal">
      <formula>1</formula>
    </cfRule>
  </conditionalFormatting>
  <conditionalFormatting sqref="CT41">
    <cfRule type="cellIs" dxfId="34" priority="5" operator="equal">
      <formula>0</formula>
    </cfRule>
    <cfRule type="cellIs" dxfId="33" priority="6" operator="equal">
      <formula>1</formula>
    </cfRule>
  </conditionalFormatting>
  <conditionalFormatting sqref="CV41">
    <cfRule type="cellIs" dxfId="32" priority="3" operator="equal">
      <formula>0</formula>
    </cfRule>
    <cfRule type="cellIs" dxfId="31" priority="4" operator="equal">
      <formula>1</formula>
    </cfRule>
  </conditionalFormatting>
  <conditionalFormatting sqref="CY41">
    <cfRule type="cellIs" dxfId="30" priority="1" operator="equal">
      <formula>0</formula>
    </cfRule>
    <cfRule type="cellIs" dxfId="29" priority="2" operator="equal">
      <formula>1</formula>
    </cfRule>
  </conditionalFormatting>
  <pageMargins left="0.7" right="0.7" top="0.75" bottom="0.75" header="0.3" footer="0.3"/>
  <pageSetup paperSize="9" orientation="portrait" horizontalDpi="4294967292"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22</vt:i4>
      </vt:variant>
    </vt:vector>
  </HeadingPairs>
  <TitlesOfParts>
    <vt:vector size="35" baseType="lpstr">
      <vt:lpstr>1_ENTREGA</vt:lpstr>
      <vt:lpstr>2_APERTURA DE SOBRES</vt:lpstr>
      <vt:lpstr>6.2.1. REQUISITOS JURÍDICOS</vt:lpstr>
      <vt:lpstr>6.2.2.1. EXPERIENCIA GRAL</vt:lpstr>
      <vt:lpstr>6.2.2.2. EXPERIENCIA_ESPECIF </vt:lpstr>
      <vt:lpstr>6.2.3.2 PROFESIONALES </vt:lpstr>
      <vt:lpstr>6.2.4 CAP FINANCIERA</vt:lpstr>
      <vt:lpstr>6.2.5 REQUISITOS COMERCIALES</vt:lpstr>
      <vt:lpstr>PRESUPUESTO</vt:lpstr>
      <vt:lpstr>RESUMEN</vt:lpstr>
      <vt:lpstr>14.3 EXPERIENCIA_OCT</vt:lpstr>
      <vt:lpstr>Cálculo Pt2</vt:lpstr>
      <vt:lpstr>10. EVALUACIÓN</vt:lpstr>
      <vt:lpstr>APERTURA</vt:lpstr>
      <vt:lpstr>'1_ENTREGA'!Área_de_impresión</vt:lpstr>
      <vt:lpstr>AU</vt:lpstr>
      <vt:lpstr>'6.2.2.2. EXPERIENCIA_ESPECIF '!BANDERA</vt:lpstr>
      <vt:lpstr>BANDERA</vt:lpstr>
      <vt:lpstr>C_FINANCIERA</vt:lpstr>
      <vt:lpstr>EST_UNI</vt:lpstr>
      <vt:lpstr>ESTATUS</vt:lpstr>
      <vt:lpstr>EVALUACION</vt:lpstr>
      <vt:lpstr>'6.2.2.2. EXPERIENCIA_ESPECIF '!EXPERIENCIA</vt:lpstr>
      <vt:lpstr>EXPERIENCIA</vt:lpstr>
      <vt:lpstr>LISTA_OFERENTES</vt:lpstr>
      <vt:lpstr>OFERENTE_1</vt:lpstr>
      <vt:lpstr>OFERENTE_2</vt:lpstr>
      <vt:lpstr>OFERENTE_3</vt:lpstr>
      <vt:lpstr>OFERENTE_4</vt:lpstr>
      <vt:lpstr>OFERTA_0</vt:lpstr>
      <vt:lpstr>'10. EVALUACIÓN'!ORDEN</vt:lpstr>
      <vt:lpstr>PT_2</vt:lpstr>
      <vt:lpstr>R_COMERCIALES</vt:lpstr>
      <vt:lpstr>V_UNITARIOS</vt:lpstr>
      <vt:lpstr>VER_UNI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LUIS</dc:creator>
  <cp:lastModifiedBy>Informatica</cp:lastModifiedBy>
  <cp:lastPrinted>2020-08-04T01:46:37Z</cp:lastPrinted>
  <dcterms:created xsi:type="dcterms:W3CDTF">2020-08-04T01:26:52Z</dcterms:created>
  <dcterms:modified xsi:type="dcterms:W3CDTF">2021-12-17T16:42:35Z</dcterms:modified>
</cp:coreProperties>
</file>