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G:\Unidades compartidas\0_REPOSITORIO_DIF\4_GADMIN\1_REGIS\0_Invitaciones\2_MedianaC\VA_017_2021_Mantenimiento_Pintura\Gestion\3_Evaluacion\"/>
    </mc:Choice>
  </mc:AlternateContent>
  <bookViews>
    <workbookView xWindow="-120" yWindow="-120" windowWidth="25440" windowHeight="15540" tabRatio="906" firstSheet="2" activeTab="9"/>
  </bookViews>
  <sheets>
    <sheet name="1_ENTREGA" sheetId="1" r:id="rId1"/>
    <sheet name="2_APERTURA DE SOBRES" sheetId="2" r:id="rId2"/>
    <sheet name="5,1. REQUISITOS JURÍDICOS" sheetId="3" r:id="rId3"/>
    <sheet name="5.2. EXPERIENCIA GRAL Y ESP" sheetId="4" r:id="rId4"/>
    <sheet name="5.4 CAP FINANCIERA" sheetId="5" r:id="rId5"/>
    <sheet name="5.5 REQUISITOS COMERCIALES" sheetId="6" r:id="rId6"/>
    <sheet name="PRESUPUESTO" sheetId="9" r:id="rId7"/>
    <sheet name="RESUMEN" sheetId="10" r:id="rId8"/>
    <sheet name="Cálculo Pt2" sheetId="12" r:id="rId9"/>
    <sheet name="10. EVALUACIÓN" sheetId="8" r:id="rId10"/>
  </sheets>
  <externalReferences>
    <externalReference r:id="rId11"/>
    <externalReference r:id="rId12"/>
  </externalReferences>
  <definedNames>
    <definedName name="_xlnm._FilterDatabase" localSheetId="6" hidden="1">PRESUPUESTO!$A$9:$WRW$80</definedName>
    <definedName name="APERTURA">'2_APERTURA DE SOBRES'!$A$8:$I$21</definedName>
    <definedName name="_xlnm.Print_Area" localSheetId="0">'1_ENTREGA'!$A$1:$B$27</definedName>
    <definedName name="AU">PRESUPUESTO!$C$125:$D$138</definedName>
    <definedName name="BANDERA">'5.2. EXPERIENCIA GRAL Y ESP'!$AE$12:$AF$28</definedName>
    <definedName name="C_FINANCIERA">'5.4 CAP FINANCIERA'!$M$6:$O$19</definedName>
    <definedName name="COSTO_D">[1]PRESUPUESTO!$G$116:$H$145</definedName>
    <definedName name="EST_PRE">#REF!</definedName>
    <definedName name="EST_UNI">PRESUPUESTO!$K$99:$M$115</definedName>
    <definedName name="ESTATUS">RESUMEN!$A$5:$H$18</definedName>
    <definedName name="EVALUACION">'10. EVALUACIÓN'!$B$14:$F$30</definedName>
    <definedName name="EXPERIENCIA">'5.2. EXPERIENCIA GRAL Y ESP'!$X$12:$AA$28</definedName>
    <definedName name="ITEM_2.10">PRESUPUESTO!#REF!</definedName>
    <definedName name="ITEM_3.10">PRESUPUESTO!#REF!</definedName>
    <definedName name="ITEM_7.10">PRESUPUESTO!#REF!</definedName>
    <definedName name="LISTA_OFERENTES">'1_ENTREGA'!$A$8:$B$24</definedName>
    <definedName name="OET_0">#REF!</definedName>
    <definedName name="OFERENTE_1">PRESUPUESTO!$J$11:$Y$80</definedName>
    <definedName name="OFERENTE_10">PRESUPUESTO!$FG$11:$FV$80</definedName>
    <definedName name="OFERENTE_11">PRESUPUESTO!$FX$11:$GM$80</definedName>
    <definedName name="OFERENTE_12">PRESUPUESTO!$GO$11:$HD$80</definedName>
    <definedName name="OFERENTE_13">PRESUPUESTO!$HF$11:$HU$80</definedName>
    <definedName name="OFERENTE_14">PRESUPUESTO!$HW$11:$IL$80</definedName>
    <definedName name="OFERENTE_15">PRESUPUESTO!#REF!</definedName>
    <definedName name="OFERENTE_16">PRESUPUESTO!#REF!</definedName>
    <definedName name="OFERENTE_17">PRESUPUESTO!#REF!</definedName>
    <definedName name="OFERENTE_18">[2]V_UNITARIOS!$KM$12:$KR$76</definedName>
    <definedName name="OFERENTE_19">[2]V_UNITARIOS!$LD$12:$LI$76</definedName>
    <definedName name="OFERENTE_2">PRESUPUESTO!$AA$11:$AP$80</definedName>
    <definedName name="OFERENTE_3">PRESUPUESTO!$AR$11:$BG$80</definedName>
    <definedName name="OFERENTE_4">PRESUPUESTO!$BI$11:$BX$80</definedName>
    <definedName name="OFERENTE_5">PRESUPUESTO!$BZ$11:$CO$80</definedName>
    <definedName name="OFERENTE_6">PRESUPUESTO!$CQ$11:$DF$80</definedName>
    <definedName name="OFERENTE_7">PRESUPUESTO!$DH$11:$DW$80</definedName>
    <definedName name="OFERENTE_8">PRESUPUESTO!$DY$11:$EN$80</definedName>
    <definedName name="OFERENTE_9">PRESUPUESTO!$EP$11:$FE$80</definedName>
    <definedName name="OFERTA_0">PRESUPUESTO!$B$11:$H$80</definedName>
    <definedName name="ORDEN" localSheetId="9">'10. EVALUACIÓN'!$T$14:$U$30</definedName>
    <definedName name="PT_2">'Cálculo Pt2'!$C$7:$AJ$11</definedName>
    <definedName name="R_COMERCIALES">'5.5 REQUISITOS COMERCIALES'!$K$4:$M$17</definedName>
    <definedName name="R_JURIDICO">'5,1. REQUISITOS JURÍDICOS'!#REF!</definedName>
    <definedName name="UNIDADES_3.10">PRESUPUESTO!#REF!</definedName>
    <definedName name="UNIDADES_7.10">PRESUPUESTO!#REF!</definedName>
    <definedName name="V_PRESUPUESTOO">#REF!</definedName>
    <definedName name="V_UNITARIOS">PRESUPUESTO!$C$99:$E$115</definedName>
    <definedName name="VER_PRE">#REF!</definedName>
    <definedName name="VER_UNI">PRESUPUESTO!$J$91:$IC$92</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8" l="1"/>
  <c r="AM93" i="12" l="1"/>
  <c r="AM94" i="12"/>
  <c r="AN94" i="12" s="1"/>
  <c r="AM95" i="12"/>
  <c r="AM96" i="12"/>
  <c r="AN96" i="12" s="1"/>
  <c r="AM97" i="12"/>
  <c r="AM98" i="12"/>
  <c r="AN98" i="12"/>
  <c r="AM99" i="12"/>
  <c r="AM100" i="12"/>
  <c r="AL93" i="12"/>
  <c r="AN93" i="12" s="1"/>
  <c r="AL94" i="12"/>
  <c r="AL95" i="12"/>
  <c r="AN95" i="12" s="1"/>
  <c r="AL96" i="12"/>
  <c r="AO96" i="12" s="1"/>
  <c r="AL97" i="12"/>
  <c r="AL98" i="12"/>
  <c r="AO98" i="12" s="1"/>
  <c r="AL99" i="12"/>
  <c r="AO99" i="12" s="1"/>
  <c r="AL100" i="12"/>
  <c r="O15" i="8"/>
  <c r="O16" i="8"/>
  <c r="O17" i="8"/>
  <c r="O18" i="8"/>
  <c r="O19" i="8"/>
  <c r="O20" i="8"/>
  <c r="O21" i="8"/>
  <c r="O22" i="8"/>
  <c r="O23" i="8"/>
  <c r="O24" i="8"/>
  <c r="O25" i="8"/>
  <c r="O27" i="8"/>
  <c r="O14" i="8"/>
  <c r="AN100" i="12" l="1"/>
  <c r="AN99" i="12"/>
  <c r="AO95" i="12"/>
  <c r="AO97" i="12"/>
  <c r="AO93" i="12"/>
  <c r="AO94" i="12"/>
  <c r="AO100" i="12"/>
  <c r="AN97" i="12"/>
  <c r="V299" i="4"/>
  <c r="V66" i="4" l="1"/>
  <c r="V63" i="4"/>
  <c r="V57" i="4"/>
  <c r="V35" i="4"/>
  <c r="U13" i="4"/>
  <c r="V129" i="4" l="1"/>
  <c r="V123" i="4"/>
  <c r="V148" i="4"/>
  <c r="V167" i="4" l="1"/>
  <c r="V179" i="4"/>
  <c r="I31" i="8"/>
  <c r="V211" i="4"/>
  <c r="V239" i="4" l="1"/>
  <c r="V236" i="4"/>
  <c r="V233" i="4"/>
  <c r="V261" i="4"/>
  <c r="V258" i="4"/>
  <c r="V255" i="4"/>
  <c r="V283" i="4"/>
  <c r="IC80" i="9" l="1"/>
  <c r="IC79" i="9"/>
  <c r="IC78" i="9"/>
  <c r="IC77" i="9"/>
  <c r="IC76" i="9"/>
  <c r="IC75" i="9"/>
  <c r="IC74" i="9"/>
  <c r="IC73" i="9"/>
  <c r="IC72" i="9"/>
  <c r="IC71" i="9"/>
  <c r="IC70" i="9"/>
  <c r="IC69" i="9"/>
  <c r="IC68" i="9"/>
  <c r="IC67" i="9"/>
  <c r="IC65" i="9"/>
  <c r="IC64" i="9"/>
  <c r="IC62" i="9"/>
  <c r="IC61" i="9"/>
  <c r="IC60" i="9"/>
  <c r="IC59" i="9"/>
  <c r="IC58" i="9"/>
  <c r="IC56" i="9"/>
  <c r="IC55" i="9"/>
  <c r="IC54" i="9"/>
  <c r="IC53" i="9"/>
  <c r="IC52" i="9"/>
  <c r="IC51" i="9"/>
  <c r="IC50" i="9"/>
  <c r="IC48" i="9"/>
  <c r="IC47" i="9"/>
  <c r="IC46" i="9"/>
  <c r="IC45" i="9"/>
  <c r="IC44" i="9"/>
  <c r="IC43" i="9"/>
  <c r="IC42" i="9"/>
  <c r="IC41" i="9"/>
  <c r="IC40" i="9"/>
  <c r="IC39" i="9"/>
  <c r="IC38" i="9"/>
  <c r="IC37" i="9"/>
  <c r="IC36" i="9"/>
  <c r="IC35" i="9"/>
  <c r="IC34" i="9"/>
  <c r="IC32" i="9"/>
  <c r="IC31" i="9"/>
  <c r="IC30" i="9"/>
  <c r="IC29" i="9"/>
  <c r="IC28" i="9"/>
  <c r="IC27" i="9"/>
  <c r="IC26" i="9"/>
  <c r="IC25" i="9"/>
  <c r="IC24" i="9"/>
  <c r="IC23" i="9"/>
  <c r="IC22" i="9"/>
  <c r="IC21" i="9"/>
  <c r="IC20" i="9"/>
  <c r="IC19" i="9"/>
  <c r="IC17" i="9"/>
  <c r="IC16" i="9"/>
  <c r="IC15" i="9"/>
  <c r="IC14" i="9"/>
  <c r="IC13" i="9"/>
  <c r="IC12" i="9"/>
  <c r="IC11" i="9"/>
  <c r="HL80" i="9" l="1"/>
  <c r="HL79" i="9"/>
  <c r="HL78" i="9"/>
  <c r="HL77" i="9"/>
  <c r="HL76" i="9"/>
  <c r="HL75" i="9"/>
  <c r="HL74" i="9"/>
  <c r="HL73" i="9"/>
  <c r="HL72" i="9"/>
  <c r="HL71" i="9"/>
  <c r="HL70" i="9"/>
  <c r="HL69" i="9"/>
  <c r="HL68" i="9"/>
  <c r="HL67" i="9"/>
  <c r="HL65" i="9"/>
  <c r="HL64" i="9"/>
  <c r="HL62" i="9"/>
  <c r="HL61" i="9"/>
  <c r="HL60" i="9"/>
  <c r="HL59" i="9"/>
  <c r="HL58" i="9"/>
  <c r="HL56" i="9"/>
  <c r="HL55" i="9"/>
  <c r="HL54" i="9"/>
  <c r="HL53" i="9"/>
  <c r="HL52" i="9"/>
  <c r="HL51" i="9"/>
  <c r="HL50" i="9"/>
  <c r="HL48" i="9"/>
  <c r="HL47" i="9"/>
  <c r="HL46" i="9"/>
  <c r="HL45" i="9"/>
  <c r="HL44" i="9"/>
  <c r="HL43" i="9"/>
  <c r="HL42" i="9"/>
  <c r="HL41" i="9"/>
  <c r="HL40" i="9"/>
  <c r="HL39" i="9"/>
  <c r="HL38" i="9"/>
  <c r="HL37" i="9"/>
  <c r="HL36" i="9"/>
  <c r="HL35" i="9"/>
  <c r="HL34" i="9"/>
  <c r="HL32" i="9"/>
  <c r="HL31" i="9"/>
  <c r="HL30" i="9"/>
  <c r="HL29" i="9"/>
  <c r="HL28" i="9"/>
  <c r="HL27" i="9"/>
  <c r="HL26" i="9"/>
  <c r="HL25" i="9"/>
  <c r="HL24" i="9"/>
  <c r="HL23" i="9"/>
  <c r="HL22" i="9"/>
  <c r="HL21" i="9"/>
  <c r="HL20" i="9"/>
  <c r="HL19" i="9"/>
  <c r="HL17" i="9"/>
  <c r="HL16" i="9"/>
  <c r="HL15" i="9"/>
  <c r="HL14" i="9"/>
  <c r="HL13" i="9"/>
  <c r="HL12" i="9"/>
  <c r="HL11" i="9"/>
  <c r="GD80" i="9" l="1"/>
  <c r="GD79" i="9"/>
  <c r="GD78" i="9"/>
  <c r="GD77" i="9"/>
  <c r="GD76" i="9"/>
  <c r="GD75" i="9"/>
  <c r="GD74" i="9"/>
  <c r="GD73" i="9"/>
  <c r="GD72" i="9"/>
  <c r="GD71" i="9"/>
  <c r="GD70" i="9"/>
  <c r="GD69" i="9"/>
  <c r="GD68" i="9"/>
  <c r="GD67" i="9"/>
  <c r="GD65" i="9"/>
  <c r="GD64" i="9"/>
  <c r="GD62" i="9"/>
  <c r="GD61" i="9"/>
  <c r="GD60" i="9"/>
  <c r="GD59" i="9"/>
  <c r="GD58" i="9"/>
  <c r="GD56" i="9"/>
  <c r="GD55" i="9"/>
  <c r="GD54" i="9"/>
  <c r="GD53" i="9"/>
  <c r="GD52" i="9"/>
  <c r="GD51" i="9"/>
  <c r="GD50" i="9"/>
  <c r="GD48" i="9"/>
  <c r="GD47" i="9"/>
  <c r="GD46" i="9"/>
  <c r="GD45" i="9"/>
  <c r="GD44" i="9"/>
  <c r="GD43" i="9"/>
  <c r="GD42" i="9"/>
  <c r="GD41" i="9"/>
  <c r="GD40" i="9"/>
  <c r="GD39" i="9"/>
  <c r="GD38" i="9"/>
  <c r="GD37" i="9"/>
  <c r="GD36" i="9"/>
  <c r="GD35" i="9"/>
  <c r="GD34" i="9"/>
  <c r="GD32" i="9"/>
  <c r="GD31" i="9"/>
  <c r="GD30" i="9"/>
  <c r="GD29" i="9"/>
  <c r="GD28" i="9"/>
  <c r="GD27" i="9"/>
  <c r="GD26" i="9"/>
  <c r="GD25" i="9"/>
  <c r="GD24" i="9"/>
  <c r="GD23" i="9"/>
  <c r="GD22" i="9"/>
  <c r="GD21" i="9"/>
  <c r="GD20" i="9"/>
  <c r="GD19" i="9"/>
  <c r="GD17" i="9"/>
  <c r="GD16" i="9"/>
  <c r="GD15" i="9"/>
  <c r="GD14" i="9"/>
  <c r="GD13" i="9"/>
  <c r="GD12" i="9"/>
  <c r="GD11" i="9"/>
  <c r="FM80" i="9" l="1"/>
  <c r="FM79" i="9"/>
  <c r="FM78" i="9"/>
  <c r="FM77" i="9"/>
  <c r="FM76" i="9"/>
  <c r="FM75" i="9"/>
  <c r="FM74" i="9"/>
  <c r="FM73" i="9"/>
  <c r="FM72" i="9"/>
  <c r="FM71" i="9"/>
  <c r="FM70" i="9"/>
  <c r="FM69" i="9"/>
  <c r="FM68" i="9"/>
  <c r="FM67" i="9"/>
  <c r="FM65" i="9"/>
  <c r="FM64" i="9"/>
  <c r="FM62" i="9"/>
  <c r="FM61" i="9"/>
  <c r="FM60" i="9"/>
  <c r="FM59" i="9"/>
  <c r="FM58" i="9"/>
  <c r="FM56" i="9"/>
  <c r="FM55" i="9"/>
  <c r="FM54" i="9"/>
  <c r="FM53" i="9"/>
  <c r="FM52" i="9"/>
  <c r="FM51" i="9"/>
  <c r="FM50" i="9"/>
  <c r="FM48" i="9"/>
  <c r="FM47" i="9"/>
  <c r="FM46" i="9"/>
  <c r="FM45" i="9"/>
  <c r="FM44" i="9"/>
  <c r="FM43" i="9"/>
  <c r="FM42" i="9"/>
  <c r="FM41" i="9"/>
  <c r="FM40" i="9"/>
  <c r="FM39" i="9"/>
  <c r="FM38" i="9"/>
  <c r="FM37" i="9"/>
  <c r="FM36" i="9"/>
  <c r="FM35" i="9"/>
  <c r="FM34" i="9"/>
  <c r="FM32" i="9"/>
  <c r="FM31" i="9"/>
  <c r="FM30" i="9"/>
  <c r="FM29" i="9"/>
  <c r="FM28" i="9"/>
  <c r="FM27" i="9"/>
  <c r="FM26" i="9"/>
  <c r="FM25" i="9"/>
  <c r="FM24" i="9"/>
  <c r="FM23" i="9"/>
  <c r="FM22" i="9"/>
  <c r="FM21" i="9"/>
  <c r="FM20" i="9"/>
  <c r="FM19" i="9"/>
  <c r="FM17" i="9"/>
  <c r="FM16" i="9"/>
  <c r="FM15" i="9"/>
  <c r="FM14" i="9"/>
  <c r="FM13" i="9"/>
  <c r="FM12" i="9"/>
  <c r="FM11" i="9"/>
  <c r="EV80" i="9" l="1"/>
  <c r="EV79" i="9"/>
  <c r="EV78" i="9"/>
  <c r="EV77" i="9"/>
  <c r="EV76" i="9"/>
  <c r="EV75" i="9"/>
  <c r="EV74" i="9"/>
  <c r="EV73" i="9"/>
  <c r="EV72" i="9"/>
  <c r="EV71" i="9"/>
  <c r="EV70" i="9"/>
  <c r="EV69" i="9"/>
  <c r="EV68" i="9"/>
  <c r="EV67" i="9"/>
  <c r="EV65" i="9"/>
  <c r="EV64" i="9"/>
  <c r="EV62" i="9"/>
  <c r="EV61" i="9"/>
  <c r="EV60" i="9"/>
  <c r="EV59" i="9"/>
  <c r="EV58" i="9"/>
  <c r="EV56" i="9"/>
  <c r="EV55" i="9"/>
  <c r="EV54" i="9"/>
  <c r="EV53" i="9"/>
  <c r="EV52" i="9"/>
  <c r="EV51" i="9"/>
  <c r="EV50" i="9"/>
  <c r="EV48" i="9"/>
  <c r="EV47" i="9"/>
  <c r="EV46" i="9"/>
  <c r="EV45" i="9"/>
  <c r="EV44" i="9"/>
  <c r="EV43" i="9"/>
  <c r="EV42" i="9"/>
  <c r="EV41" i="9"/>
  <c r="EV40" i="9"/>
  <c r="EV39" i="9"/>
  <c r="EV38" i="9"/>
  <c r="EV37" i="9"/>
  <c r="EV36" i="9"/>
  <c r="EV35" i="9"/>
  <c r="EV34" i="9"/>
  <c r="EV32" i="9"/>
  <c r="EV31" i="9"/>
  <c r="EV30" i="9"/>
  <c r="EV29" i="9"/>
  <c r="EV28" i="9"/>
  <c r="EV27" i="9"/>
  <c r="EV26" i="9"/>
  <c r="EV25" i="9"/>
  <c r="EV24" i="9"/>
  <c r="EV23" i="9"/>
  <c r="EV22" i="9"/>
  <c r="EV21" i="9"/>
  <c r="EV20" i="9"/>
  <c r="EV19" i="9"/>
  <c r="EV17" i="9"/>
  <c r="EV16" i="9"/>
  <c r="EV15" i="9"/>
  <c r="EV14" i="9"/>
  <c r="EV13" i="9"/>
  <c r="EV12" i="9"/>
  <c r="EV11" i="9"/>
  <c r="EE80" i="9" l="1"/>
  <c r="EE79" i="9"/>
  <c r="EE78" i="9"/>
  <c r="EE77" i="9"/>
  <c r="EE76" i="9"/>
  <c r="EE75" i="9"/>
  <c r="EE74" i="9"/>
  <c r="EE73" i="9"/>
  <c r="EE72" i="9"/>
  <c r="EE71" i="9"/>
  <c r="EE70" i="9"/>
  <c r="EE69" i="9"/>
  <c r="EE68" i="9"/>
  <c r="EE67" i="9"/>
  <c r="EE65" i="9"/>
  <c r="EE64" i="9"/>
  <c r="EE62" i="9"/>
  <c r="EE61" i="9"/>
  <c r="EE60" i="9"/>
  <c r="EE59" i="9"/>
  <c r="EE58" i="9"/>
  <c r="EE56" i="9"/>
  <c r="EE55" i="9"/>
  <c r="EE54" i="9"/>
  <c r="EE53" i="9"/>
  <c r="EE52" i="9"/>
  <c r="EE51" i="9"/>
  <c r="EE50" i="9"/>
  <c r="EE48" i="9"/>
  <c r="EE47" i="9"/>
  <c r="EE46" i="9"/>
  <c r="EE45" i="9"/>
  <c r="EE44" i="9"/>
  <c r="EE43" i="9"/>
  <c r="EE42" i="9"/>
  <c r="EE41" i="9"/>
  <c r="EE40" i="9"/>
  <c r="EE39" i="9"/>
  <c r="EE38" i="9"/>
  <c r="EE37" i="9"/>
  <c r="EE36" i="9"/>
  <c r="EE35" i="9"/>
  <c r="EE34" i="9"/>
  <c r="EE32" i="9"/>
  <c r="EE31" i="9"/>
  <c r="EE30" i="9"/>
  <c r="EE29" i="9"/>
  <c r="EE28" i="9"/>
  <c r="EE27" i="9"/>
  <c r="EE26" i="9"/>
  <c r="EE25" i="9"/>
  <c r="EE24" i="9"/>
  <c r="EE23" i="9"/>
  <c r="EE22" i="9"/>
  <c r="EE21" i="9"/>
  <c r="EE20" i="9"/>
  <c r="EE19" i="9"/>
  <c r="EE17" i="9"/>
  <c r="EE16" i="9"/>
  <c r="EE15" i="9"/>
  <c r="EE14" i="9"/>
  <c r="EE13" i="9"/>
  <c r="EE12" i="9"/>
  <c r="EE11" i="9"/>
  <c r="DN80" i="9" l="1"/>
  <c r="DN79" i="9"/>
  <c r="DN78" i="9"/>
  <c r="DN77" i="9"/>
  <c r="DN76" i="9"/>
  <c r="DN75" i="9"/>
  <c r="DN74" i="9"/>
  <c r="DN73" i="9"/>
  <c r="DN72" i="9"/>
  <c r="DN71" i="9"/>
  <c r="DN70" i="9"/>
  <c r="DN69" i="9"/>
  <c r="DN68" i="9"/>
  <c r="DN67" i="9"/>
  <c r="DN65" i="9"/>
  <c r="DN64" i="9"/>
  <c r="DN62" i="9"/>
  <c r="DN61" i="9"/>
  <c r="DN60" i="9"/>
  <c r="DN59" i="9"/>
  <c r="DN58" i="9"/>
  <c r="DN56" i="9"/>
  <c r="DN55" i="9"/>
  <c r="DN54" i="9"/>
  <c r="DN53" i="9"/>
  <c r="DN52" i="9"/>
  <c r="DN51" i="9"/>
  <c r="DN50" i="9"/>
  <c r="DN48" i="9"/>
  <c r="DN47" i="9"/>
  <c r="DN46" i="9"/>
  <c r="DN45" i="9"/>
  <c r="DN44" i="9"/>
  <c r="DN43" i="9"/>
  <c r="DN42" i="9"/>
  <c r="DN41" i="9"/>
  <c r="DN40" i="9"/>
  <c r="DN39" i="9"/>
  <c r="DN38" i="9"/>
  <c r="DN37" i="9"/>
  <c r="DN36" i="9"/>
  <c r="DN35" i="9"/>
  <c r="DN34" i="9"/>
  <c r="DN32" i="9"/>
  <c r="DN31" i="9"/>
  <c r="DN30" i="9"/>
  <c r="DN29" i="9"/>
  <c r="DN28" i="9"/>
  <c r="DN27" i="9"/>
  <c r="DN26" i="9"/>
  <c r="DN25" i="9"/>
  <c r="DN24" i="9"/>
  <c r="DN23" i="9"/>
  <c r="DN22" i="9"/>
  <c r="DN21" i="9"/>
  <c r="DN20" i="9"/>
  <c r="DN19" i="9"/>
  <c r="DN17" i="9"/>
  <c r="DN16" i="9"/>
  <c r="DN15" i="9"/>
  <c r="DN14" i="9"/>
  <c r="DN13" i="9"/>
  <c r="DN12" i="9"/>
  <c r="DN11" i="9"/>
  <c r="CW80" i="9" l="1"/>
  <c r="CW79" i="9"/>
  <c r="CW78" i="9"/>
  <c r="CW77" i="9"/>
  <c r="CW76" i="9"/>
  <c r="CW75" i="9"/>
  <c r="CW74" i="9"/>
  <c r="CW73" i="9"/>
  <c r="CW72" i="9"/>
  <c r="CW71" i="9"/>
  <c r="CW70" i="9"/>
  <c r="CW69" i="9"/>
  <c r="CW68" i="9"/>
  <c r="CW67" i="9"/>
  <c r="CW65" i="9"/>
  <c r="CW64" i="9"/>
  <c r="CW62" i="9"/>
  <c r="CW61" i="9"/>
  <c r="CW60" i="9"/>
  <c r="CW59" i="9"/>
  <c r="CW58" i="9"/>
  <c r="CW56" i="9"/>
  <c r="CW55" i="9"/>
  <c r="CW54" i="9"/>
  <c r="CW53" i="9"/>
  <c r="CW52" i="9"/>
  <c r="CW51" i="9"/>
  <c r="CW50" i="9"/>
  <c r="CW48" i="9"/>
  <c r="CW47" i="9"/>
  <c r="CW46" i="9"/>
  <c r="CW45" i="9"/>
  <c r="CW44" i="9"/>
  <c r="CW43" i="9"/>
  <c r="CW42" i="9"/>
  <c r="CW41" i="9"/>
  <c r="CW40" i="9"/>
  <c r="CW39" i="9"/>
  <c r="CW38" i="9"/>
  <c r="CW37" i="9"/>
  <c r="CW36" i="9"/>
  <c r="CW35" i="9"/>
  <c r="CW34" i="9"/>
  <c r="CW32" i="9"/>
  <c r="CW31" i="9"/>
  <c r="CW30" i="9"/>
  <c r="CW29" i="9"/>
  <c r="CW28" i="9"/>
  <c r="CW27" i="9"/>
  <c r="CW26" i="9"/>
  <c r="CW25" i="9"/>
  <c r="CW24" i="9"/>
  <c r="CW23" i="9"/>
  <c r="CW22" i="9"/>
  <c r="CW21" i="9"/>
  <c r="CW20" i="9"/>
  <c r="CW19" i="9"/>
  <c r="CW17" i="9"/>
  <c r="CW16" i="9"/>
  <c r="CW15" i="9"/>
  <c r="CW14" i="9"/>
  <c r="CW13" i="9"/>
  <c r="CW12" i="9"/>
  <c r="CW11" i="9"/>
  <c r="CF80" i="9" l="1"/>
  <c r="CF79" i="9"/>
  <c r="CF78" i="9"/>
  <c r="CF77" i="9"/>
  <c r="CF76" i="9"/>
  <c r="CF75" i="9"/>
  <c r="CF74" i="9"/>
  <c r="CF73" i="9"/>
  <c r="CF72" i="9"/>
  <c r="CF71" i="9"/>
  <c r="CF70" i="9"/>
  <c r="CF69" i="9"/>
  <c r="CF68" i="9"/>
  <c r="CF67" i="9"/>
  <c r="CF65" i="9"/>
  <c r="CF64" i="9"/>
  <c r="CF62" i="9"/>
  <c r="CF61" i="9"/>
  <c r="CF60" i="9"/>
  <c r="CF59" i="9"/>
  <c r="CF58" i="9"/>
  <c r="CF56" i="9"/>
  <c r="CF55" i="9"/>
  <c r="CF54" i="9"/>
  <c r="CF53" i="9"/>
  <c r="CF52" i="9"/>
  <c r="CF51" i="9"/>
  <c r="CF50" i="9"/>
  <c r="CF48" i="9"/>
  <c r="CE47" i="9"/>
  <c r="CF47" i="9" s="1"/>
  <c r="CF46" i="9"/>
  <c r="CE45" i="9"/>
  <c r="CF45" i="9" s="1"/>
  <c r="CE44" i="9"/>
  <c r="CF44" i="9" s="1"/>
  <c r="CF43" i="9"/>
  <c r="CF42" i="9"/>
  <c r="CF41" i="9"/>
  <c r="CF40" i="9"/>
  <c r="CF39" i="9"/>
  <c r="CF38" i="9"/>
  <c r="CE38" i="9"/>
  <c r="CF37" i="9"/>
  <c r="CE36" i="9"/>
  <c r="CF36" i="9" s="1"/>
  <c r="CF35" i="9"/>
  <c r="CF34" i="9"/>
  <c r="CF32" i="9"/>
  <c r="CF31" i="9"/>
  <c r="CF30" i="9"/>
  <c r="CF29" i="9"/>
  <c r="CF28" i="9"/>
  <c r="CF27" i="9"/>
  <c r="CF26" i="9"/>
  <c r="CF25" i="9"/>
  <c r="CF24" i="9"/>
  <c r="CF23" i="9"/>
  <c r="CF22" i="9"/>
  <c r="CF21" i="9"/>
  <c r="CF20" i="9"/>
  <c r="CF19" i="9"/>
  <c r="CF17" i="9"/>
  <c r="CF16" i="9"/>
  <c r="CF15" i="9"/>
  <c r="CF14" i="9"/>
  <c r="CF13" i="9"/>
  <c r="CF12" i="9"/>
  <c r="CF11" i="9"/>
  <c r="BO80" i="9" l="1"/>
  <c r="BO79" i="9"/>
  <c r="BO78" i="9"/>
  <c r="BO77" i="9"/>
  <c r="BO76" i="9"/>
  <c r="BO75" i="9"/>
  <c r="BO74" i="9"/>
  <c r="BO73" i="9"/>
  <c r="BO72" i="9"/>
  <c r="BO71" i="9"/>
  <c r="BO70" i="9"/>
  <c r="BO69" i="9"/>
  <c r="BO68" i="9"/>
  <c r="BO67" i="9"/>
  <c r="BO65" i="9"/>
  <c r="BO64" i="9"/>
  <c r="BO62" i="9"/>
  <c r="BO61" i="9"/>
  <c r="BO60" i="9"/>
  <c r="BO59" i="9"/>
  <c r="BO58" i="9"/>
  <c r="BO56" i="9"/>
  <c r="BO55" i="9"/>
  <c r="BO54" i="9"/>
  <c r="BO53" i="9"/>
  <c r="BO52" i="9"/>
  <c r="BO51" i="9"/>
  <c r="BO50" i="9"/>
  <c r="BO48" i="9"/>
  <c r="BO47" i="9"/>
  <c r="BO46" i="9"/>
  <c r="BO45" i="9"/>
  <c r="BO44" i="9"/>
  <c r="BO43" i="9"/>
  <c r="BO42" i="9"/>
  <c r="BO41" i="9"/>
  <c r="BO40" i="9"/>
  <c r="BO39" i="9"/>
  <c r="BO38" i="9"/>
  <c r="BO37" i="9"/>
  <c r="BO36" i="9"/>
  <c r="BO35" i="9"/>
  <c r="BO34" i="9"/>
  <c r="BO32" i="9"/>
  <c r="BO31" i="9"/>
  <c r="BO30" i="9"/>
  <c r="BO29" i="9"/>
  <c r="BO28" i="9"/>
  <c r="BO27" i="9"/>
  <c r="BO26" i="9"/>
  <c r="BO25" i="9"/>
  <c r="BO24" i="9"/>
  <c r="BO23" i="9"/>
  <c r="BO22" i="9"/>
  <c r="BO21" i="9"/>
  <c r="BO20" i="9"/>
  <c r="BO19" i="9"/>
  <c r="BO17" i="9"/>
  <c r="BO16" i="9"/>
  <c r="BO15" i="9"/>
  <c r="BO14" i="9"/>
  <c r="BO13" i="9"/>
  <c r="BO12" i="9"/>
  <c r="BO11" i="9"/>
  <c r="HW91" i="9" l="1"/>
  <c r="IB88" i="9"/>
  <c r="IE92" i="9" s="1"/>
  <c r="IC82" i="9"/>
  <c r="IC84" i="9" s="1"/>
  <c r="IK80" i="9"/>
  <c r="IL80" i="9" s="1"/>
  <c r="II80" i="9"/>
  <c r="IH80" i="9"/>
  <c r="IG80" i="9"/>
  <c r="IF80" i="9"/>
  <c r="IE80" i="9"/>
  <c r="ID80" i="9"/>
  <c r="IK79" i="9"/>
  <c r="IL79" i="9" s="1"/>
  <c r="II79" i="9"/>
  <c r="IH79" i="9"/>
  <c r="IG79" i="9"/>
  <c r="IF79" i="9"/>
  <c r="IE79" i="9"/>
  <c r="ID79" i="9"/>
  <c r="IK78" i="9"/>
  <c r="IL78" i="9" s="1"/>
  <c r="II78" i="9"/>
  <c r="IH78" i="9"/>
  <c r="IG78" i="9"/>
  <c r="IF78" i="9"/>
  <c r="IE78" i="9"/>
  <c r="ID78" i="9"/>
  <c r="IK77" i="9"/>
  <c r="IL77" i="9" s="1"/>
  <c r="II77" i="9"/>
  <c r="IH77" i="9"/>
  <c r="IG77" i="9"/>
  <c r="IF77" i="9"/>
  <c r="IE77" i="9"/>
  <c r="ID77" i="9"/>
  <c r="IK76" i="9"/>
  <c r="IL76" i="9" s="1"/>
  <c r="II76" i="9"/>
  <c r="IH76" i="9"/>
  <c r="IG76" i="9"/>
  <c r="IF76" i="9"/>
  <c r="IE76" i="9"/>
  <c r="ID76" i="9"/>
  <c r="IK75" i="9"/>
  <c r="IL75" i="9" s="1"/>
  <c r="II75" i="9"/>
  <c r="IH75" i="9"/>
  <c r="IG75" i="9"/>
  <c r="IF75" i="9"/>
  <c r="IE75" i="9"/>
  <c r="ID75" i="9"/>
  <c r="IK74" i="9"/>
  <c r="IL74" i="9" s="1"/>
  <c r="II74" i="9"/>
  <c r="IH74" i="9"/>
  <c r="IG74" i="9"/>
  <c r="IF74" i="9"/>
  <c r="IE74" i="9"/>
  <c r="ID74" i="9"/>
  <c r="IK73" i="9"/>
  <c r="IL73" i="9" s="1"/>
  <c r="II73" i="9"/>
  <c r="IH73" i="9"/>
  <c r="IG73" i="9"/>
  <c r="IF73" i="9"/>
  <c r="IE73" i="9"/>
  <c r="ID73" i="9"/>
  <c r="IK72" i="9"/>
  <c r="IL72" i="9" s="1"/>
  <c r="II72" i="9"/>
  <c r="IH72" i="9"/>
  <c r="IG72" i="9"/>
  <c r="IF72" i="9"/>
  <c r="IE72" i="9"/>
  <c r="ID72" i="9"/>
  <c r="IK71" i="9"/>
  <c r="IL71" i="9" s="1"/>
  <c r="II71" i="9"/>
  <c r="IH71" i="9"/>
  <c r="IG71" i="9"/>
  <c r="IF71" i="9"/>
  <c r="IE71" i="9"/>
  <c r="ID71" i="9"/>
  <c r="IK70" i="9"/>
  <c r="IL70" i="9" s="1"/>
  <c r="II70" i="9"/>
  <c r="IH70" i="9"/>
  <c r="IG70" i="9"/>
  <c r="IF70" i="9"/>
  <c r="IE70" i="9"/>
  <c r="ID70" i="9"/>
  <c r="IK69" i="9"/>
  <c r="IL69" i="9" s="1"/>
  <c r="II69" i="9"/>
  <c r="IH69" i="9"/>
  <c r="IG69" i="9"/>
  <c r="IF69" i="9"/>
  <c r="IE69" i="9"/>
  <c r="ID69" i="9"/>
  <c r="IK68" i="9"/>
  <c r="IL68" i="9" s="1"/>
  <c r="II68" i="9"/>
  <c r="IH68" i="9"/>
  <c r="IG68" i="9"/>
  <c r="IF68" i="9"/>
  <c r="IE68" i="9"/>
  <c r="ID68" i="9"/>
  <c r="IK67" i="9"/>
  <c r="IL67" i="9" s="1"/>
  <c r="II67" i="9"/>
  <c r="IH67" i="9"/>
  <c r="IG67" i="9"/>
  <c r="IF67" i="9"/>
  <c r="IE67" i="9"/>
  <c r="ID67" i="9"/>
  <c r="IK65" i="9"/>
  <c r="IL65" i="9" s="1"/>
  <c r="II65" i="9"/>
  <c r="IH65" i="9"/>
  <c r="IG65" i="9"/>
  <c r="IF65" i="9"/>
  <c r="IE65" i="9"/>
  <c r="ID65" i="9"/>
  <c r="IK64" i="9"/>
  <c r="IL64" i="9" s="1"/>
  <c r="II64" i="9"/>
  <c r="IH64" i="9"/>
  <c r="IG64" i="9"/>
  <c r="IF64" i="9"/>
  <c r="IE64" i="9"/>
  <c r="ID64" i="9"/>
  <c r="IK62" i="9"/>
  <c r="IL62" i="9" s="1"/>
  <c r="II62" i="9"/>
  <c r="IH62" i="9"/>
  <c r="IG62" i="9"/>
  <c r="IF62" i="9"/>
  <c r="IE62" i="9"/>
  <c r="ID62" i="9"/>
  <c r="IK61" i="9"/>
  <c r="IL61" i="9" s="1"/>
  <c r="II61" i="9"/>
  <c r="IH61" i="9"/>
  <c r="IG61" i="9"/>
  <c r="IF61" i="9"/>
  <c r="IE61" i="9"/>
  <c r="ID61" i="9"/>
  <c r="IK60" i="9"/>
  <c r="IL60" i="9" s="1"/>
  <c r="II60" i="9"/>
  <c r="IH60" i="9"/>
  <c r="IG60" i="9"/>
  <c r="IF60" i="9"/>
  <c r="IE60" i="9"/>
  <c r="ID60" i="9"/>
  <c r="IK59" i="9"/>
  <c r="IL59" i="9" s="1"/>
  <c r="II59" i="9"/>
  <c r="IH59" i="9"/>
  <c r="IG59" i="9"/>
  <c r="IF59" i="9"/>
  <c r="IE59" i="9"/>
  <c r="ID59" i="9"/>
  <c r="IK58" i="9"/>
  <c r="IL58" i="9" s="1"/>
  <c r="II58" i="9"/>
  <c r="IH58" i="9"/>
  <c r="IG58" i="9"/>
  <c r="IF58" i="9"/>
  <c r="IE58" i="9"/>
  <c r="ID58" i="9"/>
  <c r="IK56" i="9"/>
  <c r="IL56" i="9" s="1"/>
  <c r="II56" i="9"/>
  <c r="IH56" i="9"/>
  <c r="IG56" i="9"/>
  <c r="IF56" i="9"/>
  <c r="IE56" i="9"/>
  <c r="ID56" i="9"/>
  <c r="IK55" i="9"/>
  <c r="IL55" i="9" s="1"/>
  <c r="II55" i="9"/>
  <c r="IH55" i="9"/>
  <c r="IG55" i="9"/>
  <c r="IF55" i="9"/>
  <c r="IE55" i="9"/>
  <c r="ID55" i="9"/>
  <c r="IK54" i="9"/>
  <c r="IL54" i="9" s="1"/>
  <c r="II54" i="9"/>
  <c r="IH54" i="9"/>
  <c r="IG54" i="9"/>
  <c r="IF54" i="9"/>
  <c r="IE54" i="9"/>
  <c r="ID54" i="9"/>
  <c r="IK53" i="9"/>
  <c r="IL53" i="9" s="1"/>
  <c r="II53" i="9"/>
  <c r="IH53" i="9"/>
  <c r="IG53" i="9"/>
  <c r="IF53" i="9"/>
  <c r="IE53" i="9"/>
  <c r="ID53" i="9"/>
  <c r="IK52" i="9"/>
  <c r="IL52" i="9" s="1"/>
  <c r="II52" i="9"/>
  <c r="IH52" i="9"/>
  <c r="IG52" i="9"/>
  <c r="IF52" i="9"/>
  <c r="IE52" i="9"/>
  <c r="ID52" i="9"/>
  <c r="IK51" i="9"/>
  <c r="IL51" i="9" s="1"/>
  <c r="II51" i="9"/>
  <c r="IH51" i="9"/>
  <c r="IG51" i="9"/>
  <c r="IF51" i="9"/>
  <c r="IE51" i="9"/>
  <c r="ID51" i="9"/>
  <c r="IK50" i="9"/>
  <c r="IL50" i="9" s="1"/>
  <c r="II50" i="9"/>
  <c r="IH50" i="9"/>
  <c r="IG50" i="9"/>
  <c r="IF50" i="9"/>
  <c r="IE50" i="9"/>
  <c r="ID50" i="9"/>
  <c r="IL48" i="9"/>
  <c r="IK48" i="9"/>
  <c r="II48" i="9"/>
  <c r="IH48" i="9"/>
  <c r="IG48" i="9"/>
  <c r="IF48" i="9"/>
  <c r="IE48" i="9"/>
  <c r="ID48" i="9"/>
  <c r="IK47" i="9"/>
  <c r="IL47" i="9" s="1"/>
  <c r="II47" i="9"/>
  <c r="IH47" i="9"/>
  <c r="IG47" i="9"/>
  <c r="IF47" i="9"/>
  <c r="IE47" i="9"/>
  <c r="ID47" i="9"/>
  <c r="IK46" i="9"/>
  <c r="IL46" i="9" s="1"/>
  <c r="II46" i="9"/>
  <c r="IH46" i="9"/>
  <c r="IG46" i="9"/>
  <c r="IF46" i="9"/>
  <c r="IE46" i="9"/>
  <c r="ID46" i="9"/>
  <c r="IK45" i="9"/>
  <c r="IL45" i="9" s="1"/>
  <c r="II45" i="9"/>
  <c r="IH45" i="9"/>
  <c r="IG45" i="9"/>
  <c r="IF45" i="9"/>
  <c r="IE45" i="9"/>
  <c r="ID45" i="9"/>
  <c r="IK44" i="9"/>
  <c r="IL44" i="9" s="1"/>
  <c r="II44" i="9"/>
  <c r="IH44" i="9"/>
  <c r="IG44" i="9"/>
  <c r="IF44" i="9"/>
  <c r="IE44" i="9"/>
  <c r="ID44" i="9"/>
  <c r="IK43" i="9"/>
  <c r="IL43" i="9" s="1"/>
  <c r="II43" i="9"/>
  <c r="IH43" i="9"/>
  <c r="IG43" i="9"/>
  <c r="IF43" i="9"/>
  <c r="IE43" i="9"/>
  <c r="ID43" i="9"/>
  <c r="IK42" i="9"/>
  <c r="IL42" i="9" s="1"/>
  <c r="II42" i="9"/>
  <c r="IH42" i="9"/>
  <c r="IG42" i="9"/>
  <c r="IF42" i="9"/>
  <c r="IE42" i="9"/>
  <c r="ID42" i="9"/>
  <c r="IK41" i="9"/>
  <c r="IL41" i="9" s="1"/>
  <c r="II41" i="9"/>
  <c r="IH41" i="9"/>
  <c r="IG41" i="9"/>
  <c r="IF41" i="9"/>
  <c r="IE41" i="9"/>
  <c r="ID41" i="9"/>
  <c r="IK40" i="9"/>
  <c r="IL40" i="9" s="1"/>
  <c r="II40" i="9"/>
  <c r="IH40" i="9"/>
  <c r="IG40" i="9"/>
  <c r="IF40" i="9"/>
  <c r="IE40" i="9"/>
  <c r="ID40" i="9"/>
  <c r="IK39" i="9"/>
  <c r="IL39" i="9" s="1"/>
  <c r="II39" i="9"/>
  <c r="IH39" i="9"/>
  <c r="IG39" i="9"/>
  <c r="IF39" i="9"/>
  <c r="IE39" i="9"/>
  <c r="ID39" i="9"/>
  <c r="IK38" i="9"/>
  <c r="IL38" i="9" s="1"/>
  <c r="II38" i="9"/>
  <c r="IH38" i="9"/>
  <c r="IG38" i="9"/>
  <c r="IF38" i="9"/>
  <c r="IE38" i="9"/>
  <c r="ID38" i="9"/>
  <c r="IK37" i="9"/>
  <c r="IL37" i="9" s="1"/>
  <c r="II37" i="9"/>
  <c r="IH37" i="9"/>
  <c r="IG37" i="9"/>
  <c r="IF37" i="9"/>
  <c r="IE37" i="9"/>
  <c r="ID37" i="9"/>
  <c r="IK36" i="9"/>
  <c r="IL36" i="9" s="1"/>
  <c r="II36" i="9"/>
  <c r="IH36" i="9"/>
  <c r="IG36" i="9"/>
  <c r="IF36" i="9"/>
  <c r="IE36" i="9"/>
  <c r="ID36" i="9"/>
  <c r="IK35" i="9"/>
  <c r="IL35" i="9" s="1"/>
  <c r="II35" i="9"/>
  <c r="IH35" i="9"/>
  <c r="IG35" i="9"/>
  <c r="IF35" i="9"/>
  <c r="IE35" i="9"/>
  <c r="ID35" i="9"/>
  <c r="IK34" i="9"/>
  <c r="IL34" i="9" s="1"/>
  <c r="II34" i="9"/>
  <c r="IH34" i="9"/>
  <c r="IG34" i="9"/>
  <c r="IF34" i="9"/>
  <c r="IE34" i="9"/>
  <c r="ID34" i="9"/>
  <c r="IK32" i="9"/>
  <c r="IL32" i="9" s="1"/>
  <c r="II32" i="9"/>
  <c r="IH32" i="9"/>
  <c r="IG32" i="9"/>
  <c r="IF32" i="9"/>
  <c r="IE32" i="9"/>
  <c r="ID32" i="9"/>
  <c r="IK31" i="9"/>
  <c r="IL31" i="9" s="1"/>
  <c r="II31" i="9"/>
  <c r="IH31" i="9"/>
  <c r="IG31" i="9"/>
  <c r="IF31" i="9"/>
  <c r="IE31" i="9"/>
  <c r="ID31" i="9"/>
  <c r="IK30" i="9"/>
  <c r="IL30" i="9" s="1"/>
  <c r="II30" i="9"/>
  <c r="IH30" i="9"/>
  <c r="IG30" i="9"/>
  <c r="IF30" i="9"/>
  <c r="IE30" i="9"/>
  <c r="ID30" i="9"/>
  <c r="IK29" i="9"/>
  <c r="IL29" i="9" s="1"/>
  <c r="II29" i="9"/>
  <c r="IH29" i="9"/>
  <c r="IG29" i="9"/>
  <c r="IF29" i="9"/>
  <c r="IE29" i="9"/>
  <c r="ID29" i="9"/>
  <c r="IK28" i="9"/>
  <c r="IL28" i="9" s="1"/>
  <c r="II28" i="9"/>
  <c r="IH28" i="9"/>
  <c r="IF28" i="9"/>
  <c r="ID28" i="9"/>
  <c r="IK27" i="9"/>
  <c r="IL27" i="9" s="1"/>
  <c r="II27" i="9"/>
  <c r="IH27" i="9"/>
  <c r="IG27" i="9"/>
  <c r="IF27" i="9"/>
  <c r="IE27" i="9"/>
  <c r="ID27" i="9"/>
  <c r="IK26" i="9"/>
  <c r="IL26" i="9" s="1"/>
  <c r="II26" i="9"/>
  <c r="IH26" i="9"/>
  <c r="IG26" i="9"/>
  <c r="IF26" i="9"/>
  <c r="IE26" i="9"/>
  <c r="ID26" i="9"/>
  <c r="IK25" i="9"/>
  <c r="IL25" i="9" s="1"/>
  <c r="II25" i="9"/>
  <c r="IH25" i="9"/>
  <c r="IG25" i="9"/>
  <c r="IF25" i="9"/>
  <c r="IE25" i="9"/>
  <c r="ID25" i="9"/>
  <c r="IK24" i="9"/>
  <c r="IL24" i="9" s="1"/>
  <c r="II24" i="9"/>
  <c r="IH24" i="9"/>
  <c r="IG24" i="9"/>
  <c r="IF24" i="9"/>
  <c r="IE24" i="9"/>
  <c r="ID24" i="9"/>
  <c r="IK23" i="9"/>
  <c r="IL23" i="9" s="1"/>
  <c r="II23" i="9"/>
  <c r="IH23" i="9"/>
  <c r="IG23" i="9"/>
  <c r="IF23" i="9"/>
  <c r="IE23" i="9"/>
  <c r="ID23" i="9"/>
  <c r="IK22" i="9"/>
  <c r="IL22" i="9" s="1"/>
  <c r="II22" i="9"/>
  <c r="IH22" i="9"/>
  <c r="IG22" i="9"/>
  <c r="IF22" i="9"/>
  <c r="IE22" i="9"/>
  <c r="ID22" i="9"/>
  <c r="IK21" i="9"/>
  <c r="IL21" i="9" s="1"/>
  <c r="II21" i="9"/>
  <c r="IH21" i="9"/>
  <c r="IG21" i="9"/>
  <c r="IF21" i="9"/>
  <c r="IE21" i="9"/>
  <c r="ID21" i="9"/>
  <c r="IK20" i="9"/>
  <c r="IL20" i="9" s="1"/>
  <c r="II20" i="9"/>
  <c r="IH20" i="9"/>
  <c r="IG20" i="9"/>
  <c r="IF20" i="9"/>
  <c r="IE20" i="9"/>
  <c r="ID20" i="9"/>
  <c r="IK19" i="9"/>
  <c r="IL19" i="9" s="1"/>
  <c r="II19" i="9"/>
  <c r="IH19" i="9"/>
  <c r="IG19" i="9"/>
  <c r="IF19" i="9"/>
  <c r="IE19" i="9"/>
  <c r="ID19" i="9"/>
  <c r="IK17" i="9"/>
  <c r="IL17" i="9" s="1"/>
  <c r="II17" i="9"/>
  <c r="IH17" i="9"/>
  <c r="IG17" i="9"/>
  <c r="IF17" i="9"/>
  <c r="IE17" i="9"/>
  <c r="ID17" i="9"/>
  <c r="IK16" i="9"/>
  <c r="IL16" i="9" s="1"/>
  <c r="II16" i="9"/>
  <c r="IH16" i="9"/>
  <c r="IG16" i="9"/>
  <c r="IF16" i="9"/>
  <c r="IE16" i="9"/>
  <c r="ID16" i="9"/>
  <c r="IK15" i="9"/>
  <c r="IL15" i="9" s="1"/>
  <c r="II15" i="9"/>
  <c r="IH15" i="9"/>
  <c r="IG15" i="9"/>
  <c r="IF15" i="9"/>
  <c r="IE15" i="9"/>
  <c r="ID15" i="9"/>
  <c r="IK14" i="9"/>
  <c r="IL14" i="9" s="1"/>
  <c r="II14" i="9"/>
  <c r="IH14" i="9"/>
  <c r="IG14" i="9"/>
  <c r="IF14" i="9"/>
  <c r="IE14" i="9"/>
  <c r="ID14" i="9"/>
  <c r="IK13" i="9"/>
  <c r="IL13" i="9" s="1"/>
  <c r="II13" i="9"/>
  <c r="IH13" i="9"/>
  <c r="IG13" i="9"/>
  <c r="IF13" i="9"/>
  <c r="IE13" i="9"/>
  <c r="ID13" i="9"/>
  <c r="IK12" i="9"/>
  <c r="IL12" i="9" s="1"/>
  <c r="II12" i="9"/>
  <c r="IH12" i="9"/>
  <c r="IG12" i="9"/>
  <c r="IF12" i="9"/>
  <c r="IE12" i="9"/>
  <c r="ID12" i="9"/>
  <c r="IK11" i="9"/>
  <c r="IL11" i="9" s="1"/>
  <c r="II11" i="9"/>
  <c r="IH11" i="9"/>
  <c r="IG11" i="9"/>
  <c r="IF11" i="9"/>
  <c r="IE11" i="9"/>
  <c r="ID11" i="9"/>
  <c r="HZ7" i="9"/>
  <c r="HZ2" i="9"/>
  <c r="HX91" i="9" s="1"/>
  <c r="HF91" i="9"/>
  <c r="HK88" i="9"/>
  <c r="HN92" i="9" s="1"/>
  <c r="HL82" i="9"/>
  <c r="HL84" i="9" s="1"/>
  <c r="HT80" i="9"/>
  <c r="HU80" i="9" s="1"/>
  <c r="HR80" i="9"/>
  <c r="HQ80" i="9"/>
  <c r="HP80" i="9"/>
  <c r="HO80" i="9"/>
  <c r="HN80" i="9"/>
  <c r="HM80" i="9"/>
  <c r="HT79" i="9"/>
  <c r="HU79" i="9" s="1"/>
  <c r="HR79" i="9"/>
  <c r="HQ79" i="9"/>
  <c r="HP79" i="9"/>
  <c r="HO79" i="9"/>
  <c r="HN79" i="9"/>
  <c r="HM79" i="9"/>
  <c r="HT78" i="9"/>
  <c r="HU78" i="9" s="1"/>
  <c r="HR78" i="9"/>
  <c r="HQ78" i="9"/>
  <c r="HP78" i="9"/>
  <c r="HO78" i="9"/>
  <c r="HN78" i="9"/>
  <c r="HM78" i="9"/>
  <c r="HT77" i="9"/>
  <c r="HU77" i="9" s="1"/>
  <c r="HR77" i="9"/>
  <c r="HQ77" i="9"/>
  <c r="HP77" i="9"/>
  <c r="HO77" i="9"/>
  <c r="HN77" i="9"/>
  <c r="HM77" i="9"/>
  <c r="HT76" i="9"/>
  <c r="HU76" i="9" s="1"/>
  <c r="HR76" i="9"/>
  <c r="HQ76" i="9"/>
  <c r="HP76" i="9"/>
  <c r="HO76" i="9"/>
  <c r="HN76" i="9"/>
  <c r="HM76" i="9"/>
  <c r="HT75" i="9"/>
  <c r="HU75" i="9" s="1"/>
  <c r="HR75" i="9"/>
  <c r="HQ75" i="9"/>
  <c r="HP75" i="9"/>
  <c r="HO75" i="9"/>
  <c r="HN75" i="9"/>
  <c r="HM75" i="9"/>
  <c r="HT74" i="9"/>
  <c r="HU74" i="9" s="1"/>
  <c r="HR74" i="9"/>
  <c r="HQ74" i="9"/>
  <c r="HP74" i="9"/>
  <c r="HO74" i="9"/>
  <c r="HN74" i="9"/>
  <c r="HM74" i="9"/>
  <c r="HT73" i="9"/>
  <c r="HU73" i="9" s="1"/>
  <c r="HR73" i="9"/>
  <c r="HQ73" i="9"/>
  <c r="HP73" i="9"/>
  <c r="HO73" i="9"/>
  <c r="HN73" i="9"/>
  <c r="HM73" i="9"/>
  <c r="HT72" i="9"/>
  <c r="HU72" i="9" s="1"/>
  <c r="HR72" i="9"/>
  <c r="HQ72" i="9"/>
  <c r="HP72" i="9"/>
  <c r="HO72" i="9"/>
  <c r="HN72" i="9"/>
  <c r="HM72" i="9"/>
  <c r="HT71" i="9"/>
  <c r="HU71" i="9" s="1"/>
  <c r="HR71" i="9"/>
  <c r="HQ71" i="9"/>
  <c r="HP71" i="9"/>
  <c r="HO71" i="9"/>
  <c r="HN71" i="9"/>
  <c r="HM71" i="9"/>
  <c r="HT70" i="9"/>
  <c r="HU70" i="9" s="1"/>
  <c r="HR70" i="9"/>
  <c r="HQ70" i="9"/>
  <c r="HP70" i="9"/>
  <c r="HO70" i="9"/>
  <c r="HN70" i="9"/>
  <c r="HM70" i="9"/>
  <c r="HT69" i="9"/>
  <c r="HU69" i="9" s="1"/>
  <c r="HR69" i="9"/>
  <c r="HQ69" i="9"/>
  <c r="HP69" i="9"/>
  <c r="HO69" i="9"/>
  <c r="HN69" i="9"/>
  <c r="HM69" i="9"/>
  <c r="HT68" i="9"/>
  <c r="HU68" i="9" s="1"/>
  <c r="HR68" i="9"/>
  <c r="HQ68" i="9"/>
  <c r="HP68" i="9"/>
  <c r="HO68" i="9"/>
  <c r="HN68" i="9"/>
  <c r="HM68" i="9"/>
  <c r="HT67" i="9"/>
  <c r="HU67" i="9" s="1"/>
  <c r="HR67" i="9"/>
  <c r="HQ67" i="9"/>
  <c r="HP67" i="9"/>
  <c r="HO67" i="9"/>
  <c r="HN67" i="9"/>
  <c r="HM67" i="9"/>
  <c r="HT65" i="9"/>
  <c r="HU65" i="9" s="1"/>
  <c r="HR65" i="9"/>
  <c r="HQ65" i="9"/>
  <c r="HP65" i="9"/>
  <c r="HO65" i="9"/>
  <c r="HN65" i="9"/>
  <c r="HM65" i="9"/>
  <c r="HT64" i="9"/>
  <c r="HU64" i="9" s="1"/>
  <c r="HR64" i="9"/>
  <c r="HQ64" i="9"/>
  <c r="HP64" i="9"/>
  <c r="HO64" i="9"/>
  <c r="HN64" i="9"/>
  <c r="HM64" i="9"/>
  <c r="HT62" i="9"/>
  <c r="HU62" i="9" s="1"/>
  <c r="HR62" i="9"/>
  <c r="HQ62" i="9"/>
  <c r="HP62" i="9"/>
  <c r="HO62" i="9"/>
  <c r="HN62" i="9"/>
  <c r="HM62" i="9"/>
  <c r="HT61" i="9"/>
  <c r="HU61" i="9" s="1"/>
  <c r="HR61" i="9"/>
  <c r="HQ61" i="9"/>
  <c r="HP61" i="9"/>
  <c r="HO61" i="9"/>
  <c r="HN61" i="9"/>
  <c r="HM61" i="9"/>
  <c r="HT60" i="9"/>
  <c r="HU60" i="9" s="1"/>
  <c r="HR60" i="9"/>
  <c r="HQ60" i="9"/>
  <c r="HP60" i="9"/>
  <c r="HO60" i="9"/>
  <c r="HN60" i="9"/>
  <c r="HM60" i="9"/>
  <c r="HT59" i="9"/>
  <c r="HU59" i="9" s="1"/>
  <c r="HR59" i="9"/>
  <c r="HQ59" i="9"/>
  <c r="HP59" i="9"/>
  <c r="HO59" i="9"/>
  <c r="HN59" i="9"/>
  <c r="HM59" i="9"/>
  <c r="HT58" i="9"/>
  <c r="HU58" i="9" s="1"/>
  <c r="HR58" i="9"/>
  <c r="HQ58" i="9"/>
  <c r="HP58" i="9"/>
  <c r="HO58" i="9"/>
  <c r="HN58" i="9"/>
  <c r="HM58" i="9"/>
  <c r="HT56" i="9"/>
  <c r="HU56" i="9" s="1"/>
  <c r="HR56" i="9"/>
  <c r="HQ56" i="9"/>
  <c r="HP56" i="9"/>
  <c r="HO56" i="9"/>
  <c r="HN56" i="9"/>
  <c r="HM56" i="9"/>
  <c r="HT55" i="9"/>
  <c r="HU55" i="9" s="1"/>
  <c r="HR55" i="9"/>
  <c r="HQ55" i="9"/>
  <c r="HP55" i="9"/>
  <c r="HO55" i="9"/>
  <c r="HN55" i="9"/>
  <c r="HM55" i="9"/>
  <c r="HT54" i="9"/>
  <c r="HU54" i="9" s="1"/>
  <c r="HR54" i="9"/>
  <c r="HQ54" i="9"/>
  <c r="HP54" i="9"/>
  <c r="HO54" i="9"/>
  <c r="HN54" i="9"/>
  <c r="HM54" i="9"/>
  <c r="HT53" i="9"/>
  <c r="HU53" i="9" s="1"/>
  <c r="HR53" i="9"/>
  <c r="HQ53" i="9"/>
  <c r="HP53" i="9"/>
  <c r="HO53" i="9"/>
  <c r="HN53" i="9"/>
  <c r="HM53" i="9"/>
  <c r="HT52" i="9"/>
  <c r="HU52" i="9" s="1"/>
  <c r="HR52" i="9"/>
  <c r="HQ52" i="9"/>
  <c r="HP52" i="9"/>
  <c r="HO52" i="9"/>
  <c r="HN52" i="9"/>
  <c r="HM52" i="9"/>
  <c r="HT51" i="9"/>
  <c r="HU51" i="9" s="1"/>
  <c r="HR51" i="9"/>
  <c r="HQ51" i="9"/>
  <c r="HP51" i="9"/>
  <c r="HO51" i="9"/>
  <c r="HN51" i="9"/>
  <c r="HM51" i="9"/>
  <c r="HT50" i="9"/>
  <c r="HU50" i="9" s="1"/>
  <c r="HR50" i="9"/>
  <c r="HQ50" i="9"/>
  <c r="HP50" i="9"/>
  <c r="HO50" i="9"/>
  <c r="HN50" i="9"/>
  <c r="HM50" i="9"/>
  <c r="HT48" i="9"/>
  <c r="HU48" i="9" s="1"/>
  <c r="HR48" i="9"/>
  <c r="HQ48" i="9"/>
  <c r="HP48" i="9"/>
  <c r="HO48" i="9"/>
  <c r="HN48" i="9"/>
  <c r="HM48" i="9"/>
  <c r="HT47" i="9"/>
  <c r="HU47" i="9" s="1"/>
  <c r="HR47" i="9"/>
  <c r="HQ47" i="9"/>
  <c r="HP47" i="9"/>
  <c r="HO47" i="9"/>
  <c r="HN47" i="9"/>
  <c r="HM47" i="9"/>
  <c r="HT46" i="9"/>
  <c r="HU46" i="9" s="1"/>
  <c r="HR46" i="9"/>
  <c r="HQ46" i="9"/>
  <c r="HP46" i="9"/>
  <c r="HO46" i="9"/>
  <c r="HN46" i="9"/>
  <c r="HM46" i="9"/>
  <c r="HT45" i="9"/>
  <c r="HU45" i="9" s="1"/>
  <c r="HR45" i="9"/>
  <c r="HQ45" i="9"/>
  <c r="HP45" i="9"/>
  <c r="HO45" i="9"/>
  <c r="HN45" i="9"/>
  <c r="HM45" i="9"/>
  <c r="HT44" i="9"/>
  <c r="HU44" i="9" s="1"/>
  <c r="HR44" i="9"/>
  <c r="HQ44" i="9"/>
  <c r="HP44" i="9"/>
  <c r="HO44" i="9"/>
  <c r="HN44" i="9"/>
  <c r="HM44" i="9"/>
  <c r="HT43" i="9"/>
  <c r="HU43" i="9" s="1"/>
  <c r="HR43" i="9"/>
  <c r="HQ43" i="9"/>
  <c r="HP43" i="9"/>
  <c r="HO43" i="9"/>
  <c r="HN43" i="9"/>
  <c r="HM43" i="9"/>
  <c r="HT42" i="9"/>
  <c r="HU42" i="9" s="1"/>
  <c r="HR42" i="9"/>
  <c r="HQ42" i="9"/>
  <c r="HP42" i="9"/>
  <c r="HO42" i="9"/>
  <c r="HN42" i="9"/>
  <c r="HM42" i="9"/>
  <c r="HT41" i="9"/>
  <c r="HU41" i="9" s="1"/>
  <c r="HR41" i="9"/>
  <c r="HQ41" i="9"/>
  <c r="HP41" i="9"/>
  <c r="HO41" i="9"/>
  <c r="HN41" i="9"/>
  <c r="HM41" i="9"/>
  <c r="HT40" i="9"/>
  <c r="HU40" i="9" s="1"/>
  <c r="HR40" i="9"/>
  <c r="HQ40" i="9"/>
  <c r="HP40" i="9"/>
  <c r="HO40" i="9"/>
  <c r="HN40" i="9"/>
  <c r="HM40" i="9"/>
  <c r="HT39" i="9"/>
  <c r="HU39" i="9" s="1"/>
  <c r="HR39" i="9"/>
  <c r="HQ39" i="9"/>
  <c r="HP39" i="9"/>
  <c r="HO39" i="9"/>
  <c r="HN39" i="9"/>
  <c r="HM39" i="9"/>
  <c r="HT38" i="9"/>
  <c r="HU38" i="9" s="1"/>
  <c r="HR38" i="9"/>
  <c r="HQ38" i="9"/>
  <c r="HP38" i="9"/>
  <c r="HO38" i="9"/>
  <c r="HN38" i="9"/>
  <c r="HM38" i="9"/>
  <c r="HT37" i="9"/>
  <c r="HU37" i="9" s="1"/>
  <c r="HR37" i="9"/>
  <c r="HQ37" i="9"/>
  <c r="HP37" i="9"/>
  <c r="HO37" i="9"/>
  <c r="HN37" i="9"/>
  <c r="HM37" i="9"/>
  <c r="HT36" i="9"/>
  <c r="HU36" i="9" s="1"/>
  <c r="HR36" i="9"/>
  <c r="HQ36" i="9"/>
  <c r="HP36" i="9"/>
  <c r="HO36" i="9"/>
  <c r="HN36" i="9"/>
  <c r="HM36" i="9"/>
  <c r="HT35" i="9"/>
  <c r="HU35" i="9" s="1"/>
  <c r="HR35" i="9"/>
  <c r="HQ35" i="9"/>
  <c r="HP35" i="9"/>
  <c r="HO35" i="9"/>
  <c r="HN35" i="9"/>
  <c r="HM35" i="9"/>
  <c r="HT34" i="9"/>
  <c r="HU34" i="9" s="1"/>
  <c r="HR34" i="9"/>
  <c r="HQ34" i="9"/>
  <c r="HP34" i="9"/>
  <c r="HO34" i="9"/>
  <c r="HN34" i="9"/>
  <c r="HM34" i="9"/>
  <c r="HT32" i="9"/>
  <c r="HU32" i="9" s="1"/>
  <c r="HR32" i="9"/>
  <c r="HQ32" i="9"/>
  <c r="HP32" i="9"/>
  <c r="HO32" i="9"/>
  <c r="HN32" i="9"/>
  <c r="HM32" i="9"/>
  <c r="HT31" i="9"/>
  <c r="HU31" i="9" s="1"/>
  <c r="HR31" i="9"/>
  <c r="HQ31" i="9"/>
  <c r="HP31" i="9"/>
  <c r="HO31" i="9"/>
  <c r="HN31" i="9"/>
  <c r="HM31" i="9"/>
  <c r="HT30" i="9"/>
  <c r="HU30" i="9" s="1"/>
  <c r="HR30" i="9"/>
  <c r="HQ30" i="9"/>
  <c r="HP30" i="9"/>
  <c r="HO30" i="9"/>
  <c r="HN30" i="9"/>
  <c r="HM30" i="9"/>
  <c r="HT29" i="9"/>
  <c r="HU29" i="9" s="1"/>
  <c r="HR29" i="9"/>
  <c r="HQ29" i="9"/>
  <c r="HP29" i="9"/>
  <c r="HO29" i="9"/>
  <c r="HN29" i="9"/>
  <c r="HM29" i="9"/>
  <c r="HT28" i="9"/>
  <c r="HU28" i="9" s="1"/>
  <c r="HR28" i="9"/>
  <c r="HQ28" i="9"/>
  <c r="HO28" i="9"/>
  <c r="HM28" i="9"/>
  <c r="HT27" i="9"/>
  <c r="HU27" i="9" s="1"/>
  <c r="HR27" i="9"/>
  <c r="HQ27" i="9"/>
  <c r="HP27" i="9"/>
  <c r="HO27" i="9"/>
  <c r="HN27" i="9"/>
  <c r="HM27" i="9"/>
  <c r="HT26" i="9"/>
  <c r="HU26" i="9" s="1"/>
  <c r="HR26" i="9"/>
  <c r="HQ26" i="9"/>
  <c r="HP26" i="9"/>
  <c r="HO26" i="9"/>
  <c r="HN26" i="9"/>
  <c r="HM26" i="9"/>
  <c r="HT25" i="9"/>
  <c r="HU25" i="9" s="1"/>
  <c r="HR25" i="9"/>
  <c r="HQ25" i="9"/>
  <c r="HP25" i="9"/>
  <c r="HO25" i="9"/>
  <c r="HN25" i="9"/>
  <c r="HM25" i="9"/>
  <c r="HT24" i="9"/>
  <c r="HU24" i="9" s="1"/>
  <c r="HR24" i="9"/>
  <c r="HQ24" i="9"/>
  <c r="HP24" i="9"/>
  <c r="HO24" i="9"/>
  <c r="HN24" i="9"/>
  <c r="HM24" i="9"/>
  <c r="HT23" i="9"/>
  <c r="HU23" i="9" s="1"/>
  <c r="HR23" i="9"/>
  <c r="HQ23" i="9"/>
  <c r="HP23" i="9"/>
  <c r="HO23" i="9"/>
  <c r="HN23" i="9"/>
  <c r="HM23" i="9"/>
  <c r="HT22" i="9"/>
  <c r="HU22" i="9" s="1"/>
  <c r="HR22" i="9"/>
  <c r="HQ22" i="9"/>
  <c r="HP22" i="9"/>
  <c r="HO22" i="9"/>
  <c r="HN22" i="9"/>
  <c r="HM22" i="9"/>
  <c r="HT21" i="9"/>
  <c r="HU21" i="9" s="1"/>
  <c r="HR21" i="9"/>
  <c r="HQ21" i="9"/>
  <c r="HP21" i="9"/>
  <c r="HO21" i="9"/>
  <c r="HN21" i="9"/>
  <c r="HM21" i="9"/>
  <c r="HT20" i="9"/>
  <c r="HU20" i="9" s="1"/>
  <c r="HR20" i="9"/>
  <c r="HQ20" i="9"/>
  <c r="HP20" i="9"/>
  <c r="HO20" i="9"/>
  <c r="HN20" i="9"/>
  <c r="HM20" i="9"/>
  <c r="HT19" i="9"/>
  <c r="HU19" i="9" s="1"/>
  <c r="HR19" i="9"/>
  <c r="HQ19" i="9"/>
  <c r="HP19" i="9"/>
  <c r="HO19" i="9"/>
  <c r="HN19" i="9"/>
  <c r="HM19" i="9"/>
  <c r="HT17" i="9"/>
  <c r="HU17" i="9" s="1"/>
  <c r="HR17" i="9"/>
  <c r="HQ17" i="9"/>
  <c r="HP17" i="9"/>
  <c r="HO17" i="9"/>
  <c r="HN17" i="9"/>
  <c r="HM17" i="9"/>
  <c r="HT16" i="9"/>
  <c r="HU16" i="9" s="1"/>
  <c r="HR16" i="9"/>
  <c r="HQ16" i="9"/>
  <c r="HP16" i="9"/>
  <c r="HO16" i="9"/>
  <c r="HN16" i="9"/>
  <c r="HM16" i="9"/>
  <c r="HT15" i="9"/>
  <c r="HU15" i="9" s="1"/>
  <c r="HR15" i="9"/>
  <c r="HQ15" i="9"/>
  <c r="HP15" i="9"/>
  <c r="HO15" i="9"/>
  <c r="HN15" i="9"/>
  <c r="HM15" i="9"/>
  <c r="HT14" i="9"/>
  <c r="HU14" i="9" s="1"/>
  <c r="HR14" i="9"/>
  <c r="HQ14" i="9"/>
  <c r="HP14" i="9"/>
  <c r="HO14" i="9"/>
  <c r="HN14" i="9"/>
  <c r="HM14" i="9"/>
  <c r="HT13" i="9"/>
  <c r="HU13" i="9" s="1"/>
  <c r="HR13" i="9"/>
  <c r="HQ13" i="9"/>
  <c r="HP13" i="9"/>
  <c r="HO13" i="9"/>
  <c r="HN13" i="9"/>
  <c r="HM13" i="9"/>
  <c r="HT12" i="9"/>
  <c r="HU12" i="9" s="1"/>
  <c r="HR12" i="9"/>
  <c r="HQ12" i="9"/>
  <c r="HP12" i="9"/>
  <c r="HO12" i="9"/>
  <c r="HN12" i="9"/>
  <c r="HM12" i="9"/>
  <c r="HT11" i="9"/>
  <c r="HU11" i="9" s="1"/>
  <c r="HR11" i="9"/>
  <c r="HQ11" i="9"/>
  <c r="HP11" i="9"/>
  <c r="HO11" i="9"/>
  <c r="HN11" i="9"/>
  <c r="HM11" i="9"/>
  <c r="HI7" i="9"/>
  <c r="HI2" i="9"/>
  <c r="HG91" i="9" s="1"/>
  <c r="GO91" i="9"/>
  <c r="GT88" i="9"/>
  <c r="GW92" i="9" s="1"/>
  <c r="GU82" i="9"/>
  <c r="GU84" i="9" s="1"/>
  <c r="HC80" i="9"/>
  <c r="HD80" i="9" s="1"/>
  <c r="HA80" i="9"/>
  <c r="GZ80" i="9"/>
  <c r="GY80" i="9"/>
  <c r="GX80" i="9"/>
  <c r="GW80" i="9"/>
  <c r="GV80" i="9"/>
  <c r="HC79" i="9"/>
  <c r="HD79" i="9" s="1"/>
  <c r="HA79" i="9"/>
  <c r="GZ79" i="9"/>
  <c r="GY79" i="9"/>
  <c r="GX79" i="9"/>
  <c r="GW79" i="9"/>
  <c r="GV79" i="9"/>
  <c r="HC78" i="9"/>
  <c r="HD78" i="9" s="1"/>
  <c r="HA78" i="9"/>
  <c r="GZ78" i="9"/>
  <c r="GY78" i="9"/>
  <c r="GX78" i="9"/>
  <c r="GW78" i="9"/>
  <c r="GV78" i="9"/>
  <c r="HC77" i="9"/>
  <c r="HD77" i="9" s="1"/>
  <c r="HA77" i="9"/>
  <c r="GZ77" i="9"/>
  <c r="GY77" i="9"/>
  <c r="GX77" i="9"/>
  <c r="GW77" i="9"/>
  <c r="GV77" i="9"/>
  <c r="HC76" i="9"/>
  <c r="HD76" i="9" s="1"/>
  <c r="HA76" i="9"/>
  <c r="GZ76" i="9"/>
  <c r="GY76" i="9"/>
  <c r="GX76" i="9"/>
  <c r="GW76" i="9"/>
  <c r="GV76" i="9"/>
  <c r="HC75" i="9"/>
  <c r="HD75" i="9" s="1"/>
  <c r="HA75" i="9"/>
  <c r="GZ75" i="9"/>
  <c r="GY75" i="9"/>
  <c r="GX75" i="9"/>
  <c r="GW75" i="9"/>
  <c r="GV75" i="9"/>
  <c r="HC74" i="9"/>
  <c r="HD74" i="9" s="1"/>
  <c r="HA74" i="9"/>
  <c r="GZ74" i="9"/>
  <c r="GY74" i="9"/>
  <c r="GX74" i="9"/>
  <c r="GW74" i="9"/>
  <c r="GV74" i="9"/>
  <c r="HC73" i="9"/>
  <c r="HD73" i="9" s="1"/>
  <c r="HA73" i="9"/>
  <c r="GZ73" i="9"/>
  <c r="GY73" i="9"/>
  <c r="GX73" i="9"/>
  <c r="GW73" i="9"/>
  <c r="GV73" i="9"/>
  <c r="HC72" i="9"/>
  <c r="HD72" i="9" s="1"/>
  <c r="HA72" i="9"/>
  <c r="GZ72" i="9"/>
  <c r="GY72" i="9"/>
  <c r="GX72" i="9"/>
  <c r="GW72" i="9"/>
  <c r="GV72" i="9"/>
  <c r="HC71" i="9"/>
  <c r="HD71" i="9" s="1"/>
  <c r="HA71" i="9"/>
  <c r="GZ71" i="9"/>
  <c r="GY71" i="9"/>
  <c r="GX71" i="9"/>
  <c r="GW71" i="9"/>
  <c r="GV71" i="9"/>
  <c r="HC70" i="9"/>
  <c r="HD70" i="9" s="1"/>
  <c r="HA70" i="9"/>
  <c r="GZ70" i="9"/>
  <c r="GY70" i="9"/>
  <c r="GX70" i="9"/>
  <c r="GW70" i="9"/>
  <c r="GV70" i="9"/>
  <c r="HC69" i="9"/>
  <c r="HD69" i="9" s="1"/>
  <c r="HA69" i="9"/>
  <c r="GZ69" i="9"/>
  <c r="GY69" i="9"/>
  <c r="GX69" i="9"/>
  <c r="GW69" i="9"/>
  <c r="GV69" i="9"/>
  <c r="HC68" i="9"/>
  <c r="HD68" i="9" s="1"/>
  <c r="HA68" i="9"/>
  <c r="GZ68" i="9"/>
  <c r="GY68" i="9"/>
  <c r="GX68" i="9"/>
  <c r="GW68" i="9"/>
  <c r="GV68" i="9"/>
  <c r="HC67" i="9"/>
  <c r="HD67" i="9" s="1"/>
  <c r="HA67" i="9"/>
  <c r="GZ67" i="9"/>
  <c r="GY67" i="9"/>
  <c r="GX67" i="9"/>
  <c r="GW67" i="9"/>
  <c r="GV67" i="9"/>
  <c r="HC65" i="9"/>
  <c r="HD65" i="9" s="1"/>
  <c r="HA65" i="9"/>
  <c r="GZ65" i="9"/>
  <c r="GY65" i="9"/>
  <c r="GX65" i="9"/>
  <c r="GW65" i="9"/>
  <c r="GV65" i="9"/>
  <c r="HC64" i="9"/>
  <c r="HD64" i="9" s="1"/>
  <c r="HA64" i="9"/>
  <c r="GZ64" i="9"/>
  <c r="GY64" i="9"/>
  <c r="GX64" i="9"/>
  <c r="GW64" i="9"/>
  <c r="GV64" i="9"/>
  <c r="HC62" i="9"/>
  <c r="HD62" i="9" s="1"/>
  <c r="HA62" i="9"/>
  <c r="GZ62" i="9"/>
  <c r="GY62" i="9"/>
  <c r="GX62" i="9"/>
  <c r="GW62" i="9"/>
  <c r="GV62" i="9"/>
  <c r="HC61" i="9"/>
  <c r="HD61" i="9" s="1"/>
  <c r="HA61" i="9"/>
  <c r="GZ61" i="9"/>
  <c r="GY61" i="9"/>
  <c r="GX61" i="9"/>
  <c r="GW61" i="9"/>
  <c r="GV61" i="9"/>
  <c r="HC60" i="9"/>
  <c r="HD60" i="9" s="1"/>
  <c r="HA60" i="9"/>
  <c r="GZ60" i="9"/>
  <c r="GY60" i="9"/>
  <c r="GX60" i="9"/>
  <c r="GW60" i="9"/>
  <c r="GV60" i="9"/>
  <c r="HC59" i="9"/>
  <c r="HD59" i="9" s="1"/>
  <c r="HA59" i="9"/>
  <c r="GZ59" i="9"/>
  <c r="GY59" i="9"/>
  <c r="GX59" i="9"/>
  <c r="GW59" i="9"/>
  <c r="GV59" i="9"/>
  <c r="HC58" i="9"/>
  <c r="HD58" i="9" s="1"/>
  <c r="HA58" i="9"/>
  <c r="GZ58" i="9"/>
  <c r="GY58" i="9"/>
  <c r="GX58" i="9"/>
  <c r="GW58" i="9"/>
  <c r="GV58" i="9"/>
  <c r="HC56" i="9"/>
  <c r="HD56" i="9" s="1"/>
  <c r="HA56" i="9"/>
  <c r="GZ56" i="9"/>
  <c r="GY56" i="9"/>
  <c r="GX56" i="9"/>
  <c r="GW56" i="9"/>
  <c r="GV56" i="9"/>
  <c r="HC55" i="9"/>
  <c r="HD55" i="9" s="1"/>
  <c r="HA55" i="9"/>
  <c r="GZ55" i="9"/>
  <c r="GY55" i="9"/>
  <c r="GX55" i="9"/>
  <c r="GW55" i="9"/>
  <c r="GV55" i="9"/>
  <c r="HC54" i="9"/>
  <c r="HD54" i="9" s="1"/>
  <c r="HA54" i="9"/>
  <c r="GZ54" i="9"/>
  <c r="GY54" i="9"/>
  <c r="GX54" i="9"/>
  <c r="GW54" i="9"/>
  <c r="GV54" i="9"/>
  <c r="HC53" i="9"/>
  <c r="HD53" i="9" s="1"/>
  <c r="HA53" i="9"/>
  <c r="GZ53" i="9"/>
  <c r="GY53" i="9"/>
  <c r="GX53" i="9"/>
  <c r="GW53" i="9"/>
  <c r="GV53" i="9"/>
  <c r="HC52" i="9"/>
  <c r="HD52" i="9" s="1"/>
  <c r="HA52" i="9"/>
  <c r="GZ52" i="9"/>
  <c r="GY52" i="9"/>
  <c r="GX52" i="9"/>
  <c r="GW52" i="9"/>
  <c r="GV52" i="9"/>
  <c r="HC51" i="9"/>
  <c r="HD51" i="9" s="1"/>
  <c r="HA51" i="9"/>
  <c r="GZ51" i="9"/>
  <c r="GY51" i="9"/>
  <c r="GX51" i="9"/>
  <c r="GW51" i="9"/>
  <c r="GV51" i="9"/>
  <c r="HC50" i="9"/>
  <c r="HD50" i="9" s="1"/>
  <c r="HA50" i="9"/>
  <c r="GZ50" i="9"/>
  <c r="GY50" i="9"/>
  <c r="GX50" i="9"/>
  <c r="GW50" i="9"/>
  <c r="GV50" i="9"/>
  <c r="HC48" i="9"/>
  <c r="HD48" i="9" s="1"/>
  <c r="HA48" i="9"/>
  <c r="GZ48" i="9"/>
  <c r="GY48" i="9"/>
  <c r="GX48" i="9"/>
  <c r="GW48" i="9"/>
  <c r="GV48" i="9"/>
  <c r="HC47" i="9"/>
  <c r="HD47" i="9" s="1"/>
  <c r="HA47" i="9"/>
  <c r="GZ47" i="9"/>
  <c r="GY47" i="9"/>
  <c r="GX47" i="9"/>
  <c r="GW47" i="9"/>
  <c r="GV47" i="9"/>
  <c r="HC46" i="9"/>
  <c r="HD46" i="9" s="1"/>
  <c r="HA46" i="9"/>
  <c r="GZ46" i="9"/>
  <c r="GY46" i="9"/>
  <c r="GX46" i="9"/>
  <c r="GW46" i="9"/>
  <c r="GV46" i="9"/>
  <c r="HC45" i="9"/>
  <c r="HD45" i="9" s="1"/>
  <c r="HA45" i="9"/>
  <c r="GZ45" i="9"/>
  <c r="GY45" i="9"/>
  <c r="GX45" i="9"/>
  <c r="GW45" i="9"/>
  <c r="GV45" i="9"/>
  <c r="HC44" i="9"/>
  <c r="HD44" i="9" s="1"/>
  <c r="HA44" i="9"/>
  <c r="GZ44" i="9"/>
  <c r="GY44" i="9"/>
  <c r="GX44" i="9"/>
  <c r="GW44" i="9"/>
  <c r="GV44" i="9"/>
  <c r="HC43" i="9"/>
  <c r="HD43" i="9" s="1"/>
  <c r="HA43" i="9"/>
  <c r="GZ43" i="9"/>
  <c r="GY43" i="9"/>
  <c r="GX43" i="9"/>
  <c r="GW43" i="9"/>
  <c r="GV43" i="9"/>
  <c r="HC42" i="9"/>
  <c r="HD42" i="9" s="1"/>
  <c r="HA42" i="9"/>
  <c r="GZ42" i="9"/>
  <c r="GY42" i="9"/>
  <c r="GX42" i="9"/>
  <c r="GW42" i="9"/>
  <c r="GV42" i="9"/>
  <c r="HC41" i="9"/>
  <c r="HD41" i="9" s="1"/>
  <c r="HA41" i="9"/>
  <c r="GZ41" i="9"/>
  <c r="GY41" i="9"/>
  <c r="GX41" i="9"/>
  <c r="GW41" i="9"/>
  <c r="GV41" i="9"/>
  <c r="HC40" i="9"/>
  <c r="HD40" i="9" s="1"/>
  <c r="HA40" i="9"/>
  <c r="GZ40" i="9"/>
  <c r="GY40" i="9"/>
  <c r="GX40" i="9"/>
  <c r="GW40" i="9"/>
  <c r="GV40" i="9"/>
  <c r="HC39" i="9"/>
  <c r="HD39" i="9" s="1"/>
  <c r="HA39" i="9"/>
  <c r="GZ39" i="9"/>
  <c r="GY39" i="9"/>
  <c r="GX39" i="9"/>
  <c r="GW39" i="9"/>
  <c r="GV39" i="9"/>
  <c r="HC38" i="9"/>
  <c r="HD38" i="9" s="1"/>
  <c r="HA38" i="9"/>
  <c r="GZ38" i="9"/>
  <c r="GY38" i="9"/>
  <c r="GX38" i="9"/>
  <c r="GW38" i="9"/>
  <c r="GV38" i="9"/>
  <c r="HC37" i="9"/>
  <c r="HD37" i="9" s="1"/>
  <c r="HA37" i="9"/>
  <c r="GZ37" i="9"/>
  <c r="GY37" i="9"/>
  <c r="GX37" i="9"/>
  <c r="GW37" i="9"/>
  <c r="GV37" i="9"/>
  <c r="HC36" i="9"/>
  <c r="HD36" i="9" s="1"/>
  <c r="HA36" i="9"/>
  <c r="GZ36" i="9"/>
  <c r="GY36" i="9"/>
  <c r="GX36" i="9"/>
  <c r="GW36" i="9"/>
  <c r="GV36" i="9"/>
  <c r="HC35" i="9"/>
  <c r="HD35" i="9" s="1"/>
  <c r="HA35" i="9"/>
  <c r="GZ35" i="9"/>
  <c r="GY35" i="9"/>
  <c r="GX35" i="9"/>
  <c r="GW35" i="9"/>
  <c r="GV35" i="9"/>
  <c r="HC34" i="9"/>
  <c r="HD34" i="9" s="1"/>
  <c r="HA34" i="9"/>
  <c r="GZ34" i="9"/>
  <c r="GY34" i="9"/>
  <c r="GX34" i="9"/>
  <c r="GW34" i="9"/>
  <c r="GV34" i="9"/>
  <c r="HC32" i="9"/>
  <c r="HD32" i="9" s="1"/>
  <c r="HA32" i="9"/>
  <c r="GZ32" i="9"/>
  <c r="GY32" i="9"/>
  <c r="GX32" i="9"/>
  <c r="GW32" i="9"/>
  <c r="GV32" i="9"/>
  <c r="HC31" i="9"/>
  <c r="HD31" i="9" s="1"/>
  <c r="HA31" i="9"/>
  <c r="GZ31" i="9"/>
  <c r="GY31" i="9"/>
  <c r="GX31" i="9"/>
  <c r="GW31" i="9"/>
  <c r="GV31" i="9"/>
  <c r="HC30" i="9"/>
  <c r="HD30" i="9" s="1"/>
  <c r="HA30" i="9"/>
  <c r="GZ30" i="9"/>
  <c r="GY30" i="9"/>
  <c r="GX30" i="9"/>
  <c r="GW30" i="9"/>
  <c r="GV30" i="9"/>
  <c r="HC29" i="9"/>
  <c r="HD29" i="9" s="1"/>
  <c r="HA29" i="9"/>
  <c r="GZ29" i="9"/>
  <c r="GY29" i="9"/>
  <c r="GX29" i="9"/>
  <c r="GW29" i="9"/>
  <c r="GV29" i="9"/>
  <c r="HC28" i="9"/>
  <c r="HD28" i="9" s="1"/>
  <c r="HA28" i="9"/>
  <c r="GZ28" i="9"/>
  <c r="GX28" i="9"/>
  <c r="GV28" i="9"/>
  <c r="HC27" i="9"/>
  <c r="HD27" i="9" s="1"/>
  <c r="HA27" i="9"/>
  <c r="GZ27" i="9"/>
  <c r="GY27" i="9"/>
  <c r="GX27" i="9"/>
  <c r="GW27" i="9"/>
  <c r="GV27" i="9"/>
  <c r="HC26" i="9"/>
  <c r="HD26" i="9" s="1"/>
  <c r="HA26" i="9"/>
  <c r="GZ26" i="9"/>
  <c r="GY26" i="9"/>
  <c r="GX26" i="9"/>
  <c r="GW26" i="9"/>
  <c r="GV26" i="9"/>
  <c r="HC25" i="9"/>
  <c r="HD25" i="9" s="1"/>
  <c r="HA25" i="9"/>
  <c r="GZ25" i="9"/>
  <c r="GY25" i="9"/>
  <c r="GX25" i="9"/>
  <c r="GW25" i="9"/>
  <c r="GV25" i="9"/>
  <c r="HC24" i="9"/>
  <c r="HD24" i="9" s="1"/>
  <c r="HA24" i="9"/>
  <c r="GZ24" i="9"/>
  <c r="GY24" i="9"/>
  <c r="GX24" i="9"/>
  <c r="GW24" i="9"/>
  <c r="GV24" i="9"/>
  <c r="HC23" i="9"/>
  <c r="HD23" i="9" s="1"/>
  <c r="HA23" i="9"/>
  <c r="GZ23" i="9"/>
  <c r="GY23" i="9"/>
  <c r="GX23" i="9"/>
  <c r="GW23" i="9"/>
  <c r="GV23" i="9"/>
  <c r="HC22" i="9"/>
  <c r="HD22" i="9" s="1"/>
  <c r="HA22" i="9"/>
  <c r="GZ22" i="9"/>
  <c r="GY22" i="9"/>
  <c r="GX22" i="9"/>
  <c r="GW22" i="9"/>
  <c r="GV22" i="9"/>
  <c r="HC21" i="9"/>
  <c r="HD21" i="9" s="1"/>
  <c r="HA21" i="9"/>
  <c r="GZ21" i="9"/>
  <c r="GY21" i="9"/>
  <c r="GX21" i="9"/>
  <c r="GW21" i="9"/>
  <c r="GV21" i="9"/>
  <c r="HC20" i="9"/>
  <c r="HD20" i="9" s="1"/>
  <c r="HA20" i="9"/>
  <c r="GZ20" i="9"/>
  <c r="GY20" i="9"/>
  <c r="GX20" i="9"/>
  <c r="GW20" i="9"/>
  <c r="GV20" i="9"/>
  <c r="HC19" i="9"/>
  <c r="HD19" i="9" s="1"/>
  <c r="HA19" i="9"/>
  <c r="GZ19" i="9"/>
  <c r="GY19" i="9"/>
  <c r="GX19" i="9"/>
  <c r="GW19" i="9"/>
  <c r="GV19" i="9"/>
  <c r="HC17" i="9"/>
  <c r="HD17" i="9" s="1"/>
  <c r="HA17" i="9"/>
  <c r="GZ17" i="9"/>
  <c r="GY17" i="9"/>
  <c r="GX17" i="9"/>
  <c r="GW17" i="9"/>
  <c r="GV17" i="9"/>
  <c r="HC16" i="9"/>
  <c r="HD16" i="9" s="1"/>
  <c r="HA16" i="9"/>
  <c r="GZ16" i="9"/>
  <c r="GY16" i="9"/>
  <c r="GX16" i="9"/>
  <c r="GW16" i="9"/>
  <c r="GV16" i="9"/>
  <c r="HC15" i="9"/>
  <c r="HD15" i="9" s="1"/>
  <c r="HA15" i="9"/>
  <c r="GZ15" i="9"/>
  <c r="GY15" i="9"/>
  <c r="GX15" i="9"/>
  <c r="GW15" i="9"/>
  <c r="GV15" i="9"/>
  <c r="HC14" i="9"/>
  <c r="HD14" i="9" s="1"/>
  <c r="HA14" i="9"/>
  <c r="GZ14" i="9"/>
  <c r="GY14" i="9"/>
  <c r="GX14" i="9"/>
  <c r="GW14" i="9"/>
  <c r="GV14" i="9"/>
  <c r="HC13" i="9"/>
  <c r="HA13" i="9"/>
  <c r="GZ13" i="9"/>
  <c r="GY13" i="9"/>
  <c r="GX13" i="9"/>
  <c r="GW13" i="9"/>
  <c r="GV13" i="9"/>
  <c r="HC12" i="9"/>
  <c r="HD12" i="9" s="1"/>
  <c r="HA12" i="9"/>
  <c r="GZ12" i="9"/>
  <c r="GY12" i="9"/>
  <c r="GX12" i="9"/>
  <c r="GW12" i="9"/>
  <c r="GV12" i="9"/>
  <c r="HC11" i="9"/>
  <c r="HD11" i="9" s="1"/>
  <c r="HA11" i="9"/>
  <c r="GZ11" i="9"/>
  <c r="GY11" i="9"/>
  <c r="GX11" i="9"/>
  <c r="GW11" i="9"/>
  <c r="GV11" i="9"/>
  <c r="GR7" i="9"/>
  <c r="GR2" i="9"/>
  <c r="GP91" i="9" s="1"/>
  <c r="FX91" i="9"/>
  <c r="GC88" i="9"/>
  <c r="GF92" i="9" s="1"/>
  <c r="GD82" i="9"/>
  <c r="GD84" i="9" s="1"/>
  <c r="GL80" i="9"/>
  <c r="GM80" i="9" s="1"/>
  <c r="GJ80" i="9"/>
  <c r="GI80" i="9"/>
  <c r="GH80" i="9"/>
  <c r="GG80" i="9"/>
  <c r="GF80" i="9"/>
  <c r="GE80" i="9"/>
  <c r="GL79" i="9"/>
  <c r="GM79" i="9" s="1"/>
  <c r="GJ79" i="9"/>
  <c r="GI79" i="9"/>
  <c r="GH79" i="9"/>
  <c r="GG79" i="9"/>
  <c r="GF79" i="9"/>
  <c r="GE79" i="9"/>
  <c r="GL78" i="9"/>
  <c r="GM78" i="9" s="1"/>
  <c r="GJ78" i="9"/>
  <c r="GI78" i="9"/>
  <c r="GH78" i="9"/>
  <c r="GG78" i="9"/>
  <c r="GF78" i="9"/>
  <c r="GE78" i="9"/>
  <c r="GL77" i="9"/>
  <c r="GM77" i="9" s="1"/>
  <c r="GJ77" i="9"/>
  <c r="GI77" i="9"/>
  <c r="GH77" i="9"/>
  <c r="GG77" i="9"/>
  <c r="GF77" i="9"/>
  <c r="GE77" i="9"/>
  <c r="GL76" i="9"/>
  <c r="GM76" i="9" s="1"/>
  <c r="GJ76" i="9"/>
  <c r="GI76" i="9"/>
  <c r="GH76" i="9"/>
  <c r="GG76" i="9"/>
  <c r="GF76" i="9"/>
  <c r="GE76" i="9"/>
  <c r="GL75" i="9"/>
  <c r="GM75" i="9" s="1"/>
  <c r="GJ75" i="9"/>
  <c r="GI75" i="9"/>
  <c r="GH75" i="9"/>
  <c r="GG75" i="9"/>
  <c r="GF75" i="9"/>
  <c r="GE75" i="9"/>
  <c r="GL74" i="9"/>
  <c r="GM74" i="9" s="1"/>
  <c r="GJ74" i="9"/>
  <c r="GI74" i="9"/>
  <c r="GH74" i="9"/>
  <c r="GG74" i="9"/>
  <c r="GF74" i="9"/>
  <c r="GE74" i="9"/>
  <c r="GL73" i="9"/>
  <c r="GM73" i="9" s="1"/>
  <c r="GJ73" i="9"/>
  <c r="GI73" i="9"/>
  <c r="GH73" i="9"/>
  <c r="GG73" i="9"/>
  <c r="GF73" i="9"/>
  <c r="GE73" i="9"/>
  <c r="GL72" i="9"/>
  <c r="GM72" i="9" s="1"/>
  <c r="GJ72" i="9"/>
  <c r="GI72" i="9"/>
  <c r="GH72" i="9"/>
  <c r="GG72" i="9"/>
  <c r="GF72" i="9"/>
  <c r="GE72" i="9"/>
  <c r="GL71" i="9"/>
  <c r="GM71" i="9" s="1"/>
  <c r="GJ71" i="9"/>
  <c r="GI71" i="9"/>
  <c r="GH71" i="9"/>
  <c r="GG71" i="9"/>
  <c r="GF71" i="9"/>
  <c r="GE71" i="9"/>
  <c r="GL70" i="9"/>
  <c r="GM70" i="9" s="1"/>
  <c r="GJ70" i="9"/>
  <c r="GI70" i="9"/>
  <c r="GH70" i="9"/>
  <c r="GG70" i="9"/>
  <c r="GF70" i="9"/>
  <c r="GE70" i="9"/>
  <c r="GL69" i="9"/>
  <c r="GM69" i="9" s="1"/>
  <c r="GJ69" i="9"/>
  <c r="GI69" i="9"/>
  <c r="GH69" i="9"/>
  <c r="GG69" i="9"/>
  <c r="GF69" i="9"/>
  <c r="GE69" i="9"/>
  <c r="GL68" i="9"/>
  <c r="GM68" i="9" s="1"/>
  <c r="GJ68" i="9"/>
  <c r="GI68" i="9"/>
  <c r="GH68" i="9"/>
  <c r="GG68" i="9"/>
  <c r="GF68" i="9"/>
  <c r="GE68" i="9"/>
  <c r="GL67" i="9"/>
  <c r="GM67" i="9" s="1"/>
  <c r="GJ67" i="9"/>
  <c r="GI67" i="9"/>
  <c r="GH67" i="9"/>
  <c r="GG67" i="9"/>
  <c r="GF67" i="9"/>
  <c r="GE67" i="9"/>
  <c r="GL65" i="9"/>
  <c r="GM65" i="9" s="1"/>
  <c r="GJ65" i="9"/>
  <c r="GI65" i="9"/>
  <c r="GH65" i="9"/>
  <c r="GG65" i="9"/>
  <c r="GF65" i="9"/>
  <c r="GE65" i="9"/>
  <c r="GL64" i="9"/>
  <c r="GM64" i="9" s="1"/>
  <c r="GJ64" i="9"/>
  <c r="GI64" i="9"/>
  <c r="GH64" i="9"/>
  <c r="GG64" i="9"/>
  <c r="GF64" i="9"/>
  <c r="GE64" i="9"/>
  <c r="GL62" i="9"/>
  <c r="GM62" i="9" s="1"/>
  <c r="GJ62" i="9"/>
  <c r="GI62" i="9"/>
  <c r="GH62" i="9"/>
  <c r="GG62" i="9"/>
  <c r="GF62" i="9"/>
  <c r="GE62" i="9"/>
  <c r="GL61" i="9"/>
  <c r="GM61" i="9" s="1"/>
  <c r="GJ61" i="9"/>
  <c r="GI61" i="9"/>
  <c r="GH61" i="9"/>
  <c r="GG61" i="9"/>
  <c r="GF61" i="9"/>
  <c r="GE61" i="9"/>
  <c r="GL60" i="9"/>
  <c r="GM60" i="9" s="1"/>
  <c r="GJ60" i="9"/>
  <c r="GI60" i="9"/>
  <c r="GH60" i="9"/>
  <c r="GG60" i="9"/>
  <c r="GF60" i="9"/>
  <c r="GE60" i="9"/>
  <c r="GL59" i="9"/>
  <c r="GM59" i="9" s="1"/>
  <c r="GJ59" i="9"/>
  <c r="GI59" i="9"/>
  <c r="GH59" i="9"/>
  <c r="GG59" i="9"/>
  <c r="GF59" i="9"/>
  <c r="GE59" i="9"/>
  <c r="GL58" i="9"/>
  <c r="GM58" i="9" s="1"/>
  <c r="GJ58" i="9"/>
  <c r="GI58" i="9"/>
  <c r="GH58" i="9"/>
  <c r="GG58" i="9"/>
  <c r="GF58" i="9"/>
  <c r="GE58" i="9"/>
  <c r="GL56" i="9"/>
  <c r="GM56" i="9" s="1"/>
  <c r="GJ56" i="9"/>
  <c r="GI56" i="9"/>
  <c r="GH56" i="9"/>
  <c r="GG56" i="9"/>
  <c r="GF56" i="9"/>
  <c r="GE56" i="9"/>
  <c r="GL55" i="9"/>
  <c r="GM55" i="9" s="1"/>
  <c r="GJ55" i="9"/>
  <c r="GI55" i="9"/>
  <c r="GH55" i="9"/>
  <c r="GG55" i="9"/>
  <c r="GF55" i="9"/>
  <c r="GE55" i="9"/>
  <c r="GL54" i="9"/>
  <c r="GM54" i="9" s="1"/>
  <c r="GJ54" i="9"/>
  <c r="GI54" i="9"/>
  <c r="GH54" i="9"/>
  <c r="GG54" i="9"/>
  <c r="GF54" i="9"/>
  <c r="GE54" i="9"/>
  <c r="GL53" i="9"/>
  <c r="GM53" i="9" s="1"/>
  <c r="GJ53" i="9"/>
  <c r="GI53" i="9"/>
  <c r="GH53" i="9"/>
  <c r="GG53" i="9"/>
  <c r="GF53" i="9"/>
  <c r="GE53" i="9"/>
  <c r="GL52" i="9"/>
  <c r="GM52" i="9" s="1"/>
  <c r="GJ52" i="9"/>
  <c r="GI52" i="9"/>
  <c r="GH52" i="9"/>
  <c r="GG52" i="9"/>
  <c r="GF52" i="9"/>
  <c r="GE52" i="9"/>
  <c r="GL51" i="9"/>
  <c r="GM51" i="9" s="1"/>
  <c r="GJ51" i="9"/>
  <c r="GI51" i="9"/>
  <c r="GH51" i="9"/>
  <c r="GG51" i="9"/>
  <c r="GF51" i="9"/>
  <c r="GE51" i="9"/>
  <c r="GL50" i="9"/>
  <c r="GM50" i="9" s="1"/>
  <c r="GJ50" i="9"/>
  <c r="GI50" i="9"/>
  <c r="GH50" i="9"/>
  <c r="GG50" i="9"/>
  <c r="GF50" i="9"/>
  <c r="GE50" i="9"/>
  <c r="GL48" i="9"/>
  <c r="GM48" i="9" s="1"/>
  <c r="GJ48" i="9"/>
  <c r="GI48" i="9"/>
  <c r="GH48" i="9"/>
  <c r="GG48" i="9"/>
  <c r="GF48" i="9"/>
  <c r="GE48" i="9"/>
  <c r="GL47" i="9"/>
  <c r="GM47" i="9" s="1"/>
  <c r="GJ47" i="9"/>
  <c r="GI47" i="9"/>
  <c r="GH47" i="9"/>
  <c r="GG47" i="9"/>
  <c r="GF47" i="9"/>
  <c r="GE47" i="9"/>
  <c r="GL46" i="9"/>
  <c r="GM46" i="9" s="1"/>
  <c r="GJ46" i="9"/>
  <c r="GI46" i="9"/>
  <c r="GH46" i="9"/>
  <c r="GG46" i="9"/>
  <c r="GF46" i="9"/>
  <c r="GE46" i="9"/>
  <c r="GL45" i="9"/>
  <c r="GM45" i="9" s="1"/>
  <c r="GJ45" i="9"/>
  <c r="GI45" i="9"/>
  <c r="GH45" i="9"/>
  <c r="GG45" i="9"/>
  <c r="GF45" i="9"/>
  <c r="GE45" i="9"/>
  <c r="GL44" i="9"/>
  <c r="GM44" i="9" s="1"/>
  <c r="GJ44" i="9"/>
  <c r="GI44" i="9"/>
  <c r="GH44" i="9"/>
  <c r="GG44" i="9"/>
  <c r="GF44" i="9"/>
  <c r="GE44" i="9"/>
  <c r="GL43" i="9"/>
  <c r="GM43" i="9" s="1"/>
  <c r="GJ43" i="9"/>
  <c r="GI43" i="9"/>
  <c r="GH43" i="9"/>
  <c r="GG43" i="9"/>
  <c r="GF43" i="9"/>
  <c r="GE43" i="9"/>
  <c r="GL42" i="9"/>
  <c r="GM42" i="9" s="1"/>
  <c r="GJ42" i="9"/>
  <c r="GI42" i="9"/>
  <c r="GH42" i="9"/>
  <c r="GG42" i="9"/>
  <c r="GF42" i="9"/>
  <c r="GE42" i="9"/>
  <c r="GL41" i="9"/>
  <c r="GM41" i="9" s="1"/>
  <c r="GJ41" i="9"/>
  <c r="GI41" i="9"/>
  <c r="GH41" i="9"/>
  <c r="GG41" i="9"/>
  <c r="GF41" i="9"/>
  <c r="GE41" i="9"/>
  <c r="GL40" i="9"/>
  <c r="GM40" i="9" s="1"/>
  <c r="GJ40" i="9"/>
  <c r="GI40" i="9"/>
  <c r="GH40" i="9"/>
  <c r="GG40" i="9"/>
  <c r="GF40" i="9"/>
  <c r="GE40" i="9"/>
  <c r="GL39" i="9"/>
  <c r="GM39" i="9" s="1"/>
  <c r="GJ39" i="9"/>
  <c r="GI39" i="9"/>
  <c r="GH39" i="9"/>
  <c r="GG39" i="9"/>
  <c r="GF39" i="9"/>
  <c r="GE39" i="9"/>
  <c r="GL38" i="9"/>
  <c r="GM38" i="9" s="1"/>
  <c r="GJ38" i="9"/>
  <c r="GI38" i="9"/>
  <c r="GH38" i="9"/>
  <c r="GG38" i="9"/>
  <c r="GF38" i="9"/>
  <c r="GE38" i="9"/>
  <c r="GL37" i="9"/>
  <c r="GM37" i="9" s="1"/>
  <c r="GJ37" i="9"/>
  <c r="GI37" i="9"/>
  <c r="GH37" i="9"/>
  <c r="GG37" i="9"/>
  <c r="GF37" i="9"/>
  <c r="GE37" i="9"/>
  <c r="GL36" i="9"/>
  <c r="GM36" i="9" s="1"/>
  <c r="GJ36" i="9"/>
  <c r="GI36" i="9"/>
  <c r="GH36" i="9"/>
  <c r="GG36" i="9"/>
  <c r="GF36" i="9"/>
  <c r="GE36" i="9"/>
  <c r="GL35" i="9"/>
  <c r="GM35" i="9" s="1"/>
  <c r="GJ35" i="9"/>
  <c r="GI35" i="9"/>
  <c r="GH35" i="9"/>
  <c r="GG35" i="9"/>
  <c r="GF35" i="9"/>
  <c r="GE35" i="9"/>
  <c r="GL34" i="9"/>
  <c r="GM34" i="9" s="1"/>
  <c r="GJ34" i="9"/>
  <c r="GI34" i="9"/>
  <c r="GH34" i="9"/>
  <c r="GG34" i="9"/>
  <c r="GF34" i="9"/>
  <c r="GE34" i="9"/>
  <c r="GL32" i="9"/>
  <c r="GM32" i="9" s="1"/>
  <c r="GJ32" i="9"/>
  <c r="GI32" i="9"/>
  <c r="GH32" i="9"/>
  <c r="GG32" i="9"/>
  <c r="GF32" i="9"/>
  <c r="GE32" i="9"/>
  <c r="GL31" i="9"/>
  <c r="GM31" i="9" s="1"/>
  <c r="GJ31" i="9"/>
  <c r="GI31" i="9"/>
  <c r="GH31" i="9"/>
  <c r="GG31" i="9"/>
  <c r="GF31" i="9"/>
  <c r="GE31" i="9"/>
  <c r="GL30" i="9"/>
  <c r="GM30" i="9" s="1"/>
  <c r="GJ30" i="9"/>
  <c r="GI30" i="9"/>
  <c r="GH30" i="9"/>
  <c r="GG30" i="9"/>
  <c r="GF30" i="9"/>
  <c r="GE30" i="9"/>
  <c r="GL29" i="9"/>
  <c r="GM29" i="9" s="1"/>
  <c r="GJ29" i="9"/>
  <c r="GI29" i="9"/>
  <c r="GH29" i="9"/>
  <c r="GG29" i="9"/>
  <c r="GF29" i="9"/>
  <c r="GE29" i="9"/>
  <c r="GL28" i="9"/>
  <c r="GM28" i="9" s="1"/>
  <c r="GJ28" i="9"/>
  <c r="GI28" i="9"/>
  <c r="GG28" i="9"/>
  <c r="GE28" i="9"/>
  <c r="GL27" i="9"/>
  <c r="GM27" i="9" s="1"/>
  <c r="GJ27" i="9"/>
  <c r="GI27" i="9"/>
  <c r="GH27" i="9"/>
  <c r="GG27" i="9"/>
  <c r="GF27" i="9"/>
  <c r="GE27" i="9"/>
  <c r="GL26" i="9"/>
  <c r="GM26" i="9" s="1"/>
  <c r="GJ26" i="9"/>
  <c r="GI26" i="9"/>
  <c r="GH26" i="9"/>
  <c r="GG26" i="9"/>
  <c r="GF26" i="9"/>
  <c r="GE26" i="9"/>
  <c r="GL25" i="9"/>
  <c r="GM25" i="9" s="1"/>
  <c r="GJ25" i="9"/>
  <c r="GI25" i="9"/>
  <c r="GH25" i="9"/>
  <c r="GG25" i="9"/>
  <c r="GF25" i="9"/>
  <c r="GE25" i="9"/>
  <c r="GL24" i="9"/>
  <c r="GM24" i="9" s="1"/>
  <c r="GJ24" i="9"/>
  <c r="GI24" i="9"/>
  <c r="GH24" i="9"/>
  <c r="GG24" i="9"/>
  <c r="GF24" i="9"/>
  <c r="GE24" i="9"/>
  <c r="GL23" i="9"/>
  <c r="GM23" i="9" s="1"/>
  <c r="GJ23" i="9"/>
  <c r="GI23" i="9"/>
  <c r="GH23" i="9"/>
  <c r="GG23" i="9"/>
  <c r="GF23" i="9"/>
  <c r="GE23" i="9"/>
  <c r="GL22" i="9"/>
  <c r="GM22" i="9" s="1"/>
  <c r="GJ22" i="9"/>
  <c r="GI22" i="9"/>
  <c r="GH22" i="9"/>
  <c r="GG22" i="9"/>
  <c r="GF22" i="9"/>
  <c r="GE22" i="9"/>
  <c r="GL21" i="9"/>
  <c r="GM21" i="9" s="1"/>
  <c r="GJ21" i="9"/>
  <c r="GI21" i="9"/>
  <c r="GH21" i="9"/>
  <c r="GG21" i="9"/>
  <c r="GF21" i="9"/>
  <c r="GE21" i="9"/>
  <c r="GL20" i="9"/>
  <c r="GM20" i="9" s="1"/>
  <c r="GJ20" i="9"/>
  <c r="GI20" i="9"/>
  <c r="GH20" i="9"/>
  <c r="GG20" i="9"/>
  <c r="GF20" i="9"/>
  <c r="GE20" i="9"/>
  <c r="GL19" i="9"/>
  <c r="GM19" i="9" s="1"/>
  <c r="GJ19" i="9"/>
  <c r="GI19" i="9"/>
  <c r="GH19" i="9"/>
  <c r="GG19" i="9"/>
  <c r="GF19" i="9"/>
  <c r="GE19" i="9"/>
  <c r="GL17" i="9"/>
  <c r="GM17" i="9" s="1"/>
  <c r="GJ17" i="9"/>
  <c r="GI17" i="9"/>
  <c r="GH17" i="9"/>
  <c r="GG17" i="9"/>
  <c r="GF17" i="9"/>
  <c r="GE17" i="9"/>
  <c r="GL16" i="9"/>
  <c r="GM16" i="9" s="1"/>
  <c r="GJ16" i="9"/>
  <c r="GI16" i="9"/>
  <c r="GH16" i="9"/>
  <c r="GG16" i="9"/>
  <c r="GF16" i="9"/>
  <c r="GE16" i="9"/>
  <c r="GL15" i="9"/>
  <c r="GM15" i="9" s="1"/>
  <c r="GJ15" i="9"/>
  <c r="GI15" i="9"/>
  <c r="GH15" i="9"/>
  <c r="GG15" i="9"/>
  <c r="GF15" i="9"/>
  <c r="GE15" i="9"/>
  <c r="GL14" i="9"/>
  <c r="GM14" i="9" s="1"/>
  <c r="GJ14" i="9"/>
  <c r="GI14" i="9"/>
  <c r="GH14" i="9"/>
  <c r="GG14" i="9"/>
  <c r="GF14" i="9"/>
  <c r="GE14" i="9"/>
  <c r="GL13" i="9"/>
  <c r="GM13" i="9" s="1"/>
  <c r="GJ13" i="9"/>
  <c r="GI13" i="9"/>
  <c r="GH13" i="9"/>
  <c r="GG13" i="9"/>
  <c r="GF13" i="9"/>
  <c r="GE13" i="9"/>
  <c r="GL12" i="9"/>
  <c r="GM12" i="9" s="1"/>
  <c r="GJ12" i="9"/>
  <c r="GI12" i="9"/>
  <c r="GH12" i="9"/>
  <c r="GG12" i="9"/>
  <c r="GF12" i="9"/>
  <c r="GE12" i="9"/>
  <c r="GL11" i="9"/>
  <c r="GM11" i="9" s="1"/>
  <c r="GJ11" i="9"/>
  <c r="GI11" i="9"/>
  <c r="GH11" i="9"/>
  <c r="GG11" i="9"/>
  <c r="GF11" i="9"/>
  <c r="GE11" i="9"/>
  <c r="GA7" i="9"/>
  <c r="GA2" i="9"/>
  <c r="FY91" i="9" s="1"/>
  <c r="FG91" i="9"/>
  <c r="FL88" i="9"/>
  <c r="FO92" i="9" s="1"/>
  <c r="FM82" i="9"/>
  <c r="FM84" i="9" s="1"/>
  <c r="FU80" i="9"/>
  <c r="FV80" i="9" s="1"/>
  <c r="FS80" i="9"/>
  <c r="FR80" i="9"/>
  <c r="FQ80" i="9"/>
  <c r="FP80" i="9"/>
  <c r="FO80" i="9"/>
  <c r="FN80" i="9"/>
  <c r="FU79" i="9"/>
  <c r="FV79" i="9" s="1"/>
  <c r="FS79" i="9"/>
  <c r="FR79" i="9"/>
  <c r="FQ79" i="9"/>
  <c r="FP79" i="9"/>
  <c r="FO79" i="9"/>
  <c r="FN79" i="9"/>
  <c r="FU78" i="9"/>
  <c r="FV78" i="9" s="1"/>
  <c r="FS78" i="9"/>
  <c r="FR78" i="9"/>
  <c r="FQ78" i="9"/>
  <c r="FP78" i="9"/>
  <c r="FO78" i="9"/>
  <c r="FN78" i="9"/>
  <c r="FU77" i="9"/>
  <c r="FV77" i="9" s="1"/>
  <c r="FS77" i="9"/>
  <c r="FR77" i="9"/>
  <c r="FQ77" i="9"/>
  <c r="FP77" i="9"/>
  <c r="FO77" i="9"/>
  <c r="FN77" i="9"/>
  <c r="FU76" i="9"/>
  <c r="FV76" i="9" s="1"/>
  <c r="FS76" i="9"/>
  <c r="FR76" i="9"/>
  <c r="FQ76" i="9"/>
  <c r="FP76" i="9"/>
  <c r="FO76" i="9"/>
  <c r="FN76" i="9"/>
  <c r="FU75" i="9"/>
  <c r="FV75" i="9" s="1"/>
  <c r="FS75" i="9"/>
  <c r="FR75" i="9"/>
  <c r="FQ75" i="9"/>
  <c r="FP75" i="9"/>
  <c r="FO75" i="9"/>
  <c r="FN75" i="9"/>
  <c r="FU74" i="9"/>
  <c r="FV74" i="9" s="1"/>
  <c r="FS74" i="9"/>
  <c r="FR74" i="9"/>
  <c r="FQ74" i="9"/>
  <c r="FP74" i="9"/>
  <c r="FO74" i="9"/>
  <c r="FN74" i="9"/>
  <c r="FU73" i="9"/>
  <c r="FV73" i="9" s="1"/>
  <c r="FS73" i="9"/>
  <c r="FR73" i="9"/>
  <c r="FQ73" i="9"/>
  <c r="FP73" i="9"/>
  <c r="FO73" i="9"/>
  <c r="FN73" i="9"/>
  <c r="FU72" i="9"/>
  <c r="FV72" i="9" s="1"/>
  <c r="FS72" i="9"/>
  <c r="FR72" i="9"/>
  <c r="FQ72" i="9"/>
  <c r="FP72" i="9"/>
  <c r="FO72" i="9"/>
  <c r="FN72" i="9"/>
  <c r="FU71" i="9"/>
  <c r="FV71" i="9" s="1"/>
  <c r="FS71" i="9"/>
  <c r="FR71" i="9"/>
  <c r="FQ71" i="9"/>
  <c r="FP71" i="9"/>
  <c r="FO71" i="9"/>
  <c r="FN71" i="9"/>
  <c r="FU70" i="9"/>
  <c r="FV70" i="9" s="1"/>
  <c r="FS70" i="9"/>
  <c r="FR70" i="9"/>
  <c r="FQ70" i="9"/>
  <c r="FP70" i="9"/>
  <c r="FO70" i="9"/>
  <c r="FN70" i="9"/>
  <c r="FU69" i="9"/>
  <c r="FV69" i="9" s="1"/>
  <c r="FS69" i="9"/>
  <c r="FR69" i="9"/>
  <c r="FQ69" i="9"/>
  <c r="FP69" i="9"/>
  <c r="FO69" i="9"/>
  <c r="FN69" i="9"/>
  <c r="FU68" i="9"/>
  <c r="FV68" i="9" s="1"/>
  <c r="FS68" i="9"/>
  <c r="FR68" i="9"/>
  <c r="FQ68" i="9"/>
  <c r="FP68" i="9"/>
  <c r="FO68" i="9"/>
  <c r="FN68" i="9"/>
  <c r="FU67" i="9"/>
  <c r="FV67" i="9" s="1"/>
  <c r="FS67" i="9"/>
  <c r="FR67" i="9"/>
  <c r="FQ67" i="9"/>
  <c r="FP67" i="9"/>
  <c r="FO67" i="9"/>
  <c r="FN67" i="9"/>
  <c r="FU65" i="9"/>
  <c r="FV65" i="9" s="1"/>
  <c r="FS65" i="9"/>
  <c r="FR65" i="9"/>
  <c r="FQ65" i="9"/>
  <c r="FP65" i="9"/>
  <c r="FO65" i="9"/>
  <c r="FN65" i="9"/>
  <c r="FU64" i="9"/>
  <c r="FV64" i="9" s="1"/>
  <c r="FS64" i="9"/>
  <c r="FR64" i="9"/>
  <c r="FQ64" i="9"/>
  <c r="FP64" i="9"/>
  <c r="FO64" i="9"/>
  <c r="FN64" i="9"/>
  <c r="FU62" i="9"/>
  <c r="FV62" i="9" s="1"/>
  <c r="FS62" i="9"/>
  <c r="FR62" i="9"/>
  <c r="FQ62" i="9"/>
  <c r="FP62" i="9"/>
  <c r="FO62" i="9"/>
  <c r="FN62" i="9"/>
  <c r="FU61" i="9"/>
  <c r="FV61" i="9" s="1"/>
  <c r="FS61" i="9"/>
  <c r="FR61" i="9"/>
  <c r="FQ61" i="9"/>
  <c r="FP61" i="9"/>
  <c r="FO61" i="9"/>
  <c r="FN61" i="9"/>
  <c r="FU60" i="9"/>
  <c r="FV60" i="9" s="1"/>
  <c r="FS60" i="9"/>
  <c r="FR60" i="9"/>
  <c r="FQ60" i="9"/>
  <c r="FP60" i="9"/>
  <c r="FO60" i="9"/>
  <c r="FN60" i="9"/>
  <c r="FU59" i="9"/>
  <c r="FV59" i="9" s="1"/>
  <c r="FS59" i="9"/>
  <c r="FR59" i="9"/>
  <c r="FQ59" i="9"/>
  <c r="FP59" i="9"/>
  <c r="FO59" i="9"/>
  <c r="FN59" i="9"/>
  <c r="FU58" i="9"/>
  <c r="FV58" i="9" s="1"/>
  <c r="FS58" i="9"/>
  <c r="FR58" i="9"/>
  <c r="FQ58" i="9"/>
  <c r="FP58" i="9"/>
  <c r="FO58" i="9"/>
  <c r="FN58" i="9"/>
  <c r="FU56" i="9"/>
  <c r="FV56" i="9" s="1"/>
  <c r="FS56" i="9"/>
  <c r="FR56" i="9"/>
  <c r="FQ56" i="9"/>
  <c r="FP56" i="9"/>
  <c r="FO56" i="9"/>
  <c r="FN56" i="9"/>
  <c r="FU55" i="9"/>
  <c r="FV55" i="9" s="1"/>
  <c r="FS55" i="9"/>
  <c r="FR55" i="9"/>
  <c r="FQ55" i="9"/>
  <c r="FP55" i="9"/>
  <c r="FO55" i="9"/>
  <c r="FN55" i="9"/>
  <c r="FU54" i="9"/>
  <c r="FV54" i="9" s="1"/>
  <c r="FS54" i="9"/>
  <c r="FR54" i="9"/>
  <c r="FQ54" i="9"/>
  <c r="FP54" i="9"/>
  <c r="FO54" i="9"/>
  <c r="FN54" i="9"/>
  <c r="FU53" i="9"/>
  <c r="FV53" i="9" s="1"/>
  <c r="FS53" i="9"/>
  <c r="FR53" i="9"/>
  <c r="FQ53" i="9"/>
  <c r="FP53" i="9"/>
  <c r="FO53" i="9"/>
  <c r="FN53" i="9"/>
  <c r="FU52" i="9"/>
  <c r="FV52" i="9" s="1"/>
  <c r="FS52" i="9"/>
  <c r="FR52" i="9"/>
  <c r="FQ52" i="9"/>
  <c r="FP52" i="9"/>
  <c r="FO52" i="9"/>
  <c r="FN52" i="9"/>
  <c r="FU51" i="9"/>
  <c r="FV51" i="9" s="1"/>
  <c r="FS51" i="9"/>
  <c r="FR51" i="9"/>
  <c r="FQ51" i="9"/>
  <c r="FP51" i="9"/>
  <c r="FO51" i="9"/>
  <c r="FN51" i="9"/>
  <c r="FU50" i="9"/>
  <c r="FV50" i="9" s="1"/>
  <c r="FS50" i="9"/>
  <c r="FR50" i="9"/>
  <c r="FQ50" i="9"/>
  <c r="FP50" i="9"/>
  <c r="FO50" i="9"/>
  <c r="FN50" i="9"/>
  <c r="FU48" i="9"/>
  <c r="FV48" i="9" s="1"/>
  <c r="FS48" i="9"/>
  <c r="FR48" i="9"/>
  <c r="FQ48" i="9"/>
  <c r="FP48" i="9"/>
  <c r="FO48" i="9"/>
  <c r="FN48" i="9"/>
  <c r="FU47" i="9"/>
  <c r="FV47" i="9" s="1"/>
  <c r="FS47" i="9"/>
  <c r="FR47" i="9"/>
  <c r="FQ47" i="9"/>
  <c r="FP47" i="9"/>
  <c r="FO47" i="9"/>
  <c r="FN47" i="9"/>
  <c r="FU46" i="9"/>
  <c r="FV46" i="9" s="1"/>
  <c r="FS46" i="9"/>
  <c r="FR46" i="9"/>
  <c r="FQ46" i="9"/>
  <c r="FP46" i="9"/>
  <c r="FO46" i="9"/>
  <c r="FN46" i="9"/>
  <c r="FU45" i="9"/>
  <c r="FV45" i="9" s="1"/>
  <c r="FS45" i="9"/>
  <c r="FR45" i="9"/>
  <c r="FQ45" i="9"/>
  <c r="FP45" i="9"/>
  <c r="FO45" i="9"/>
  <c r="FN45" i="9"/>
  <c r="FU44" i="9"/>
  <c r="FV44" i="9" s="1"/>
  <c r="FS44" i="9"/>
  <c r="FR44" i="9"/>
  <c r="FQ44" i="9"/>
  <c r="FP44" i="9"/>
  <c r="FO44" i="9"/>
  <c r="FN44" i="9"/>
  <c r="FU43" i="9"/>
  <c r="FV43" i="9" s="1"/>
  <c r="FS43" i="9"/>
  <c r="FR43" i="9"/>
  <c r="FQ43" i="9"/>
  <c r="FP43" i="9"/>
  <c r="FO43" i="9"/>
  <c r="FN43" i="9"/>
  <c r="FU42" i="9"/>
  <c r="FV42" i="9" s="1"/>
  <c r="FS42" i="9"/>
  <c r="FR42" i="9"/>
  <c r="FQ42" i="9"/>
  <c r="FP42" i="9"/>
  <c r="FO42" i="9"/>
  <c r="FN42" i="9"/>
  <c r="FU41" i="9"/>
  <c r="FV41" i="9" s="1"/>
  <c r="FS41" i="9"/>
  <c r="FR41" i="9"/>
  <c r="FQ41" i="9"/>
  <c r="FP41" i="9"/>
  <c r="FO41" i="9"/>
  <c r="FN41" i="9"/>
  <c r="FU40" i="9"/>
  <c r="FV40" i="9" s="1"/>
  <c r="FS40" i="9"/>
  <c r="FR40" i="9"/>
  <c r="FQ40" i="9"/>
  <c r="FP40" i="9"/>
  <c r="FO40" i="9"/>
  <c r="FN40" i="9"/>
  <c r="FU39" i="9"/>
  <c r="FV39" i="9" s="1"/>
  <c r="FS39" i="9"/>
  <c r="FR39" i="9"/>
  <c r="FQ39" i="9"/>
  <c r="FP39" i="9"/>
  <c r="FO39" i="9"/>
  <c r="FN39" i="9"/>
  <c r="FU38" i="9"/>
  <c r="FV38" i="9" s="1"/>
  <c r="FS38" i="9"/>
  <c r="FR38" i="9"/>
  <c r="FQ38" i="9"/>
  <c r="FP38" i="9"/>
  <c r="FO38" i="9"/>
  <c r="FN38" i="9"/>
  <c r="FU37" i="9"/>
  <c r="FV37" i="9" s="1"/>
  <c r="FS37" i="9"/>
  <c r="FR37" i="9"/>
  <c r="FQ37" i="9"/>
  <c r="FP37" i="9"/>
  <c r="FO37" i="9"/>
  <c r="FN37" i="9"/>
  <c r="FU36" i="9"/>
  <c r="FV36" i="9" s="1"/>
  <c r="FS36" i="9"/>
  <c r="FR36" i="9"/>
  <c r="FQ36" i="9"/>
  <c r="FP36" i="9"/>
  <c r="FO36" i="9"/>
  <c r="FN36" i="9"/>
  <c r="FU35" i="9"/>
  <c r="FV35" i="9" s="1"/>
  <c r="FS35" i="9"/>
  <c r="FR35" i="9"/>
  <c r="FQ35" i="9"/>
  <c r="FP35" i="9"/>
  <c r="FO35" i="9"/>
  <c r="FN35" i="9"/>
  <c r="FU34" i="9"/>
  <c r="FV34" i="9" s="1"/>
  <c r="FS34" i="9"/>
  <c r="FR34" i="9"/>
  <c r="FQ34" i="9"/>
  <c r="FP34" i="9"/>
  <c r="FO34" i="9"/>
  <c r="FN34" i="9"/>
  <c r="FU32" i="9"/>
  <c r="FV32" i="9" s="1"/>
  <c r="FS32" i="9"/>
  <c r="FR32" i="9"/>
  <c r="FQ32" i="9"/>
  <c r="FP32" i="9"/>
  <c r="FO32" i="9"/>
  <c r="FN32" i="9"/>
  <c r="FU31" i="9"/>
  <c r="FV31" i="9" s="1"/>
  <c r="FS31" i="9"/>
  <c r="FR31" i="9"/>
  <c r="FQ31" i="9"/>
  <c r="FP31" i="9"/>
  <c r="FO31" i="9"/>
  <c r="FN31" i="9"/>
  <c r="FU30" i="9"/>
  <c r="FV30" i="9" s="1"/>
  <c r="FS30" i="9"/>
  <c r="FR30" i="9"/>
  <c r="FQ30" i="9"/>
  <c r="FP30" i="9"/>
  <c r="FO30" i="9"/>
  <c r="FN30" i="9"/>
  <c r="FU29" i="9"/>
  <c r="FV29" i="9" s="1"/>
  <c r="FS29" i="9"/>
  <c r="FR29" i="9"/>
  <c r="FQ29" i="9"/>
  <c r="FP29" i="9"/>
  <c r="FO29" i="9"/>
  <c r="FN29" i="9"/>
  <c r="FU28" i="9"/>
  <c r="FV28" i="9" s="1"/>
  <c r="FS28" i="9"/>
  <c r="FR28" i="9"/>
  <c r="FP28" i="9"/>
  <c r="FN28" i="9"/>
  <c r="FU27" i="9"/>
  <c r="FV27" i="9" s="1"/>
  <c r="FS27" i="9"/>
  <c r="FR27" i="9"/>
  <c r="FQ27" i="9"/>
  <c r="FP27" i="9"/>
  <c r="FO27" i="9"/>
  <c r="FN27" i="9"/>
  <c r="FU26" i="9"/>
  <c r="FV26" i="9" s="1"/>
  <c r="FS26" i="9"/>
  <c r="FR26" i="9"/>
  <c r="FQ26" i="9"/>
  <c r="FP26" i="9"/>
  <c r="FO26" i="9"/>
  <c r="FN26" i="9"/>
  <c r="FU25" i="9"/>
  <c r="FV25" i="9" s="1"/>
  <c r="FS25" i="9"/>
  <c r="FR25" i="9"/>
  <c r="FQ25" i="9"/>
  <c r="FP25" i="9"/>
  <c r="FO25" i="9"/>
  <c r="FN25" i="9"/>
  <c r="FU24" i="9"/>
  <c r="FV24" i="9" s="1"/>
  <c r="FS24" i="9"/>
  <c r="FR24" i="9"/>
  <c r="FQ24" i="9"/>
  <c r="FP24" i="9"/>
  <c r="FO24" i="9"/>
  <c r="FN24" i="9"/>
  <c r="FU23" i="9"/>
  <c r="FV23" i="9" s="1"/>
  <c r="FS23" i="9"/>
  <c r="FR23" i="9"/>
  <c r="FQ23" i="9"/>
  <c r="FP23" i="9"/>
  <c r="FO23" i="9"/>
  <c r="FN23" i="9"/>
  <c r="FU22" i="9"/>
  <c r="FV22" i="9" s="1"/>
  <c r="FS22" i="9"/>
  <c r="FR22" i="9"/>
  <c r="FQ22" i="9"/>
  <c r="FP22" i="9"/>
  <c r="FO22" i="9"/>
  <c r="FN22" i="9"/>
  <c r="FU21" i="9"/>
  <c r="FV21" i="9" s="1"/>
  <c r="FS21" i="9"/>
  <c r="FR21" i="9"/>
  <c r="FQ21" i="9"/>
  <c r="FP21" i="9"/>
  <c r="FO21" i="9"/>
  <c r="FN21" i="9"/>
  <c r="FU20" i="9"/>
  <c r="FV20" i="9" s="1"/>
  <c r="FS20" i="9"/>
  <c r="FR20" i="9"/>
  <c r="FQ20" i="9"/>
  <c r="FP20" i="9"/>
  <c r="FO20" i="9"/>
  <c r="FN20" i="9"/>
  <c r="FU19" i="9"/>
  <c r="FV19" i="9" s="1"/>
  <c r="FS19" i="9"/>
  <c r="FR19" i="9"/>
  <c r="FQ19" i="9"/>
  <c r="FP19" i="9"/>
  <c r="FO19" i="9"/>
  <c r="FN19" i="9"/>
  <c r="FU17" i="9"/>
  <c r="FV17" i="9" s="1"/>
  <c r="FS17" i="9"/>
  <c r="FR17" i="9"/>
  <c r="FQ17" i="9"/>
  <c r="FP17" i="9"/>
  <c r="FO17" i="9"/>
  <c r="FN17" i="9"/>
  <c r="FU16" i="9"/>
  <c r="FV16" i="9" s="1"/>
  <c r="FS16" i="9"/>
  <c r="FR16" i="9"/>
  <c r="FQ16" i="9"/>
  <c r="FP16" i="9"/>
  <c r="FO16" i="9"/>
  <c r="FN16" i="9"/>
  <c r="FU15" i="9"/>
  <c r="FV15" i="9" s="1"/>
  <c r="FS15" i="9"/>
  <c r="FR15" i="9"/>
  <c r="FQ15" i="9"/>
  <c r="FP15" i="9"/>
  <c r="FO15" i="9"/>
  <c r="FN15" i="9"/>
  <c r="FU14" i="9"/>
  <c r="FV14" i="9" s="1"/>
  <c r="FS14" i="9"/>
  <c r="FR14" i="9"/>
  <c r="FQ14" i="9"/>
  <c r="FP14" i="9"/>
  <c r="FO14" i="9"/>
  <c r="FN14" i="9"/>
  <c r="FU13" i="9"/>
  <c r="FV13" i="9" s="1"/>
  <c r="FS13" i="9"/>
  <c r="FR13" i="9"/>
  <c r="FQ13" i="9"/>
  <c r="FP13" i="9"/>
  <c r="FO13" i="9"/>
  <c r="FN13" i="9"/>
  <c r="FU12" i="9"/>
  <c r="FV12" i="9" s="1"/>
  <c r="FS12" i="9"/>
  <c r="FR12" i="9"/>
  <c r="FQ12" i="9"/>
  <c r="FP12" i="9"/>
  <c r="FO12" i="9"/>
  <c r="FN12" i="9"/>
  <c r="FU11" i="9"/>
  <c r="FV11" i="9" s="1"/>
  <c r="FS11" i="9"/>
  <c r="FR11" i="9"/>
  <c r="FQ11" i="9"/>
  <c r="FP11" i="9"/>
  <c r="FO11" i="9"/>
  <c r="FN11" i="9"/>
  <c r="FJ7" i="9"/>
  <c r="FJ2" i="9"/>
  <c r="FH91" i="9" s="1"/>
  <c r="EP91" i="9"/>
  <c r="EU88" i="9"/>
  <c r="EX92" i="9" s="1"/>
  <c r="EV82" i="9"/>
  <c r="EV84" i="9" s="1"/>
  <c r="FD80" i="9"/>
  <c r="FE80" i="9" s="1"/>
  <c r="FB80" i="9"/>
  <c r="FA80" i="9"/>
  <c r="EZ80" i="9"/>
  <c r="EY80" i="9"/>
  <c r="EX80" i="9"/>
  <c r="EW80" i="9"/>
  <c r="FD79" i="9"/>
  <c r="FE79" i="9" s="1"/>
  <c r="FB79" i="9"/>
  <c r="FA79" i="9"/>
  <c r="EZ79" i="9"/>
  <c r="EY79" i="9"/>
  <c r="EX79" i="9"/>
  <c r="EW79" i="9"/>
  <c r="FD78" i="9"/>
  <c r="FE78" i="9" s="1"/>
  <c r="FB78" i="9"/>
  <c r="FA78" i="9"/>
  <c r="EZ78" i="9"/>
  <c r="EY78" i="9"/>
  <c r="EX78" i="9"/>
  <c r="EW78" i="9"/>
  <c r="FD77" i="9"/>
  <c r="FE77" i="9" s="1"/>
  <c r="FB77" i="9"/>
  <c r="FA77" i="9"/>
  <c r="EZ77" i="9"/>
  <c r="EY77" i="9"/>
  <c r="EX77" i="9"/>
  <c r="EW77" i="9"/>
  <c r="FD76" i="9"/>
  <c r="FE76" i="9" s="1"/>
  <c r="FB76" i="9"/>
  <c r="FA76" i="9"/>
  <c r="EZ76" i="9"/>
  <c r="EY76" i="9"/>
  <c r="EX76" i="9"/>
  <c r="EW76" i="9"/>
  <c r="FD75" i="9"/>
  <c r="FE75" i="9" s="1"/>
  <c r="FB75" i="9"/>
  <c r="FA75" i="9"/>
  <c r="EZ75" i="9"/>
  <c r="EY75" i="9"/>
  <c r="EX75" i="9"/>
  <c r="EW75" i="9"/>
  <c r="FD74" i="9"/>
  <c r="FE74" i="9" s="1"/>
  <c r="FB74" i="9"/>
  <c r="FA74" i="9"/>
  <c r="EZ74" i="9"/>
  <c r="EY74" i="9"/>
  <c r="EX74" i="9"/>
  <c r="EW74" i="9"/>
  <c r="FD73" i="9"/>
  <c r="FE73" i="9" s="1"/>
  <c r="FB73" i="9"/>
  <c r="FA73" i="9"/>
  <c r="EZ73" i="9"/>
  <c r="EY73" i="9"/>
  <c r="EX73" i="9"/>
  <c r="EW73" i="9"/>
  <c r="FD72" i="9"/>
  <c r="FE72" i="9" s="1"/>
  <c r="FB72" i="9"/>
  <c r="FA72" i="9"/>
  <c r="EZ72" i="9"/>
  <c r="EY72" i="9"/>
  <c r="EX72" i="9"/>
  <c r="EW72" i="9"/>
  <c r="FD71" i="9"/>
  <c r="FE71" i="9" s="1"/>
  <c r="FB71" i="9"/>
  <c r="FA71" i="9"/>
  <c r="EZ71" i="9"/>
  <c r="EY71" i="9"/>
  <c r="EX71" i="9"/>
  <c r="EW71" i="9"/>
  <c r="FD70" i="9"/>
  <c r="FE70" i="9" s="1"/>
  <c r="FB70" i="9"/>
  <c r="FA70" i="9"/>
  <c r="EZ70" i="9"/>
  <c r="EY70" i="9"/>
  <c r="EX70" i="9"/>
  <c r="EW70" i="9"/>
  <c r="FD69" i="9"/>
  <c r="FE69" i="9" s="1"/>
  <c r="FB69" i="9"/>
  <c r="FA69" i="9"/>
  <c r="EZ69" i="9"/>
  <c r="EY69" i="9"/>
  <c r="EX69" i="9"/>
  <c r="EW69" i="9"/>
  <c r="FD68" i="9"/>
  <c r="FE68" i="9" s="1"/>
  <c r="FB68" i="9"/>
  <c r="FA68" i="9"/>
  <c r="EZ68" i="9"/>
  <c r="EY68" i="9"/>
  <c r="EX68" i="9"/>
  <c r="EW68" i="9"/>
  <c r="FD67" i="9"/>
  <c r="FE67" i="9" s="1"/>
  <c r="FB67" i="9"/>
  <c r="FA67" i="9"/>
  <c r="EZ67" i="9"/>
  <c r="EY67" i="9"/>
  <c r="EX67" i="9"/>
  <c r="EW67" i="9"/>
  <c r="FD65" i="9"/>
  <c r="FE65" i="9" s="1"/>
  <c r="FB65" i="9"/>
  <c r="FA65" i="9"/>
  <c r="EZ65" i="9"/>
  <c r="EY65" i="9"/>
  <c r="EX65" i="9"/>
  <c r="EW65" i="9"/>
  <c r="FD64" i="9"/>
  <c r="FE64" i="9" s="1"/>
  <c r="FB64" i="9"/>
  <c r="FA64" i="9"/>
  <c r="EZ64" i="9"/>
  <c r="EY64" i="9"/>
  <c r="EX64" i="9"/>
  <c r="EW64" i="9"/>
  <c r="FD62" i="9"/>
  <c r="FE62" i="9" s="1"/>
  <c r="FB62" i="9"/>
  <c r="FA62" i="9"/>
  <c r="EZ62" i="9"/>
  <c r="EY62" i="9"/>
  <c r="EX62" i="9"/>
  <c r="EW62" i="9"/>
  <c r="FD61" i="9"/>
  <c r="FE61" i="9" s="1"/>
  <c r="FB61" i="9"/>
  <c r="FA61" i="9"/>
  <c r="EZ61" i="9"/>
  <c r="EY61" i="9"/>
  <c r="EX61" i="9"/>
  <c r="EW61" i="9"/>
  <c r="FD60" i="9"/>
  <c r="FE60" i="9" s="1"/>
  <c r="FB60" i="9"/>
  <c r="FA60" i="9"/>
  <c r="EZ60" i="9"/>
  <c r="EY60" i="9"/>
  <c r="EX60" i="9"/>
  <c r="EW60" i="9"/>
  <c r="FD59" i="9"/>
  <c r="FE59" i="9" s="1"/>
  <c r="FB59" i="9"/>
  <c r="FA59" i="9"/>
  <c r="EZ59" i="9"/>
  <c r="EY59" i="9"/>
  <c r="EX59" i="9"/>
  <c r="EW59" i="9"/>
  <c r="FD58" i="9"/>
  <c r="FE58" i="9" s="1"/>
  <c r="FB58" i="9"/>
  <c r="FA58" i="9"/>
  <c r="EZ58" i="9"/>
  <c r="EY58" i="9"/>
  <c r="EX58" i="9"/>
  <c r="EW58" i="9"/>
  <c r="FD56" i="9"/>
  <c r="FE56" i="9" s="1"/>
  <c r="FB56" i="9"/>
  <c r="FA56" i="9"/>
  <c r="EZ56" i="9"/>
  <c r="EY56" i="9"/>
  <c r="EX56" i="9"/>
  <c r="EW56" i="9"/>
  <c r="FD55" i="9"/>
  <c r="FE55" i="9" s="1"/>
  <c r="FB55" i="9"/>
  <c r="FA55" i="9"/>
  <c r="EZ55" i="9"/>
  <c r="EY55" i="9"/>
  <c r="EX55" i="9"/>
  <c r="EW55" i="9"/>
  <c r="FD54" i="9"/>
  <c r="FE54" i="9" s="1"/>
  <c r="FB54" i="9"/>
  <c r="FA54" i="9"/>
  <c r="EZ54" i="9"/>
  <c r="EY54" i="9"/>
  <c r="EX54" i="9"/>
  <c r="EW54" i="9"/>
  <c r="FD53" i="9"/>
  <c r="FE53" i="9" s="1"/>
  <c r="FB53" i="9"/>
  <c r="FA53" i="9"/>
  <c r="EZ53" i="9"/>
  <c r="EY53" i="9"/>
  <c r="EX53" i="9"/>
  <c r="EW53" i="9"/>
  <c r="FD52" i="9"/>
  <c r="FE52" i="9" s="1"/>
  <c r="FB52" i="9"/>
  <c r="FA52" i="9"/>
  <c r="EZ52" i="9"/>
  <c r="EY52" i="9"/>
  <c r="EX52" i="9"/>
  <c r="EW52" i="9"/>
  <c r="FD51" i="9"/>
  <c r="FE51" i="9" s="1"/>
  <c r="FB51" i="9"/>
  <c r="FA51" i="9"/>
  <c r="EZ51" i="9"/>
  <c r="EY51" i="9"/>
  <c r="EX51" i="9"/>
  <c r="EW51" i="9"/>
  <c r="FD50" i="9"/>
  <c r="FE50" i="9" s="1"/>
  <c r="FB50" i="9"/>
  <c r="FA50" i="9"/>
  <c r="EZ50" i="9"/>
  <c r="EY50" i="9"/>
  <c r="EX50" i="9"/>
  <c r="EW50" i="9"/>
  <c r="FD48" i="9"/>
  <c r="FE48" i="9" s="1"/>
  <c r="FB48" i="9"/>
  <c r="FA48" i="9"/>
  <c r="EZ48" i="9"/>
  <c r="EY48" i="9"/>
  <c r="EX48" i="9"/>
  <c r="EW48" i="9"/>
  <c r="FD47" i="9"/>
  <c r="FE47" i="9" s="1"/>
  <c r="FB47" i="9"/>
  <c r="FA47" i="9"/>
  <c r="EZ47" i="9"/>
  <c r="EY47" i="9"/>
  <c r="EX47" i="9"/>
  <c r="EW47" i="9"/>
  <c r="FD46" i="9"/>
  <c r="FE46" i="9" s="1"/>
  <c r="FB46" i="9"/>
  <c r="FA46" i="9"/>
  <c r="EZ46" i="9"/>
  <c r="EY46" i="9"/>
  <c r="EX46" i="9"/>
  <c r="EW46" i="9"/>
  <c r="FD45" i="9"/>
  <c r="FE45" i="9" s="1"/>
  <c r="FB45" i="9"/>
  <c r="FA45" i="9"/>
  <c r="EZ45" i="9"/>
  <c r="EY45" i="9"/>
  <c r="EX45" i="9"/>
  <c r="EW45" i="9"/>
  <c r="FD44" i="9"/>
  <c r="FE44" i="9" s="1"/>
  <c r="FB44" i="9"/>
  <c r="FA44" i="9"/>
  <c r="EZ44" i="9"/>
  <c r="EY44" i="9"/>
  <c r="EX44" i="9"/>
  <c r="EW44" i="9"/>
  <c r="FD43" i="9"/>
  <c r="FE43" i="9" s="1"/>
  <c r="FB43" i="9"/>
  <c r="FA43" i="9"/>
  <c r="EZ43" i="9"/>
  <c r="EY43" i="9"/>
  <c r="EX43" i="9"/>
  <c r="EW43" i="9"/>
  <c r="FD42" i="9"/>
  <c r="FE42" i="9" s="1"/>
  <c r="FB42" i="9"/>
  <c r="FA42" i="9"/>
  <c r="EZ42" i="9"/>
  <c r="EY42" i="9"/>
  <c r="EX42" i="9"/>
  <c r="EW42" i="9"/>
  <c r="FD41" i="9"/>
  <c r="FE41" i="9" s="1"/>
  <c r="FB41" i="9"/>
  <c r="FA41" i="9"/>
  <c r="EZ41" i="9"/>
  <c r="EY41" i="9"/>
  <c r="EX41" i="9"/>
  <c r="EW41" i="9"/>
  <c r="FD40" i="9"/>
  <c r="FE40" i="9" s="1"/>
  <c r="FB40" i="9"/>
  <c r="FA40" i="9"/>
  <c r="EZ40" i="9"/>
  <c r="EY40" i="9"/>
  <c r="EX40" i="9"/>
  <c r="EW40" i="9"/>
  <c r="FD39" i="9"/>
  <c r="FE39" i="9" s="1"/>
  <c r="FB39" i="9"/>
  <c r="FA39" i="9"/>
  <c r="EZ39" i="9"/>
  <c r="EY39" i="9"/>
  <c r="EX39" i="9"/>
  <c r="EW39" i="9"/>
  <c r="FD38" i="9"/>
  <c r="FE38" i="9" s="1"/>
  <c r="FB38" i="9"/>
  <c r="FA38" i="9"/>
  <c r="EZ38" i="9"/>
  <c r="EY38" i="9"/>
  <c r="EX38" i="9"/>
  <c r="EW38" i="9"/>
  <c r="FD37" i="9"/>
  <c r="FE37" i="9" s="1"/>
  <c r="FB37" i="9"/>
  <c r="FA37" i="9"/>
  <c r="EZ37" i="9"/>
  <c r="EY37" i="9"/>
  <c r="EX37" i="9"/>
  <c r="EW37" i="9"/>
  <c r="FD36" i="9"/>
  <c r="FE36" i="9" s="1"/>
  <c r="FB36" i="9"/>
  <c r="FA36" i="9"/>
  <c r="EZ36" i="9"/>
  <c r="EY36" i="9"/>
  <c r="EX36" i="9"/>
  <c r="EW36" i="9"/>
  <c r="FD35" i="9"/>
  <c r="FE35" i="9" s="1"/>
  <c r="FB35" i="9"/>
  <c r="FA35" i="9"/>
  <c r="EZ35" i="9"/>
  <c r="EY35" i="9"/>
  <c r="EX35" i="9"/>
  <c r="EW35" i="9"/>
  <c r="FD34" i="9"/>
  <c r="FE34" i="9" s="1"/>
  <c r="FB34" i="9"/>
  <c r="FA34" i="9"/>
  <c r="EZ34" i="9"/>
  <c r="EY34" i="9"/>
  <c r="EX34" i="9"/>
  <c r="EW34" i="9"/>
  <c r="FD32" i="9"/>
  <c r="FE32" i="9" s="1"/>
  <c r="FB32" i="9"/>
  <c r="FA32" i="9"/>
  <c r="EZ32" i="9"/>
  <c r="EY32" i="9"/>
  <c r="EX32" i="9"/>
  <c r="EW32" i="9"/>
  <c r="FD31" i="9"/>
  <c r="FE31" i="9" s="1"/>
  <c r="FB31" i="9"/>
  <c r="FA31" i="9"/>
  <c r="EZ31" i="9"/>
  <c r="EY31" i="9"/>
  <c r="EX31" i="9"/>
  <c r="EW31" i="9"/>
  <c r="FD30" i="9"/>
  <c r="FE30" i="9" s="1"/>
  <c r="FB30" i="9"/>
  <c r="FA30" i="9"/>
  <c r="EZ30" i="9"/>
  <c r="EY30" i="9"/>
  <c r="EX30" i="9"/>
  <c r="EW30" i="9"/>
  <c r="FD29" i="9"/>
  <c r="FE29" i="9" s="1"/>
  <c r="FB29" i="9"/>
  <c r="FA29" i="9"/>
  <c r="EZ29" i="9"/>
  <c r="EY29" i="9"/>
  <c r="EX29" i="9"/>
  <c r="EW29" i="9"/>
  <c r="FD28" i="9"/>
  <c r="FE28" i="9" s="1"/>
  <c r="FB28" i="9"/>
  <c r="FA28" i="9"/>
  <c r="EY28" i="9"/>
  <c r="EW28" i="9"/>
  <c r="FD27" i="9"/>
  <c r="FE27" i="9" s="1"/>
  <c r="FB27" i="9"/>
  <c r="FA27" i="9"/>
  <c r="EZ27" i="9"/>
  <c r="EY27" i="9"/>
  <c r="EX27" i="9"/>
  <c r="EW27" i="9"/>
  <c r="FD26" i="9"/>
  <c r="FE26" i="9" s="1"/>
  <c r="FB26" i="9"/>
  <c r="FA26" i="9"/>
  <c r="EZ26" i="9"/>
  <c r="EY26" i="9"/>
  <c r="EX26" i="9"/>
  <c r="EW26" i="9"/>
  <c r="FD25" i="9"/>
  <c r="FE25" i="9" s="1"/>
  <c r="FB25" i="9"/>
  <c r="FA25" i="9"/>
  <c r="EZ25" i="9"/>
  <c r="EY25" i="9"/>
  <c r="EX25" i="9"/>
  <c r="EW25" i="9"/>
  <c r="FD24" i="9"/>
  <c r="FE24" i="9" s="1"/>
  <c r="FB24" i="9"/>
  <c r="FA24" i="9"/>
  <c r="EZ24" i="9"/>
  <c r="EY24" i="9"/>
  <c r="EX24" i="9"/>
  <c r="EW24" i="9"/>
  <c r="FD23" i="9"/>
  <c r="FE23" i="9" s="1"/>
  <c r="FB23" i="9"/>
  <c r="FA23" i="9"/>
  <c r="EZ23" i="9"/>
  <c r="EY23" i="9"/>
  <c r="EX23" i="9"/>
  <c r="EW23" i="9"/>
  <c r="FD22" i="9"/>
  <c r="FE22" i="9" s="1"/>
  <c r="FB22" i="9"/>
  <c r="FA22" i="9"/>
  <c r="EZ22" i="9"/>
  <c r="EY22" i="9"/>
  <c r="EX22" i="9"/>
  <c r="EW22" i="9"/>
  <c r="FD21" i="9"/>
  <c r="FE21" i="9" s="1"/>
  <c r="FB21" i="9"/>
  <c r="FA21" i="9"/>
  <c r="EZ21" i="9"/>
  <c r="EY21" i="9"/>
  <c r="EX21" i="9"/>
  <c r="EW21" i="9"/>
  <c r="FD20" i="9"/>
  <c r="FE20" i="9" s="1"/>
  <c r="FB20" i="9"/>
  <c r="FA20" i="9"/>
  <c r="EZ20" i="9"/>
  <c r="EY20" i="9"/>
  <c r="EX20" i="9"/>
  <c r="EW20" i="9"/>
  <c r="FD19" i="9"/>
  <c r="FE19" i="9" s="1"/>
  <c r="FB19" i="9"/>
  <c r="FA19" i="9"/>
  <c r="EZ19" i="9"/>
  <c r="EY19" i="9"/>
  <c r="EX19" i="9"/>
  <c r="EW19" i="9"/>
  <c r="FD17" i="9"/>
  <c r="FE17" i="9" s="1"/>
  <c r="FB17" i="9"/>
  <c r="FA17" i="9"/>
  <c r="EZ17" i="9"/>
  <c r="EY17" i="9"/>
  <c r="EX17" i="9"/>
  <c r="EW17" i="9"/>
  <c r="FD16" i="9"/>
  <c r="FE16" i="9" s="1"/>
  <c r="FB16" i="9"/>
  <c r="FA16" i="9"/>
  <c r="EZ16" i="9"/>
  <c r="EY16" i="9"/>
  <c r="EX16" i="9"/>
  <c r="EW16" i="9"/>
  <c r="FD15" i="9"/>
  <c r="FE15" i="9" s="1"/>
  <c r="FB15" i="9"/>
  <c r="FA15" i="9"/>
  <c r="EZ15" i="9"/>
  <c r="EY15" i="9"/>
  <c r="EX15" i="9"/>
  <c r="EW15" i="9"/>
  <c r="FD14" i="9"/>
  <c r="FE14" i="9" s="1"/>
  <c r="FB14" i="9"/>
  <c r="FA14" i="9"/>
  <c r="EZ14" i="9"/>
  <c r="EY14" i="9"/>
  <c r="EX14" i="9"/>
  <c r="EW14" i="9"/>
  <c r="FD13" i="9"/>
  <c r="FE13" i="9" s="1"/>
  <c r="FB13" i="9"/>
  <c r="FA13" i="9"/>
  <c r="EZ13" i="9"/>
  <c r="EY13" i="9"/>
  <c r="EX13" i="9"/>
  <c r="EW13" i="9"/>
  <c r="FD12" i="9"/>
  <c r="FE12" i="9" s="1"/>
  <c r="FB12" i="9"/>
  <c r="FA12" i="9"/>
  <c r="EZ12" i="9"/>
  <c r="EY12" i="9"/>
  <c r="EX12" i="9"/>
  <c r="EW12" i="9"/>
  <c r="FD11" i="9"/>
  <c r="FE11" i="9" s="1"/>
  <c r="FB11" i="9"/>
  <c r="FA11" i="9"/>
  <c r="EZ11" i="9"/>
  <c r="EY11" i="9"/>
  <c r="EX11" i="9"/>
  <c r="EW11" i="9"/>
  <c r="ES7" i="9"/>
  <c r="ES2" i="9"/>
  <c r="EQ91" i="9" s="1"/>
  <c r="DY91" i="9"/>
  <c r="ED88" i="9"/>
  <c r="EG92" i="9" s="1"/>
  <c r="EE82" i="9"/>
  <c r="EE84" i="9" s="1"/>
  <c r="EM80" i="9"/>
  <c r="EN80" i="9" s="1"/>
  <c r="EK80" i="9"/>
  <c r="EJ80" i="9"/>
  <c r="EI80" i="9"/>
  <c r="EH80" i="9"/>
  <c r="EG80" i="9"/>
  <c r="EF80" i="9"/>
  <c r="EM79" i="9"/>
  <c r="EN79" i="9" s="1"/>
  <c r="EK79" i="9"/>
  <c r="EJ79" i="9"/>
  <c r="EI79" i="9"/>
  <c r="EH79" i="9"/>
  <c r="EG79" i="9"/>
  <c r="EF79" i="9"/>
  <c r="EM78" i="9"/>
  <c r="EN78" i="9" s="1"/>
  <c r="EK78" i="9"/>
  <c r="EJ78" i="9"/>
  <c r="EI78" i="9"/>
  <c r="EH78" i="9"/>
  <c r="EG78" i="9"/>
  <c r="EF78" i="9"/>
  <c r="EM77" i="9"/>
  <c r="EN77" i="9" s="1"/>
  <c r="EK77" i="9"/>
  <c r="EJ77" i="9"/>
  <c r="EI77" i="9"/>
  <c r="EH77" i="9"/>
  <c r="EG77" i="9"/>
  <c r="EF77" i="9"/>
  <c r="EM76" i="9"/>
  <c r="EN76" i="9" s="1"/>
  <c r="EK76" i="9"/>
  <c r="EJ76" i="9"/>
  <c r="EI76" i="9"/>
  <c r="EH76" i="9"/>
  <c r="EG76" i="9"/>
  <c r="EF76" i="9"/>
  <c r="EM75" i="9"/>
  <c r="EN75" i="9" s="1"/>
  <c r="EK75" i="9"/>
  <c r="EJ75" i="9"/>
  <c r="EI75" i="9"/>
  <c r="EH75" i="9"/>
  <c r="EG75" i="9"/>
  <c r="EF75" i="9"/>
  <c r="EM74" i="9"/>
  <c r="EN74" i="9" s="1"/>
  <c r="EK74" i="9"/>
  <c r="EJ74" i="9"/>
  <c r="EI74" i="9"/>
  <c r="EH74" i="9"/>
  <c r="EG74" i="9"/>
  <c r="EF74" i="9"/>
  <c r="EM73" i="9"/>
  <c r="EN73" i="9" s="1"/>
  <c r="EK73" i="9"/>
  <c r="EJ73" i="9"/>
  <c r="EI73" i="9"/>
  <c r="EH73" i="9"/>
  <c r="EG73" i="9"/>
  <c r="EF73" i="9"/>
  <c r="EM72" i="9"/>
  <c r="EN72" i="9" s="1"/>
  <c r="EK72" i="9"/>
  <c r="EJ72" i="9"/>
  <c r="EI72" i="9"/>
  <c r="EH72" i="9"/>
  <c r="EG72" i="9"/>
  <c r="EF72" i="9"/>
  <c r="EM71" i="9"/>
  <c r="EN71" i="9" s="1"/>
  <c r="EK71" i="9"/>
  <c r="EJ71" i="9"/>
  <c r="EI71" i="9"/>
  <c r="EH71" i="9"/>
  <c r="EG71" i="9"/>
  <c r="EF71" i="9"/>
  <c r="EM70" i="9"/>
  <c r="EN70" i="9" s="1"/>
  <c r="EK70" i="9"/>
  <c r="EJ70" i="9"/>
  <c r="EI70" i="9"/>
  <c r="EH70" i="9"/>
  <c r="EG70" i="9"/>
  <c r="EF70" i="9"/>
  <c r="EM69" i="9"/>
  <c r="EN69" i="9" s="1"/>
  <c r="EK69" i="9"/>
  <c r="EJ69" i="9"/>
  <c r="EI69" i="9"/>
  <c r="EH69" i="9"/>
  <c r="EG69" i="9"/>
  <c r="EF69" i="9"/>
  <c r="EM68" i="9"/>
  <c r="EN68" i="9" s="1"/>
  <c r="EK68" i="9"/>
  <c r="EJ68" i="9"/>
  <c r="EI68" i="9"/>
  <c r="EH68" i="9"/>
  <c r="EG68" i="9"/>
  <c r="EF68" i="9"/>
  <c r="EM67" i="9"/>
  <c r="EN67" i="9" s="1"/>
  <c r="EK67" i="9"/>
  <c r="EJ67" i="9"/>
  <c r="EI67" i="9"/>
  <c r="EH67" i="9"/>
  <c r="EG67" i="9"/>
  <c r="EF67" i="9"/>
  <c r="EM65" i="9"/>
  <c r="EN65" i="9" s="1"/>
  <c r="EK65" i="9"/>
  <c r="EJ65" i="9"/>
  <c r="EI65" i="9"/>
  <c r="EH65" i="9"/>
  <c r="EG65" i="9"/>
  <c r="EF65" i="9"/>
  <c r="EM64" i="9"/>
  <c r="EN64" i="9" s="1"/>
  <c r="EK64" i="9"/>
  <c r="EJ64" i="9"/>
  <c r="EI64" i="9"/>
  <c r="EH64" i="9"/>
  <c r="EG64" i="9"/>
  <c r="EF64" i="9"/>
  <c r="EM62" i="9"/>
  <c r="EN62" i="9" s="1"/>
  <c r="EK62" i="9"/>
  <c r="EJ62" i="9"/>
  <c r="EI62" i="9"/>
  <c r="EH62" i="9"/>
  <c r="EG62" i="9"/>
  <c r="EF62" i="9"/>
  <c r="EM61" i="9"/>
  <c r="EN61" i="9" s="1"/>
  <c r="EK61" i="9"/>
  <c r="EJ61" i="9"/>
  <c r="EI61" i="9"/>
  <c r="EH61" i="9"/>
  <c r="EG61" i="9"/>
  <c r="EF61" i="9"/>
  <c r="EM60" i="9"/>
  <c r="EN60" i="9" s="1"/>
  <c r="EK60" i="9"/>
  <c r="EJ60" i="9"/>
  <c r="EI60" i="9"/>
  <c r="EH60" i="9"/>
  <c r="EG60" i="9"/>
  <c r="EF60" i="9"/>
  <c r="EM59" i="9"/>
  <c r="EN59" i="9" s="1"/>
  <c r="EK59" i="9"/>
  <c r="EJ59" i="9"/>
  <c r="EI59" i="9"/>
  <c r="EH59" i="9"/>
  <c r="EG59" i="9"/>
  <c r="EF59" i="9"/>
  <c r="EM58" i="9"/>
  <c r="EN58" i="9" s="1"/>
  <c r="EK58" i="9"/>
  <c r="EJ58" i="9"/>
  <c r="EI58" i="9"/>
  <c r="EH58" i="9"/>
  <c r="EG58" i="9"/>
  <c r="EF58" i="9"/>
  <c r="EM56" i="9"/>
  <c r="EN56" i="9" s="1"/>
  <c r="EK56" i="9"/>
  <c r="EJ56" i="9"/>
  <c r="EI56" i="9"/>
  <c r="EH56" i="9"/>
  <c r="EG56" i="9"/>
  <c r="EF56" i="9"/>
  <c r="EM55" i="9"/>
  <c r="EN55" i="9" s="1"/>
  <c r="EK55" i="9"/>
  <c r="EJ55" i="9"/>
  <c r="EI55" i="9"/>
  <c r="EH55" i="9"/>
  <c r="EG55" i="9"/>
  <c r="EF55" i="9"/>
  <c r="EM54" i="9"/>
  <c r="EN54" i="9" s="1"/>
  <c r="EK54" i="9"/>
  <c r="EJ54" i="9"/>
  <c r="EI54" i="9"/>
  <c r="EH54" i="9"/>
  <c r="EG54" i="9"/>
  <c r="EF54" i="9"/>
  <c r="EM53" i="9"/>
  <c r="EN53" i="9" s="1"/>
  <c r="EK53" i="9"/>
  <c r="EJ53" i="9"/>
  <c r="EI53" i="9"/>
  <c r="EH53" i="9"/>
  <c r="EG53" i="9"/>
  <c r="EF53" i="9"/>
  <c r="EM52" i="9"/>
  <c r="EN52" i="9" s="1"/>
  <c r="EK52" i="9"/>
  <c r="EJ52" i="9"/>
  <c r="EI52" i="9"/>
  <c r="EH52" i="9"/>
  <c r="EG52" i="9"/>
  <c r="EF52" i="9"/>
  <c r="EM51" i="9"/>
  <c r="EN51" i="9" s="1"/>
  <c r="EK51" i="9"/>
  <c r="EJ51" i="9"/>
  <c r="EI51" i="9"/>
  <c r="EH51" i="9"/>
  <c r="EG51" i="9"/>
  <c r="EF51" i="9"/>
  <c r="EM50" i="9"/>
  <c r="EN50" i="9" s="1"/>
  <c r="EK50" i="9"/>
  <c r="EJ50" i="9"/>
  <c r="EI50" i="9"/>
  <c r="EH50" i="9"/>
  <c r="EG50" i="9"/>
  <c r="EF50" i="9"/>
  <c r="EM48" i="9"/>
  <c r="EN48" i="9" s="1"/>
  <c r="EK48" i="9"/>
  <c r="EJ48" i="9"/>
  <c r="EI48" i="9"/>
  <c r="EH48" i="9"/>
  <c r="EG48" i="9"/>
  <c r="EF48" i="9"/>
  <c r="EM47" i="9"/>
  <c r="EN47" i="9" s="1"/>
  <c r="EK47" i="9"/>
  <c r="EJ47" i="9"/>
  <c r="EI47" i="9"/>
  <c r="EH47" i="9"/>
  <c r="EG47" i="9"/>
  <c r="EF47" i="9"/>
  <c r="EM46" i="9"/>
  <c r="EN46" i="9" s="1"/>
  <c r="EK46" i="9"/>
  <c r="EJ46" i="9"/>
  <c r="EI46" i="9"/>
  <c r="EH46" i="9"/>
  <c r="EG46" i="9"/>
  <c r="EF46" i="9"/>
  <c r="EM45" i="9"/>
  <c r="EN45" i="9" s="1"/>
  <c r="EK45" i="9"/>
  <c r="EJ45" i="9"/>
  <c r="EI45" i="9"/>
  <c r="EH45" i="9"/>
  <c r="EG45" i="9"/>
  <c r="EF45" i="9"/>
  <c r="EM44" i="9"/>
  <c r="EN44" i="9" s="1"/>
  <c r="EK44" i="9"/>
  <c r="EJ44" i="9"/>
  <c r="EI44" i="9"/>
  <c r="EH44" i="9"/>
  <c r="EF44" i="9"/>
  <c r="EM43" i="9"/>
  <c r="EN43" i="9" s="1"/>
  <c r="EK43" i="9"/>
  <c r="EJ43" i="9"/>
  <c r="EI43" i="9"/>
  <c r="EH43" i="9"/>
  <c r="EG43" i="9"/>
  <c r="EF43" i="9"/>
  <c r="EM42" i="9"/>
  <c r="EN42" i="9" s="1"/>
  <c r="EK42" i="9"/>
  <c r="EJ42" i="9"/>
  <c r="EI42" i="9"/>
  <c r="EH42" i="9"/>
  <c r="EG42" i="9"/>
  <c r="EF42" i="9"/>
  <c r="EM41" i="9"/>
  <c r="EN41" i="9" s="1"/>
  <c r="EK41" i="9"/>
  <c r="EJ41" i="9"/>
  <c r="EI41" i="9"/>
  <c r="EH41" i="9"/>
  <c r="EG41" i="9"/>
  <c r="EF41" i="9"/>
  <c r="EM40" i="9"/>
  <c r="EN40" i="9" s="1"/>
  <c r="EK40" i="9"/>
  <c r="EJ40" i="9"/>
  <c r="EI40" i="9"/>
  <c r="EH40" i="9"/>
  <c r="EG40" i="9"/>
  <c r="EF40" i="9"/>
  <c r="EM39" i="9"/>
  <c r="EN39" i="9" s="1"/>
  <c r="EK39" i="9"/>
  <c r="EJ39" i="9"/>
  <c r="EI39" i="9"/>
  <c r="EH39" i="9"/>
  <c r="EG39" i="9"/>
  <c r="EF39" i="9"/>
  <c r="EM38" i="9"/>
  <c r="EN38" i="9" s="1"/>
  <c r="EK38" i="9"/>
  <c r="EJ38" i="9"/>
  <c r="EI38" i="9"/>
  <c r="EH38" i="9"/>
  <c r="EG38" i="9"/>
  <c r="EF38" i="9"/>
  <c r="EM37" i="9"/>
  <c r="EN37" i="9" s="1"/>
  <c r="EK37" i="9"/>
  <c r="EJ37" i="9"/>
  <c r="EI37" i="9"/>
  <c r="EH37" i="9"/>
  <c r="EG37" i="9"/>
  <c r="EF37" i="9"/>
  <c r="EM36" i="9"/>
  <c r="EN36" i="9" s="1"/>
  <c r="EK36" i="9"/>
  <c r="EJ36" i="9"/>
  <c r="EI36" i="9"/>
  <c r="EH36" i="9"/>
  <c r="EG36" i="9"/>
  <c r="EF36" i="9"/>
  <c r="EM35" i="9"/>
  <c r="EN35" i="9" s="1"/>
  <c r="EK35" i="9"/>
  <c r="EJ35" i="9"/>
  <c r="EI35" i="9"/>
  <c r="EH35" i="9"/>
  <c r="EG35" i="9"/>
  <c r="EF35" i="9"/>
  <c r="EM34" i="9"/>
  <c r="EN34" i="9" s="1"/>
  <c r="EK34" i="9"/>
  <c r="EJ34" i="9"/>
  <c r="EI34" i="9"/>
  <c r="EH34" i="9"/>
  <c r="EG34" i="9"/>
  <c r="EF34" i="9"/>
  <c r="EM32" i="9"/>
  <c r="EN32" i="9" s="1"/>
  <c r="EK32" i="9"/>
  <c r="EJ32" i="9"/>
  <c r="EI32" i="9"/>
  <c r="EH32" i="9"/>
  <c r="EG32" i="9"/>
  <c r="EF32" i="9"/>
  <c r="EM31" i="9"/>
  <c r="EN31" i="9" s="1"/>
  <c r="EK31" i="9"/>
  <c r="EJ31" i="9"/>
  <c r="EI31" i="9"/>
  <c r="EH31" i="9"/>
  <c r="EG31" i="9"/>
  <c r="EF31" i="9"/>
  <c r="EM30" i="9"/>
  <c r="EN30" i="9" s="1"/>
  <c r="EK30" i="9"/>
  <c r="EJ30" i="9"/>
  <c r="EI30" i="9"/>
  <c r="EH30" i="9"/>
  <c r="EG30" i="9"/>
  <c r="EF30" i="9"/>
  <c r="EM29" i="9"/>
  <c r="EN29" i="9" s="1"/>
  <c r="EK29" i="9"/>
  <c r="EJ29" i="9"/>
  <c r="EI29" i="9"/>
  <c r="EH29" i="9"/>
  <c r="EG29" i="9"/>
  <c r="EF29" i="9"/>
  <c r="EM28" i="9"/>
  <c r="EN28" i="9" s="1"/>
  <c r="EK28" i="9"/>
  <c r="EJ28" i="9"/>
  <c r="EH28" i="9"/>
  <c r="EF28" i="9"/>
  <c r="EM27" i="9"/>
  <c r="EN27" i="9" s="1"/>
  <c r="EK27" i="9"/>
  <c r="EJ27" i="9"/>
  <c r="EI27" i="9"/>
  <c r="EH27" i="9"/>
  <c r="EG27" i="9"/>
  <c r="EF27" i="9"/>
  <c r="EM26" i="9"/>
  <c r="EN26" i="9" s="1"/>
  <c r="EK26" i="9"/>
  <c r="EJ26" i="9"/>
  <c r="EI26" i="9"/>
  <c r="EH26" i="9"/>
  <c r="EG26" i="9"/>
  <c r="EF26" i="9"/>
  <c r="EM25" i="9"/>
  <c r="EN25" i="9" s="1"/>
  <c r="EK25" i="9"/>
  <c r="EJ25" i="9"/>
  <c r="EI25" i="9"/>
  <c r="EH25" i="9"/>
  <c r="EG25" i="9"/>
  <c r="EF25" i="9"/>
  <c r="EM24" i="9"/>
  <c r="EN24" i="9" s="1"/>
  <c r="EK24" i="9"/>
  <c r="EJ24" i="9"/>
  <c r="EI24" i="9"/>
  <c r="EH24" i="9"/>
  <c r="EG24" i="9"/>
  <c r="EF24" i="9"/>
  <c r="EM23" i="9"/>
  <c r="EN23" i="9" s="1"/>
  <c r="EK23" i="9"/>
  <c r="EJ23" i="9"/>
  <c r="EI23" i="9"/>
  <c r="EH23" i="9"/>
  <c r="EG23" i="9"/>
  <c r="EF23" i="9"/>
  <c r="EM22" i="9"/>
  <c r="EN22" i="9" s="1"/>
  <c r="EK22" i="9"/>
  <c r="EJ22" i="9"/>
  <c r="EI22" i="9"/>
  <c r="EH22" i="9"/>
  <c r="EG22" i="9"/>
  <c r="EF22" i="9"/>
  <c r="EM21" i="9"/>
  <c r="EN21" i="9" s="1"/>
  <c r="EK21" i="9"/>
  <c r="EJ21" i="9"/>
  <c r="EI21" i="9"/>
  <c r="EH21" i="9"/>
  <c r="EG21" i="9"/>
  <c r="EF21" i="9"/>
  <c r="EM20" i="9"/>
  <c r="EN20" i="9" s="1"/>
  <c r="EK20" i="9"/>
  <c r="EJ20" i="9"/>
  <c r="EI20" i="9"/>
  <c r="EH20" i="9"/>
  <c r="EG20" i="9"/>
  <c r="EF20" i="9"/>
  <c r="EM19" i="9"/>
  <c r="EN19" i="9" s="1"/>
  <c r="EK19" i="9"/>
  <c r="EJ19" i="9"/>
  <c r="EI19" i="9"/>
  <c r="EH19" i="9"/>
  <c r="EG19" i="9"/>
  <c r="EF19" i="9"/>
  <c r="EM17" i="9"/>
  <c r="EN17" i="9" s="1"/>
  <c r="EK17" i="9"/>
  <c r="EJ17" i="9"/>
  <c r="EI17" i="9"/>
  <c r="EH17" i="9"/>
  <c r="EG17" i="9"/>
  <c r="EF17" i="9"/>
  <c r="EM16" i="9"/>
  <c r="EN16" i="9" s="1"/>
  <c r="EK16" i="9"/>
  <c r="EJ16" i="9"/>
  <c r="EI16" i="9"/>
  <c r="EH16" i="9"/>
  <c r="EG16" i="9"/>
  <c r="EF16" i="9"/>
  <c r="EM15" i="9"/>
  <c r="EN15" i="9" s="1"/>
  <c r="EK15" i="9"/>
  <c r="EJ15" i="9"/>
  <c r="EI15" i="9"/>
  <c r="EH15" i="9"/>
  <c r="EG15" i="9"/>
  <c r="EF15" i="9"/>
  <c r="EM14" i="9"/>
  <c r="EN14" i="9" s="1"/>
  <c r="EK14" i="9"/>
  <c r="EJ14" i="9"/>
  <c r="EI14" i="9"/>
  <c r="EH14" i="9"/>
  <c r="EG14" i="9"/>
  <c r="EF14" i="9"/>
  <c r="EM13" i="9"/>
  <c r="EN13" i="9" s="1"/>
  <c r="EK13" i="9"/>
  <c r="EJ13" i="9"/>
  <c r="EI13" i="9"/>
  <c r="EH13" i="9"/>
  <c r="EG13" i="9"/>
  <c r="EF13" i="9"/>
  <c r="EM12" i="9"/>
  <c r="EN12" i="9" s="1"/>
  <c r="EK12" i="9"/>
  <c r="EJ12" i="9"/>
  <c r="EI12" i="9"/>
  <c r="EH12" i="9"/>
  <c r="EG12" i="9"/>
  <c r="EF12" i="9"/>
  <c r="EM11" i="9"/>
  <c r="EK11" i="9"/>
  <c r="EJ11" i="9"/>
  <c r="EI11" i="9"/>
  <c r="EH11" i="9"/>
  <c r="EG11" i="9"/>
  <c r="EF11" i="9"/>
  <c r="EB7" i="9"/>
  <c r="EB2" i="9"/>
  <c r="DZ91" i="9" s="1"/>
  <c r="DH91" i="9"/>
  <c r="DM88" i="9"/>
  <c r="DP92" i="9" s="1"/>
  <c r="DN82" i="9"/>
  <c r="DN84" i="9" s="1"/>
  <c r="DV80" i="9"/>
  <c r="DW80" i="9" s="1"/>
  <c r="DT80" i="9"/>
  <c r="DS80" i="9"/>
  <c r="DR80" i="9"/>
  <c r="DQ80" i="9"/>
  <c r="DP80" i="9"/>
  <c r="DO80" i="9"/>
  <c r="DV79" i="9"/>
  <c r="DW79" i="9" s="1"/>
  <c r="DT79" i="9"/>
  <c r="DS79" i="9"/>
  <c r="DR79" i="9"/>
  <c r="DQ79" i="9"/>
  <c r="DP79" i="9"/>
  <c r="DO79" i="9"/>
  <c r="DV78" i="9"/>
  <c r="DW78" i="9" s="1"/>
  <c r="DT78" i="9"/>
  <c r="DS78" i="9"/>
  <c r="DR78" i="9"/>
  <c r="DQ78" i="9"/>
  <c r="DP78" i="9"/>
  <c r="DO78" i="9"/>
  <c r="DV77" i="9"/>
  <c r="DW77" i="9" s="1"/>
  <c r="DT77" i="9"/>
  <c r="DS77" i="9"/>
  <c r="DR77" i="9"/>
  <c r="DQ77" i="9"/>
  <c r="DP77" i="9"/>
  <c r="DO77" i="9"/>
  <c r="DV76" i="9"/>
  <c r="DW76" i="9" s="1"/>
  <c r="DT76" i="9"/>
  <c r="DS76" i="9"/>
  <c r="DR76" i="9"/>
  <c r="DQ76" i="9"/>
  <c r="DP76" i="9"/>
  <c r="DO76" i="9"/>
  <c r="DV75" i="9"/>
  <c r="DW75" i="9" s="1"/>
  <c r="DT75" i="9"/>
  <c r="DS75" i="9"/>
  <c r="DR75" i="9"/>
  <c r="DQ75" i="9"/>
  <c r="DP75" i="9"/>
  <c r="DO75" i="9"/>
  <c r="DV74" i="9"/>
  <c r="DW74" i="9" s="1"/>
  <c r="DT74" i="9"/>
  <c r="DS74" i="9"/>
  <c r="DR74" i="9"/>
  <c r="DQ74" i="9"/>
  <c r="DP74" i="9"/>
  <c r="DO74" i="9"/>
  <c r="DV73" i="9"/>
  <c r="DW73" i="9" s="1"/>
  <c r="DT73" i="9"/>
  <c r="DS73" i="9"/>
  <c r="DR73" i="9"/>
  <c r="DQ73" i="9"/>
  <c r="DP73" i="9"/>
  <c r="DO73" i="9"/>
  <c r="DV72" i="9"/>
  <c r="DW72" i="9" s="1"/>
  <c r="DT72" i="9"/>
  <c r="DS72" i="9"/>
  <c r="DR72" i="9"/>
  <c r="DQ72" i="9"/>
  <c r="DP72" i="9"/>
  <c r="DO72" i="9"/>
  <c r="DV71" i="9"/>
  <c r="DW71" i="9" s="1"/>
  <c r="DT71" i="9"/>
  <c r="DS71" i="9"/>
  <c r="DR71" i="9"/>
  <c r="DQ71" i="9"/>
  <c r="DP71" i="9"/>
  <c r="DO71" i="9"/>
  <c r="DV70" i="9"/>
  <c r="DW70" i="9" s="1"/>
  <c r="DT70" i="9"/>
  <c r="DS70" i="9"/>
  <c r="DR70" i="9"/>
  <c r="DQ70" i="9"/>
  <c r="DP70" i="9"/>
  <c r="DO70" i="9"/>
  <c r="DV69" i="9"/>
  <c r="DW69" i="9" s="1"/>
  <c r="DT69" i="9"/>
  <c r="DS69" i="9"/>
  <c r="DR69" i="9"/>
  <c r="DQ69" i="9"/>
  <c r="DP69" i="9"/>
  <c r="DO69" i="9"/>
  <c r="DV68" i="9"/>
  <c r="DW68" i="9" s="1"/>
  <c r="DT68" i="9"/>
  <c r="DS68" i="9"/>
  <c r="DR68" i="9"/>
  <c r="DQ68" i="9"/>
  <c r="DP68" i="9"/>
  <c r="DO68" i="9"/>
  <c r="DV67" i="9"/>
  <c r="DW67" i="9" s="1"/>
  <c r="DT67" i="9"/>
  <c r="DS67" i="9"/>
  <c r="DR67" i="9"/>
  <c r="DQ67" i="9"/>
  <c r="DP67" i="9"/>
  <c r="DO67" i="9"/>
  <c r="DV65" i="9"/>
  <c r="DW65" i="9" s="1"/>
  <c r="DT65" i="9"/>
  <c r="DS65" i="9"/>
  <c r="DR65" i="9"/>
  <c r="DQ65" i="9"/>
  <c r="DP65" i="9"/>
  <c r="DO65" i="9"/>
  <c r="DV64" i="9"/>
  <c r="DW64" i="9" s="1"/>
  <c r="DT64" i="9"/>
  <c r="DS64" i="9"/>
  <c r="DR64" i="9"/>
  <c r="DQ64" i="9"/>
  <c r="DP64" i="9"/>
  <c r="DO64" i="9"/>
  <c r="DV62" i="9"/>
  <c r="DW62" i="9" s="1"/>
  <c r="DT62" i="9"/>
  <c r="DS62" i="9"/>
  <c r="DR62" i="9"/>
  <c r="DQ62" i="9"/>
  <c r="DP62" i="9"/>
  <c r="DO62" i="9"/>
  <c r="DV61" i="9"/>
  <c r="DW61" i="9" s="1"/>
  <c r="DT61" i="9"/>
  <c r="DS61" i="9"/>
  <c r="DR61" i="9"/>
  <c r="DQ61" i="9"/>
  <c r="DP61" i="9"/>
  <c r="DO61" i="9"/>
  <c r="DV60" i="9"/>
  <c r="DW60" i="9" s="1"/>
  <c r="DT60" i="9"/>
  <c r="DS60" i="9"/>
  <c r="DR60" i="9"/>
  <c r="DQ60" i="9"/>
  <c r="DP60" i="9"/>
  <c r="DO60" i="9"/>
  <c r="DV59" i="9"/>
  <c r="DW59" i="9" s="1"/>
  <c r="DT59" i="9"/>
  <c r="DS59" i="9"/>
  <c r="DR59" i="9"/>
  <c r="DQ59" i="9"/>
  <c r="DP59" i="9"/>
  <c r="DO59" i="9"/>
  <c r="DV58" i="9"/>
  <c r="DW58" i="9" s="1"/>
  <c r="DT58" i="9"/>
  <c r="DS58" i="9"/>
  <c r="DR58" i="9"/>
  <c r="DQ58" i="9"/>
  <c r="DP58" i="9"/>
  <c r="DO58" i="9"/>
  <c r="DV56" i="9"/>
  <c r="DW56" i="9" s="1"/>
  <c r="DT56" i="9"/>
  <c r="DS56" i="9"/>
  <c r="DR56" i="9"/>
  <c r="DQ56" i="9"/>
  <c r="DP56" i="9"/>
  <c r="DO56" i="9"/>
  <c r="DV55" i="9"/>
  <c r="DW55" i="9" s="1"/>
  <c r="DT55" i="9"/>
  <c r="DS55" i="9"/>
  <c r="DR55" i="9"/>
  <c r="DQ55" i="9"/>
  <c r="DP55" i="9"/>
  <c r="DO55" i="9"/>
  <c r="DV54" i="9"/>
  <c r="DW54" i="9" s="1"/>
  <c r="DT54" i="9"/>
  <c r="DS54" i="9"/>
  <c r="DR54" i="9"/>
  <c r="DQ54" i="9"/>
  <c r="DP54" i="9"/>
  <c r="DO54" i="9"/>
  <c r="DV53" i="9"/>
  <c r="DW53" i="9" s="1"/>
  <c r="DT53" i="9"/>
  <c r="DS53" i="9"/>
  <c r="DR53" i="9"/>
  <c r="DQ53" i="9"/>
  <c r="DP53" i="9"/>
  <c r="DO53" i="9"/>
  <c r="DV52" i="9"/>
  <c r="DW52" i="9" s="1"/>
  <c r="DT52" i="9"/>
  <c r="DS52" i="9"/>
  <c r="DR52" i="9"/>
  <c r="DQ52" i="9"/>
  <c r="DP52" i="9"/>
  <c r="DO52" i="9"/>
  <c r="DV51" i="9"/>
  <c r="DW51" i="9" s="1"/>
  <c r="DT51" i="9"/>
  <c r="DS51" i="9"/>
  <c r="DR51" i="9"/>
  <c r="DQ51" i="9"/>
  <c r="DP51" i="9"/>
  <c r="DO51" i="9"/>
  <c r="DV50" i="9"/>
  <c r="DW50" i="9" s="1"/>
  <c r="DT50" i="9"/>
  <c r="DS50" i="9"/>
  <c r="DR50" i="9"/>
  <c r="DQ50" i="9"/>
  <c r="DP50" i="9"/>
  <c r="DO50" i="9"/>
  <c r="DV48" i="9"/>
  <c r="DW48" i="9" s="1"/>
  <c r="DT48" i="9"/>
  <c r="DS48" i="9"/>
  <c r="DR48" i="9"/>
  <c r="DQ48" i="9"/>
  <c r="DP48" i="9"/>
  <c r="DO48" i="9"/>
  <c r="DV47" i="9"/>
  <c r="DW47" i="9" s="1"/>
  <c r="DT47" i="9"/>
  <c r="DS47" i="9"/>
  <c r="DR47" i="9"/>
  <c r="DQ47" i="9"/>
  <c r="DP47" i="9"/>
  <c r="DO47" i="9"/>
  <c r="DV46" i="9"/>
  <c r="DW46" i="9" s="1"/>
  <c r="DT46" i="9"/>
  <c r="DS46" i="9"/>
  <c r="DR46" i="9"/>
  <c r="DQ46" i="9"/>
  <c r="DP46" i="9"/>
  <c r="DO46" i="9"/>
  <c r="DV45" i="9"/>
  <c r="DW45" i="9" s="1"/>
  <c r="DT45" i="9"/>
  <c r="DS45" i="9"/>
  <c r="DR45" i="9"/>
  <c r="DQ45" i="9"/>
  <c r="DP45" i="9"/>
  <c r="DO45" i="9"/>
  <c r="DV44" i="9"/>
  <c r="DW44" i="9" s="1"/>
  <c r="DT44" i="9"/>
  <c r="DS44" i="9"/>
  <c r="DR44" i="9"/>
  <c r="DQ44" i="9"/>
  <c r="DP44" i="9"/>
  <c r="DO44" i="9"/>
  <c r="DV43" i="9"/>
  <c r="DW43" i="9" s="1"/>
  <c r="DT43" i="9"/>
  <c r="DS43" i="9"/>
  <c r="DR43" i="9"/>
  <c r="DQ43" i="9"/>
  <c r="DP43" i="9"/>
  <c r="DO43" i="9"/>
  <c r="DV42" i="9"/>
  <c r="DW42" i="9" s="1"/>
  <c r="DT42" i="9"/>
  <c r="DS42" i="9"/>
  <c r="DR42" i="9"/>
  <c r="DQ42" i="9"/>
  <c r="DP42" i="9"/>
  <c r="DO42" i="9"/>
  <c r="DV41" i="9"/>
  <c r="DW41" i="9" s="1"/>
  <c r="DT41" i="9"/>
  <c r="DS41" i="9"/>
  <c r="DR41" i="9"/>
  <c r="DQ41" i="9"/>
  <c r="DP41" i="9"/>
  <c r="DO41" i="9"/>
  <c r="DV40" i="9"/>
  <c r="DW40" i="9" s="1"/>
  <c r="DT40" i="9"/>
  <c r="DS40" i="9"/>
  <c r="DR40" i="9"/>
  <c r="DQ40" i="9"/>
  <c r="DP40" i="9"/>
  <c r="DO40" i="9"/>
  <c r="DV39" i="9"/>
  <c r="DW39" i="9" s="1"/>
  <c r="DT39" i="9"/>
  <c r="DS39" i="9"/>
  <c r="DR39" i="9"/>
  <c r="DQ39" i="9"/>
  <c r="DP39" i="9"/>
  <c r="DO39" i="9"/>
  <c r="DV38" i="9"/>
  <c r="DW38" i="9" s="1"/>
  <c r="DT38" i="9"/>
  <c r="DS38" i="9"/>
  <c r="DR38" i="9"/>
  <c r="DQ38" i="9"/>
  <c r="DP38" i="9"/>
  <c r="DO38" i="9"/>
  <c r="DV37" i="9"/>
  <c r="DW37" i="9" s="1"/>
  <c r="DT37" i="9"/>
  <c r="DS37" i="9"/>
  <c r="DR37" i="9"/>
  <c r="DQ37" i="9"/>
  <c r="DP37" i="9"/>
  <c r="DO37" i="9"/>
  <c r="DV36" i="9"/>
  <c r="DW36" i="9" s="1"/>
  <c r="DT36" i="9"/>
  <c r="DS36" i="9"/>
  <c r="DR36" i="9"/>
  <c r="DQ36" i="9"/>
  <c r="DP36" i="9"/>
  <c r="DO36" i="9"/>
  <c r="DV35" i="9"/>
  <c r="DW35" i="9" s="1"/>
  <c r="DT35" i="9"/>
  <c r="DS35" i="9"/>
  <c r="DR35" i="9"/>
  <c r="DQ35" i="9"/>
  <c r="DP35" i="9"/>
  <c r="DO35" i="9"/>
  <c r="DV34" i="9"/>
  <c r="DW34" i="9" s="1"/>
  <c r="DT34" i="9"/>
  <c r="DS34" i="9"/>
  <c r="DR34" i="9"/>
  <c r="DQ34" i="9"/>
  <c r="DP34" i="9"/>
  <c r="DO34" i="9"/>
  <c r="DV32" i="9"/>
  <c r="DW32" i="9" s="1"/>
  <c r="DT32" i="9"/>
  <c r="DS32" i="9"/>
  <c r="DR32" i="9"/>
  <c r="DQ32" i="9"/>
  <c r="DP32" i="9"/>
  <c r="DO32" i="9"/>
  <c r="DV31" i="9"/>
  <c r="DW31" i="9" s="1"/>
  <c r="DT31" i="9"/>
  <c r="DS31" i="9"/>
  <c r="DR31" i="9"/>
  <c r="DQ31" i="9"/>
  <c r="DP31" i="9"/>
  <c r="DO31" i="9"/>
  <c r="DV30" i="9"/>
  <c r="DW30" i="9" s="1"/>
  <c r="DT30" i="9"/>
  <c r="DS30" i="9"/>
  <c r="DR30" i="9"/>
  <c r="DQ30" i="9"/>
  <c r="DP30" i="9"/>
  <c r="DO30" i="9"/>
  <c r="DV29" i="9"/>
  <c r="DW29" i="9" s="1"/>
  <c r="DT29" i="9"/>
  <c r="DS29" i="9"/>
  <c r="DR29" i="9"/>
  <c r="DQ29" i="9"/>
  <c r="DP29" i="9"/>
  <c r="DO29" i="9"/>
  <c r="DV28" i="9"/>
  <c r="DW28" i="9" s="1"/>
  <c r="DT28" i="9"/>
  <c r="DS28" i="9"/>
  <c r="DQ28" i="9"/>
  <c r="DO28" i="9"/>
  <c r="DV27" i="9"/>
  <c r="DW27" i="9" s="1"/>
  <c r="DT27" i="9"/>
  <c r="DS27" i="9"/>
  <c r="DR27" i="9"/>
  <c r="DQ27" i="9"/>
  <c r="DP27" i="9"/>
  <c r="DO27" i="9"/>
  <c r="DV26" i="9"/>
  <c r="DW26" i="9" s="1"/>
  <c r="DT26" i="9"/>
  <c r="DS26" i="9"/>
  <c r="DR26" i="9"/>
  <c r="DQ26" i="9"/>
  <c r="DP26" i="9"/>
  <c r="DO26" i="9"/>
  <c r="DV25" i="9"/>
  <c r="DW25" i="9" s="1"/>
  <c r="DT25" i="9"/>
  <c r="DS25" i="9"/>
  <c r="DR25" i="9"/>
  <c r="DQ25" i="9"/>
  <c r="DP25" i="9"/>
  <c r="DO25" i="9"/>
  <c r="DV24" i="9"/>
  <c r="DW24" i="9" s="1"/>
  <c r="DT24" i="9"/>
  <c r="DS24" i="9"/>
  <c r="DR24" i="9"/>
  <c r="DQ24" i="9"/>
  <c r="DP24" i="9"/>
  <c r="DO24" i="9"/>
  <c r="DV23" i="9"/>
  <c r="DW23" i="9" s="1"/>
  <c r="DT23" i="9"/>
  <c r="DS23" i="9"/>
  <c r="DR23" i="9"/>
  <c r="DQ23" i="9"/>
  <c r="DP23" i="9"/>
  <c r="DO23" i="9"/>
  <c r="DV22" i="9"/>
  <c r="DW22" i="9" s="1"/>
  <c r="DT22" i="9"/>
  <c r="DS22" i="9"/>
  <c r="DR22" i="9"/>
  <c r="DQ22" i="9"/>
  <c r="DP22" i="9"/>
  <c r="DO22" i="9"/>
  <c r="DV21" i="9"/>
  <c r="DW21" i="9" s="1"/>
  <c r="DT21" i="9"/>
  <c r="DS21" i="9"/>
  <c r="DR21" i="9"/>
  <c r="DQ21" i="9"/>
  <c r="DP21" i="9"/>
  <c r="DO21" i="9"/>
  <c r="DV20" i="9"/>
  <c r="DW20" i="9" s="1"/>
  <c r="DT20" i="9"/>
  <c r="DS20" i="9"/>
  <c r="DR20" i="9"/>
  <c r="DQ20" i="9"/>
  <c r="DP20" i="9"/>
  <c r="DO20" i="9"/>
  <c r="DV19" i="9"/>
  <c r="DW19" i="9" s="1"/>
  <c r="DT19" i="9"/>
  <c r="DS19" i="9"/>
  <c r="DR19" i="9"/>
  <c r="DQ19" i="9"/>
  <c r="DP19" i="9"/>
  <c r="DO19" i="9"/>
  <c r="DV17" i="9"/>
  <c r="DW17" i="9" s="1"/>
  <c r="DT17" i="9"/>
  <c r="DS17" i="9"/>
  <c r="DR17" i="9"/>
  <c r="DQ17" i="9"/>
  <c r="DP17" i="9"/>
  <c r="DO17" i="9"/>
  <c r="DV16" i="9"/>
  <c r="DW16" i="9" s="1"/>
  <c r="DT16" i="9"/>
  <c r="DS16" i="9"/>
  <c r="DR16" i="9"/>
  <c r="DQ16" i="9"/>
  <c r="DP16" i="9"/>
  <c r="DO16" i="9"/>
  <c r="DV15" i="9"/>
  <c r="DW15" i="9" s="1"/>
  <c r="DT15" i="9"/>
  <c r="DS15" i="9"/>
  <c r="DR15" i="9"/>
  <c r="DQ15" i="9"/>
  <c r="DP15" i="9"/>
  <c r="DO15" i="9"/>
  <c r="DV14" i="9"/>
  <c r="DW14" i="9" s="1"/>
  <c r="DT14" i="9"/>
  <c r="DS14" i="9"/>
  <c r="DR14" i="9"/>
  <c r="DQ14" i="9"/>
  <c r="DP14" i="9"/>
  <c r="DO14" i="9"/>
  <c r="DV13" i="9"/>
  <c r="DW13" i="9" s="1"/>
  <c r="DT13" i="9"/>
  <c r="DS13" i="9"/>
  <c r="DR13" i="9"/>
  <c r="DQ13" i="9"/>
  <c r="DP13" i="9"/>
  <c r="DO13" i="9"/>
  <c r="DV12" i="9"/>
  <c r="DW12" i="9" s="1"/>
  <c r="DT12" i="9"/>
  <c r="DS12" i="9"/>
  <c r="DR12" i="9"/>
  <c r="DQ12" i="9"/>
  <c r="DP12" i="9"/>
  <c r="DO12" i="9"/>
  <c r="DV11" i="9"/>
  <c r="DT11" i="9"/>
  <c r="DS11" i="9"/>
  <c r="DR11" i="9"/>
  <c r="DQ11" i="9"/>
  <c r="DP11" i="9"/>
  <c r="DO11" i="9"/>
  <c r="DK7" i="9"/>
  <c r="DK2" i="9"/>
  <c r="DI91" i="9" s="1"/>
  <c r="CQ91" i="9"/>
  <c r="CV88" i="9"/>
  <c r="CY92" i="9" s="1"/>
  <c r="CW82" i="9"/>
  <c r="CW84" i="9" s="1"/>
  <c r="DE80" i="9"/>
  <c r="DF80" i="9" s="1"/>
  <c r="DC80" i="9"/>
  <c r="DB80" i="9"/>
  <c r="DA80" i="9"/>
  <c r="CZ80" i="9"/>
  <c r="CY80" i="9"/>
  <c r="CX80" i="9"/>
  <c r="DE79" i="9"/>
  <c r="DF79" i="9" s="1"/>
  <c r="DC79" i="9"/>
  <c r="DB79" i="9"/>
  <c r="DA79" i="9"/>
  <c r="CZ79" i="9"/>
  <c r="CY79" i="9"/>
  <c r="CX79" i="9"/>
  <c r="DE78" i="9"/>
  <c r="DF78" i="9" s="1"/>
  <c r="DC78" i="9"/>
  <c r="DB78" i="9"/>
  <c r="DA78" i="9"/>
  <c r="CZ78" i="9"/>
  <c r="CY78" i="9"/>
  <c r="CX78" i="9"/>
  <c r="DE77" i="9"/>
  <c r="DF77" i="9" s="1"/>
  <c r="DC77" i="9"/>
  <c r="DB77" i="9"/>
  <c r="DA77" i="9"/>
  <c r="CZ77" i="9"/>
  <c r="CY77" i="9"/>
  <c r="CX77" i="9"/>
  <c r="DE76" i="9"/>
  <c r="DF76" i="9" s="1"/>
  <c r="DC76" i="9"/>
  <c r="DB76" i="9"/>
  <c r="DA76" i="9"/>
  <c r="CZ76" i="9"/>
  <c r="CY76" i="9"/>
  <c r="CX76" i="9"/>
  <c r="DE75" i="9"/>
  <c r="DF75" i="9" s="1"/>
  <c r="DC75" i="9"/>
  <c r="DB75" i="9"/>
  <c r="DA75" i="9"/>
  <c r="CZ75" i="9"/>
  <c r="CY75" i="9"/>
  <c r="CX75" i="9"/>
  <c r="DE74" i="9"/>
  <c r="DF74" i="9" s="1"/>
  <c r="DC74" i="9"/>
  <c r="DB74" i="9"/>
  <c r="DA74" i="9"/>
  <c r="CZ74" i="9"/>
  <c r="CY74" i="9"/>
  <c r="CX74" i="9"/>
  <c r="DE73" i="9"/>
  <c r="DF73" i="9" s="1"/>
  <c r="DC73" i="9"/>
  <c r="DB73" i="9"/>
  <c r="DA73" i="9"/>
  <c r="CZ73" i="9"/>
  <c r="CY73" i="9"/>
  <c r="CX73" i="9"/>
  <c r="DE72" i="9"/>
  <c r="DF72" i="9" s="1"/>
  <c r="DC72" i="9"/>
  <c r="DB72" i="9"/>
  <c r="DA72" i="9"/>
  <c r="CZ72" i="9"/>
  <c r="CY72" i="9"/>
  <c r="CX72" i="9"/>
  <c r="DE71" i="9"/>
  <c r="DF71" i="9" s="1"/>
  <c r="DC71" i="9"/>
  <c r="DB71" i="9"/>
  <c r="DA71" i="9"/>
  <c r="CZ71" i="9"/>
  <c r="CY71" i="9"/>
  <c r="CX71" i="9"/>
  <c r="DE70" i="9"/>
  <c r="DF70" i="9" s="1"/>
  <c r="DC70" i="9"/>
  <c r="DB70" i="9"/>
  <c r="DA70" i="9"/>
  <c r="CZ70" i="9"/>
  <c r="CY70" i="9"/>
  <c r="CX70" i="9"/>
  <c r="DE69" i="9"/>
  <c r="DF69" i="9" s="1"/>
  <c r="DC69" i="9"/>
  <c r="DB69" i="9"/>
  <c r="DA69" i="9"/>
  <c r="CZ69" i="9"/>
  <c r="CY69" i="9"/>
  <c r="CX69" i="9"/>
  <c r="DE68" i="9"/>
  <c r="DF68" i="9" s="1"/>
  <c r="DC68" i="9"/>
  <c r="DB68" i="9"/>
  <c r="DA68" i="9"/>
  <c r="CZ68" i="9"/>
  <c r="CY68" i="9"/>
  <c r="CX68" i="9"/>
  <c r="DE67" i="9"/>
  <c r="DF67" i="9" s="1"/>
  <c r="DC67" i="9"/>
  <c r="DB67" i="9"/>
  <c r="DA67" i="9"/>
  <c r="CZ67" i="9"/>
  <c r="CY67" i="9"/>
  <c r="CX67" i="9"/>
  <c r="DE65" i="9"/>
  <c r="DF65" i="9" s="1"/>
  <c r="DC65" i="9"/>
  <c r="DB65" i="9"/>
  <c r="DA65" i="9"/>
  <c r="CZ65" i="9"/>
  <c r="CY65" i="9"/>
  <c r="CX65" i="9"/>
  <c r="DE64" i="9"/>
  <c r="DF64" i="9" s="1"/>
  <c r="DC64" i="9"/>
  <c r="DB64" i="9"/>
  <c r="DA64" i="9"/>
  <c r="CZ64" i="9"/>
  <c r="CY64" i="9"/>
  <c r="CX64" i="9"/>
  <c r="DE62" i="9"/>
  <c r="DF62" i="9" s="1"/>
  <c r="DC62" i="9"/>
  <c r="DB62" i="9"/>
  <c r="DA62" i="9"/>
  <c r="CZ62" i="9"/>
  <c r="CY62" i="9"/>
  <c r="CX62" i="9"/>
  <c r="DE61" i="9"/>
  <c r="DF61" i="9" s="1"/>
  <c r="DC61" i="9"/>
  <c r="DB61" i="9"/>
  <c r="DA61" i="9"/>
  <c r="CZ61" i="9"/>
  <c r="CY61" i="9"/>
  <c r="CX61" i="9"/>
  <c r="DE60" i="9"/>
  <c r="DF60" i="9" s="1"/>
  <c r="DC60" i="9"/>
  <c r="DB60" i="9"/>
  <c r="DA60" i="9"/>
  <c r="CZ60" i="9"/>
  <c r="CY60" i="9"/>
  <c r="CX60" i="9"/>
  <c r="DE59" i="9"/>
  <c r="DF59" i="9" s="1"/>
  <c r="DC59" i="9"/>
  <c r="DB59" i="9"/>
  <c r="DA59" i="9"/>
  <c r="CZ59" i="9"/>
  <c r="CY59" i="9"/>
  <c r="CX59" i="9"/>
  <c r="DE58" i="9"/>
  <c r="DF58" i="9" s="1"/>
  <c r="DC58" i="9"/>
  <c r="DB58" i="9"/>
  <c r="DA58" i="9"/>
  <c r="CZ58" i="9"/>
  <c r="CY58" i="9"/>
  <c r="CX58" i="9"/>
  <c r="DE56" i="9"/>
  <c r="DF56" i="9" s="1"/>
  <c r="DC56" i="9"/>
  <c r="DB56" i="9"/>
  <c r="DA56" i="9"/>
  <c r="CZ56" i="9"/>
  <c r="CY56" i="9"/>
  <c r="CX56" i="9"/>
  <c r="DE55" i="9"/>
  <c r="DF55" i="9" s="1"/>
  <c r="DC55" i="9"/>
  <c r="DB55" i="9"/>
  <c r="DA55" i="9"/>
  <c r="CZ55" i="9"/>
  <c r="CY55" i="9"/>
  <c r="CX55" i="9"/>
  <c r="DE54" i="9"/>
  <c r="DF54" i="9" s="1"/>
  <c r="DC54" i="9"/>
  <c r="DB54" i="9"/>
  <c r="DA54" i="9"/>
  <c r="CZ54" i="9"/>
  <c r="CY54" i="9"/>
  <c r="CX54" i="9"/>
  <c r="DE53" i="9"/>
  <c r="DF53" i="9" s="1"/>
  <c r="DC53" i="9"/>
  <c r="DB53" i="9"/>
  <c r="DA53" i="9"/>
  <c r="CZ53" i="9"/>
  <c r="CY53" i="9"/>
  <c r="CX53" i="9"/>
  <c r="DE52" i="9"/>
  <c r="DF52" i="9" s="1"/>
  <c r="DC52" i="9"/>
  <c r="DB52" i="9"/>
  <c r="DA52" i="9"/>
  <c r="CZ52" i="9"/>
  <c r="CY52" i="9"/>
  <c r="CX52" i="9"/>
  <c r="DE51" i="9"/>
  <c r="DF51" i="9" s="1"/>
  <c r="DC51" i="9"/>
  <c r="DB51" i="9"/>
  <c r="DA51" i="9"/>
  <c r="CZ51" i="9"/>
  <c r="CY51" i="9"/>
  <c r="CX51" i="9"/>
  <c r="DE50" i="9"/>
  <c r="DF50" i="9" s="1"/>
  <c r="DC50" i="9"/>
  <c r="DB50" i="9"/>
  <c r="DA50" i="9"/>
  <c r="CZ50" i="9"/>
  <c r="CY50" i="9"/>
  <c r="CX50" i="9"/>
  <c r="DE48" i="9"/>
  <c r="DF48" i="9" s="1"/>
  <c r="DC48" i="9"/>
  <c r="DB48" i="9"/>
  <c r="DA48" i="9"/>
  <c r="CZ48" i="9"/>
  <c r="CY48" i="9"/>
  <c r="CX48" i="9"/>
  <c r="DE47" i="9"/>
  <c r="DF47" i="9" s="1"/>
  <c r="DC47" i="9"/>
  <c r="DB47" i="9"/>
  <c r="DA47" i="9"/>
  <c r="CZ47" i="9"/>
  <c r="CY47" i="9"/>
  <c r="CX47" i="9"/>
  <c r="DE46" i="9"/>
  <c r="DF46" i="9" s="1"/>
  <c r="DC46" i="9"/>
  <c r="DB46" i="9"/>
  <c r="DA46" i="9"/>
  <c r="CZ46" i="9"/>
  <c r="CY46" i="9"/>
  <c r="CX46" i="9"/>
  <c r="DE45" i="9"/>
  <c r="DF45" i="9" s="1"/>
  <c r="DC45" i="9"/>
  <c r="DB45" i="9"/>
  <c r="DA45" i="9"/>
  <c r="CZ45" i="9"/>
  <c r="CY45" i="9"/>
  <c r="CX45" i="9"/>
  <c r="DE44" i="9"/>
  <c r="DF44" i="9" s="1"/>
  <c r="DC44" i="9"/>
  <c r="DB44" i="9"/>
  <c r="DA44" i="9"/>
  <c r="CZ44" i="9"/>
  <c r="CY44" i="9"/>
  <c r="CX44" i="9"/>
  <c r="DE43" i="9"/>
  <c r="DF43" i="9" s="1"/>
  <c r="DC43" i="9"/>
  <c r="DB43" i="9"/>
  <c r="DA43" i="9"/>
  <c r="CZ43" i="9"/>
  <c r="CY43" i="9"/>
  <c r="CX43" i="9"/>
  <c r="DF42" i="9"/>
  <c r="DE42" i="9"/>
  <c r="DC42" i="9"/>
  <c r="DB42" i="9"/>
  <c r="DA42" i="9"/>
  <c r="CZ42" i="9"/>
  <c r="CY42" i="9"/>
  <c r="CX42" i="9"/>
  <c r="DF41" i="9"/>
  <c r="DE41" i="9"/>
  <c r="DC41" i="9"/>
  <c r="DB41" i="9"/>
  <c r="DA41" i="9"/>
  <c r="CZ41" i="9"/>
  <c r="CY41" i="9"/>
  <c r="CX41" i="9"/>
  <c r="DF40" i="9"/>
  <c r="DE40" i="9"/>
  <c r="DC40" i="9"/>
  <c r="DB40" i="9"/>
  <c r="DA40" i="9"/>
  <c r="CZ40" i="9"/>
  <c r="CY40" i="9"/>
  <c r="CX40" i="9"/>
  <c r="DE39" i="9"/>
  <c r="DF39" i="9" s="1"/>
  <c r="DC39" i="9"/>
  <c r="DB39" i="9"/>
  <c r="DA39" i="9"/>
  <c r="CZ39" i="9"/>
  <c r="CY39" i="9"/>
  <c r="CX39" i="9"/>
  <c r="DE38" i="9"/>
  <c r="DF38" i="9" s="1"/>
  <c r="DC38" i="9"/>
  <c r="DB38" i="9"/>
  <c r="DA38" i="9"/>
  <c r="CZ38" i="9"/>
  <c r="CY38" i="9"/>
  <c r="CX38" i="9"/>
  <c r="DE37" i="9"/>
  <c r="DF37" i="9" s="1"/>
  <c r="DC37" i="9"/>
  <c r="DB37" i="9"/>
  <c r="DA37" i="9"/>
  <c r="CZ37" i="9"/>
  <c r="CY37" i="9"/>
  <c r="CX37" i="9"/>
  <c r="DE36" i="9"/>
  <c r="DF36" i="9" s="1"/>
  <c r="DC36" i="9"/>
  <c r="DB36" i="9"/>
  <c r="DA36" i="9"/>
  <c r="CZ36" i="9"/>
  <c r="CY36" i="9"/>
  <c r="CX36" i="9"/>
  <c r="DE35" i="9"/>
  <c r="DF35" i="9" s="1"/>
  <c r="DC35" i="9"/>
  <c r="DB35" i="9"/>
  <c r="DA35" i="9"/>
  <c r="CZ35" i="9"/>
  <c r="CY35" i="9"/>
  <c r="CX35" i="9"/>
  <c r="DE34" i="9"/>
  <c r="DF34" i="9" s="1"/>
  <c r="DC34" i="9"/>
  <c r="DB34" i="9"/>
  <c r="DA34" i="9"/>
  <c r="CZ34" i="9"/>
  <c r="CY34" i="9"/>
  <c r="CX34" i="9"/>
  <c r="DE32" i="9"/>
  <c r="DF32" i="9" s="1"/>
  <c r="DC32" i="9"/>
  <c r="DB32" i="9"/>
  <c r="DA32" i="9"/>
  <c r="CZ32" i="9"/>
  <c r="CY32" i="9"/>
  <c r="CX32" i="9"/>
  <c r="DE31" i="9"/>
  <c r="DF31" i="9" s="1"/>
  <c r="DC31" i="9"/>
  <c r="DB31" i="9"/>
  <c r="DA31" i="9"/>
  <c r="CZ31" i="9"/>
  <c r="CY31" i="9"/>
  <c r="CX31" i="9"/>
  <c r="DE30" i="9"/>
  <c r="DF30" i="9" s="1"/>
  <c r="DC30" i="9"/>
  <c r="DB30" i="9"/>
  <c r="DA30" i="9"/>
  <c r="CZ30" i="9"/>
  <c r="CY30" i="9"/>
  <c r="CX30" i="9"/>
  <c r="DE29" i="9"/>
  <c r="DF29" i="9" s="1"/>
  <c r="DC29" i="9"/>
  <c r="DB29" i="9"/>
  <c r="DA29" i="9"/>
  <c r="CZ29" i="9"/>
  <c r="CY29" i="9"/>
  <c r="CX29" i="9"/>
  <c r="DE28" i="9"/>
  <c r="DF28" i="9" s="1"/>
  <c r="DC28" i="9"/>
  <c r="DB28" i="9"/>
  <c r="CZ28" i="9"/>
  <c r="CX28" i="9"/>
  <c r="DE27" i="9"/>
  <c r="DF27" i="9" s="1"/>
  <c r="DC27" i="9"/>
  <c r="DB27" i="9"/>
  <c r="DA27" i="9"/>
  <c r="CZ27" i="9"/>
  <c r="CY27" i="9"/>
  <c r="CX27" i="9"/>
  <c r="DE26" i="9"/>
  <c r="DF26" i="9" s="1"/>
  <c r="DC26" i="9"/>
  <c r="DB26" i="9"/>
  <c r="DA26" i="9"/>
  <c r="CZ26" i="9"/>
  <c r="CY26" i="9"/>
  <c r="CX26" i="9"/>
  <c r="DE25" i="9"/>
  <c r="DF25" i="9" s="1"/>
  <c r="DC25" i="9"/>
  <c r="DB25" i="9"/>
  <c r="DA25" i="9"/>
  <c r="CZ25" i="9"/>
  <c r="CY25" i="9"/>
  <c r="CX25" i="9"/>
  <c r="DE24" i="9"/>
  <c r="DF24" i="9" s="1"/>
  <c r="DC24" i="9"/>
  <c r="DB24" i="9"/>
  <c r="DA24" i="9"/>
  <c r="CZ24" i="9"/>
  <c r="CY24" i="9"/>
  <c r="CX24" i="9"/>
  <c r="DE23" i="9"/>
  <c r="DF23" i="9" s="1"/>
  <c r="DC23" i="9"/>
  <c r="DB23" i="9"/>
  <c r="DA23" i="9"/>
  <c r="CZ23" i="9"/>
  <c r="CY23" i="9"/>
  <c r="CX23" i="9"/>
  <c r="DE22" i="9"/>
  <c r="DF22" i="9" s="1"/>
  <c r="DC22" i="9"/>
  <c r="DB22" i="9"/>
  <c r="DA22" i="9"/>
  <c r="CZ22" i="9"/>
  <c r="CY22" i="9"/>
  <c r="CX22" i="9"/>
  <c r="DE21" i="9"/>
  <c r="DF21" i="9" s="1"/>
  <c r="DC21" i="9"/>
  <c r="DB21" i="9"/>
  <c r="DA21" i="9"/>
  <c r="CZ21" i="9"/>
  <c r="CY21" i="9"/>
  <c r="CX21" i="9"/>
  <c r="DE20" i="9"/>
  <c r="DF20" i="9" s="1"/>
  <c r="DC20" i="9"/>
  <c r="DB20" i="9"/>
  <c r="DA20" i="9"/>
  <c r="CZ20" i="9"/>
  <c r="CY20" i="9"/>
  <c r="CX20" i="9"/>
  <c r="DE19" i="9"/>
  <c r="DF19" i="9" s="1"/>
  <c r="DC19" i="9"/>
  <c r="DB19" i="9"/>
  <c r="DA19" i="9"/>
  <c r="CZ19" i="9"/>
  <c r="CY19" i="9"/>
  <c r="CX19" i="9"/>
  <c r="DE17" i="9"/>
  <c r="DF17" i="9" s="1"/>
  <c r="DC17" i="9"/>
  <c r="DB17" i="9"/>
  <c r="DA17" i="9"/>
  <c r="CZ17" i="9"/>
  <c r="CY17" i="9"/>
  <c r="CX17" i="9"/>
  <c r="DE16" i="9"/>
  <c r="DF16" i="9" s="1"/>
  <c r="DC16" i="9"/>
  <c r="DB16" i="9"/>
  <c r="DA16" i="9"/>
  <c r="CZ16" i="9"/>
  <c r="CY16" i="9"/>
  <c r="CX16" i="9"/>
  <c r="DE15" i="9"/>
  <c r="DF15" i="9" s="1"/>
  <c r="DC15" i="9"/>
  <c r="DB15" i="9"/>
  <c r="DA15" i="9"/>
  <c r="CZ15" i="9"/>
  <c r="CY15" i="9"/>
  <c r="CX15" i="9"/>
  <c r="DE14" i="9"/>
  <c r="DF14" i="9" s="1"/>
  <c r="DC14" i="9"/>
  <c r="DB14" i="9"/>
  <c r="DA14" i="9"/>
  <c r="CZ14" i="9"/>
  <c r="CY14" i="9"/>
  <c r="CX14" i="9"/>
  <c r="DE13" i="9"/>
  <c r="DF13" i="9" s="1"/>
  <c r="DC13" i="9"/>
  <c r="DB13" i="9"/>
  <c r="DA13" i="9"/>
  <c r="CZ13" i="9"/>
  <c r="CY13" i="9"/>
  <c r="CX13" i="9"/>
  <c r="DE12" i="9"/>
  <c r="DF12" i="9" s="1"/>
  <c r="DC12" i="9"/>
  <c r="DB12" i="9"/>
  <c r="DA12" i="9"/>
  <c r="CZ12" i="9"/>
  <c r="CY12" i="9"/>
  <c r="CX12" i="9"/>
  <c r="DE11" i="9"/>
  <c r="DF11" i="9" s="1"/>
  <c r="DC11" i="9"/>
  <c r="DB11" i="9"/>
  <c r="DA11" i="9"/>
  <c r="CZ11" i="9"/>
  <c r="CY11" i="9"/>
  <c r="CX11" i="9"/>
  <c r="CT7" i="9"/>
  <c r="CT2" i="9"/>
  <c r="CR91" i="9" s="1"/>
  <c r="BZ91" i="9"/>
  <c r="CE88" i="9"/>
  <c r="CH92" i="9" s="1"/>
  <c r="CF82" i="9"/>
  <c r="CF84" i="9" s="1"/>
  <c r="CN80" i="9"/>
  <c r="CO80" i="9" s="1"/>
  <c r="CL80" i="9"/>
  <c r="CK80" i="9"/>
  <c r="CJ80" i="9"/>
  <c r="CI80" i="9"/>
  <c r="CH80" i="9"/>
  <c r="CG80" i="9"/>
  <c r="CN79" i="9"/>
  <c r="CO79" i="9" s="1"/>
  <c r="CL79" i="9"/>
  <c r="CK79" i="9"/>
  <c r="CJ79" i="9"/>
  <c r="CI79" i="9"/>
  <c r="CH79" i="9"/>
  <c r="CG79" i="9"/>
  <c r="CN78" i="9"/>
  <c r="CO78" i="9" s="1"/>
  <c r="CL78" i="9"/>
  <c r="CK78" i="9"/>
  <c r="CJ78" i="9"/>
  <c r="CI78" i="9"/>
  <c r="CH78" i="9"/>
  <c r="CG78" i="9"/>
  <c r="CN77" i="9"/>
  <c r="CO77" i="9" s="1"/>
  <c r="CL77" i="9"/>
  <c r="CK77" i="9"/>
  <c r="CJ77" i="9"/>
  <c r="CI77" i="9"/>
  <c r="CH77" i="9"/>
  <c r="CG77" i="9"/>
  <c r="CN76" i="9"/>
  <c r="CO76" i="9" s="1"/>
  <c r="CL76" i="9"/>
  <c r="CK76" i="9"/>
  <c r="CJ76" i="9"/>
  <c r="CI76" i="9"/>
  <c r="CH76" i="9"/>
  <c r="CG76" i="9"/>
  <c r="CN75" i="9"/>
  <c r="CO75" i="9" s="1"/>
  <c r="CL75" i="9"/>
  <c r="CK75" i="9"/>
  <c r="CJ75" i="9"/>
  <c r="CI75" i="9"/>
  <c r="CH75" i="9"/>
  <c r="CG75" i="9"/>
  <c r="CN74" i="9"/>
  <c r="CO74" i="9" s="1"/>
  <c r="CL74" i="9"/>
  <c r="CK74" i="9"/>
  <c r="CJ74" i="9"/>
  <c r="CI74" i="9"/>
  <c r="CH74" i="9"/>
  <c r="CG74" i="9"/>
  <c r="CN73" i="9"/>
  <c r="CO73" i="9" s="1"/>
  <c r="CL73" i="9"/>
  <c r="CK73" i="9"/>
  <c r="CJ73" i="9"/>
  <c r="CI73" i="9"/>
  <c r="CH73" i="9"/>
  <c r="CG73" i="9"/>
  <c r="CN72" i="9"/>
  <c r="CO72" i="9" s="1"/>
  <c r="CL72" i="9"/>
  <c r="CK72" i="9"/>
  <c r="CJ72" i="9"/>
  <c r="CI72" i="9"/>
  <c r="CH72" i="9"/>
  <c r="CG72" i="9"/>
  <c r="CN71" i="9"/>
  <c r="CO71" i="9" s="1"/>
  <c r="CL71" i="9"/>
  <c r="CK71" i="9"/>
  <c r="CJ71" i="9"/>
  <c r="CI71" i="9"/>
  <c r="CH71" i="9"/>
  <c r="CG71" i="9"/>
  <c r="CN70" i="9"/>
  <c r="CO70" i="9" s="1"/>
  <c r="CL70" i="9"/>
  <c r="CK70" i="9"/>
  <c r="CJ70" i="9"/>
  <c r="CI70" i="9"/>
  <c r="CH70" i="9"/>
  <c r="CG70" i="9"/>
  <c r="CN69" i="9"/>
  <c r="CO69" i="9" s="1"/>
  <c r="CL69" i="9"/>
  <c r="CK69" i="9"/>
  <c r="CJ69" i="9"/>
  <c r="CI69" i="9"/>
  <c r="CH69" i="9"/>
  <c r="CG69" i="9"/>
  <c r="CN68" i="9"/>
  <c r="CO68" i="9" s="1"/>
  <c r="CL68" i="9"/>
  <c r="CK68" i="9"/>
  <c r="CJ68" i="9"/>
  <c r="CI68" i="9"/>
  <c r="CH68" i="9"/>
  <c r="CG68" i="9"/>
  <c r="CN67" i="9"/>
  <c r="CO67" i="9" s="1"/>
  <c r="CL67" i="9"/>
  <c r="CK67" i="9"/>
  <c r="CJ67" i="9"/>
  <c r="CI67" i="9"/>
  <c r="CH67" i="9"/>
  <c r="CG67" i="9"/>
  <c r="CN65" i="9"/>
  <c r="CO65" i="9" s="1"/>
  <c r="CL65" i="9"/>
  <c r="CK65" i="9"/>
  <c r="CJ65" i="9"/>
  <c r="CI65" i="9"/>
  <c r="CH65" i="9"/>
  <c r="CG65" i="9"/>
  <c r="CN64" i="9"/>
  <c r="CO64" i="9" s="1"/>
  <c r="CL64" i="9"/>
  <c r="CK64" i="9"/>
  <c r="CJ64" i="9"/>
  <c r="CI64" i="9"/>
  <c r="CH64" i="9"/>
  <c r="CG64" i="9"/>
  <c r="CN62" i="9"/>
  <c r="CO62" i="9" s="1"/>
  <c r="CL62" i="9"/>
  <c r="CK62" i="9"/>
  <c r="CJ62" i="9"/>
  <c r="CI62" i="9"/>
  <c r="CH62" i="9"/>
  <c r="CG62" i="9"/>
  <c r="CN61" i="9"/>
  <c r="CO61" i="9" s="1"/>
  <c r="CL61" i="9"/>
  <c r="CK61" i="9"/>
  <c r="CJ61" i="9"/>
  <c r="CI61" i="9"/>
  <c r="CH61" i="9"/>
  <c r="CG61" i="9"/>
  <c r="CN60" i="9"/>
  <c r="CO60" i="9" s="1"/>
  <c r="CL60" i="9"/>
  <c r="CK60" i="9"/>
  <c r="CJ60" i="9"/>
  <c r="CI60" i="9"/>
  <c r="CH60" i="9"/>
  <c r="CG60" i="9"/>
  <c r="CN59" i="9"/>
  <c r="CO59" i="9" s="1"/>
  <c r="CL59" i="9"/>
  <c r="CK59" i="9"/>
  <c r="CJ59" i="9"/>
  <c r="CI59" i="9"/>
  <c r="CH59" i="9"/>
  <c r="CG59" i="9"/>
  <c r="CN58" i="9"/>
  <c r="CO58" i="9" s="1"/>
  <c r="CL58" i="9"/>
  <c r="CK58" i="9"/>
  <c r="CJ58" i="9"/>
  <c r="CI58" i="9"/>
  <c r="CH58" i="9"/>
  <c r="CG58" i="9"/>
  <c r="CN56" i="9"/>
  <c r="CO56" i="9" s="1"/>
  <c r="CL56" i="9"/>
  <c r="CK56" i="9"/>
  <c r="CJ56" i="9"/>
  <c r="CI56" i="9"/>
  <c r="CH56" i="9"/>
  <c r="CG56" i="9"/>
  <c r="CN55" i="9"/>
  <c r="CO55" i="9" s="1"/>
  <c r="CL55" i="9"/>
  <c r="CK55" i="9"/>
  <c r="CJ55" i="9"/>
  <c r="CI55" i="9"/>
  <c r="CH55" i="9"/>
  <c r="CG55" i="9"/>
  <c r="CN54" i="9"/>
  <c r="CO54" i="9" s="1"/>
  <c r="CL54" i="9"/>
  <c r="CK54" i="9"/>
  <c r="CJ54" i="9"/>
  <c r="CI54" i="9"/>
  <c r="CH54" i="9"/>
  <c r="CG54" i="9"/>
  <c r="CN53" i="9"/>
  <c r="CO53" i="9" s="1"/>
  <c r="CL53" i="9"/>
  <c r="CK53" i="9"/>
  <c r="CJ53" i="9"/>
  <c r="CI53" i="9"/>
  <c r="CH53" i="9"/>
  <c r="CG53" i="9"/>
  <c r="CN52" i="9"/>
  <c r="CO52" i="9" s="1"/>
  <c r="CL52" i="9"/>
  <c r="CK52" i="9"/>
  <c r="CJ52" i="9"/>
  <c r="CI52" i="9"/>
  <c r="CH52" i="9"/>
  <c r="CG52" i="9"/>
  <c r="CN51" i="9"/>
  <c r="CO51" i="9" s="1"/>
  <c r="CL51" i="9"/>
  <c r="CK51" i="9"/>
  <c r="CJ51" i="9"/>
  <c r="CI51" i="9"/>
  <c r="CH51" i="9"/>
  <c r="CG51" i="9"/>
  <c r="CN50" i="9"/>
  <c r="CO50" i="9" s="1"/>
  <c r="CL50" i="9"/>
  <c r="CK50" i="9"/>
  <c r="CJ50" i="9"/>
  <c r="CI50" i="9"/>
  <c r="CH50" i="9"/>
  <c r="CG50" i="9"/>
  <c r="CN48" i="9"/>
  <c r="CO48" i="9" s="1"/>
  <c r="CL48" i="9"/>
  <c r="CK48" i="9"/>
  <c r="CJ48" i="9"/>
  <c r="CI48" i="9"/>
  <c r="CH48" i="9"/>
  <c r="CG48" i="9"/>
  <c r="CN47" i="9"/>
  <c r="CO47" i="9" s="1"/>
  <c r="CL47" i="9"/>
  <c r="CK47" i="9"/>
  <c r="CJ47" i="9"/>
  <c r="CI47" i="9"/>
  <c r="CH47" i="9"/>
  <c r="CG47" i="9"/>
  <c r="CN46" i="9"/>
  <c r="CO46" i="9" s="1"/>
  <c r="CL46" i="9"/>
  <c r="CK46" i="9"/>
  <c r="CJ46" i="9"/>
  <c r="CI46" i="9"/>
  <c r="CH46" i="9"/>
  <c r="CG46" i="9"/>
  <c r="CN45" i="9"/>
  <c r="CO45" i="9" s="1"/>
  <c r="CL45" i="9"/>
  <c r="CK45" i="9"/>
  <c r="CJ45" i="9"/>
  <c r="CI45" i="9"/>
  <c r="CH45" i="9"/>
  <c r="CG45" i="9"/>
  <c r="CN44" i="9"/>
  <c r="CO44" i="9" s="1"/>
  <c r="CL44" i="9"/>
  <c r="CK44" i="9"/>
  <c r="CJ44" i="9"/>
  <c r="CI44" i="9"/>
  <c r="CH44" i="9"/>
  <c r="CG44" i="9"/>
  <c r="CN43" i="9"/>
  <c r="CO43" i="9" s="1"/>
  <c r="CL43" i="9"/>
  <c r="CK43" i="9"/>
  <c r="CJ43" i="9"/>
  <c r="CI43" i="9"/>
  <c r="CH43" i="9"/>
  <c r="CG43" i="9"/>
  <c r="CN42" i="9"/>
  <c r="CO42" i="9" s="1"/>
  <c r="CL42" i="9"/>
  <c r="CK42" i="9"/>
  <c r="CJ42" i="9"/>
  <c r="CI42" i="9"/>
  <c r="CH42" i="9"/>
  <c r="CG42" i="9"/>
  <c r="CN41" i="9"/>
  <c r="CO41" i="9" s="1"/>
  <c r="CL41" i="9"/>
  <c r="CK41" i="9"/>
  <c r="CJ41" i="9"/>
  <c r="CI41" i="9"/>
  <c r="CH41" i="9"/>
  <c r="CG41" i="9"/>
  <c r="CN40" i="9"/>
  <c r="CO40" i="9" s="1"/>
  <c r="CL40" i="9"/>
  <c r="CK40" i="9"/>
  <c r="CJ40" i="9"/>
  <c r="CI40" i="9"/>
  <c r="CH40" i="9"/>
  <c r="CG40" i="9"/>
  <c r="CN39" i="9"/>
  <c r="CO39" i="9" s="1"/>
  <c r="CL39" i="9"/>
  <c r="CK39" i="9"/>
  <c r="CJ39" i="9"/>
  <c r="CI39" i="9"/>
  <c r="CH39" i="9"/>
  <c r="CG39" i="9"/>
  <c r="CN38" i="9"/>
  <c r="CO38" i="9" s="1"/>
  <c r="CL38" i="9"/>
  <c r="CK38" i="9"/>
  <c r="CJ38" i="9"/>
  <c r="CI38" i="9"/>
  <c r="CH38" i="9"/>
  <c r="CG38" i="9"/>
  <c r="CN37" i="9"/>
  <c r="CO37" i="9" s="1"/>
  <c r="CL37" i="9"/>
  <c r="CK37" i="9"/>
  <c r="CJ37" i="9"/>
  <c r="CI37" i="9"/>
  <c r="CH37" i="9"/>
  <c r="CG37" i="9"/>
  <c r="CN36" i="9"/>
  <c r="CO36" i="9" s="1"/>
  <c r="CL36" i="9"/>
  <c r="CK36" i="9"/>
  <c r="CJ36" i="9"/>
  <c r="CI36" i="9"/>
  <c r="CH36" i="9"/>
  <c r="CG36" i="9"/>
  <c r="CN35" i="9"/>
  <c r="CO35" i="9" s="1"/>
  <c r="CL35" i="9"/>
  <c r="CK35" i="9"/>
  <c r="CJ35" i="9"/>
  <c r="CI35" i="9"/>
  <c r="CH35" i="9"/>
  <c r="CG35" i="9"/>
  <c r="CN34" i="9"/>
  <c r="CO34" i="9" s="1"/>
  <c r="CL34" i="9"/>
  <c r="CK34" i="9"/>
  <c r="CJ34" i="9"/>
  <c r="CI34" i="9"/>
  <c r="CH34" i="9"/>
  <c r="CG34" i="9"/>
  <c r="CN32" i="9"/>
  <c r="CO32" i="9" s="1"/>
  <c r="CL32" i="9"/>
  <c r="CK32" i="9"/>
  <c r="CJ32" i="9"/>
  <c r="CI32" i="9"/>
  <c r="CH32" i="9"/>
  <c r="CG32" i="9"/>
  <c r="CN31" i="9"/>
  <c r="CO31" i="9" s="1"/>
  <c r="CL31" i="9"/>
  <c r="CK31" i="9"/>
  <c r="CJ31" i="9"/>
  <c r="CI31" i="9"/>
  <c r="CH31" i="9"/>
  <c r="CG31" i="9"/>
  <c r="CN30" i="9"/>
  <c r="CO30" i="9" s="1"/>
  <c r="CL30" i="9"/>
  <c r="CK30" i="9"/>
  <c r="CJ30" i="9"/>
  <c r="CI30" i="9"/>
  <c r="CH30" i="9"/>
  <c r="CG30" i="9"/>
  <c r="CN29" i="9"/>
  <c r="CO29" i="9" s="1"/>
  <c r="CL29" i="9"/>
  <c r="CK29" i="9"/>
  <c r="CJ29" i="9"/>
  <c r="CI29" i="9"/>
  <c r="CH29" i="9"/>
  <c r="CG29" i="9"/>
  <c r="CN28" i="9"/>
  <c r="CO28" i="9" s="1"/>
  <c r="CL28" i="9"/>
  <c r="CK28" i="9"/>
  <c r="CI28" i="9"/>
  <c r="CG28" i="9"/>
  <c r="CN27" i="9"/>
  <c r="CO27" i="9" s="1"/>
  <c r="CL27" i="9"/>
  <c r="CK27" i="9"/>
  <c r="CJ27" i="9"/>
  <c r="CI27" i="9"/>
  <c r="CH27" i="9"/>
  <c r="CG27" i="9"/>
  <c r="CN26" i="9"/>
  <c r="CO26" i="9" s="1"/>
  <c r="CL26" i="9"/>
  <c r="CK26" i="9"/>
  <c r="CJ26" i="9"/>
  <c r="CI26" i="9"/>
  <c r="CH26" i="9"/>
  <c r="CG26" i="9"/>
  <c r="CN25" i="9"/>
  <c r="CO25" i="9" s="1"/>
  <c r="CL25" i="9"/>
  <c r="CK25" i="9"/>
  <c r="CJ25" i="9"/>
  <c r="CI25" i="9"/>
  <c r="CH25" i="9"/>
  <c r="CG25" i="9"/>
  <c r="CN24" i="9"/>
  <c r="CO24" i="9" s="1"/>
  <c r="CL24" i="9"/>
  <c r="CK24" i="9"/>
  <c r="CJ24" i="9"/>
  <c r="CI24" i="9"/>
  <c r="CH24" i="9"/>
  <c r="CG24" i="9"/>
  <c r="CN23" i="9"/>
  <c r="CO23" i="9" s="1"/>
  <c r="CL23" i="9"/>
  <c r="CK23" i="9"/>
  <c r="CJ23" i="9"/>
  <c r="CI23" i="9"/>
  <c r="CH23" i="9"/>
  <c r="CG23" i="9"/>
  <c r="CN22" i="9"/>
  <c r="CO22" i="9" s="1"/>
  <c r="CL22" i="9"/>
  <c r="CK22" i="9"/>
  <c r="CJ22" i="9"/>
  <c r="CI22" i="9"/>
  <c r="CH22" i="9"/>
  <c r="CG22" i="9"/>
  <c r="CN21" i="9"/>
  <c r="CO21" i="9" s="1"/>
  <c r="CL21" i="9"/>
  <c r="CK21" i="9"/>
  <c r="CJ21" i="9"/>
  <c r="CI21" i="9"/>
  <c r="CH21" i="9"/>
  <c r="CG21" i="9"/>
  <c r="CN20" i="9"/>
  <c r="CO20" i="9" s="1"/>
  <c r="CL20" i="9"/>
  <c r="CK20" i="9"/>
  <c r="CJ20" i="9"/>
  <c r="CI20" i="9"/>
  <c r="CH20" i="9"/>
  <c r="CG20" i="9"/>
  <c r="CN19" i="9"/>
  <c r="CO19" i="9" s="1"/>
  <c r="CL19" i="9"/>
  <c r="CK19" i="9"/>
  <c r="CJ19" i="9"/>
  <c r="CI19" i="9"/>
  <c r="CH19" i="9"/>
  <c r="CG19" i="9"/>
  <c r="CN17" i="9"/>
  <c r="CO17" i="9" s="1"/>
  <c r="CL17" i="9"/>
  <c r="CK17" i="9"/>
  <c r="CJ17" i="9"/>
  <c r="CI17" i="9"/>
  <c r="CH17" i="9"/>
  <c r="CG17" i="9"/>
  <c r="CN16" i="9"/>
  <c r="CO16" i="9" s="1"/>
  <c r="CL16" i="9"/>
  <c r="CK16" i="9"/>
  <c r="CJ16" i="9"/>
  <c r="CI16" i="9"/>
  <c r="CH16" i="9"/>
  <c r="CG16" i="9"/>
  <c r="CN15" i="9"/>
  <c r="CO15" i="9" s="1"/>
  <c r="CL15" i="9"/>
  <c r="CK15" i="9"/>
  <c r="CJ15" i="9"/>
  <c r="CI15" i="9"/>
  <c r="CH15" i="9"/>
  <c r="CG15" i="9"/>
  <c r="CN14" i="9"/>
  <c r="CO14" i="9" s="1"/>
  <c r="CL14" i="9"/>
  <c r="CK14" i="9"/>
  <c r="CJ14" i="9"/>
  <c r="CI14" i="9"/>
  <c r="CH14" i="9"/>
  <c r="CG14" i="9"/>
  <c r="CN13" i="9"/>
  <c r="CO13" i="9" s="1"/>
  <c r="CL13" i="9"/>
  <c r="CK13" i="9"/>
  <c r="CJ13" i="9"/>
  <c r="CI13" i="9"/>
  <c r="CH13" i="9"/>
  <c r="CG13" i="9"/>
  <c r="CN12" i="9"/>
  <c r="CO12" i="9" s="1"/>
  <c r="CL12" i="9"/>
  <c r="CK12" i="9"/>
  <c r="CJ12" i="9"/>
  <c r="CI12" i="9"/>
  <c r="CH12" i="9"/>
  <c r="CG12" i="9"/>
  <c r="CN11" i="9"/>
  <c r="CO11" i="9" s="1"/>
  <c r="CL11" i="9"/>
  <c r="CK11" i="9"/>
  <c r="CJ11" i="9"/>
  <c r="CI11" i="9"/>
  <c r="CH11" i="9"/>
  <c r="CG11" i="9"/>
  <c r="CC7" i="9"/>
  <c r="CC2" i="9"/>
  <c r="CA91" i="9" s="1"/>
  <c r="BI91" i="9"/>
  <c r="BN88" i="9"/>
  <c r="BQ92" i="9" s="1"/>
  <c r="BO82" i="9"/>
  <c r="BO84" i="9" s="1"/>
  <c r="BW80" i="9"/>
  <c r="BX80" i="9" s="1"/>
  <c r="BU80" i="9"/>
  <c r="BT80" i="9"/>
  <c r="BS80" i="9"/>
  <c r="BR80" i="9"/>
  <c r="BQ80" i="9"/>
  <c r="BP80" i="9"/>
  <c r="BW79" i="9"/>
  <c r="BX79" i="9" s="1"/>
  <c r="BU79" i="9"/>
  <c r="BT79" i="9"/>
  <c r="BS79" i="9"/>
  <c r="BR79" i="9"/>
  <c r="BQ79" i="9"/>
  <c r="BP79" i="9"/>
  <c r="BW78" i="9"/>
  <c r="BX78" i="9" s="1"/>
  <c r="BU78" i="9"/>
  <c r="BT78" i="9"/>
  <c r="BS78" i="9"/>
  <c r="BR78" i="9"/>
  <c r="BQ78" i="9"/>
  <c r="BP78" i="9"/>
  <c r="BW77" i="9"/>
  <c r="BX77" i="9" s="1"/>
  <c r="BU77" i="9"/>
  <c r="BT77" i="9"/>
  <c r="BS77" i="9"/>
  <c r="BR77" i="9"/>
  <c r="BQ77" i="9"/>
  <c r="BP77" i="9"/>
  <c r="BW76" i="9"/>
  <c r="BX76" i="9" s="1"/>
  <c r="BU76" i="9"/>
  <c r="BT76" i="9"/>
  <c r="BS76" i="9"/>
  <c r="BR76" i="9"/>
  <c r="BQ76" i="9"/>
  <c r="BP76" i="9"/>
  <c r="BW75" i="9"/>
  <c r="BX75" i="9" s="1"/>
  <c r="BU75" i="9"/>
  <c r="BT75" i="9"/>
  <c r="BS75" i="9"/>
  <c r="BR75" i="9"/>
  <c r="BQ75" i="9"/>
  <c r="BP75" i="9"/>
  <c r="BW74" i="9"/>
  <c r="BX74" i="9" s="1"/>
  <c r="BU74" i="9"/>
  <c r="BT74" i="9"/>
  <c r="BS74" i="9"/>
  <c r="BR74" i="9"/>
  <c r="BQ74" i="9"/>
  <c r="BP74" i="9"/>
  <c r="BW73" i="9"/>
  <c r="BX73" i="9" s="1"/>
  <c r="BU73" i="9"/>
  <c r="BT73" i="9"/>
  <c r="BS73" i="9"/>
  <c r="BR73" i="9"/>
  <c r="BQ73" i="9"/>
  <c r="BP73" i="9"/>
  <c r="BW72" i="9"/>
  <c r="BX72" i="9" s="1"/>
  <c r="BU72" i="9"/>
  <c r="BT72" i="9"/>
  <c r="BS72" i="9"/>
  <c r="BR72" i="9"/>
  <c r="BQ72" i="9"/>
  <c r="BP72" i="9"/>
  <c r="BW71" i="9"/>
  <c r="BX71" i="9" s="1"/>
  <c r="BU71" i="9"/>
  <c r="BT71" i="9"/>
  <c r="BS71" i="9"/>
  <c r="BR71" i="9"/>
  <c r="BQ71" i="9"/>
  <c r="BP71" i="9"/>
  <c r="BW70" i="9"/>
  <c r="BX70" i="9" s="1"/>
  <c r="BU70" i="9"/>
  <c r="BT70" i="9"/>
  <c r="BS70" i="9"/>
  <c r="BR70" i="9"/>
  <c r="BQ70" i="9"/>
  <c r="BP70" i="9"/>
  <c r="BW69" i="9"/>
  <c r="BX69" i="9" s="1"/>
  <c r="BU69" i="9"/>
  <c r="BT69" i="9"/>
  <c r="BS69" i="9"/>
  <c r="BR69" i="9"/>
  <c r="BQ69" i="9"/>
  <c r="BP69" i="9"/>
  <c r="BW68" i="9"/>
  <c r="BX68" i="9" s="1"/>
  <c r="BU68" i="9"/>
  <c r="BT68" i="9"/>
  <c r="BS68" i="9"/>
  <c r="BR68" i="9"/>
  <c r="BQ68" i="9"/>
  <c r="BP68" i="9"/>
  <c r="BW67" i="9"/>
  <c r="BX67" i="9" s="1"/>
  <c r="BU67" i="9"/>
  <c r="BT67" i="9"/>
  <c r="BS67" i="9"/>
  <c r="BR67" i="9"/>
  <c r="BQ67" i="9"/>
  <c r="BP67" i="9"/>
  <c r="BW65" i="9"/>
  <c r="BX65" i="9" s="1"/>
  <c r="BU65" i="9"/>
  <c r="BT65" i="9"/>
  <c r="BS65" i="9"/>
  <c r="BR65" i="9"/>
  <c r="BQ65" i="9"/>
  <c r="BP65" i="9"/>
  <c r="BW64" i="9"/>
  <c r="BX64" i="9" s="1"/>
  <c r="BU64" i="9"/>
  <c r="BT64" i="9"/>
  <c r="BS64" i="9"/>
  <c r="BR64" i="9"/>
  <c r="BQ64" i="9"/>
  <c r="BP64" i="9"/>
  <c r="BW62" i="9"/>
  <c r="BX62" i="9" s="1"/>
  <c r="BU62" i="9"/>
  <c r="BT62" i="9"/>
  <c r="BS62" i="9"/>
  <c r="BR62" i="9"/>
  <c r="BQ62" i="9"/>
  <c r="BP62" i="9"/>
  <c r="BW61" i="9"/>
  <c r="BX61" i="9" s="1"/>
  <c r="BU61" i="9"/>
  <c r="BT61" i="9"/>
  <c r="BS61" i="9"/>
  <c r="BR61" i="9"/>
  <c r="BQ61" i="9"/>
  <c r="BP61" i="9"/>
  <c r="BW60" i="9"/>
  <c r="BX60" i="9" s="1"/>
  <c r="BU60" i="9"/>
  <c r="BT60" i="9"/>
  <c r="BS60" i="9"/>
  <c r="BR60" i="9"/>
  <c r="BQ60" i="9"/>
  <c r="BP60" i="9"/>
  <c r="BW59" i="9"/>
  <c r="BX59" i="9" s="1"/>
  <c r="BU59" i="9"/>
  <c r="BT59" i="9"/>
  <c r="BS59" i="9"/>
  <c r="BR59" i="9"/>
  <c r="BQ59" i="9"/>
  <c r="BP59" i="9"/>
  <c r="BW58" i="9"/>
  <c r="BX58" i="9" s="1"/>
  <c r="BU58" i="9"/>
  <c r="BT58" i="9"/>
  <c r="BS58" i="9"/>
  <c r="BR58" i="9"/>
  <c r="BQ58" i="9"/>
  <c r="BP58" i="9"/>
  <c r="BW56" i="9"/>
  <c r="BX56" i="9" s="1"/>
  <c r="BU56" i="9"/>
  <c r="BT56" i="9"/>
  <c r="BS56" i="9"/>
  <c r="BR56" i="9"/>
  <c r="BQ56" i="9"/>
  <c r="BP56" i="9"/>
  <c r="BW55" i="9"/>
  <c r="BX55" i="9" s="1"/>
  <c r="BU55" i="9"/>
  <c r="BT55" i="9"/>
  <c r="BS55" i="9"/>
  <c r="BR55" i="9"/>
  <c r="BQ55" i="9"/>
  <c r="BP55" i="9"/>
  <c r="BW54" i="9"/>
  <c r="BX54" i="9" s="1"/>
  <c r="BU54" i="9"/>
  <c r="BT54" i="9"/>
  <c r="BS54" i="9"/>
  <c r="BR54" i="9"/>
  <c r="BQ54" i="9"/>
  <c r="BP54" i="9"/>
  <c r="BW53" i="9"/>
  <c r="BX53" i="9" s="1"/>
  <c r="BU53" i="9"/>
  <c r="BT53" i="9"/>
  <c r="BS53" i="9"/>
  <c r="BR53" i="9"/>
  <c r="BQ53" i="9"/>
  <c r="BP53" i="9"/>
  <c r="BW52" i="9"/>
  <c r="BX52" i="9" s="1"/>
  <c r="BU52" i="9"/>
  <c r="BT52" i="9"/>
  <c r="BS52" i="9"/>
  <c r="BR52" i="9"/>
  <c r="BQ52" i="9"/>
  <c r="BP52" i="9"/>
  <c r="BW51" i="9"/>
  <c r="BX51" i="9" s="1"/>
  <c r="BU51" i="9"/>
  <c r="BT51" i="9"/>
  <c r="BS51" i="9"/>
  <c r="BR51" i="9"/>
  <c r="BQ51" i="9"/>
  <c r="BP51" i="9"/>
  <c r="BW50" i="9"/>
  <c r="BX50" i="9" s="1"/>
  <c r="BU50" i="9"/>
  <c r="BT50" i="9"/>
  <c r="BS50" i="9"/>
  <c r="BR50" i="9"/>
  <c r="BQ50" i="9"/>
  <c r="BP50" i="9"/>
  <c r="BW48" i="9"/>
  <c r="BX48" i="9" s="1"/>
  <c r="BU48" i="9"/>
  <c r="BT48" i="9"/>
  <c r="BS48" i="9"/>
  <c r="BR48" i="9"/>
  <c r="BQ48" i="9"/>
  <c r="BP48" i="9"/>
  <c r="BW47" i="9"/>
  <c r="BX47" i="9" s="1"/>
  <c r="BU47" i="9"/>
  <c r="BT47" i="9"/>
  <c r="BS47" i="9"/>
  <c r="BR47" i="9"/>
  <c r="BQ47" i="9"/>
  <c r="BP47" i="9"/>
  <c r="BW46" i="9"/>
  <c r="BX46" i="9" s="1"/>
  <c r="BU46" i="9"/>
  <c r="BT46" i="9"/>
  <c r="BS46" i="9"/>
  <c r="BR46" i="9"/>
  <c r="BQ46" i="9"/>
  <c r="BP46" i="9"/>
  <c r="BW45" i="9"/>
  <c r="BX45" i="9" s="1"/>
  <c r="BU45" i="9"/>
  <c r="BT45" i="9"/>
  <c r="BS45" i="9"/>
  <c r="BR45" i="9"/>
  <c r="BQ45" i="9"/>
  <c r="BP45" i="9"/>
  <c r="BW44" i="9"/>
  <c r="BX44" i="9" s="1"/>
  <c r="BU44" i="9"/>
  <c r="BT44" i="9"/>
  <c r="BS44" i="9"/>
  <c r="BR44" i="9"/>
  <c r="BQ44" i="9"/>
  <c r="BP44" i="9"/>
  <c r="BW43" i="9"/>
  <c r="BX43" i="9" s="1"/>
  <c r="BU43" i="9"/>
  <c r="BT43" i="9"/>
  <c r="BS43" i="9"/>
  <c r="BR43" i="9"/>
  <c r="BQ43" i="9"/>
  <c r="BP43" i="9"/>
  <c r="BW42" i="9"/>
  <c r="BX42" i="9" s="1"/>
  <c r="BU42" i="9"/>
  <c r="BT42" i="9"/>
  <c r="BS42" i="9"/>
  <c r="BR42" i="9"/>
  <c r="BQ42" i="9"/>
  <c r="BP42" i="9"/>
  <c r="BW41" i="9"/>
  <c r="BX41" i="9" s="1"/>
  <c r="BU41" i="9"/>
  <c r="BT41" i="9"/>
  <c r="BS41" i="9"/>
  <c r="BR41" i="9"/>
  <c r="BQ41" i="9"/>
  <c r="BP41" i="9"/>
  <c r="BW40" i="9"/>
  <c r="BX40" i="9" s="1"/>
  <c r="BU40" i="9"/>
  <c r="BT40" i="9"/>
  <c r="BS40" i="9"/>
  <c r="BR40" i="9"/>
  <c r="BQ40" i="9"/>
  <c r="BP40" i="9"/>
  <c r="BW39" i="9"/>
  <c r="BX39" i="9" s="1"/>
  <c r="BU39" i="9"/>
  <c r="BT39" i="9"/>
  <c r="BS39" i="9"/>
  <c r="BR39" i="9"/>
  <c r="BQ39" i="9"/>
  <c r="BP39" i="9"/>
  <c r="BW38" i="9"/>
  <c r="BX38" i="9" s="1"/>
  <c r="BU38" i="9"/>
  <c r="BT38" i="9"/>
  <c r="BS38" i="9"/>
  <c r="BR38" i="9"/>
  <c r="BQ38" i="9"/>
  <c r="BP38" i="9"/>
  <c r="BW37" i="9"/>
  <c r="BX37" i="9" s="1"/>
  <c r="BU37" i="9"/>
  <c r="BT37" i="9"/>
  <c r="BS37" i="9"/>
  <c r="BR37" i="9"/>
  <c r="BQ37" i="9"/>
  <c r="BP37" i="9"/>
  <c r="BW36" i="9"/>
  <c r="BX36" i="9" s="1"/>
  <c r="BU36" i="9"/>
  <c r="BT36" i="9"/>
  <c r="BS36" i="9"/>
  <c r="BR36" i="9"/>
  <c r="BQ36" i="9"/>
  <c r="BP36" i="9"/>
  <c r="BW35" i="9"/>
  <c r="BX35" i="9" s="1"/>
  <c r="BU35" i="9"/>
  <c r="BT35" i="9"/>
  <c r="BS35" i="9"/>
  <c r="BR35" i="9"/>
  <c r="BQ35" i="9"/>
  <c r="BP35" i="9"/>
  <c r="BW34" i="9"/>
  <c r="BX34" i="9" s="1"/>
  <c r="BU34" i="9"/>
  <c r="BT34" i="9"/>
  <c r="BS34" i="9"/>
  <c r="BR34" i="9"/>
  <c r="BQ34" i="9"/>
  <c r="BP34" i="9"/>
  <c r="BW32" i="9"/>
  <c r="BX32" i="9" s="1"/>
  <c r="BU32" i="9"/>
  <c r="BT32" i="9"/>
  <c r="BS32" i="9"/>
  <c r="BR32" i="9"/>
  <c r="BQ32" i="9"/>
  <c r="BP32" i="9"/>
  <c r="BW31" i="9"/>
  <c r="BX31" i="9" s="1"/>
  <c r="BU31" i="9"/>
  <c r="BT31" i="9"/>
  <c r="BS31" i="9"/>
  <c r="BR31" i="9"/>
  <c r="BQ31" i="9"/>
  <c r="BP31" i="9"/>
  <c r="BW30" i="9"/>
  <c r="BX30" i="9" s="1"/>
  <c r="BU30" i="9"/>
  <c r="BT30" i="9"/>
  <c r="BS30" i="9"/>
  <c r="BR30" i="9"/>
  <c r="BQ30" i="9"/>
  <c r="BP30" i="9"/>
  <c r="BW29" i="9"/>
  <c r="BX29" i="9" s="1"/>
  <c r="BU29" i="9"/>
  <c r="BT29" i="9"/>
  <c r="BS29" i="9"/>
  <c r="BR29" i="9"/>
  <c r="BQ29" i="9"/>
  <c r="BP29" i="9"/>
  <c r="BW28" i="9"/>
  <c r="BX28" i="9" s="1"/>
  <c r="BU28" i="9"/>
  <c r="BT28" i="9"/>
  <c r="BR28" i="9"/>
  <c r="BP28" i="9"/>
  <c r="BW27" i="9"/>
  <c r="BX27" i="9" s="1"/>
  <c r="BU27" i="9"/>
  <c r="BT27" i="9"/>
  <c r="BS27" i="9"/>
  <c r="BR27" i="9"/>
  <c r="BQ27" i="9"/>
  <c r="BP27" i="9"/>
  <c r="BW26" i="9"/>
  <c r="BX26" i="9" s="1"/>
  <c r="BU26" i="9"/>
  <c r="BT26" i="9"/>
  <c r="BS26" i="9"/>
  <c r="BR26" i="9"/>
  <c r="BQ26" i="9"/>
  <c r="BP26" i="9"/>
  <c r="BW25" i="9"/>
  <c r="BX25" i="9" s="1"/>
  <c r="BU25" i="9"/>
  <c r="BT25" i="9"/>
  <c r="BS25" i="9"/>
  <c r="BR25" i="9"/>
  <c r="BQ25" i="9"/>
  <c r="BP25" i="9"/>
  <c r="BW24" i="9"/>
  <c r="BX24" i="9" s="1"/>
  <c r="BU24" i="9"/>
  <c r="BT24" i="9"/>
  <c r="BS24" i="9"/>
  <c r="BR24" i="9"/>
  <c r="BQ24" i="9"/>
  <c r="BP24" i="9"/>
  <c r="BW23" i="9"/>
  <c r="BX23" i="9" s="1"/>
  <c r="BU23" i="9"/>
  <c r="BT23" i="9"/>
  <c r="BS23" i="9"/>
  <c r="BR23" i="9"/>
  <c r="BQ23" i="9"/>
  <c r="BP23" i="9"/>
  <c r="BW22" i="9"/>
  <c r="BX22" i="9" s="1"/>
  <c r="BU22" i="9"/>
  <c r="BT22" i="9"/>
  <c r="BS22" i="9"/>
  <c r="BR22" i="9"/>
  <c r="BQ22" i="9"/>
  <c r="BP22" i="9"/>
  <c r="BW21" i="9"/>
  <c r="BX21" i="9" s="1"/>
  <c r="BU21" i="9"/>
  <c r="BT21" i="9"/>
  <c r="BS21" i="9"/>
  <c r="BR21" i="9"/>
  <c r="BQ21" i="9"/>
  <c r="BP21" i="9"/>
  <c r="BW20" i="9"/>
  <c r="BX20" i="9" s="1"/>
  <c r="BU20" i="9"/>
  <c r="BT20" i="9"/>
  <c r="BS20" i="9"/>
  <c r="BR20" i="9"/>
  <c r="BQ20" i="9"/>
  <c r="BP20" i="9"/>
  <c r="BW19" i="9"/>
  <c r="BX19" i="9" s="1"/>
  <c r="BU19" i="9"/>
  <c r="BT19" i="9"/>
  <c r="BS19" i="9"/>
  <c r="BR19" i="9"/>
  <c r="BQ19" i="9"/>
  <c r="BP19" i="9"/>
  <c r="BW17" i="9"/>
  <c r="BX17" i="9" s="1"/>
  <c r="BU17" i="9"/>
  <c r="BT17" i="9"/>
  <c r="BS17" i="9"/>
  <c r="BR17" i="9"/>
  <c r="BQ17" i="9"/>
  <c r="BP17" i="9"/>
  <c r="BW16" i="9"/>
  <c r="BX16" i="9" s="1"/>
  <c r="BU16" i="9"/>
  <c r="BT16" i="9"/>
  <c r="BS16" i="9"/>
  <c r="BR16" i="9"/>
  <c r="BQ16" i="9"/>
  <c r="BP16" i="9"/>
  <c r="BW15" i="9"/>
  <c r="BX15" i="9" s="1"/>
  <c r="BU15" i="9"/>
  <c r="BT15" i="9"/>
  <c r="BS15" i="9"/>
  <c r="BR15" i="9"/>
  <c r="BQ15" i="9"/>
  <c r="BP15" i="9"/>
  <c r="BW14" i="9"/>
  <c r="BX14" i="9" s="1"/>
  <c r="BU14" i="9"/>
  <c r="BT14" i="9"/>
  <c r="BS14" i="9"/>
  <c r="BR14" i="9"/>
  <c r="BQ14" i="9"/>
  <c r="BP14" i="9"/>
  <c r="BW13" i="9"/>
  <c r="BX13" i="9" s="1"/>
  <c r="BU13" i="9"/>
  <c r="BT13" i="9"/>
  <c r="BS13" i="9"/>
  <c r="BR13" i="9"/>
  <c r="BQ13" i="9"/>
  <c r="BP13" i="9"/>
  <c r="BW12" i="9"/>
  <c r="BX12" i="9" s="1"/>
  <c r="BU12" i="9"/>
  <c r="BT12" i="9"/>
  <c r="BS12" i="9"/>
  <c r="BR12" i="9"/>
  <c r="BQ12" i="9"/>
  <c r="BP12" i="9"/>
  <c r="BW11" i="9"/>
  <c r="BX11" i="9" s="1"/>
  <c r="BU11" i="9"/>
  <c r="BT11" i="9"/>
  <c r="BS11" i="9"/>
  <c r="BR11" i="9"/>
  <c r="BQ11" i="9"/>
  <c r="BP11" i="9"/>
  <c r="BL7" i="9"/>
  <c r="BL2" i="9"/>
  <c r="BJ91" i="9" s="1"/>
  <c r="AR91" i="9"/>
  <c r="AW88" i="9"/>
  <c r="AZ92" i="9" s="1"/>
  <c r="AX82" i="9"/>
  <c r="AX84" i="9" s="1"/>
  <c r="BF80" i="9"/>
  <c r="BG80" i="9" s="1"/>
  <c r="BD80" i="9"/>
  <c r="BC80" i="9"/>
  <c r="BB80" i="9"/>
  <c r="BA80" i="9"/>
  <c r="AZ80" i="9"/>
  <c r="AY80" i="9"/>
  <c r="BF79" i="9"/>
  <c r="BG79" i="9" s="1"/>
  <c r="BD79" i="9"/>
  <c r="BC79" i="9"/>
  <c r="BB79" i="9"/>
  <c r="BA79" i="9"/>
  <c r="AZ79" i="9"/>
  <c r="AY79" i="9"/>
  <c r="BF78" i="9"/>
  <c r="BG78" i="9" s="1"/>
  <c r="BD78" i="9"/>
  <c r="BC78" i="9"/>
  <c r="BB78" i="9"/>
  <c r="BA78" i="9"/>
  <c r="AZ78" i="9"/>
  <c r="AY78" i="9"/>
  <c r="BF77" i="9"/>
  <c r="BG77" i="9" s="1"/>
  <c r="BD77" i="9"/>
  <c r="BC77" i="9"/>
  <c r="BB77" i="9"/>
  <c r="BA77" i="9"/>
  <c r="AZ77" i="9"/>
  <c r="AY77" i="9"/>
  <c r="BF76" i="9"/>
  <c r="BG76" i="9" s="1"/>
  <c r="BD76" i="9"/>
  <c r="BC76" i="9"/>
  <c r="BB76" i="9"/>
  <c r="BA76" i="9"/>
  <c r="AZ76" i="9"/>
  <c r="AY76" i="9"/>
  <c r="BF75" i="9"/>
  <c r="BG75" i="9" s="1"/>
  <c r="BD75" i="9"/>
  <c r="BC75" i="9"/>
  <c r="BB75" i="9"/>
  <c r="BA75" i="9"/>
  <c r="AZ75" i="9"/>
  <c r="AY75" i="9"/>
  <c r="BF74" i="9"/>
  <c r="BG74" i="9" s="1"/>
  <c r="BD74" i="9"/>
  <c r="BC74" i="9"/>
  <c r="BB74" i="9"/>
  <c r="BA74" i="9"/>
  <c r="AZ74" i="9"/>
  <c r="AY74" i="9"/>
  <c r="BF73" i="9"/>
  <c r="BG73" i="9" s="1"/>
  <c r="BD73" i="9"/>
  <c r="BC73" i="9"/>
  <c r="BB73" i="9"/>
  <c r="BA73" i="9"/>
  <c r="AZ73" i="9"/>
  <c r="AY73" i="9"/>
  <c r="BF72" i="9"/>
  <c r="BG72" i="9" s="1"/>
  <c r="BD72" i="9"/>
  <c r="BC72" i="9"/>
  <c r="BB72" i="9"/>
  <c r="BA72" i="9"/>
  <c r="AZ72" i="9"/>
  <c r="AY72" i="9"/>
  <c r="BF71" i="9"/>
  <c r="BG71" i="9" s="1"/>
  <c r="BD71" i="9"/>
  <c r="BC71" i="9"/>
  <c r="BB71" i="9"/>
  <c r="BA71" i="9"/>
  <c r="AZ71" i="9"/>
  <c r="AY71" i="9"/>
  <c r="BF70" i="9"/>
  <c r="BG70" i="9" s="1"/>
  <c r="BD70" i="9"/>
  <c r="BC70" i="9"/>
  <c r="BB70" i="9"/>
  <c r="BA70" i="9"/>
  <c r="AZ70" i="9"/>
  <c r="AY70" i="9"/>
  <c r="BF69" i="9"/>
  <c r="BG69" i="9" s="1"/>
  <c r="BD69" i="9"/>
  <c r="BC69" i="9"/>
  <c r="BB69" i="9"/>
  <c r="BA69" i="9"/>
  <c r="AZ69" i="9"/>
  <c r="AY69" i="9"/>
  <c r="BF68" i="9"/>
  <c r="BG68" i="9" s="1"/>
  <c r="BD68" i="9"/>
  <c r="BC68" i="9"/>
  <c r="BB68" i="9"/>
  <c r="BA68" i="9"/>
  <c r="AZ68" i="9"/>
  <c r="AY68" i="9"/>
  <c r="BF67" i="9"/>
  <c r="BG67" i="9" s="1"/>
  <c r="BD67" i="9"/>
  <c r="BC67" i="9"/>
  <c r="BB67" i="9"/>
  <c r="BA67" i="9"/>
  <c r="AZ67" i="9"/>
  <c r="AY67" i="9"/>
  <c r="BF65" i="9"/>
  <c r="BG65" i="9" s="1"/>
  <c r="BD65" i="9"/>
  <c r="BC65" i="9"/>
  <c r="BB65" i="9"/>
  <c r="BA65" i="9"/>
  <c r="AZ65" i="9"/>
  <c r="AY65" i="9"/>
  <c r="BF64" i="9"/>
  <c r="BG64" i="9" s="1"/>
  <c r="BD64" i="9"/>
  <c r="BC64" i="9"/>
  <c r="BB64" i="9"/>
  <c r="BA64" i="9"/>
  <c r="AZ64" i="9"/>
  <c r="AY64" i="9"/>
  <c r="BF62" i="9"/>
  <c r="BG62" i="9" s="1"/>
  <c r="BD62" i="9"/>
  <c r="BC62" i="9"/>
  <c r="BB62" i="9"/>
  <c r="BA62" i="9"/>
  <c r="AZ62" i="9"/>
  <c r="AY62" i="9"/>
  <c r="BF61" i="9"/>
  <c r="BG61" i="9" s="1"/>
  <c r="BD61" i="9"/>
  <c r="BC61" i="9"/>
  <c r="BB61" i="9"/>
  <c r="BA61" i="9"/>
  <c r="AZ61" i="9"/>
  <c r="AY61" i="9"/>
  <c r="BF60" i="9"/>
  <c r="BG60" i="9" s="1"/>
  <c r="BD60" i="9"/>
  <c r="BC60" i="9"/>
  <c r="BB60" i="9"/>
  <c r="BA60" i="9"/>
  <c r="AZ60" i="9"/>
  <c r="AY60" i="9"/>
  <c r="BF59" i="9"/>
  <c r="BG59" i="9" s="1"/>
  <c r="BD59" i="9"/>
  <c r="BC59" i="9"/>
  <c r="BB59" i="9"/>
  <c r="BA59" i="9"/>
  <c r="AZ59" i="9"/>
  <c r="AY59" i="9"/>
  <c r="BF58" i="9"/>
  <c r="BG58" i="9" s="1"/>
  <c r="BD58" i="9"/>
  <c r="BC58" i="9"/>
  <c r="BB58" i="9"/>
  <c r="BA58" i="9"/>
  <c r="AZ58" i="9"/>
  <c r="AY58" i="9"/>
  <c r="BF56" i="9"/>
  <c r="BG56" i="9" s="1"/>
  <c r="BD56" i="9"/>
  <c r="BC56" i="9"/>
  <c r="BB56" i="9"/>
  <c r="BA56" i="9"/>
  <c r="AZ56" i="9"/>
  <c r="AY56" i="9"/>
  <c r="BF55" i="9"/>
  <c r="BG55" i="9" s="1"/>
  <c r="BD55" i="9"/>
  <c r="BC55" i="9"/>
  <c r="BB55" i="9"/>
  <c r="BA55" i="9"/>
  <c r="AZ55" i="9"/>
  <c r="AY55" i="9"/>
  <c r="BF54" i="9"/>
  <c r="BG54" i="9" s="1"/>
  <c r="BD54" i="9"/>
  <c r="BC54" i="9"/>
  <c r="BB54" i="9"/>
  <c r="BA54" i="9"/>
  <c r="AZ54" i="9"/>
  <c r="AY54" i="9"/>
  <c r="BF53" i="9"/>
  <c r="BG53" i="9" s="1"/>
  <c r="BD53" i="9"/>
  <c r="BC53" i="9"/>
  <c r="BB53" i="9"/>
  <c r="BA53" i="9"/>
  <c r="AZ53" i="9"/>
  <c r="AY53" i="9"/>
  <c r="BF52" i="9"/>
  <c r="BG52" i="9" s="1"/>
  <c r="BD52" i="9"/>
  <c r="BC52" i="9"/>
  <c r="BB52" i="9"/>
  <c r="BA52" i="9"/>
  <c r="AZ52" i="9"/>
  <c r="AY52" i="9"/>
  <c r="BF51" i="9"/>
  <c r="BG51" i="9" s="1"/>
  <c r="BD51" i="9"/>
  <c r="BC51" i="9"/>
  <c r="BB51" i="9"/>
  <c r="BA51" i="9"/>
  <c r="AZ51" i="9"/>
  <c r="AY51" i="9"/>
  <c r="BF50" i="9"/>
  <c r="BG50" i="9" s="1"/>
  <c r="BD50" i="9"/>
  <c r="BC50" i="9"/>
  <c r="BB50" i="9"/>
  <c r="BA50" i="9"/>
  <c r="AZ50" i="9"/>
  <c r="AY50" i="9"/>
  <c r="BF48" i="9"/>
  <c r="BG48" i="9" s="1"/>
  <c r="BD48" i="9"/>
  <c r="BC48" i="9"/>
  <c r="BB48" i="9"/>
  <c r="BA48" i="9"/>
  <c r="AZ48" i="9"/>
  <c r="AY48" i="9"/>
  <c r="BF47" i="9"/>
  <c r="BG47" i="9" s="1"/>
  <c r="BD47" i="9"/>
  <c r="BC47" i="9"/>
  <c r="BB47" i="9"/>
  <c r="BA47" i="9"/>
  <c r="AZ47" i="9"/>
  <c r="AY47" i="9"/>
  <c r="BF46" i="9"/>
  <c r="BG46" i="9" s="1"/>
  <c r="BD46" i="9"/>
  <c r="BC46" i="9"/>
  <c r="BB46" i="9"/>
  <c r="BA46" i="9"/>
  <c r="AZ46" i="9"/>
  <c r="AY46" i="9"/>
  <c r="BF45" i="9"/>
  <c r="BG45" i="9" s="1"/>
  <c r="BD45" i="9"/>
  <c r="BC45" i="9"/>
  <c r="BB45" i="9"/>
  <c r="BA45" i="9"/>
  <c r="AZ45" i="9"/>
  <c r="AY45" i="9"/>
  <c r="BF44" i="9"/>
  <c r="BG44" i="9" s="1"/>
  <c r="BD44" i="9"/>
  <c r="BC44" i="9"/>
  <c r="BB44" i="9"/>
  <c r="BA44" i="9"/>
  <c r="AZ44" i="9"/>
  <c r="AY44" i="9"/>
  <c r="BF43" i="9"/>
  <c r="BG43" i="9" s="1"/>
  <c r="BD43" i="9"/>
  <c r="BC43" i="9"/>
  <c r="BB43" i="9"/>
  <c r="BA43" i="9"/>
  <c r="AZ43" i="9"/>
  <c r="AY43" i="9"/>
  <c r="BF42" i="9"/>
  <c r="BG42" i="9" s="1"/>
  <c r="BD42" i="9"/>
  <c r="BC42" i="9"/>
  <c r="BB42" i="9"/>
  <c r="BA42" i="9"/>
  <c r="AZ42" i="9"/>
  <c r="AY42" i="9"/>
  <c r="BF41" i="9"/>
  <c r="BG41" i="9" s="1"/>
  <c r="BD41" i="9"/>
  <c r="BC41" i="9"/>
  <c r="BB41" i="9"/>
  <c r="BA41" i="9"/>
  <c r="AZ41" i="9"/>
  <c r="AY41" i="9"/>
  <c r="BF40" i="9"/>
  <c r="BG40" i="9" s="1"/>
  <c r="BD40" i="9"/>
  <c r="BC40" i="9"/>
  <c r="BB40" i="9"/>
  <c r="BA40" i="9"/>
  <c r="AZ40" i="9"/>
  <c r="AY40" i="9"/>
  <c r="BF39" i="9"/>
  <c r="BG39" i="9" s="1"/>
  <c r="BD39" i="9"/>
  <c r="BC39" i="9"/>
  <c r="BB39" i="9"/>
  <c r="BA39" i="9"/>
  <c r="AZ39" i="9"/>
  <c r="AY39" i="9"/>
  <c r="BF38" i="9"/>
  <c r="BG38" i="9" s="1"/>
  <c r="BD38" i="9"/>
  <c r="BC38" i="9"/>
  <c r="BB38" i="9"/>
  <c r="BA38" i="9"/>
  <c r="AZ38" i="9"/>
  <c r="AY38" i="9"/>
  <c r="BF37" i="9"/>
  <c r="BG37" i="9" s="1"/>
  <c r="BD37" i="9"/>
  <c r="BC37" i="9"/>
  <c r="BB37" i="9"/>
  <c r="BA37" i="9"/>
  <c r="AZ37" i="9"/>
  <c r="AY37" i="9"/>
  <c r="BF36" i="9"/>
  <c r="BG36" i="9" s="1"/>
  <c r="BD36" i="9"/>
  <c r="BC36" i="9"/>
  <c r="BB36" i="9"/>
  <c r="BA36" i="9"/>
  <c r="AZ36" i="9"/>
  <c r="AY36" i="9"/>
  <c r="BF35" i="9"/>
  <c r="BG35" i="9" s="1"/>
  <c r="BD35" i="9"/>
  <c r="BC35" i="9"/>
  <c r="BB35" i="9"/>
  <c r="BA35" i="9"/>
  <c r="AZ35" i="9"/>
  <c r="AY35" i="9"/>
  <c r="BF34" i="9"/>
  <c r="BG34" i="9" s="1"/>
  <c r="BD34" i="9"/>
  <c r="BC34" i="9"/>
  <c r="BB34" i="9"/>
  <c r="BA34" i="9"/>
  <c r="AZ34" i="9"/>
  <c r="AY34" i="9"/>
  <c r="BF32" i="9"/>
  <c r="BG32" i="9" s="1"/>
  <c r="BD32" i="9"/>
  <c r="BC32" i="9"/>
  <c r="BB32" i="9"/>
  <c r="BA32" i="9"/>
  <c r="AZ32" i="9"/>
  <c r="AY32" i="9"/>
  <c r="BF31" i="9"/>
  <c r="BG31" i="9" s="1"/>
  <c r="BD31" i="9"/>
  <c r="BC31" i="9"/>
  <c r="BB31" i="9"/>
  <c r="BA31" i="9"/>
  <c r="AZ31" i="9"/>
  <c r="AY31" i="9"/>
  <c r="BF30" i="9"/>
  <c r="BG30" i="9" s="1"/>
  <c r="BD30" i="9"/>
  <c r="BC30" i="9"/>
  <c r="BB30" i="9"/>
  <c r="BA30" i="9"/>
  <c r="AZ30" i="9"/>
  <c r="AY30" i="9"/>
  <c r="BF29" i="9"/>
  <c r="BG29" i="9" s="1"/>
  <c r="BD29" i="9"/>
  <c r="BC29" i="9"/>
  <c r="BB29" i="9"/>
  <c r="BA29" i="9"/>
  <c r="AZ29" i="9"/>
  <c r="AY29" i="9"/>
  <c r="BF28" i="9"/>
  <c r="BG28" i="9" s="1"/>
  <c r="BD28" i="9"/>
  <c r="BC28" i="9"/>
  <c r="BA28" i="9"/>
  <c r="AY28" i="9"/>
  <c r="BF27" i="9"/>
  <c r="BG27" i="9" s="1"/>
  <c r="BD27" i="9"/>
  <c r="BC27" i="9"/>
  <c r="BB27" i="9"/>
  <c r="BA27" i="9"/>
  <c r="AZ27" i="9"/>
  <c r="AY27" i="9"/>
  <c r="BF26" i="9"/>
  <c r="BG26" i="9" s="1"/>
  <c r="BD26" i="9"/>
  <c r="BC26" i="9"/>
  <c r="BB26" i="9"/>
  <c r="BA26" i="9"/>
  <c r="AZ26" i="9"/>
  <c r="AY26" i="9"/>
  <c r="BF25" i="9"/>
  <c r="BG25" i="9" s="1"/>
  <c r="BD25" i="9"/>
  <c r="BC25" i="9"/>
  <c r="BB25" i="9"/>
  <c r="BA25" i="9"/>
  <c r="AZ25" i="9"/>
  <c r="AY25" i="9"/>
  <c r="BF24" i="9"/>
  <c r="BG24" i="9" s="1"/>
  <c r="BD24" i="9"/>
  <c r="BC24" i="9"/>
  <c r="BB24" i="9"/>
  <c r="BA24" i="9"/>
  <c r="AZ24" i="9"/>
  <c r="AY24" i="9"/>
  <c r="BF23" i="9"/>
  <c r="BG23" i="9" s="1"/>
  <c r="BD23" i="9"/>
  <c r="BC23" i="9"/>
  <c r="BB23" i="9"/>
  <c r="BA23" i="9"/>
  <c r="AZ23" i="9"/>
  <c r="AY23" i="9"/>
  <c r="BF22" i="9"/>
  <c r="BG22" i="9" s="1"/>
  <c r="BD22" i="9"/>
  <c r="BC22" i="9"/>
  <c r="BB22" i="9"/>
  <c r="BA22" i="9"/>
  <c r="AZ22" i="9"/>
  <c r="AY22" i="9"/>
  <c r="BF21" i="9"/>
  <c r="BG21" i="9" s="1"/>
  <c r="BD21" i="9"/>
  <c r="BC21" i="9"/>
  <c r="BB21" i="9"/>
  <c r="BA21" i="9"/>
  <c r="AZ21" i="9"/>
  <c r="AY21" i="9"/>
  <c r="BF20" i="9"/>
  <c r="BG20" i="9" s="1"/>
  <c r="BD20" i="9"/>
  <c r="BC20" i="9"/>
  <c r="BB20" i="9"/>
  <c r="BA20" i="9"/>
  <c r="AZ20" i="9"/>
  <c r="AY20" i="9"/>
  <c r="BF19" i="9"/>
  <c r="BG19" i="9" s="1"/>
  <c r="BD19" i="9"/>
  <c r="BC19" i="9"/>
  <c r="BB19" i="9"/>
  <c r="BA19" i="9"/>
  <c r="AZ19" i="9"/>
  <c r="AY19" i="9"/>
  <c r="BF17" i="9"/>
  <c r="BG17" i="9" s="1"/>
  <c r="BD17" i="9"/>
  <c r="BC17" i="9"/>
  <c r="BB17" i="9"/>
  <c r="BA17" i="9"/>
  <c r="AZ17" i="9"/>
  <c r="AY17" i="9"/>
  <c r="BF16" i="9"/>
  <c r="BG16" i="9" s="1"/>
  <c r="BD16" i="9"/>
  <c r="BC16" i="9"/>
  <c r="BB16" i="9"/>
  <c r="BA16" i="9"/>
  <c r="AZ16" i="9"/>
  <c r="AY16" i="9"/>
  <c r="BF15" i="9"/>
  <c r="BG15" i="9" s="1"/>
  <c r="BD15" i="9"/>
  <c r="BC15" i="9"/>
  <c r="BB15" i="9"/>
  <c r="BA15" i="9"/>
  <c r="AZ15" i="9"/>
  <c r="AY15" i="9"/>
  <c r="BF14" i="9"/>
  <c r="BG14" i="9" s="1"/>
  <c r="BD14" i="9"/>
  <c r="BC14" i="9"/>
  <c r="BB14" i="9"/>
  <c r="BA14" i="9"/>
  <c r="AZ14" i="9"/>
  <c r="AY14" i="9"/>
  <c r="BF13" i="9"/>
  <c r="BD13" i="9"/>
  <c r="BC13" i="9"/>
  <c r="BB13" i="9"/>
  <c r="BA13" i="9"/>
  <c r="AZ13" i="9"/>
  <c r="AY13" i="9"/>
  <c r="BF12" i="9"/>
  <c r="BG12" i="9" s="1"/>
  <c r="BD12" i="9"/>
  <c r="BC12" i="9"/>
  <c r="BB12" i="9"/>
  <c r="BA12" i="9"/>
  <c r="AZ12" i="9"/>
  <c r="AY12" i="9"/>
  <c r="BF11" i="9"/>
  <c r="BG11" i="9" s="1"/>
  <c r="BD11" i="9"/>
  <c r="BC11" i="9"/>
  <c r="BB11" i="9"/>
  <c r="BA11" i="9"/>
  <c r="AZ11" i="9"/>
  <c r="AY11" i="9"/>
  <c r="AU7" i="9"/>
  <c r="AU2" i="9"/>
  <c r="AS91" i="9" s="1"/>
  <c r="AO28" i="9"/>
  <c r="AP28" i="9" s="1"/>
  <c r="AM28" i="9"/>
  <c r="AL28" i="9"/>
  <c r="AJ28" i="9"/>
  <c r="AH28" i="9"/>
  <c r="AA91" i="9"/>
  <c r="AF88" i="9"/>
  <c r="AI92" i="9" s="1"/>
  <c r="AG82" i="9"/>
  <c r="AK92" i="9" s="1"/>
  <c r="AO80" i="9"/>
  <c r="AP80" i="9" s="1"/>
  <c r="AM80" i="9"/>
  <c r="AL80" i="9"/>
  <c r="AK80" i="9"/>
  <c r="AJ80" i="9"/>
  <c r="AI80" i="9"/>
  <c r="AH80" i="9"/>
  <c r="AO79" i="9"/>
  <c r="AP79" i="9" s="1"/>
  <c r="AM79" i="9"/>
  <c r="AL79" i="9"/>
  <c r="AK79" i="9"/>
  <c r="AJ79" i="9"/>
  <c r="AI79" i="9"/>
  <c r="AH79" i="9"/>
  <c r="AO78" i="9"/>
  <c r="AP78" i="9" s="1"/>
  <c r="AM78" i="9"/>
  <c r="AL78" i="9"/>
  <c r="AK78" i="9"/>
  <c r="AJ78" i="9"/>
  <c r="AI78" i="9"/>
  <c r="AH78" i="9"/>
  <c r="AO77" i="9"/>
  <c r="AP77" i="9" s="1"/>
  <c r="AM77" i="9"/>
  <c r="AL77" i="9"/>
  <c r="AK77" i="9"/>
  <c r="AJ77" i="9"/>
  <c r="AI77" i="9"/>
  <c r="AH77" i="9"/>
  <c r="AO76" i="9"/>
  <c r="AP76" i="9" s="1"/>
  <c r="AM76" i="9"/>
  <c r="AL76" i="9"/>
  <c r="AK76" i="9"/>
  <c r="AJ76" i="9"/>
  <c r="AI76" i="9"/>
  <c r="AH76" i="9"/>
  <c r="AO75" i="9"/>
  <c r="AP75" i="9" s="1"/>
  <c r="AM75" i="9"/>
  <c r="AL75" i="9"/>
  <c r="AK75" i="9"/>
  <c r="AJ75" i="9"/>
  <c r="AI75" i="9"/>
  <c r="AH75" i="9"/>
  <c r="AO74" i="9"/>
  <c r="AP74" i="9" s="1"/>
  <c r="AM74" i="9"/>
  <c r="AL74" i="9"/>
  <c r="AK74" i="9"/>
  <c r="AJ74" i="9"/>
  <c r="AI74" i="9"/>
  <c r="AH74" i="9"/>
  <c r="AO73" i="9"/>
  <c r="AP73" i="9" s="1"/>
  <c r="AM73" i="9"/>
  <c r="AL73" i="9"/>
  <c r="AK73" i="9"/>
  <c r="AJ73" i="9"/>
  <c r="AI73" i="9"/>
  <c r="AH73" i="9"/>
  <c r="AO72" i="9"/>
  <c r="AP72" i="9" s="1"/>
  <c r="AM72" i="9"/>
  <c r="AL72" i="9"/>
  <c r="AK72" i="9"/>
  <c r="AJ72" i="9"/>
  <c r="AI72" i="9"/>
  <c r="AH72" i="9"/>
  <c r="AO71" i="9"/>
  <c r="AP71" i="9" s="1"/>
  <c r="AM71" i="9"/>
  <c r="AL71" i="9"/>
  <c r="AK71" i="9"/>
  <c r="AJ71" i="9"/>
  <c r="AI71" i="9"/>
  <c r="AH71" i="9"/>
  <c r="AO70" i="9"/>
  <c r="AP70" i="9" s="1"/>
  <c r="AM70" i="9"/>
  <c r="AL70" i="9"/>
  <c r="AK70" i="9"/>
  <c r="AJ70" i="9"/>
  <c r="AI70" i="9"/>
  <c r="AH70" i="9"/>
  <c r="AO69" i="9"/>
  <c r="AP69" i="9" s="1"/>
  <c r="AM69" i="9"/>
  <c r="AL69" i="9"/>
  <c r="AK69" i="9"/>
  <c r="AJ69" i="9"/>
  <c r="AI69" i="9"/>
  <c r="AH69" i="9"/>
  <c r="AO68" i="9"/>
  <c r="AP68" i="9" s="1"/>
  <c r="AM68" i="9"/>
  <c r="AL68" i="9"/>
  <c r="AK68" i="9"/>
  <c r="AJ68" i="9"/>
  <c r="AI68" i="9"/>
  <c r="AH68" i="9"/>
  <c r="AO67" i="9"/>
  <c r="AP67" i="9" s="1"/>
  <c r="AM67" i="9"/>
  <c r="AL67" i="9"/>
  <c r="AK67" i="9"/>
  <c r="AJ67" i="9"/>
  <c r="AI67" i="9"/>
  <c r="AH67" i="9"/>
  <c r="AO65" i="9"/>
  <c r="AP65" i="9" s="1"/>
  <c r="AM65" i="9"/>
  <c r="AL65" i="9"/>
  <c r="AK65" i="9"/>
  <c r="AJ65" i="9"/>
  <c r="AI65" i="9"/>
  <c r="AH65" i="9"/>
  <c r="AO64" i="9"/>
  <c r="AP64" i="9" s="1"/>
  <c r="AM64" i="9"/>
  <c r="AL64" i="9"/>
  <c r="AK64" i="9"/>
  <c r="AJ64" i="9"/>
  <c r="AI64" i="9"/>
  <c r="AH64" i="9"/>
  <c r="AO62" i="9"/>
  <c r="AP62" i="9" s="1"/>
  <c r="AM62" i="9"/>
  <c r="AL62" i="9"/>
  <c r="AK62" i="9"/>
  <c r="AJ62" i="9"/>
  <c r="AI62" i="9"/>
  <c r="AH62" i="9"/>
  <c r="AO61" i="9"/>
  <c r="AP61" i="9" s="1"/>
  <c r="AM61" i="9"/>
  <c r="AL61" i="9"/>
  <c r="AK61" i="9"/>
  <c r="AJ61" i="9"/>
  <c r="AI61" i="9"/>
  <c r="AH61" i="9"/>
  <c r="AO60" i="9"/>
  <c r="AP60" i="9" s="1"/>
  <c r="AM60" i="9"/>
  <c r="AL60" i="9"/>
  <c r="AK60" i="9"/>
  <c r="AJ60" i="9"/>
  <c r="AI60" i="9"/>
  <c r="AH60" i="9"/>
  <c r="AO59" i="9"/>
  <c r="AP59" i="9" s="1"/>
  <c r="AM59" i="9"/>
  <c r="AL59" i="9"/>
  <c r="AK59" i="9"/>
  <c r="AJ59" i="9"/>
  <c r="AI59" i="9"/>
  <c r="AH59" i="9"/>
  <c r="AO58" i="9"/>
  <c r="AP58" i="9" s="1"/>
  <c r="AM58" i="9"/>
  <c r="AL58" i="9"/>
  <c r="AK58" i="9"/>
  <c r="AJ58" i="9"/>
  <c r="AI58" i="9"/>
  <c r="AH58" i="9"/>
  <c r="AO56" i="9"/>
  <c r="AP56" i="9" s="1"/>
  <c r="AM56" i="9"/>
  <c r="AL56" i="9"/>
  <c r="AK56" i="9"/>
  <c r="AJ56" i="9"/>
  <c r="AI56" i="9"/>
  <c r="AH56" i="9"/>
  <c r="AO55" i="9"/>
  <c r="AP55" i="9" s="1"/>
  <c r="AM55" i="9"/>
  <c r="AL55" i="9"/>
  <c r="AK55" i="9"/>
  <c r="AJ55" i="9"/>
  <c r="AI55" i="9"/>
  <c r="AH55" i="9"/>
  <c r="AO54" i="9"/>
  <c r="AP54" i="9" s="1"/>
  <c r="AM54" i="9"/>
  <c r="AL54" i="9"/>
  <c r="AK54" i="9"/>
  <c r="AJ54" i="9"/>
  <c r="AI54" i="9"/>
  <c r="AH54" i="9"/>
  <c r="AO53" i="9"/>
  <c r="AP53" i="9" s="1"/>
  <c r="AM53" i="9"/>
  <c r="AL53" i="9"/>
  <c r="AK53" i="9"/>
  <c r="AJ53" i="9"/>
  <c r="AI53" i="9"/>
  <c r="AH53" i="9"/>
  <c r="AO52" i="9"/>
  <c r="AP52" i="9" s="1"/>
  <c r="AM52" i="9"/>
  <c r="AL52" i="9"/>
  <c r="AK52" i="9"/>
  <c r="AJ52" i="9"/>
  <c r="AI52" i="9"/>
  <c r="AH52" i="9"/>
  <c r="AO51" i="9"/>
  <c r="AP51" i="9" s="1"/>
  <c r="AM51" i="9"/>
  <c r="AL51" i="9"/>
  <c r="AK51" i="9"/>
  <c r="AJ51" i="9"/>
  <c r="AI51" i="9"/>
  <c r="AH51" i="9"/>
  <c r="AO50" i="9"/>
  <c r="AP50" i="9" s="1"/>
  <c r="AM50" i="9"/>
  <c r="AL50" i="9"/>
  <c r="AK50" i="9"/>
  <c r="AJ50" i="9"/>
  <c r="AI50" i="9"/>
  <c r="AH50" i="9"/>
  <c r="AO48" i="9"/>
  <c r="AP48" i="9" s="1"/>
  <c r="AM48" i="9"/>
  <c r="AL48" i="9"/>
  <c r="AK48" i="9"/>
  <c r="AJ48" i="9"/>
  <c r="AI48" i="9"/>
  <c r="AH48" i="9"/>
  <c r="AO47" i="9"/>
  <c r="AP47" i="9" s="1"/>
  <c r="AM47" i="9"/>
  <c r="AL47" i="9"/>
  <c r="AK47" i="9"/>
  <c r="AJ47" i="9"/>
  <c r="AI47" i="9"/>
  <c r="AH47" i="9"/>
  <c r="AO46" i="9"/>
  <c r="AP46" i="9" s="1"/>
  <c r="AM46" i="9"/>
  <c r="AL46" i="9"/>
  <c r="AK46" i="9"/>
  <c r="AJ46" i="9"/>
  <c r="AI46" i="9"/>
  <c r="AH46" i="9"/>
  <c r="AO45" i="9"/>
  <c r="AP45" i="9" s="1"/>
  <c r="AM45" i="9"/>
  <c r="AL45" i="9"/>
  <c r="AK45" i="9"/>
  <c r="AJ45" i="9"/>
  <c r="AI45" i="9"/>
  <c r="AH45" i="9"/>
  <c r="AO44" i="9"/>
  <c r="AP44" i="9" s="1"/>
  <c r="AM44" i="9"/>
  <c r="AL44" i="9"/>
  <c r="AK44" i="9"/>
  <c r="AJ44" i="9"/>
  <c r="AI44" i="9"/>
  <c r="AH44" i="9"/>
  <c r="AO43" i="9"/>
  <c r="AP43" i="9" s="1"/>
  <c r="AM43" i="9"/>
  <c r="AL43" i="9"/>
  <c r="AK43" i="9"/>
  <c r="AJ43" i="9"/>
  <c r="AI43" i="9"/>
  <c r="AH43" i="9"/>
  <c r="AO42" i="9"/>
  <c r="AP42" i="9" s="1"/>
  <c r="AM42" i="9"/>
  <c r="AL42" i="9"/>
  <c r="AK42" i="9"/>
  <c r="AJ42" i="9"/>
  <c r="AI42" i="9"/>
  <c r="AH42" i="9"/>
  <c r="AO41" i="9"/>
  <c r="AP41" i="9" s="1"/>
  <c r="AM41" i="9"/>
  <c r="AL41" i="9"/>
  <c r="AK41" i="9"/>
  <c r="AJ41" i="9"/>
  <c r="AI41" i="9"/>
  <c r="AH41" i="9"/>
  <c r="AO40" i="9"/>
  <c r="AP40" i="9" s="1"/>
  <c r="AM40" i="9"/>
  <c r="AL40" i="9"/>
  <c r="AK40" i="9"/>
  <c r="AJ40" i="9"/>
  <c r="AI40" i="9"/>
  <c r="AH40" i="9"/>
  <c r="AO39" i="9"/>
  <c r="AP39" i="9" s="1"/>
  <c r="AM39" i="9"/>
  <c r="AL39" i="9"/>
  <c r="AK39" i="9"/>
  <c r="AJ39" i="9"/>
  <c r="AI39" i="9"/>
  <c r="AH39" i="9"/>
  <c r="AO38" i="9"/>
  <c r="AP38" i="9" s="1"/>
  <c r="AM38" i="9"/>
  <c r="AL38" i="9"/>
  <c r="AK38" i="9"/>
  <c r="AJ38" i="9"/>
  <c r="AI38" i="9"/>
  <c r="AH38" i="9"/>
  <c r="AO37" i="9"/>
  <c r="AP37" i="9" s="1"/>
  <c r="AM37" i="9"/>
  <c r="AL37" i="9"/>
  <c r="AK37" i="9"/>
  <c r="AJ37" i="9"/>
  <c r="AI37" i="9"/>
  <c r="AH37" i="9"/>
  <c r="AO36" i="9"/>
  <c r="AP36" i="9" s="1"/>
  <c r="AM36" i="9"/>
  <c r="AL36" i="9"/>
  <c r="AK36" i="9"/>
  <c r="AJ36" i="9"/>
  <c r="AI36" i="9"/>
  <c r="AH36" i="9"/>
  <c r="AO35" i="9"/>
  <c r="AP35" i="9" s="1"/>
  <c r="AM35" i="9"/>
  <c r="AL35" i="9"/>
  <c r="AK35" i="9"/>
  <c r="AJ35" i="9"/>
  <c r="AI35" i="9"/>
  <c r="AH35" i="9"/>
  <c r="AO34" i="9"/>
  <c r="AP34" i="9" s="1"/>
  <c r="AM34" i="9"/>
  <c r="AL34" i="9"/>
  <c r="AK34" i="9"/>
  <c r="AJ34" i="9"/>
  <c r="AI34" i="9"/>
  <c r="AH34" i="9"/>
  <c r="AO32" i="9"/>
  <c r="AP32" i="9" s="1"/>
  <c r="AM32" i="9"/>
  <c r="AL32" i="9"/>
  <c r="AK32" i="9"/>
  <c r="AJ32" i="9"/>
  <c r="AI32" i="9"/>
  <c r="AH32" i="9"/>
  <c r="AO31" i="9"/>
  <c r="AP31" i="9" s="1"/>
  <c r="AM31" i="9"/>
  <c r="AL31" i="9"/>
  <c r="AK31" i="9"/>
  <c r="AJ31" i="9"/>
  <c r="AI31" i="9"/>
  <c r="AH31" i="9"/>
  <c r="AO30" i="9"/>
  <c r="AP30" i="9" s="1"/>
  <c r="AM30" i="9"/>
  <c r="AL30" i="9"/>
  <c r="AK30" i="9"/>
  <c r="AJ30" i="9"/>
  <c r="AI30" i="9"/>
  <c r="AH30" i="9"/>
  <c r="AO29" i="9"/>
  <c r="AP29" i="9" s="1"/>
  <c r="AM29" i="9"/>
  <c r="AL29" i="9"/>
  <c r="AK29" i="9"/>
  <c r="AJ29" i="9"/>
  <c r="AI29" i="9"/>
  <c r="AH29" i="9"/>
  <c r="AO27" i="9"/>
  <c r="AP27" i="9" s="1"/>
  <c r="AM27" i="9"/>
  <c r="AL27" i="9"/>
  <c r="AK27" i="9"/>
  <c r="AJ27" i="9"/>
  <c r="AI27" i="9"/>
  <c r="AH27" i="9"/>
  <c r="AO26" i="9"/>
  <c r="AP26" i="9" s="1"/>
  <c r="AM26" i="9"/>
  <c r="AL26" i="9"/>
  <c r="AK26" i="9"/>
  <c r="AJ26" i="9"/>
  <c r="AI26" i="9"/>
  <c r="AH26" i="9"/>
  <c r="AO25" i="9"/>
  <c r="AP25" i="9" s="1"/>
  <c r="AM25" i="9"/>
  <c r="AL25" i="9"/>
  <c r="AK25" i="9"/>
  <c r="AJ25" i="9"/>
  <c r="AI25" i="9"/>
  <c r="AH25" i="9"/>
  <c r="AO24" i="9"/>
  <c r="AP24" i="9" s="1"/>
  <c r="AM24" i="9"/>
  <c r="AL24" i="9"/>
  <c r="AK24" i="9"/>
  <c r="AJ24" i="9"/>
  <c r="AI24" i="9"/>
  <c r="AH24" i="9"/>
  <c r="AO23" i="9"/>
  <c r="AP23" i="9" s="1"/>
  <c r="AM23" i="9"/>
  <c r="AL23" i="9"/>
  <c r="AK23" i="9"/>
  <c r="AJ23" i="9"/>
  <c r="AI23" i="9"/>
  <c r="AH23" i="9"/>
  <c r="AO22" i="9"/>
  <c r="AP22" i="9" s="1"/>
  <c r="AM22" i="9"/>
  <c r="AL22" i="9"/>
  <c r="AK22" i="9"/>
  <c r="AJ22" i="9"/>
  <c r="AI22" i="9"/>
  <c r="AH22" i="9"/>
  <c r="AO21" i="9"/>
  <c r="AP21" i="9" s="1"/>
  <c r="AM21" i="9"/>
  <c r="AL21" i="9"/>
  <c r="AK21" i="9"/>
  <c r="AJ21" i="9"/>
  <c r="AI21" i="9"/>
  <c r="AH21" i="9"/>
  <c r="AO20" i="9"/>
  <c r="AP20" i="9" s="1"/>
  <c r="AM20" i="9"/>
  <c r="AL20" i="9"/>
  <c r="AK20" i="9"/>
  <c r="AJ20" i="9"/>
  <c r="AI20" i="9"/>
  <c r="AH20" i="9"/>
  <c r="AO19" i="9"/>
  <c r="AP19" i="9" s="1"/>
  <c r="AM19" i="9"/>
  <c r="AL19" i="9"/>
  <c r="AK19" i="9"/>
  <c r="AJ19" i="9"/>
  <c r="AI19" i="9"/>
  <c r="AH19" i="9"/>
  <c r="AO17" i="9"/>
  <c r="AP17" i="9" s="1"/>
  <c r="AM17" i="9"/>
  <c r="AL17" i="9"/>
  <c r="AK17" i="9"/>
  <c r="AJ17" i="9"/>
  <c r="AI17" i="9"/>
  <c r="AH17" i="9"/>
  <c r="AO16" i="9"/>
  <c r="AP16" i="9" s="1"/>
  <c r="AM16" i="9"/>
  <c r="AL16" i="9"/>
  <c r="AK16" i="9"/>
  <c r="AJ16" i="9"/>
  <c r="AI16" i="9"/>
  <c r="AH16" i="9"/>
  <c r="AO15" i="9"/>
  <c r="AP15" i="9" s="1"/>
  <c r="AM15" i="9"/>
  <c r="AL15" i="9"/>
  <c r="AK15" i="9"/>
  <c r="AJ15" i="9"/>
  <c r="AI15" i="9"/>
  <c r="AH15" i="9"/>
  <c r="AO14" i="9"/>
  <c r="AP14" i="9" s="1"/>
  <c r="AM14" i="9"/>
  <c r="AL14" i="9"/>
  <c r="AK14" i="9"/>
  <c r="AJ14" i="9"/>
  <c r="AI14" i="9"/>
  <c r="AH14" i="9"/>
  <c r="AO13" i="9"/>
  <c r="AP13" i="9" s="1"/>
  <c r="AM13" i="9"/>
  <c r="AL13" i="9"/>
  <c r="AK13" i="9"/>
  <c r="AJ13" i="9"/>
  <c r="AI13" i="9"/>
  <c r="AH13" i="9"/>
  <c r="AO12" i="9"/>
  <c r="AP12" i="9" s="1"/>
  <c r="AM12" i="9"/>
  <c r="AL12" i="9"/>
  <c r="AK12" i="9"/>
  <c r="AJ12" i="9"/>
  <c r="AI12" i="9"/>
  <c r="AH12" i="9"/>
  <c r="AO11" i="9"/>
  <c r="AM11" i="9"/>
  <c r="AL11" i="9"/>
  <c r="AK11" i="9"/>
  <c r="AJ11" i="9"/>
  <c r="AI11" i="9"/>
  <c r="AH11" i="9"/>
  <c r="AD7" i="9"/>
  <c r="AD2" i="9"/>
  <c r="AB91" i="9" s="1"/>
  <c r="HB28" i="9" l="1"/>
  <c r="DD12" i="9"/>
  <c r="IJ60" i="9"/>
  <c r="GK24" i="9"/>
  <c r="BE76" i="9"/>
  <c r="BE78" i="9"/>
  <c r="BV68" i="9"/>
  <c r="BV70" i="9"/>
  <c r="CM15" i="9"/>
  <c r="EL39" i="9"/>
  <c r="FT28" i="9"/>
  <c r="BE32" i="9"/>
  <c r="BV45" i="9"/>
  <c r="CM78" i="9"/>
  <c r="DD29" i="9"/>
  <c r="DD56" i="9"/>
  <c r="DD64" i="9"/>
  <c r="DD65" i="9"/>
  <c r="FC55" i="9"/>
  <c r="FT19" i="9"/>
  <c r="FT21" i="9"/>
  <c r="FT56" i="9"/>
  <c r="FT64" i="9"/>
  <c r="GK50" i="9"/>
  <c r="IJ12" i="9"/>
  <c r="BV28" i="9"/>
  <c r="DD71" i="9"/>
  <c r="DD72" i="9"/>
  <c r="GK79" i="9"/>
  <c r="GK80" i="9"/>
  <c r="HB11" i="9"/>
  <c r="HB51" i="9"/>
  <c r="HB62" i="9"/>
  <c r="HB69" i="9"/>
  <c r="CM53" i="9"/>
  <c r="CM59" i="9"/>
  <c r="EL65" i="9"/>
  <c r="EL71" i="9"/>
  <c r="EL72" i="9"/>
  <c r="GK36" i="9"/>
  <c r="HS70" i="9"/>
  <c r="IJ42" i="9"/>
  <c r="IJ43" i="9"/>
  <c r="BV14" i="9"/>
  <c r="BV16" i="9"/>
  <c r="BV17" i="9"/>
  <c r="BV31" i="9"/>
  <c r="BV34" i="9"/>
  <c r="BV35" i="9"/>
  <c r="DD19" i="9"/>
  <c r="DU13" i="9"/>
  <c r="DU20" i="9"/>
  <c r="DU21" i="9"/>
  <c r="DU30" i="9"/>
  <c r="DU37" i="9"/>
  <c r="DU38" i="9"/>
  <c r="FC15" i="9"/>
  <c r="FC35" i="9"/>
  <c r="FC41" i="9"/>
  <c r="FC80" i="9"/>
  <c r="FT11" i="9"/>
  <c r="FT53" i="9"/>
  <c r="FT55" i="9"/>
  <c r="GK32" i="9"/>
  <c r="HS51" i="9"/>
  <c r="BV64" i="9"/>
  <c r="GK35" i="9"/>
  <c r="BE15" i="9"/>
  <c r="BE43" i="9"/>
  <c r="BE50" i="9"/>
  <c r="CM32" i="9"/>
  <c r="CM79" i="9"/>
  <c r="DD11" i="9"/>
  <c r="DU67" i="9"/>
  <c r="EL11" i="9"/>
  <c r="EL22" i="9"/>
  <c r="EL29" i="9"/>
  <c r="EL36" i="9"/>
  <c r="FC56" i="9"/>
  <c r="FC64" i="9"/>
  <c r="FT22" i="9"/>
  <c r="GK26" i="9"/>
  <c r="GK27" i="9"/>
  <c r="GK52" i="9"/>
  <c r="GK53" i="9"/>
  <c r="GK61" i="9"/>
  <c r="GK62" i="9"/>
  <c r="GK77" i="9"/>
  <c r="HB22" i="9"/>
  <c r="HB80" i="9"/>
  <c r="HS25" i="9"/>
  <c r="HS34" i="9"/>
  <c r="IJ13" i="9"/>
  <c r="IJ61" i="9"/>
  <c r="IJ71" i="9"/>
  <c r="BE26" i="9"/>
  <c r="BE40" i="9"/>
  <c r="BE42" i="9"/>
  <c r="BE61" i="9"/>
  <c r="BE69" i="9"/>
  <c r="BV11" i="9"/>
  <c r="BV52" i="9"/>
  <c r="DD22" i="9"/>
  <c r="DD28" i="9"/>
  <c r="DD36" i="9"/>
  <c r="DU27" i="9"/>
  <c r="DU44" i="9"/>
  <c r="DU74" i="9"/>
  <c r="DU79" i="9"/>
  <c r="DU80" i="9"/>
  <c r="EL46" i="9"/>
  <c r="EL52" i="9"/>
  <c r="EL53" i="9"/>
  <c r="EL64" i="9"/>
  <c r="FC26" i="9"/>
  <c r="FC34" i="9"/>
  <c r="FT36" i="9"/>
  <c r="FT38" i="9"/>
  <c r="FT39" i="9"/>
  <c r="FT45" i="9"/>
  <c r="FT75" i="9"/>
  <c r="GK43" i="9"/>
  <c r="GK44" i="9"/>
  <c r="GK59" i="9"/>
  <c r="GK71" i="9"/>
  <c r="HB19" i="9"/>
  <c r="HB21" i="9"/>
  <c r="HB36" i="9"/>
  <c r="HB38" i="9"/>
  <c r="HB39" i="9"/>
  <c r="HB45" i="9"/>
  <c r="HB72" i="9"/>
  <c r="HB77" i="9"/>
  <c r="IJ70" i="9"/>
  <c r="IJ79" i="9"/>
  <c r="BE23" i="9"/>
  <c r="BE25" i="9"/>
  <c r="BE58" i="9"/>
  <c r="BE60" i="9"/>
  <c r="BE79" i="9"/>
  <c r="BV48" i="9"/>
  <c r="BV51" i="9"/>
  <c r="BV71" i="9"/>
  <c r="CM23" i="9"/>
  <c r="CM25" i="9"/>
  <c r="CM26" i="9"/>
  <c r="CM40" i="9"/>
  <c r="CM42" i="9"/>
  <c r="CM43" i="9"/>
  <c r="CM50" i="9"/>
  <c r="CM68" i="9"/>
  <c r="CM70" i="9"/>
  <c r="CM71" i="9"/>
  <c r="DD39" i="9"/>
  <c r="DD45" i="9"/>
  <c r="DD46" i="9"/>
  <c r="DD53" i="9"/>
  <c r="DQ82" i="9"/>
  <c r="DU47" i="9"/>
  <c r="DU54" i="9"/>
  <c r="DU55" i="9"/>
  <c r="DU62" i="9"/>
  <c r="DU73" i="9"/>
  <c r="EL12" i="9"/>
  <c r="EL17" i="9"/>
  <c r="EL19" i="9"/>
  <c r="EL28" i="9"/>
  <c r="EL45" i="9"/>
  <c r="FC23" i="9"/>
  <c r="FC25" i="9"/>
  <c r="FC44" i="9"/>
  <c r="FC72" i="9"/>
  <c r="FC77" i="9"/>
  <c r="FT72" i="9"/>
  <c r="FT74" i="9"/>
  <c r="GK15" i="9"/>
  <c r="GK17" i="9"/>
  <c r="GK19" i="9"/>
  <c r="GK41" i="9"/>
  <c r="GK69" i="9"/>
  <c r="GK75" i="9"/>
  <c r="HB52" i="9"/>
  <c r="HS16" i="9"/>
  <c r="HS42" i="9"/>
  <c r="HS60" i="9"/>
  <c r="HS78" i="9"/>
  <c r="IJ25" i="9"/>
  <c r="IJ26" i="9"/>
  <c r="IJ34" i="9"/>
  <c r="IJ35" i="9"/>
  <c r="IJ51" i="9"/>
  <c r="IJ52" i="9"/>
  <c r="IJ78" i="9"/>
  <c r="IJ11" i="9"/>
  <c r="IJ14" i="9"/>
  <c r="IJ16" i="9"/>
  <c r="IJ17" i="9"/>
  <c r="IJ24" i="9"/>
  <c r="IJ27" i="9"/>
  <c r="IJ32" i="9"/>
  <c r="IJ36" i="9"/>
  <c r="IJ41" i="9"/>
  <c r="IJ44" i="9"/>
  <c r="IJ50" i="9"/>
  <c r="IJ53" i="9"/>
  <c r="IJ59" i="9"/>
  <c r="IJ62" i="9"/>
  <c r="IJ69" i="9"/>
  <c r="IJ72" i="9"/>
  <c r="IJ77" i="9"/>
  <c r="IJ80" i="9"/>
  <c r="IJ15" i="9"/>
  <c r="IJ19" i="9"/>
  <c r="IJ21" i="9"/>
  <c r="IJ22" i="9"/>
  <c r="IJ29" i="9"/>
  <c r="IJ30" i="9"/>
  <c r="IJ38" i="9"/>
  <c r="IJ39" i="9"/>
  <c r="IJ46" i="9"/>
  <c r="IJ47" i="9"/>
  <c r="IJ55" i="9"/>
  <c r="IJ56" i="9"/>
  <c r="IJ65" i="9"/>
  <c r="IJ67" i="9"/>
  <c r="IJ74" i="9"/>
  <c r="IJ75" i="9"/>
  <c r="IL81" i="9"/>
  <c r="IL82" i="9" s="1"/>
  <c r="IL92" i="9" s="1"/>
  <c r="IJ20" i="9"/>
  <c r="IJ23" i="9"/>
  <c r="IJ28" i="9"/>
  <c r="IJ31" i="9"/>
  <c r="IJ37" i="9"/>
  <c r="IJ40" i="9"/>
  <c r="IJ45" i="9"/>
  <c r="IJ48" i="9"/>
  <c r="IJ54" i="9"/>
  <c r="IJ58" i="9"/>
  <c r="IJ64" i="9"/>
  <c r="IJ68" i="9"/>
  <c r="IJ73" i="9"/>
  <c r="IJ76" i="9"/>
  <c r="HS15" i="9"/>
  <c r="HS17" i="9"/>
  <c r="HS19" i="9"/>
  <c r="HS24" i="9"/>
  <c r="HS26" i="9"/>
  <c r="HS27" i="9"/>
  <c r="HS32" i="9"/>
  <c r="HS35" i="9"/>
  <c r="HS36" i="9"/>
  <c r="HS41" i="9"/>
  <c r="HS43" i="9"/>
  <c r="HS44" i="9"/>
  <c r="HS50" i="9"/>
  <c r="HS52" i="9"/>
  <c r="HS53" i="9"/>
  <c r="HS59" i="9"/>
  <c r="HS61" i="9"/>
  <c r="HS62" i="9"/>
  <c r="HS69" i="9"/>
  <c r="HS71" i="9"/>
  <c r="HS72" i="9"/>
  <c r="HS77" i="9"/>
  <c r="HS79" i="9"/>
  <c r="HS80" i="9"/>
  <c r="HS12" i="9"/>
  <c r="HS21" i="9"/>
  <c r="HS29" i="9"/>
  <c r="HS38" i="9"/>
  <c r="HS46" i="9"/>
  <c r="HS55" i="9"/>
  <c r="HS65" i="9"/>
  <c r="HS74" i="9"/>
  <c r="HS11" i="9"/>
  <c r="HS13" i="9"/>
  <c r="HS14" i="9"/>
  <c r="HS20" i="9"/>
  <c r="HS22" i="9"/>
  <c r="HS23" i="9"/>
  <c r="HS28" i="9"/>
  <c r="HS30" i="9"/>
  <c r="HS31" i="9"/>
  <c r="HS37" i="9"/>
  <c r="HS39" i="9"/>
  <c r="HS40" i="9"/>
  <c r="HS45" i="9"/>
  <c r="HS47" i="9"/>
  <c r="HS48" i="9"/>
  <c r="HS54" i="9"/>
  <c r="HS56" i="9"/>
  <c r="HS58" i="9"/>
  <c r="HS64" i="9"/>
  <c r="HS67" i="9"/>
  <c r="HS68" i="9"/>
  <c r="HS73" i="9"/>
  <c r="HS75" i="9"/>
  <c r="HS76" i="9"/>
  <c r="GX82" i="9"/>
  <c r="HB15" i="9"/>
  <c r="HB25" i="9"/>
  <c r="HB32" i="9"/>
  <c r="HB42" i="9"/>
  <c r="HB53" i="9"/>
  <c r="HB67" i="9"/>
  <c r="HB75" i="9"/>
  <c r="HB12" i="9"/>
  <c r="HB13" i="9"/>
  <c r="HB20" i="9"/>
  <c r="HB27" i="9"/>
  <c r="HB29" i="9"/>
  <c r="HB30" i="9"/>
  <c r="HB37" i="9"/>
  <c r="HB44" i="9"/>
  <c r="HB46" i="9"/>
  <c r="HB47" i="9"/>
  <c r="HB55" i="9"/>
  <c r="HB56" i="9"/>
  <c r="HB64" i="9"/>
  <c r="HB68" i="9"/>
  <c r="HB73" i="9"/>
  <c r="HB76" i="9"/>
  <c r="HB23" i="9"/>
  <c r="HB26" i="9"/>
  <c r="HB40" i="9"/>
  <c r="HB43" i="9"/>
  <c r="HB50" i="9"/>
  <c r="HB59" i="9"/>
  <c r="HB65" i="9"/>
  <c r="HB74" i="9"/>
  <c r="HB14" i="9"/>
  <c r="HB16" i="9"/>
  <c r="HB17" i="9"/>
  <c r="HB24" i="9"/>
  <c r="HB31" i="9"/>
  <c r="HB34" i="9"/>
  <c r="HB35" i="9"/>
  <c r="HB41" i="9"/>
  <c r="HB48" i="9"/>
  <c r="HB54" i="9"/>
  <c r="HB58" i="9"/>
  <c r="HB60" i="9"/>
  <c r="HB61" i="9"/>
  <c r="HB70" i="9"/>
  <c r="HB71" i="9"/>
  <c r="HB78" i="9"/>
  <c r="HB79" i="9"/>
  <c r="GK12" i="9"/>
  <c r="GK21" i="9"/>
  <c r="GK29" i="9"/>
  <c r="GK38" i="9"/>
  <c r="GK46" i="9"/>
  <c r="GK55" i="9"/>
  <c r="GK65" i="9"/>
  <c r="GK74" i="9"/>
  <c r="GK11" i="9"/>
  <c r="GK13" i="9"/>
  <c r="GK14" i="9"/>
  <c r="GK20" i="9"/>
  <c r="GK22" i="9"/>
  <c r="GK23" i="9"/>
  <c r="GK28" i="9"/>
  <c r="GK30" i="9"/>
  <c r="GK31" i="9"/>
  <c r="GK37" i="9"/>
  <c r="GK39" i="9"/>
  <c r="GK40" i="9"/>
  <c r="GK45" i="9"/>
  <c r="GK47" i="9"/>
  <c r="GK48" i="9"/>
  <c r="GK54" i="9"/>
  <c r="GK56" i="9"/>
  <c r="GK58" i="9"/>
  <c r="GK64" i="9"/>
  <c r="GK67" i="9"/>
  <c r="GK68" i="9"/>
  <c r="GK73" i="9"/>
  <c r="GK76" i="9"/>
  <c r="GK16" i="9"/>
  <c r="GK25" i="9"/>
  <c r="GK34" i="9"/>
  <c r="GK42" i="9"/>
  <c r="GK51" i="9"/>
  <c r="GK60" i="9"/>
  <c r="GK70" i="9"/>
  <c r="GK78" i="9"/>
  <c r="GK72" i="9"/>
  <c r="FT15" i="9"/>
  <c r="FT23" i="9"/>
  <c r="FT25" i="9"/>
  <c r="FT26" i="9"/>
  <c r="FT32" i="9"/>
  <c r="FT40" i="9"/>
  <c r="FT42" i="9"/>
  <c r="FT43" i="9"/>
  <c r="FT50" i="9"/>
  <c r="FT58" i="9"/>
  <c r="FT60" i="9"/>
  <c r="FT61" i="9"/>
  <c r="FT69" i="9"/>
  <c r="FT76" i="9"/>
  <c r="FT78" i="9"/>
  <c r="FT79" i="9"/>
  <c r="FT12" i="9"/>
  <c r="FT13" i="9"/>
  <c r="FT20" i="9"/>
  <c r="FT27" i="9"/>
  <c r="FT29" i="9"/>
  <c r="FT30" i="9"/>
  <c r="FT37" i="9"/>
  <c r="FT44" i="9"/>
  <c r="FT46" i="9"/>
  <c r="FT47" i="9"/>
  <c r="FT54" i="9"/>
  <c r="FT62" i="9"/>
  <c r="FT65" i="9"/>
  <c r="FT67" i="9"/>
  <c r="FT73" i="9"/>
  <c r="FT80" i="9"/>
  <c r="FT14" i="9"/>
  <c r="FT16" i="9"/>
  <c r="FT17" i="9"/>
  <c r="FT24" i="9"/>
  <c r="FT31" i="9"/>
  <c r="FT34" i="9"/>
  <c r="FT35" i="9"/>
  <c r="FT41" i="9"/>
  <c r="FT48" i="9"/>
  <c r="FT51" i="9"/>
  <c r="FT52" i="9"/>
  <c r="FT59" i="9"/>
  <c r="FT68" i="9"/>
  <c r="FT70" i="9"/>
  <c r="FT71" i="9"/>
  <c r="FT77" i="9"/>
  <c r="FC50" i="9"/>
  <c r="FC12" i="9"/>
  <c r="FC13" i="9"/>
  <c r="FC20" i="9"/>
  <c r="FC27" i="9"/>
  <c r="FC32" i="9"/>
  <c r="FC36" i="9"/>
  <c r="FC38" i="9"/>
  <c r="FC39" i="9"/>
  <c r="FC46" i="9"/>
  <c r="FC47" i="9"/>
  <c r="FC54" i="9"/>
  <c r="FC58" i="9"/>
  <c r="FC60" i="9"/>
  <c r="FC61" i="9"/>
  <c r="FC69" i="9"/>
  <c r="FC74" i="9"/>
  <c r="FC75" i="9"/>
  <c r="FC14" i="9"/>
  <c r="FC16" i="9"/>
  <c r="FC17" i="9"/>
  <c r="FC24" i="9"/>
  <c r="FC29" i="9"/>
  <c r="FC30" i="9"/>
  <c r="FC40" i="9"/>
  <c r="FC45" i="9"/>
  <c r="FC48" i="9"/>
  <c r="FC51" i="9"/>
  <c r="FC52" i="9"/>
  <c r="FC62" i="9"/>
  <c r="FC65" i="9"/>
  <c r="FC67" i="9"/>
  <c r="FC73" i="9"/>
  <c r="FC76" i="9"/>
  <c r="FC11" i="9"/>
  <c r="FC19" i="9"/>
  <c r="FC21" i="9"/>
  <c r="FC22" i="9"/>
  <c r="FC28" i="9"/>
  <c r="FC31" i="9"/>
  <c r="FC37" i="9"/>
  <c r="FC42" i="9"/>
  <c r="FC43" i="9"/>
  <c r="FC53" i="9"/>
  <c r="FC59" i="9"/>
  <c r="FC68" i="9"/>
  <c r="FC70" i="9"/>
  <c r="FC71" i="9"/>
  <c r="FC78" i="9"/>
  <c r="FC79" i="9"/>
  <c r="EL14" i="9"/>
  <c r="EL24" i="9"/>
  <c r="EL31" i="9"/>
  <c r="EL35" i="9"/>
  <c r="EL41" i="9"/>
  <c r="EL42" i="9"/>
  <c r="EL48" i="9"/>
  <c r="EL59" i="9"/>
  <c r="EL60" i="9"/>
  <c r="EL67" i="9"/>
  <c r="EL68" i="9"/>
  <c r="EL77" i="9"/>
  <c r="EL78" i="9"/>
  <c r="EL13" i="9"/>
  <c r="EL25" i="9"/>
  <c r="EL30" i="9"/>
  <c r="EH82" i="9"/>
  <c r="EL20" i="9"/>
  <c r="EL21" i="9"/>
  <c r="EL27" i="9"/>
  <c r="EL37" i="9"/>
  <c r="EL38" i="9"/>
  <c r="EL44" i="9"/>
  <c r="EL47" i="9"/>
  <c r="EL54" i="9"/>
  <c r="EL55" i="9"/>
  <c r="EL62" i="9"/>
  <c r="EL73" i="9"/>
  <c r="EL74" i="9"/>
  <c r="EL79" i="9"/>
  <c r="EL80" i="9"/>
  <c r="EN11" i="9"/>
  <c r="EN81" i="9" s="1"/>
  <c r="EN82" i="9" s="1"/>
  <c r="EN92" i="9" s="1"/>
  <c r="EL15" i="9"/>
  <c r="EL16" i="9"/>
  <c r="EL23" i="9"/>
  <c r="EL26" i="9"/>
  <c r="EL32" i="9"/>
  <c r="EL34" i="9"/>
  <c r="EL40" i="9"/>
  <c r="EL43" i="9"/>
  <c r="EL50" i="9"/>
  <c r="EL51" i="9"/>
  <c r="EL56" i="9"/>
  <c r="EL58" i="9"/>
  <c r="EL61" i="9"/>
  <c r="EL69" i="9"/>
  <c r="EL70" i="9"/>
  <c r="EL75" i="9"/>
  <c r="EL76" i="9"/>
  <c r="DW11" i="9"/>
  <c r="DW81" i="9" s="1"/>
  <c r="DW82" i="9" s="1"/>
  <c r="DW92" i="9" s="1"/>
  <c r="DU15" i="9"/>
  <c r="DU16" i="9"/>
  <c r="DU23" i="9"/>
  <c r="DU26" i="9"/>
  <c r="DU32" i="9"/>
  <c r="DU34" i="9"/>
  <c r="DU40" i="9"/>
  <c r="DU43" i="9"/>
  <c r="DU50" i="9"/>
  <c r="DU51" i="9"/>
  <c r="DU58" i="9"/>
  <c r="DU61" i="9"/>
  <c r="DU69" i="9"/>
  <c r="DU70" i="9"/>
  <c r="DU75" i="9"/>
  <c r="DU76" i="9"/>
  <c r="DU11" i="9"/>
  <c r="DU12" i="9"/>
  <c r="DU19" i="9"/>
  <c r="DU22" i="9"/>
  <c r="DU28" i="9"/>
  <c r="DU29" i="9"/>
  <c r="DU36" i="9"/>
  <c r="DU39" i="9"/>
  <c r="DU45" i="9"/>
  <c r="DU46" i="9"/>
  <c r="DU53" i="9"/>
  <c r="DU56" i="9"/>
  <c r="DU64" i="9"/>
  <c r="DU65" i="9"/>
  <c r="DU71" i="9"/>
  <c r="DU72" i="9"/>
  <c r="DU14" i="9"/>
  <c r="DU17" i="9"/>
  <c r="DU24" i="9"/>
  <c r="DU25" i="9"/>
  <c r="DU31" i="9"/>
  <c r="DU35" i="9"/>
  <c r="DU41" i="9"/>
  <c r="DU42" i="9"/>
  <c r="DU48" i="9"/>
  <c r="DU52" i="9"/>
  <c r="DU59" i="9"/>
  <c r="DU60" i="9"/>
  <c r="DU68" i="9"/>
  <c r="DU77" i="9"/>
  <c r="DU78" i="9"/>
  <c r="DD14" i="9"/>
  <c r="DD17" i="9"/>
  <c r="DD24" i="9"/>
  <c r="DD25" i="9"/>
  <c r="DD31" i="9"/>
  <c r="DD35" i="9"/>
  <c r="DD41" i="9"/>
  <c r="DD42" i="9"/>
  <c r="DD48" i="9"/>
  <c r="DD52" i="9"/>
  <c r="DD59" i="9"/>
  <c r="DD60" i="9"/>
  <c r="DD67" i="9"/>
  <c r="DD68" i="9"/>
  <c r="DD77" i="9"/>
  <c r="DD78" i="9"/>
  <c r="CZ82" i="9"/>
  <c r="DD13" i="9"/>
  <c r="DD20" i="9"/>
  <c r="DD21" i="9"/>
  <c r="DD27" i="9"/>
  <c r="DD30" i="9"/>
  <c r="DD37" i="9"/>
  <c r="DD38" i="9"/>
  <c r="DD44" i="9"/>
  <c r="DD47" i="9"/>
  <c r="DD54" i="9"/>
  <c r="DD55" i="9"/>
  <c r="DD62" i="9"/>
  <c r="DD73" i="9"/>
  <c r="DD74" i="9"/>
  <c r="DD79" i="9"/>
  <c r="DD80" i="9"/>
  <c r="DD15" i="9"/>
  <c r="DD16" i="9"/>
  <c r="DD23" i="9"/>
  <c r="DD26" i="9"/>
  <c r="DD32" i="9"/>
  <c r="DD34" i="9"/>
  <c r="DD40" i="9"/>
  <c r="DD43" i="9"/>
  <c r="DD50" i="9"/>
  <c r="DD51" i="9"/>
  <c r="DD58" i="9"/>
  <c r="DD61" i="9"/>
  <c r="DD69" i="9"/>
  <c r="DD70" i="9"/>
  <c r="DD75" i="9"/>
  <c r="DD76" i="9"/>
  <c r="CM12" i="9"/>
  <c r="CM13" i="9"/>
  <c r="CM20" i="9"/>
  <c r="CM27" i="9"/>
  <c r="CM29" i="9"/>
  <c r="CM30" i="9"/>
  <c r="CM37" i="9"/>
  <c r="CM44" i="9"/>
  <c r="CM46" i="9"/>
  <c r="CM47" i="9"/>
  <c r="CM55" i="9"/>
  <c r="CM56" i="9"/>
  <c r="CM64" i="9"/>
  <c r="CM72" i="9"/>
  <c r="CM77" i="9"/>
  <c r="CM80" i="9"/>
  <c r="CM14" i="9"/>
  <c r="CM16" i="9"/>
  <c r="CM17" i="9"/>
  <c r="CM24" i="9"/>
  <c r="CM31" i="9"/>
  <c r="CM34" i="9"/>
  <c r="CM35" i="9"/>
  <c r="CM41" i="9"/>
  <c r="CM48" i="9"/>
  <c r="CM54" i="9"/>
  <c r="CM58" i="9"/>
  <c r="CM60" i="9"/>
  <c r="CM61" i="9"/>
  <c r="CM69" i="9"/>
  <c r="CM74" i="9"/>
  <c r="CM75" i="9"/>
  <c r="CM11" i="9"/>
  <c r="CM19" i="9"/>
  <c r="CM21" i="9"/>
  <c r="CM22" i="9"/>
  <c r="CM28" i="9"/>
  <c r="CM36" i="9"/>
  <c r="CM38" i="9"/>
  <c r="CM39" i="9"/>
  <c r="CM45" i="9"/>
  <c r="CM51" i="9"/>
  <c r="CM52" i="9"/>
  <c r="CM62" i="9"/>
  <c r="CM65" i="9"/>
  <c r="CM67" i="9"/>
  <c r="CM73" i="9"/>
  <c r="CM76" i="9"/>
  <c r="BV15" i="9"/>
  <c r="BV19" i="9"/>
  <c r="BV21" i="9"/>
  <c r="BV22" i="9"/>
  <c r="BV32" i="9"/>
  <c r="BV36" i="9"/>
  <c r="BV38" i="9"/>
  <c r="BV39" i="9"/>
  <c r="BV50" i="9"/>
  <c r="BV53" i="9"/>
  <c r="BV55" i="9"/>
  <c r="BV56" i="9"/>
  <c r="BV69" i="9"/>
  <c r="BV72" i="9"/>
  <c r="BV74" i="9"/>
  <c r="BV75" i="9"/>
  <c r="BV20" i="9"/>
  <c r="BV23" i="9"/>
  <c r="BV25" i="9"/>
  <c r="BV26" i="9"/>
  <c r="BV37" i="9"/>
  <c r="BV40" i="9"/>
  <c r="BV42" i="9"/>
  <c r="BV43" i="9"/>
  <c r="BV54" i="9"/>
  <c r="BV58" i="9"/>
  <c r="BV60" i="9"/>
  <c r="BV61" i="9"/>
  <c r="BV73" i="9"/>
  <c r="BV76" i="9"/>
  <c r="BV78" i="9"/>
  <c r="BV79" i="9"/>
  <c r="BV12" i="9"/>
  <c r="BV13" i="9"/>
  <c r="BV24" i="9"/>
  <c r="BV27" i="9"/>
  <c r="BV29" i="9"/>
  <c r="BV30" i="9"/>
  <c r="BV41" i="9"/>
  <c r="BV44" i="9"/>
  <c r="BV46" i="9"/>
  <c r="BV47" i="9"/>
  <c r="BV59" i="9"/>
  <c r="BV62" i="9"/>
  <c r="BV65" i="9"/>
  <c r="BV67" i="9"/>
  <c r="BV77" i="9"/>
  <c r="BV80" i="9"/>
  <c r="BE13" i="9"/>
  <c r="BE20" i="9"/>
  <c r="BE30" i="9"/>
  <c r="BE46" i="9"/>
  <c r="BE62" i="9"/>
  <c r="BE65" i="9"/>
  <c r="BE73" i="9"/>
  <c r="BE16" i="9"/>
  <c r="BE24" i="9"/>
  <c r="BE31" i="9"/>
  <c r="BE35" i="9"/>
  <c r="BE41" i="9"/>
  <c r="BE48" i="9"/>
  <c r="BE51" i="9"/>
  <c r="BE52" i="9"/>
  <c r="BE59" i="9"/>
  <c r="BE68" i="9"/>
  <c r="BE70" i="9"/>
  <c r="BE71" i="9"/>
  <c r="BE77" i="9"/>
  <c r="BE12" i="9"/>
  <c r="BE27" i="9"/>
  <c r="BE29" i="9"/>
  <c r="BE37" i="9"/>
  <c r="BE44" i="9"/>
  <c r="BE47" i="9"/>
  <c r="BE54" i="9"/>
  <c r="BE67" i="9"/>
  <c r="BE80" i="9"/>
  <c r="BE14" i="9"/>
  <c r="BE17" i="9"/>
  <c r="BE34" i="9"/>
  <c r="BE11" i="9"/>
  <c r="BA82" i="9"/>
  <c r="BE19" i="9"/>
  <c r="BE21" i="9"/>
  <c r="BE22" i="9"/>
  <c r="BE28" i="9"/>
  <c r="BE36" i="9"/>
  <c r="BE38" i="9"/>
  <c r="BE39" i="9"/>
  <c r="BE45" i="9"/>
  <c r="BE53" i="9"/>
  <c r="BE55" i="9"/>
  <c r="BE56" i="9"/>
  <c r="BE64" i="9"/>
  <c r="BE72" i="9"/>
  <c r="BE74" i="9"/>
  <c r="BE75" i="9"/>
  <c r="AN19" i="9"/>
  <c r="AG84" i="9"/>
  <c r="AN37" i="9"/>
  <c r="IF82" i="9"/>
  <c r="IG92" i="9"/>
  <c r="IC85" i="9"/>
  <c r="IC86" i="9" s="1"/>
  <c r="IC87" i="9" s="1"/>
  <c r="IC89" i="9" s="1"/>
  <c r="HU81" i="9"/>
  <c r="HU82" i="9" s="1"/>
  <c r="HU92" i="9" s="1"/>
  <c r="HO82" i="9"/>
  <c r="HP92" i="9"/>
  <c r="HL85" i="9"/>
  <c r="HL86" i="9" s="1"/>
  <c r="HL87" i="9" s="1"/>
  <c r="HL89" i="9" s="1"/>
  <c r="HD13" i="9"/>
  <c r="HD81" i="9" s="1"/>
  <c r="HD82" i="9" s="1"/>
  <c r="HD92" i="9" s="1"/>
  <c r="GY92" i="9"/>
  <c r="GU85" i="9"/>
  <c r="GU86" i="9" s="1"/>
  <c r="GU87" i="9" s="1"/>
  <c r="GU89" i="9" s="1"/>
  <c r="GM81" i="9"/>
  <c r="GM82" i="9" s="1"/>
  <c r="GM92" i="9" s="1"/>
  <c r="GG82" i="9"/>
  <c r="GH92" i="9"/>
  <c r="GD85" i="9"/>
  <c r="GD86" i="9" s="1"/>
  <c r="GD87" i="9" s="1"/>
  <c r="GD89" i="9" s="1"/>
  <c r="FT92" i="9"/>
  <c r="FV81" i="9"/>
  <c r="FV82" i="9" s="1"/>
  <c r="FV92" i="9" s="1"/>
  <c r="FM85" i="9"/>
  <c r="FM86" i="9" s="1"/>
  <c r="FM87" i="9" s="1"/>
  <c r="FM89" i="9" s="1"/>
  <c r="FP82" i="9"/>
  <c r="FQ92" i="9"/>
  <c r="FE81" i="9"/>
  <c r="FE82" i="9" s="1"/>
  <c r="FE92" i="9" s="1"/>
  <c r="EV85" i="9"/>
  <c r="EV86" i="9" s="1"/>
  <c r="EV87" i="9" s="1"/>
  <c r="EV89" i="9" s="1"/>
  <c r="EY82" i="9"/>
  <c r="EZ92" i="9"/>
  <c r="EI92" i="9"/>
  <c r="EE85" i="9"/>
  <c r="DR92" i="9"/>
  <c r="DN85" i="9"/>
  <c r="DN86" i="9" s="1"/>
  <c r="DN87" i="9" s="1"/>
  <c r="DF81" i="9"/>
  <c r="DF82" i="9" s="1"/>
  <c r="DF92" i="9" s="1"/>
  <c r="DA92" i="9"/>
  <c r="CW85" i="9"/>
  <c r="CW86" i="9" s="1"/>
  <c r="CO81" i="9"/>
  <c r="CO82" i="9" s="1"/>
  <c r="CO92" i="9" s="1"/>
  <c r="CF85" i="9"/>
  <c r="CF86" i="9" s="1"/>
  <c r="CF87" i="9" s="1"/>
  <c r="CF89" i="9" s="1"/>
  <c r="CI82" i="9"/>
  <c r="CJ92" i="9"/>
  <c r="BX81" i="9"/>
  <c r="BX82" i="9" s="1"/>
  <c r="BX92" i="9" s="1"/>
  <c r="BR82" i="9"/>
  <c r="BS92" i="9"/>
  <c r="BO85" i="9"/>
  <c r="BO86" i="9" s="1"/>
  <c r="BO87" i="9" s="1"/>
  <c r="BO89" i="9" s="1"/>
  <c r="AX85" i="9"/>
  <c r="AX86" i="9" s="1"/>
  <c r="AX87" i="9" s="1"/>
  <c r="BG13" i="9"/>
  <c r="BG81" i="9" s="1"/>
  <c r="BG82" i="9" s="1"/>
  <c r="BG92" i="9" s="1"/>
  <c r="BB92" i="9"/>
  <c r="AN12" i="9"/>
  <c r="AN15" i="9"/>
  <c r="AN17" i="9"/>
  <c r="AN29" i="9"/>
  <c r="AN28" i="9"/>
  <c r="AN52" i="9"/>
  <c r="AN61" i="9"/>
  <c r="AN71" i="9"/>
  <c r="AN80" i="9"/>
  <c r="AN25" i="9"/>
  <c r="AN38" i="9"/>
  <c r="AN74" i="9"/>
  <c r="AN16" i="9"/>
  <c r="AN20" i="9"/>
  <c r="AN22" i="9"/>
  <c r="AN23" i="9"/>
  <c r="AN30" i="9"/>
  <c r="AN36" i="9"/>
  <c r="AN39" i="9"/>
  <c r="AN44" i="9"/>
  <c r="AN45" i="9"/>
  <c r="AN46" i="9"/>
  <c r="AN51" i="9"/>
  <c r="AN53" i="9"/>
  <c r="AN54" i="9"/>
  <c r="AN60" i="9"/>
  <c r="AN62" i="9"/>
  <c r="AN64" i="9"/>
  <c r="AN65" i="9"/>
  <c r="AN70" i="9"/>
  <c r="AN76" i="9"/>
  <c r="AN77" i="9"/>
  <c r="AN32" i="9"/>
  <c r="AN34" i="9"/>
  <c r="AN41" i="9"/>
  <c r="AN42" i="9"/>
  <c r="AN47" i="9"/>
  <c r="AN56" i="9"/>
  <c r="AN67" i="9"/>
  <c r="AN72" i="9"/>
  <c r="AN73" i="9"/>
  <c r="AN79" i="9"/>
  <c r="AN21" i="9"/>
  <c r="AN24" i="9"/>
  <c r="AN11" i="9"/>
  <c r="AJ82" i="9"/>
  <c r="AN13" i="9"/>
  <c r="AN14" i="9"/>
  <c r="AN26" i="9"/>
  <c r="AN27" i="9"/>
  <c r="AN31" i="9"/>
  <c r="AN35" i="9"/>
  <c r="AN40" i="9"/>
  <c r="AN43" i="9"/>
  <c r="AN48" i="9"/>
  <c r="AN50" i="9"/>
  <c r="AN55" i="9"/>
  <c r="AN58" i="9"/>
  <c r="AN59" i="9"/>
  <c r="AN68" i="9"/>
  <c r="AN69" i="9"/>
  <c r="AN75" i="9"/>
  <c r="AN78" i="9"/>
  <c r="AG85" i="9"/>
  <c r="AP11" i="9"/>
  <c r="AP81" i="9" s="1"/>
  <c r="AP82" i="9" s="1"/>
  <c r="AP92" i="9" s="1"/>
  <c r="E13" i="5"/>
  <c r="CW87" i="9" l="1"/>
  <c r="CW89" i="9" s="1"/>
  <c r="BV92" i="9"/>
  <c r="FG92" i="9"/>
  <c r="IJ92" i="9"/>
  <c r="HW92" i="9" s="1"/>
  <c r="EL92" i="9"/>
  <c r="CM92" i="9"/>
  <c r="AG86" i="9"/>
  <c r="AG87" i="9" s="1"/>
  <c r="AG89" i="9" s="1"/>
  <c r="DD92" i="9"/>
  <c r="HB92" i="9"/>
  <c r="FC92" i="9"/>
  <c r="EP92" i="9" s="1"/>
  <c r="DU92" i="9"/>
  <c r="DH92" i="9" s="1"/>
  <c r="BE92" i="9"/>
  <c r="AR92" i="9" s="1"/>
  <c r="HS92" i="9"/>
  <c r="HF92" i="9" s="1"/>
  <c r="GK92" i="9"/>
  <c r="FX92" i="9" s="1"/>
  <c r="DY92" i="9"/>
  <c r="EE86" i="9"/>
  <c r="EE87" i="9" s="1"/>
  <c r="EE89" i="9" s="1"/>
  <c r="CQ92" i="9"/>
  <c r="AN92" i="9"/>
  <c r="AA92" i="9" s="1"/>
  <c r="GO92" i="9"/>
  <c r="DN89" i="9"/>
  <c r="BZ92" i="9"/>
  <c r="BI92" i="9"/>
  <c r="AX89" i="9"/>
  <c r="K12" i="6"/>
  <c r="L12" i="6" s="1"/>
  <c r="M17" i="6"/>
  <c r="M16" i="6"/>
  <c r="M15" i="6"/>
  <c r="M14" i="6"/>
  <c r="M13" i="6"/>
  <c r="M12" i="6"/>
  <c r="M11" i="6"/>
  <c r="L11" i="6"/>
  <c r="K13" i="6" l="1"/>
  <c r="X80" i="9"/>
  <c r="Y80" i="9" s="1"/>
  <c r="V80" i="9"/>
  <c r="U80" i="9"/>
  <c r="T80" i="9"/>
  <c r="S80" i="9"/>
  <c r="R80" i="9"/>
  <c r="Q80" i="9"/>
  <c r="X71" i="9"/>
  <c r="Y71" i="9" s="1"/>
  <c r="V71" i="9"/>
  <c r="U71" i="9"/>
  <c r="T71" i="9"/>
  <c r="S71" i="9"/>
  <c r="R71" i="9"/>
  <c r="Q71" i="9"/>
  <c r="X56" i="9"/>
  <c r="Y56" i="9" s="1"/>
  <c r="V56" i="9"/>
  <c r="U56" i="9"/>
  <c r="T56" i="9"/>
  <c r="S56" i="9"/>
  <c r="R56" i="9"/>
  <c r="Q56" i="9"/>
  <c r="X46" i="9"/>
  <c r="Y46" i="9" s="1"/>
  <c r="V46" i="9"/>
  <c r="U46" i="9"/>
  <c r="T46" i="9"/>
  <c r="S46" i="9"/>
  <c r="R46" i="9"/>
  <c r="Q46" i="9"/>
  <c r="X43" i="9"/>
  <c r="Y43" i="9" s="1"/>
  <c r="V43" i="9"/>
  <c r="U43" i="9"/>
  <c r="T43" i="9"/>
  <c r="S43" i="9"/>
  <c r="R43" i="9"/>
  <c r="Q43" i="9"/>
  <c r="X15" i="9"/>
  <c r="Y15" i="9" s="1"/>
  <c r="V15" i="9"/>
  <c r="U15" i="9"/>
  <c r="T15" i="9"/>
  <c r="S15" i="9"/>
  <c r="R15" i="9"/>
  <c r="Q15" i="9"/>
  <c r="H80" i="9"/>
  <c r="H79" i="9"/>
  <c r="H78" i="9"/>
  <c r="H77" i="9"/>
  <c r="H76" i="9"/>
  <c r="H75" i="9"/>
  <c r="H74" i="9"/>
  <c r="H73" i="9"/>
  <c r="H72" i="9"/>
  <c r="H71" i="9"/>
  <c r="H70" i="9"/>
  <c r="H69" i="9"/>
  <c r="H68" i="9"/>
  <c r="H67" i="9"/>
  <c r="H65" i="9"/>
  <c r="H64" i="9"/>
  <c r="H62" i="9"/>
  <c r="H61" i="9"/>
  <c r="H60" i="9"/>
  <c r="H59" i="9"/>
  <c r="H58" i="9"/>
  <c r="H56" i="9"/>
  <c r="H55" i="9"/>
  <c r="H54" i="9"/>
  <c r="H53" i="9"/>
  <c r="H52" i="9"/>
  <c r="H51" i="9"/>
  <c r="H50" i="9"/>
  <c r="H48" i="9"/>
  <c r="H47" i="9"/>
  <c r="H46" i="9"/>
  <c r="H45" i="9"/>
  <c r="H44" i="9"/>
  <c r="H43" i="9"/>
  <c r="H42" i="9"/>
  <c r="H41" i="9"/>
  <c r="H40" i="9"/>
  <c r="H39" i="9"/>
  <c r="H38" i="9"/>
  <c r="H37" i="9"/>
  <c r="H36" i="9"/>
  <c r="H35" i="9"/>
  <c r="H34" i="9"/>
  <c r="H32" i="9"/>
  <c r="H31" i="9"/>
  <c r="H30" i="9"/>
  <c r="H29" i="9"/>
  <c r="H28" i="9"/>
  <c r="H27" i="9"/>
  <c r="H26" i="9"/>
  <c r="H25" i="9"/>
  <c r="H24" i="9"/>
  <c r="H23" i="9"/>
  <c r="H22" i="9"/>
  <c r="H21" i="9"/>
  <c r="H20" i="9"/>
  <c r="H19" i="9"/>
  <c r="H17" i="9"/>
  <c r="H16" i="9"/>
  <c r="H15" i="9"/>
  <c r="H14" i="9"/>
  <c r="H13" i="9"/>
  <c r="H12" i="9"/>
  <c r="H11" i="9"/>
  <c r="L13" i="6" l="1"/>
  <c r="K14" i="6"/>
  <c r="W56" i="9"/>
  <c r="W71" i="9"/>
  <c r="W43" i="9"/>
  <c r="W46" i="9"/>
  <c r="W15" i="9"/>
  <c r="W80" i="9"/>
  <c r="K15" i="6" l="1"/>
  <c r="L14" i="6"/>
  <c r="K27" i="4"/>
  <c r="K26" i="4"/>
  <c r="K25" i="4"/>
  <c r="K24" i="4"/>
  <c r="K23" i="4"/>
  <c r="K22" i="4"/>
  <c r="K21" i="4"/>
  <c r="K20" i="4"/>
  <c r="K19" i="4"/>
  <c r="K18" i="4"/>
  <c r="K17" i="4"/>
  <c r="K16" i="4"/>
  <c r="V314" i="4"/>
  <c r="U297" i="4"/>
  <c r="T297" i="4"/>
  <c r="V292" i="4"/>
  <c r="U275" i="4"/>
  <c r="T275" i="4"/>
  <c r="V270" i="4"/>
  <c r="U253" i="4"/>
  <c r="T253" i="4"/>
  <c r="V248" i="4"/>
  <c r="U231" i="4"/>
  <c r="T231" i="4"/>
  <c r="V226" i="4"/>
  <c r="U209" i="4"/>
  <c r="T209" i="4"/>
  <c r="V204" i="4"/>
  <c r="U187" i="4"/>
  <c r="T187" i="4"/>
  <c r="V182" i="4"/>
  <c r="U165" i="4"/>
  <c r="T165" i="4"/>
  <c r="V160" i="4"/>
  <c r="U143" i="4"/>
  <c r="T143" i="4"/>
  <c r="V138" i="4"/>
  <c r="U121" i="4"/>
  <c r="T121" i="4"/>
  <c r="V116" i="4"/>
  <c r="U99" i="4"/>
  <c r="T99" i="4"/>
  <c r="V94" i="4"/>
  <c r="V72" i="4"/>
  <c r="V50" i="4"/>
  <c r="V28" i="4"/>
  <c r="K16" i="6" l="1"/>
  <c r="F17" i="10" s="1"/>
  <c r="L15" i="6"/>
  <c r="B18" i="10"/>
  <c r="B17" i="10"/>
  <c r="F16" i="10"/>
  <c r="B16" i="10"/>
  <c r="F15" i="10"/>
  <c r="B15" i="10"/>
  <c r="A17" i="6"/>
  <c r="B17" i="6" s="1"/>
  <c r="A16" i="6"/>
  <c r="B16" i="6" s="1"/>
  <c r="A15" i="6"/>
  <c r="B15" i="6" s="1"/>
  <c r="A14" i="6"/>
  <c r="B14" i="6" s="1"/>
  <c r="N19" i="5"/>
  <c r="N18" i="5"/>
  <c r="N17" i="5"/>
  <c r="N16" i="5"/>
  <c r="I19" i="5"/>
  <c r="E19" i="5"/>
  <c r="A19" i="5"/>
  <c r="B19" i="5" s="1"/>
  <c r="I18" i="5"/>
  <c r="E18" i="5"/>
  <c r="A18" i="5"/>
  <c r="B18" i="5" s="1"/>
  <c r="I17" i="5"/>
  <c r="E17" i="5"/>
  <c r="A17" i="5"/>
  <c r="B17" i="5" s="1"/>
  <c r="I16" i="5"/>
  <c r="E16" i="5"/>
  <c r="A16" i="5"/>
  <c r="B16" i="5" s="1"/>
  <c r="K313" i="4"/>
  <c r="M312" i="4"/>
  <c r="K312" i="4"/>
  <c r="M311" i="4"/>
  <c r="U311" i="4" s="1"/>
  <c r="K311" i="4"/>
  <c r="K310" i="4"/>
  <c r="M309" i="4"/>
  <c r="K309" i="4"/>
  <c r="M308" i="4"/>
  <c r="K308" i="4"/>
  <c r="K307" i="4"/>
  <c r="M306" i="4"/>
  <c r="K306" i="4"/>
  <c r="M305" i="4"/>
  <c r="K305" i="4"/>
  <c r="K304" i="4"/>
  <c r="M303" i="4"/>
  <c r="K303" i="4"/>
  <c r="M302" i="4"/>
  <c r="K302" i="4"/>
  <c r="S302" i="4" s="1"/>
  <c r="K301" i="4"/>
  <c r="M300" i="4"/>
  <c r="K300" i="4"/>
  <c r="M299" i="4"/>
  <c r="U299" i="4" s="1"/>
  <c r="K299" i="4"/>
  <c r="S296" i="4"/>
  <c r="F296" i="4"/>
  <c r="K291" i="4"/>
  <c r="M290" i="4"/>
  <c r="K290" i="4"/>
  <c r="M289" i="4"/>
  <c r="K289" i="4"/>
  <c r="K288" i="4"/>
  <c r="M287" i="4"/>
  <c r="K287" i="4"/>
  <c r="M286" i="4"/>
  <c r="K286" i="4"/>
  <c r="K285" i="4"/>
  <c r="M284" i="4"/>
  <c r="K284" i="4"/>
  <c r="M283" i="4"/>
  <c r="K283" i="4"/>
  <c r="K282" i="4"/>
  <c r="M281" i="4"/>
  <c r="K281" i="4"/>
  <c r="M280" i="4"/>
  <c r="K280" i="4"/>
  <c r="U280" i="4" s="1"/>
  <c r="K279" i="4"/>
  <c r="M278" i="4"/>
  <c r="K278" i="4"/>
  <c r="M277" i="4"/>
  <c r="K277" i="4"/>
  <c r="S274" i="4"/>
  <c r="F274" i="4"/>
  <c r="K269" i="4"/>
  <c r="M268" i="4"/>
  <c r="K268" i="4"/>
  <c r="M267" i="4"/>
  <c r="K267" i="4"/>
  <c r="K266" i="4"/>
  <c r="M265" i="4"/>
  <c r="K265" i="4"/>
  <c r="M264" i="4"/>
  <c r="K264" i="4"/>
  <c r="K263" i="4"/>
  <c r="M262" i="4"/>
  <c r="K262" i="4"/>
  <c r="M261" i="4"/>
  <c r="K261" i="4"/>
  <c r="K260" i="4"/>
  <c r="M259" i="4"/>
  <c r="K259" i="4"/>
  <c r="M258" i="4"/>
  <c r="K258" i="4"/>
  <c r="U258" i="4" s="1"/>
  <c r="K257" i="4"/>
  <c r="M256" i="4"/>
  <c r="K256" i="4"/>
  <c r="M255" i="4"/>
  <c r="K255" i="4"/>
  <c r="S252" i="4"/>
  <c r="F252" i="4"/>
  <c r="K247" i="4"/>
  <c r="M246" i="4"/>
  <c r="K246" i="4"/>
  <c r="M245" i="4"/>
  <c r="K245" i="4"/>
  <c r="K244" i="4"/>
  <c r="M243" i="4"/>
  <c r="K243" i="4"/>
  <c r="M242" i="4"/>
  <c r="K242" i="4"/>
  <c r="K241" i="4"/>
  <c r="M240" i="4"/>
  <c r="K240" i="4"/>
  <c r="M239" i="4"/>
  <c r="K239" i="4"/>
  <c r="K238" i="4"/>
  <c r="M237" i="4"/>
  <c r="K237" i="4"/>
  <c r="M236" i="4"/>
  <c r="K236" i="4"/>
  <c r="U236" i="4" s="1"/>
  <c r="K235" i="4"/>
  <c r="M234" i="4"/>
  <c r="K234" i="4"/>
  <c r="M233" i="4"/>
  <c r="K233" i="4"/>
  <c r="S230" i="4"/>
  <c r="F230" i="4"/>
  <c r="A17" i="2"/>
  <c r="C17" i="2" s="1"/>
  <c r="A18" i="2"/>
  <c r="C18" i="2" s="1"/>
  <c r="A19" i="2"/>
  <c r="C19" i="2" s="1"/>
  <c r="A20" i="2"/>
  <c r="C20" i="2" s="1"/>
  <c r="A21" i="2"/>
  <c r="C21" i="2" s="1"/>
  <c r="P4" i="3"/>
  <c r="O4" i="3"/>
  <c r="N4" i="3"/>
  <c r="M4" i="3"/>
  <c r="U255" i="4" l="1"/>
  <c r="U267" i="4"/>
  <c r="U277" i="4"/>
  <c r="U286" i="4"/>
  <c r="S289" i="4"/>
  <c r="U233" i="4"/>
  <c r="S233" i="4"/>
  <c r="U239" i="4"/>
  <c r="U261" i="4"/>
  <c r="U283" i="4"/>
  <c r="S242" i="4"/>
  <c r="U264" i="4"/>
  <c r="U308" i="4"/>
  <c r="U242" i="4"/>
  <c r="S236" i="4"/>
  <c r="U245" i="4"/>
  <c r="U289" i="4"/>
  <c r="S283" i="4"/>
  <c r="U302" i="4"/>
  <c r="S305" i="4"/>
  <c r="S264" i="4"/>
  <c r="U305" i="4"/>
  <c r="S308" i="4"/>
  <c r="L16" i="6"/>
  <c r="K17" i="6"/>
  <c r="S245" i="4"/>
  <c r="S258" i="4"/>
  <c r="S286" i="4"/>
  <c r="S299" i="4"/>
  <c r="S277" i="4"/>
  <c r="S311" i="4"/>
  <c r="S239" i="4"/>
  <c r="S267" i="4"/>
  <c r="S255" i="4"/>
  <c r="S261" i="4"/>
  <c r="S280" i="4"/>
  <c r="F18" i="5"/>
  <c r="F17" i="5"/>
  <c r="F16" i="5"/>
  <c r="F19" i="5"/>
  <c r="N15" i="5"/>
  <c r="N14" i="5"/>
  <c r="N13" i="5"/>
  <c r="A11" i="6"/>
  <c r="B11" i="6" s="1"/>
  <c r="A12" i="6"/>
  <c r="B12" i="6" s="1"/>
  <c r="A13" i="6"/>
  <c r="B13" i="6" s="1"/>
  <c r="S314" i="4" l="1"/>
  <c r="S270" i="4"/>
  <c r="S248" i="4"/>
  <c r="S292" i="4"/>
  <c r="L17" i="6"/>
  <c r="F18" i="10"/>
  <c r="X79" i="9"/>
  <c r="Y79" i="9" s="1"/>
  <c r="V79" i="9"/>
  <c r="U79" i="9"/>
  <c r="T79" i="9"/>
  <c r="S79" i="9"/>
  <c r="R79" i="9"/>
  <c r="Q79" i="9"/>
  <c r="X78" i="9"/>
  <c r="Y78" i="9" s="1"/>
  <c r="V78" i="9"/>
  <c r="U78" i="9"/>
  <c r="T78" i="9"/>
  <c r="S78" i="9"/>
  <c r="R78" i="9"/>
  <c r="Q78" i="9"/>
  <c r="X77" i="9"/>
  <c r="Y77" i="9" s="1"/>
  <c r="V77" i="9"/>
  <c r="U77" i="9"/>
  <c r="T77" i="9"/>
  <c r="S77" i="9"/>
  <c r="R77" i="9"/>
  <c r="Q77" i="9"/>
  <c r="X76" i="9"/>
  <c r="Y76" i="9" s="1"/>
  <c r="V76" i="9"/>
  <c r="U76" i="9"/>
  <c r="T76" i="9"/>
  <c r="S76" i="9"/>
  <c r="R76" i="9"/>
  <c r="Q76" i="9"/>
  <c r="X75" i="9"/>
  <c r="Y75" i="9" s="1"/>
  <c r="V75" i="9"/>
  <c r="U75" i="9"/>
  <c r="T75" i="9"/>
  <c r="S75" i="9"/>
  <c r="R75" i="9"/>
  <c r="Q75" i="9"/>
  <c r="X74" i="9"/>
  <c r="Y74" i="9" s="1"/>
  <c r="V74" i="9"/>
  <c r="U74" i="9"/>
  <c r="T74" i="9"/>
  <c r="S74" i="9"/>
  <c r="R74" i="9"/>
  <c r="Q74" i="9"/>
  <c r="X73" i="9"/>
  <c r="Y73" i="9" s="1"/>
  <c r="V73" i="9"/>
  <c r="U73" i="9"/>
  <c r="T73" i="9"/>
  <c r="S73" i="9"/>
  <c r="R73" i="9"/>
  <c r="Q73" i="9"/>
  <c r="X72" i="9"/>
  <c r="Y72" i="9" s="1"/>
  <c r="V72" i="9"/>
  <c r="U72" i="9"/>
  <c r="T72" i="9"/>
  <c r="S72" i="9"/>
  <c r="R72" i="9"/>
  <c r="Q72" i="9"/>
  <c r="X70" i="9"/>
  <c r="Y70" i="9" s="1"/>
  <c r="V70" i="9"/>
  <c r="U70" i="9"/>
  <c r="T70" i="9"/>
  <c r="S70" i="9"/>
  <c r="R70" i="9"/>
  <c r="Q70" i="9"/>
  <c r="X69" i="9"/>
  <c r="Y69" i="9" s="1"/>
  <c r="V69" i="9"/>
  <c r="U69" i="9"/>
  <c r="T69" i="9"/>
  <c r="S69" i="9"/>
  <c r="R69" i="9"/>
  <c r="Q69" i="9"/>
  <c r="X68" i="9"/>
  <c r="Y68" i="9" s="1"/>
  <c r="V68" i="9"/>
  <c r="U68" i="9"/>
  <c r="T68" i="9"/>
  <c r="S68" i="9"/>
  <c r="R68" i="9"/>
  <c r="Q68" i="9"/>
  <c r="X67" i="9"/>
  <c r="Y67" i="9" s="1"/>
  <c r="V67" i="9"/>
  <c r="U67" i="9"/>
  <c r="T67" i="9"/>
  <c r="S67" i="9"/>
  <c r="R67" i="9"/>
  <c r="Q67" i="9"/>
  <c r="X65" i="9"/>
  <c r="Y65" i="9" s="1"/>
  <c r="V65" i="9"/>
  <c r="U65" i="9"/>
  <c r="T65" i="9"/>
  <c r="S65" i="9"/>
  <c r="R65" i="9"/>
  <c r="Q65" i="9"/>
  <c r="X64" i="9"/>
  <c r="Y64" i="9" s="1"/>
  <c r="V64" i="9"/>
  <c r="U64" i="9"/>
  <c r="T64" i="9"/>
  <c r="S64" i="9"/>
  <c r="R64" i="9"/>
  <c r="Q64" i="9"/>
  <c r="X62" i="9"/>
  <c r="Y62" i="9" s="1"/>
  <c r="V62" i="9"/>
  <c r="U62" i="9"/>
  <c r="T62" i="9"/>
  <c r="S62" i="9"/>
  <c r="R62" i="9"/>
  <c r="Q62" i="9"/>
  <c r="X61" i="9"/>
  <c r="Y61" i="9" s="1"/>
  <c r="V61" i="9"/>
  <c r="U61" i="9"/>
  <c r="T61" i="9"/>
  <c r="S61" i="9"/>
  <c r="R61" i="9"/>
  <c r="Q61" i="9"/>
  <c r="X60" i="9"/>
  <c r="Y60" i="9" s="1"/>
  <c r="V60" i="9"/>
  <c r="U60" i="9"/>
  <c r="T60" i="9"/>
  <c r="S60" i="9"/>
  <c r="R60" i="9"/>
  <c r="Q60" i="9"/>
  <c r="X59" i="9"/>
  <c r="Y59" i="9" s="1"/>
  <c r="V59" i="9"/>
  <c r="U59" i="9"/>
  <c r="T59" i="9"/>
  <c r="S59" i="9"/>
  <c r="R59" i="9"/>
  <c r="Q59" i="9"/>
  <c r="X58" i="9"/>
  <c r="Y58" i="9" s="1"/>
  <c r="V58" i="9"/>
  <c r="U58" i="9"/>
  <c r="T58" i="9"/>
  <c r="S58" i="9"/>
  <c r="R58" i="9"/>
  <c r="Q58" i="9"/>
  <c r="X55" i="9"/>
  <c r="Y55" i="9" s="1"/>
  <c r="V55" i="9"/>
  <c r="U55" i="9"/>
  <c r="T55" i="9"/>
  <c r="S55" i="9"/>
  <c r="R55" i="9"/>
  <c r="Q55" i="9"/>
  <c r="X54" i="9"/>
  <c r="Y54" i="9" s="1"/>
  <c r="V54" i="9"/>
  <c r="U54" i="9"/>
  <c r="T54" i="9"/>
  <c r="S54" i="9"/>
  <c r="R54" i="9"/>
  <c r="Q54" i="9"/>
  <c r="X53" i="9"/>
  <c r="Y53" i="9" s="1"/>
  <c r="V53" i="9"/>
  <c r="U53" i="9"/>
  <c r="T53" i="9"/>
  <c r="S53" i="9"/>
  <c r="R53" i="9"/>
  <c r="Q53" i="9"/>
  <c r="X52" i="9"/>
  <c r="Y52" i="9" s="1"/>
  <c r="V52" i="9"/>
  <c r="U52" i="9"/>
  <c r="T52" i="9"/>
  <c r="S52" i="9"/>
  <c r="R52" i="9"/>
  <c r="Q52" i="9"/>
  <c r="X51" i="9"/>
  <c r="Y51" i="9" s="1"/>
  <c r="V51" i="9"/>
  <c r="U51" i="9"/>
  <c r="T51" i="9"/>
  <c r="S51" i="9"/>
  <c r="R51" i="9"/>
  <c r="Q51" i="9"/>
  <c r="X50" i="9"/>
  <c r="Y50" i="9" s="1"/>
  <c r="V50" i="9"/>
  <c r="U50" i="9"/>
  <c r="T50" i="9"/>
  <c r="S50" i="9"/>
  <c r="R50" i="9"/>
  <c r="Q50" i="9"/>
  <c r="X48" i="9"/>
  <c r="Y48" i="9" s="1"/>
  <c r="V48" i="9"/>
  <c r="U48" i="9"/>
  <c r="T48" i="9"/>
  <c r="S48" i="9"/>
  <c r="R48" i="9"/>
  <c r="Q48" i="9"/>
  <c r="X47" i="9"/>
  <c r="Y47" i="9" s="1"/>
  <c r="V47" i="9"/>
  <c r="U47" i="9"/>
  <c r="T47" i="9"/>
  <c r="S47" i="9"/>
  <c r="R47" i="9"/>
  <c r="Q47" i="9"/>
  <c r="X45" i="9"/>
  <c r="Y45" i="9" s="1"/>
  <c r="V45" i="9"/>
  <c r="U45" i="9"/>
  <c r="T45" i="9"/>
  <c r="S45" i="9"/>
  <c r="R45" i="9"/>
  <c r="Q45" i="9"/>
  <c r="X44" i="9"/>
  <c r="Y44" i="9" s="1"/>
  <c r="V44" i="9"/>
  <c r="U44" i="9"/>
  <c r="T44" i="9"/>
  <c r="S44" i="9"/>
  <c r="R44" i="9"/>
  <c r="Q44" i="9"/>
  <c r="X42" i="9"/>
  <c r="Y42" i="9" s="1"/>
  <c r="V42" i="9"/>
  <c r="U42" i="9"/>
  <c r="T42" i="9"/>
  <c r="S42" i="9"/>
  <c r="R42" i="9"/>
  <c r="Q42" i="9"/>
  <c r="X41" i="9"/>
  <c r="Y41" i="9" s="1"/>
  <c r="V41" i="9"/>
  <c r="U41" i="9"/>
  <c r="T41" i="9"/>
  <c r="S41" i="9"/>
  <c r="R41" i="9"/>
  <c r="Q41" i="9"/>
  <c r="X40" i="9"/>
  <c r="Y40" i="9" s="1"/>
  <c r="V40" i="9"/>
  <c r="U40" i="9"/>
  <c r="T40" i="9"/>
  <c r="S40" i="9"/>
  <c r="R40" i="9"/>
  <c r="Q40" i="9"/>
  <c r="X39" i="9"/>
  <c r="Y39" i="9" s="1"/>
  <c r="V39" i="9"/>
  <c r="U39" i="9"/>
  <c r="T39" i="9"/>
  <c r="S39" i="9"/>
  <c r="R39" i="9"/>
  <c r="Q39" i="9"/>
  <c r="X38" i="9"/>
  <c r="Y38" i="9" s="1"/>
  <c r="V38" i="9"/>
  <c r="U38" i="9"/>
  <c r="T38" i="9"/>
  <c r="S38" i="9"/>
  <c r="R38" i="9"/>
  <c r="Q38" i="9"/>
  <c r="X37" i="9"/>
  <c r="Y37" i="9" s="1"/>
  <c r="V37" i="9"/>
  <c r="U37" i="9"/>
  <c r="T37" i="9"/>
  <c r="S37" i="9"/>
  <c r="R37" i="9"/>
  <c r="Q37" i="9"/>
  <c r="X36" i="9"/>
  <c r="Y36" i="9" s="1"/>
  <c r="V36" i="9"/>
  <c r="U36" i="9"/>
  <c r="T36" i="9"/>
  <c r="S36" i="9"/>
  <c r="R36" i="9"/>
  <c r="Q36" i="9"/>
  <c r="X35" i="9"/>
  <c r="Y35" i="9" s="1"/>
  <c r="V35" i="9"/>
  <c r="U35" i="9"/>
  <c r="T35" i="9"/>
  <c r="S35" i="9"/>
  <c r="R35" i="9"/>
  <c r="Q35" i="9"/>
  <c r="X34" i="9"/>
  <c r="Y34" i="9" s="1"/>
  <c r="V34" i="9"/>
  <c r="U34" i="9"/>
  <c r="T34" i="9"/>
  <c r="S34" i="9"/>
  <c r="R34" i="9"/>
  <c r="Q34" i="9"/>
  <c r="X32" i="9"/>
  <c r="Y32" i="9" s="1"/>
  <c r="V32" i="9"/>
  <c r="U32" i="9"/>
  <c r="T32" i="9"/>
  <c r="S32" i="9"/>
  <c r="R32" i="9"/>
  <c r="Q32" i="9"/>
  <c r="X31" i="9"/>
  <c r="Y31" i="9" s="1"/>
  <c r="V31" i="9"/>
  <c r="U31" i="9"/>
  <c r="T31" i="9"/>
  <c r="S31" i="9"/>
  <c r="R31" i="9"/>
  <c r="Q31" i="9"/>
  <c r="X30" i="9"/>
  <c r="Y30" i="9" s="1"/>
  <c r="V30" i="9"/>
  <c r="U30" i="9"/>
  <c r="T30" i="9"/>
  <c r="S30" i="9"/>
  <c r="R30" i="9"/>
  <c r="Q30" i="9"/>
  <c r="X29" i="9"/>
  <c r="Y29" i="9" s="1"/>
  <c r="V29" i="9"/>
  <c r="U29" i="9"/>
  <c r="T29" i="9"/>
  <c r="S29" i="9"/>
  <c r="R29" i="9"/>
  <c r="Q29" i="9"/>
  <c r="X28" i="9"/>
  <c r="Y28" i="9" s="1"/>
  <c r="V28" i="9"/>
  <c r="U28" i="9"/>
  <c r="S28" i="9"/>
  <c r="Q28" i="9"/>
  <c r="X27" i="9"/>
  <c r="Y27" i="9" s="1"/>
  <c r="V27" i="9"/>
  <c r="U27" i="9"/>
  <c r="T27" i="9"/>
  <c r="S27" i="9"/>
  <c r="R27" i="9"/>
  <c r="Q27" i="9"/>
  <c r="X26" i="9"/>
  <c r="Y26" i="9" s="1"/>
  <c r="V26" i="9"/>
  <c r="U26" i="9"/>
  <c r="T26" i="9"/>
  <c r="S26" i="9"/>
  <c r="R26" i="9"/>
  <c r="Q26" i="9"/>
  <c r="X25" i="9"/>
  <c r="Y25" i="9" s="1"/>
  <c r="V25" i="9"/>
  <c r="U25" i="9"/>
  <c r="T25" i="9"/>
  <c r="S25" i="9"/>
  <c r="R25" i="9"/>
  <c r="Q25" i="9"/>
  <c r="X24" i="9"/>
  <c r="Y24" i="9" s="1"/>
  <c r="V24" i="9"/>
  <c r="U24" i="9"/>
  <c r="T24" i="9"/>
  <c r="S24" i="9"/>
  <c r="R24" i="9"/>
  <c r="Q24" i="9"/>
  <c r="X23" i="9"/>
  <c r="Y23" i="9" s="1"/>
  <c r="V23" i="9"/>
  <c r="U23" i="9"/>
  <c r="T23" i="9"/>
  <c r="S23" i="9"/>
  <c r="R23" i="9"/>
  <c r="Q23" i="9"/>
  <c r="X22" i="9"/>
  <c r="Y22" i="9" s="1"/>
  <c r="V22" i="9"/>
  <c r="U22" i="9"/>
  <c r="T22" i="9"/>
  <c r="S22" i="9"/>
  <c r="R22" i="9"/>
  <c r="Q22" i="9"/>
  <c r="W24" i="9" l="1"/>
  <c r="W75" i="9"/>
  <c r="W35" i="9"/>
  <c r="W36" i="9"/>
  <c r="W32" i="9"/>
  <c r="W69" i="9"/>
  <c r="W41" i="9"/>
  <c r="W44" i="9"/>
  <c r="W61" i="9"/>
  <c r="W27" i="9"/>
  <c r="W53" i="9"/>
  <c r="W77" i="9"/>
  <c r="W78" i="9"/>
  <c r="W30" i="9"/>
  <c r="W38" i="9"/>
  <c r="W48" i="9"/>
  <c r="W55" i="9"/>
  <c r="W60" i="9"/>
  <c r="W68" i="9"/>
  <c r="W72" i="9"/>
  <c r="W23" i="9"/>
  <c r="W28" i="9"/>
  <c r="W31" i="9"/>
  <c r="W37" i="9"/>
  <c r="W39" i="9"/>
  <c r="W40" i="9"/>
  <c r="W45" i="9"/>
  <c r="W65" i="9"/>
  <c r="W73" i="9"/>
  <c r="W74" i="9"/>
  <c r="W79" i="9"/>
  <c r="W22" i="9"/>
  <c r="W29" i="9"/>
  <c r="W47" i="9"/>
  <c r="W54" i="9"/>
  <c r="W62" i="9"/>
  <c r="W70" i="9"/>
  <c r="W25" i="9"/>
  <c r="W26" i="9"/>
  <c r="W34" i="9"/>
  <c r="W42" i="9"/>
  <c r="W50" i="9"/>
  <c r="W51" i="9"/>
  <c r="W52" i="9"/>
  <c r="W58" i="9"/>
  <c r="W59" i="9"/>
  <c r="W64" i="9"/>
  <c r="W67" i="9"/>
  <c r="W76" i="9"/>
  <c r="M48" i="4"/>
  <c r="M47" i="4"/>
  <c r="M45" i="4"/>
  <c r="M44" i="4"/>
  <c r="M42" i="4"/>
  <c r="M41" i="4"/>
  <c r="M39" i="4"/>
  <c r="M38" i="4"/>
  <c r="M36" i="4"/>
  <c r="M35" i="4"/>
  <c r="K225" i="4"/>
  <c r="M224" i="4"/>
  <c r="K224" i="4"/>
  <c r="M223" i="4"/>
  <c r="U223" i="4" s="1"/>
  <c r="K223" i="4"/>
  <c r="K222" i="4"/>
  <c r="M221" i="4"/>
  <c r="K221" i="4"/>
  <c r="M220" i="4"/>
  <c r="U220" i="4" s="1"/>
  <c r="K220" i="4"/>
  <c r="K219" i="4"/>
  <c r="M218" i="4"/>
  <c r="K218" i="4"/>
  <c r="M217" i="4"/>
  <c r="K217" i="4"/>
  <c r="K216" i="4"/>
  <c r="M215" i="4"/>
  <c r="K215" i="4"/>
  <c r="M214" i="4"/>
  <c r="K214" i="4"/>
  <c r="K213" i="4"/>
  <c r="M212" i="4"/>
  <c r="K212" i="4"/>
  <c r="M211" i="4"/>
  <c r="K211" i="4"/>
  <c r="U211" i="4" s="1"/>
  <c r="S208" i="4"/>
  <c r="F208" i="4"/>
  <c r="K191" i="4"/>
  <c r="K190" i="4"/>
  <c r="K189" i="4"/>
  <c r="K169" i="4"/>
  <c r="K168" i="4"/>
  <c r="K167" i="4"/>
  <c r="U167" i="4" s="1"/>
  <c r="S223" i="4" l="1"/>
  <c r="S189" i="4"/>
  <c r="U189" i="4"/>
  <c r="S217" i="4"/>
  <c r="U214" i="4"/>
  <c r="U217" i="4"/>
  <c r="S211" i="4"/>
  <c r="S220" i="4"/>
  <c r="S214" i="4"/>
  <c r="L4" i="3"/>
  <c r="K4" i="3"/>
  <c r="J4" i="3"/>
  <c r="S226" i="4" l="1"/>
  <c r="F14" i="10"/>
  <c r="B14" i="10"/>
  <c r="F13" i="10"/>
  <c r="B13" i="10"/>
  <c r="F12" i="10"/>
  <c r="B12" i="10"/>
  <c r="I15" i="5"/>
  <c r="E15" i="5"/>
  <c r="A15" i="5"/>
  <c r="B15" i="5" s="1"/>
  <c r="I14" i="5"/>
  <c r="E14" i="5"/>
  <c r="A14" i="5"/>
  <c r="B14" i="5" s="1"/>
  <c r="I13" i="5"/>
  <c r="A13" i="5"/>
  <c r="B13" i="5" s="1"/>
  <c r="K147" i="4"/>
  <c r="K146" i="4"/>
  <c r="K145" i="4"/>
  <c r="K125" i="4"/>
  <c r="K124" i="4"/>
  <c r="K123" i="4"/>
  <c r="K103" i="4"/>
  <c r="K102" i="4"/>
  <c r="K101" i="4"/>
  <c r="K81" i="4"/>
  <c r="K80" i="4"/>
  <c r="K79" i="4"/>
  <c r="K59" i="4"/>
  <c r="K58" i="4"/>
  <c r="K57" i="4"/>
  <c r="U57" i="4" s="1"/>
  <c r="K37" i="4"/>
  <c r="K36" i="4"/>
  <c r="K35" i="4"/>
  <c r="U35" i="4" s="1"/>
  <c r="A16" i="2"/>
  <c r="C16" i="2" s="1"/>
  <c r="A15" i="2"/>
  <c r="C15" i="2" s="1"/>
  <c r="A14" i="2"/>
  <c r="C14" i="2" s="1"/>
  <c r="U101" i="4" l="1"/>
  <c r="U79" i="4"/>
  <c r="U145" i="4"/>
  <c r="U123" i="4"/>
  <c r="F15" i="5"/>
  <c r="F14" i="5"/>
  <c r="F13" i="5"/>
  <c r="F125" i="9" l="1"/>
  <c r="E125" i="9" s="1"/>
  <c r="F126" i="9" l="1"/>
  <c r="E126" i="9" s="1"/>
  <c r="O88" i="9"/>
  <c r="Q12" i="9"/>
  <c r="R12" i="9"/>
  <c r="S12" i="9"/>
  <c r="T12" i="9"/>
  <c r="Q13" i="9"/>
  <c r="R13" i="9"/>
  <c r="S13" i="9"/>
  <c r="T13" i="9"/>
  <c r="Q14" i="9"/>
  <c r="R14" i="9"/>
  <c r="S14" i="9"/>
  <c r="T14" i="9"/>
  <c r="Q16" i="9"/>
  <c r="R16" i="9"/>
  <c r="S16" i="9"/>
  <c r="T16" i="9"/>
  <c r="Q17" i="9"/>
  <c r="R17" i="9"/>
  <c r="S17" i="9"/>
  <c r="T17" i="9"/>
  <c r="Q19" i="9"/>
  <c r="R19" i="9"/>
  <c r="S19" i="9"/>
  <c r="T19" i="9"/>
  <c r="Q20" i="9"/>
  <c r="R20" i="9"/>
  <c r="S20" i="9"/>
  <c r="T20" i="9"/>
  <c r="Q21" i="9"/>
  <c r="R21" i="9"/>
  <c r="S21" i="9"/>
  <c r="T21" i="9"/>
  <c r="T11" i="9"/>
  <c r="S11" i="9"/>
  <c r="R11" i="9"/>
  <c r="Q11" i="9"/>
  <c r="D125" i="9"/>
  <c r="F127" i="9" l="1"/>
  <c r="E127" i="9" s="1"/>
  <c r="R92" i="9"/>
  <c r="M7" i="9"/>
  <c r="D126" i="9"/>
  <c r="F128" i="9" l="1"/>
  <c r="E128" i="9" s="1"/>
  <c r="D127" i="9"/>
  <c r="F129" i="9" l="1"/>
  <c r="E129" i="9" s="1"/>
  <c r="S13" i="4"/>
  <c r="J4" i="5"/>
  <c r="M202" i="4"/>
  <c r="M201" i="4"/>
  <c r="M199" i="4"/>
  <c r="M198" i="4"/>
  <c r="M196" i="4"/>
  <c r="M195" i="4"/>
  <c r="M193" i="4"/>
  <c r="M192" i="4"/>
  <c r="M190" i="4"/>
  <c r="M189" i="4"/>
  <c r="M180" i="4"/>
  <c r="M179" i="4"/>
  <c r="M177" i="4"/>
  <c r="M176" i="4"/>
  <c r="M174" i="4"/>
  <c r="M173" i="4"/>
  <c r="M171" i="4"/>
  <c r="M170" i="4"/>
  <c r="M168" i="4"/>
  <c r="M167" i="4"/>
  <c r="M158" i="4"/>
  <c r="M157" i="4"/>
  <c r="M155" i="4"/>
  <c r="M154" i="4"/>
  <c r="M152" i="4"/>
  <c r="M151" i="4"/>
  <c r="M149" i="4"/>
  <c r="M148" i="4"/>
  <c r="M146" i="4"/>
  <c r="M145" i="4"/>
  <c r="M136" i="4"/>
  <c r="M135" i="4"/>
  <c r="M133" i="4"/>
  <c r="M132" i="4"/>
  <c r="M130" i="4"/>
  <c r="M129" i="4"/>
  <c r="M127" i="4"/>
  <c r="M126" i="4"/>
  <c r="M124" i="4"/>
  <c r="M123" i="4"/>
  <c r="M114" i="4"/>
  <c r="M113" i="4"/>
  <c r="M111" i="4"/>
  <c r="M110" i="4"/>
  <c r="M108" i="4"/>
  <c r="M107" i="4"/>
  <c r="M105" i="4"/>
  <c r="M104" i="4"/>
  <c r="M102" i="4"/>
  <c r="M101" i="4"/>
  <c r="M92" i="4"/>
  <c r="M91" i="4"/>
  <c r="M89" i="4"/>
  <c r="M88" i="4"/>
  <c r="M86" i="4"/>
  <c r="M85" i="4"/>
  <c r="M83" i="4"/>
  <c r="M82" i="4"/>
  <c r="M80" i="4"/>
  <c r="M79" i="4"/>
  <c r="M70" i="4"/>
  <c r="M69" i="4"/>
  <c r="M67" i="4"/>
  <c r="M66" i="4"/>
  <c r="M64" i="4"/>
  <c r="M63" i="4"/>
  <c r="M61" i="4"/>
  <c r="M60" i="4"/>
  <c r="M58" i="4"/>
  <c r="M57" i="4"/>
  <c r="U77" i="4"/>
  <c r="U55" i="4"/>
  <c r="U33" i="4"/>
  <c r="K203" i="4"/>
  <c r="K202" i="4"/>
  <c r="K201" i="4"/>
  <c r="K200" i="4"/>
  <c r="K199" i="4"/>
  <c r="K198" i="4"/>
  <c r="K197" i="4"/>
  <c r="K196" i="4"/>
  <c r="K195" i="4"/>
  <c r="K194" i="4"/>
  <c r="K193" i="4"/>
  <c r="K192" i="4"/>
  <c r="K181" i="4"/>
  <c r="K180" i="4"/>
  <c r="K179" i="4"/>
  <c r="K178" i="4"/>
  <c r="K177" i="4"/>
  <c r="K176" i="4"/>
  <c r="K175" i="4"/>
  <c r="K174" i="4"/>
  <c r="K173" i="4"/>
  <c r="K172" i="4"/>
  <c r="K171" i="4"/>
  <c r="K170" i="4"/>
  <c r="K159" i="4"/>
  <c r="K158" i="4"/>
  <c r="K157" i="4"/>
  <c r="K156" i="4"/>
  <c r="K155" i="4"/>
  <c r="K154" i="4"/>
  <c r="K153" i="4"/>
  <c r="K152" i="4"/>
  <c r="K151" i="4"/>
  <c r="K150" i="4"/>
  <c r="K149" i="4"/>
  <c r="K148" i="4"/>
  <c r="K137" i="4"/>
  <c r="K136" i="4"/>
  <c r="K135" i="4"/>
  <c r="K134" i="4"/>
  <c r="K133" i="4"/>
  <c r="K132" i="4"/>
  <c r="K131" i="4"/>
  <c r="K130" i="4"/>
  <c r="K129" i="4"/>
  <c r="K128" i="4"/>
  <c r="K127" i="4"/>
  <c r="K126" i="4"/>
  <c r="K115" i="4"/>
  <c r="K114" i="4"/>
  <c r="K113" i="4"/>
  <c r="K112" i="4"/>
  <c r="K111" i="4"/>
  <c r="K110" i="4"/>
  <c r="K109" i="4"/>
  <c r="K108" i="4"/>
  <c r="K107" i="4"/>
  <c r="K106" i="4"/>
  <c r="K105" i="4"/>
  <c r="K104" i="4"/>
  <c r="K93" i="4"/>
  <c r="K92" i="4"/>
  <c r="K91" i="4"/>
  <c r="K90" i="4"/>
  <c r="K89" i="4"/>
  <c r="K88" i="4"/>
  <c r="K87" i="4"/>
  <c r="K86" i="4"/>
  <c r="K85" i="4"/>
  <c r="K84" i="4"/>
  <c r="K83" i="4"/>
  <c r="K82" i="4"/>
  <c r="K71" i="4"/>
  <c r="K70" i="4"/>
  <c r="K69" i="4"/>
  <c r="K68" i="4"/>
  <c r="K67" i="4"/>
  <c r="K66" i="4"/>
  <c r="U66" i="4" s="1"/>
  <c r="K65" i="4"/>
  <c r="K64" i="4"/>
  <c r="K63" i="4"/>
  <c r="K62" i="4"/>
  <c r="K61" i="4"/>
  <c r="K60" i="4"/>
  <c r="K49" i="4"/>
  <c r="K48" i="4"/>
  <c r="K47" i="4"/>
  <c r="K46" i="4"/>
  <c r="K45" i="4"/>
  <c r="K44" i="4"/>
  <c r="U44" i="4" s="1"/>
  <c r="K43" i="4"/>
  <c r="K42" i="4"/>
  <c r="K41" i="4"/>
  <c r="K40" i="4"/>
  <c r="K39" i="4"/>
  <c r="K38" i="4"/>
  <c r="T77" i="4"/>
  <c r="T55" i="4"/>
  <c r="T33" i="4"/>
  <c r="B2" i="2"/>
  <c r="B3" i="2"/>
  <c r="D128" i="9"/>
  <c r="U47" i="4" l="1"/>
  <c r="U69" i="4"/>
  <c r="U113" i="4"/>
  <c r="U88" i="4"/>
  <c r="U110" i="4"/>
  <c r="U38" i="4"/>
  <c r="U60" i="4"/>
  <c r="U82" i="4"/>
  <c r="U104" i="4"/>
  <c r="U91" i="4"/>
  <c r="U135" i="4"/>
  <c r="U179" i="4"/>
  <c r="U154" i="4"/>
  <c r="U41" i="4"/>
  <c r="U63" i="4"/>
  <c r="U85" i="4"/>
  <c r="U107" i="4"/>
  <c r="U132" i="4"/>
  <c r="U176" i="4"/>
  <c r="U173" i="4"/>
  <c r="U126" i="4"/>
  <c r="U148" i="4"/>
  <c r="U170" i="4"/>
  <c r="U129" i="4"/>
  <c r="U192" i="4"/>
  <c r="U198" i="4"/>
  <c r="U151" i="4"/>
  <c r="U157" i="4"/>
  <c r="U195" i="4"/>
  <c r="U201" i="4"/>
  <c r="J17" i="5"/>
  <c r="O17" i="5" s="1"/>
  <c r="E16" i="10" s="1"/>
  <c r="J19" i="5"/>
  <c r="O19" i="5" s="1"/>
  <c r="E18" i="10" s="1"/>
  <c r="J18" i="5"/>
  <c r="O18" i="5" s="1"/>
  <c r="E17" i="10" s="1"/>
  <c r="J16" i="5"/>
  <c r="O16" i="5" s="1"/>
  <c r="E15" i="10" s="1"/>
  <c r="F130" i="9"/>
  <c r="E130" i="9" s="1"/>
  <c r="J15" i="5"/>
  <c r="O15" i="5" s="1"/>
  <c r="E14" i="10" s="1"/>
  <c r="J13" i="5"/>
  <c r="O13" i="5" s="1"/>
  <c r="E12" i="10" s="1"/>
  <c r="J14" i="5"/>
  <c r="O14" i="5" s="1"/>
  <c r="E13" i="10" s="1"/>
  <c r="S16" i="4"/>
  <c r="I7" i="5"/>
  <c r="I8" i="5"/>
  <c r="I9" i="5"/>
  <c r="I10" i="5"/>
  <c r="I11" i="5"/>
  <c r="I12" i="5"/>
  <c r="E7" i="5"/>
  <c r="E8" i="5"/>
  <c r="E9" i="5"/>
  <c r="E10" i="5"/>
  <c r="E11" i="5"/>
  <c r="E12" i="5"/>
  <c r="D129" i="9"/>
  <c r="F131" i="9" l="1"/>
  <c r="E131" i="9" s="1"/>
  <c r="M4" i="6"/>
  <c r="F5" i="10" s="1"/>
  <c r="B2" i="8"/>
  <c r="B3" i="8"/>
  <c r="B4" i="8"/>
  <c r="B6" i="10"/>
  <c r="B7" i="10"/>
  <c r="B8" i="10"/>
  <c r="B9" i="10"/>
  <c r="B10" i="10"/>
  <c r="B11" i="10"/>
  <c r="B5" i="10"/>
  <c r="L100" i="9"/>
  <c r="L101" i="9"/>
  <c r="L102" i="9"/>
  <c r="L103" i="9"/>
  <c r="L104" i="9"/>
  <c r="L105" i="9"/>
  <c r="L106" i="9"/>
  <c r="L107" i="9"/>
  <c r="L108" i="9"/>
  <c r="L109" i="9"/>
  <c r="L110" i="9"/>
  <c r="L111" i="9"/>
  <c r="L112" i="9"/>
  <c r="L113" i="9"/>
  <c r="L114" i="9"/>
  <c r="L115" i="9"/>
  <c r="L99" i="9"/>
  <c r="D130" i="9"/>
  <c r="F132" i="9" l="1"/>
  <c r="E132" i="9" s="1"/>
  <c r="G99" i="9"/>
  <c r="F99" i="9" s="1"/>
  <c r="D99" i="9"/>
  <c r="D100" i="9"/>
  <c r="D101" i="9"/>
  <c r="D102" i="9"/>
  <c r="D103" i="9"/>
  <c r="D104" i="9"/>
  <c r="D105" i="9"/>
  <c r="D106" i="9"/>
  <c r="D107" i="9"/>
  <c r="D108" i="9"/>
  <c r="D109" i="9"/>
  <c r="D110" i="9"/>
  <c r="D111" i="9"/>
  <c r="D112" i="9"/>
  <c r="D113" i="9"/>
  <c r="D114" i="9"/>
  <c r="D115" i="9"/>
  <c r="D131" i="9"/>
  <c r="F133" i="9" l="1"/>
  <c r="E133" i="9" s="1"/>
  <c r="G100" i="9"/>
  <c r="F100" i="9" s="1"/>
  <c r="D132" i="9"/>
  <c r="G101" i="9" l="1"/>
  <c r="F101" i="9" s="1"/>
  <c r="F134" i="9"/>
  <c r="U12" i="9"/>
  <c r="U13" i="9"/>
  <c r="U14" i="9"/>
  <c r="U16" i="9"/>
  <c r="U17" i="9"/>
  <c r="U19" i="9"/>
  <c r="U20" i="9"/>
  <c r="U21" i="9"/>
  <c r="D133" i="9"/>
  <c r="E101" i="9"/>
  <c r="E134" i="9" l="1"/>
  <c r="F135" i="9"/>
  <c r="G102" i="9"/>
  <c r="F102" i="9" s="1"/>
  <c r="J91" i="9"/>
  <c r="M2" i="9"/>
  <c r="K91" i="9" s="1"/>
  <c r="U11" i="9"/>
  <c r="D134" i="9"/>
  <c r="E100" i="9"/>
  <c r="E102" i="9"/>
  <c r="G103" i="9" l="1"/>
  <c r="F103" i="9" s="1"/>
  <c r="F136" i="9"/>
  <c r="E135" i="9"/>
  <c r="M101" i="9"/>
  <c r="M105" i="9"/>
  <c r="G11" i="10" s="1"/>
  <c r="M109" i="9"/>
  <c r="G15" i="10" s="1"/>
  <c r="M113" i="9"/>
  <c r="M104" i="9"/>
  <c r="G10" i="10" s="1"/>
  <c r="M112" i="9"/>
  <c r="G18" i="10" s="1"/>
  <c r="M102" i="9"/>
  <c r="G8" i="10" s="1"/>
  <c r="M106" i="9"/>
  <c r="M110" i="9"/>
  <c r="G16" i="10" s="1"/>
  <c r="M114" i="9"/>
  <c r="M103" i="9"/>
  <c r="G9" i="10" s="1"/>
  <c r="M107" i="9"/>
  <c r="M111" i="9"/>
  <c r="G17" i="10" s="1"/>
  <c r="M115" i="9"/>
  <c r="M108" i="9"/>
  <c r="G14" i="10" s="1"/>
  <c r="G12" i="10"/>
  <c r="G7" i="10"/>
  <c r="G13" i="10"/>
  <c r="M100" i="9"/>
  <c r="G6" i="10" s="1"/>
  <c r="X16" i="9"/>
  <c r="Y16" i="9" s="1"/>
  <c r="V16" i="9"/>
  <c r="W16" i="9" s="1"/>
  <c r="X17" i="9"/>
  <c r="Y17" i="9" s="1"/>
  <c r="V17" i="9"/>
  <c r="W17" i="9" s="1"/>
  <c r="X14" i="9"/>
  <c r="Y14" i="9" s="1"/>
  <c r="V14" i="9"/>
  <c r="W14" i="9" s="1"/>
  <c r="V19" i="9"/>
  <c r="W19" i="9" s="1"/>
  <c r="X19" i="9"/>
  <c r="Y19" i="9" s="1"/>
  <c r="X12" i="9"/>
  <c r="V12" i="9"/>
  <c r="W12" i="9" s="1"/>
  <c r="X20" i="9"/>
  <c r="Y20" i="9" s="1"/>
  <c r="V20" i="9"/>
  <c r="W20" i="9" s="1"/>
  <c r="X13" i="9"/>
  <c r="Y13" i="9" s="1"/>
  <c r="V13" i="9"/>
  <c r="W13" i="9" s="1"/>
  <c r="X21" i="9"/>
  <c r="Y21" i="9" s="1"/>
  <c r="V21" i="9"/>
  <c r="W21" i="9" s="1"/>
  <c r="D135" i="9"/>
  <c r="E103" i="9"/>
  <c r="G104" i="9" l="1"/>
  <c r="F104" i="9" s="1"/>
  <c r="F137" i="9"/>
  <c r="E136" i="9"/>
  <c r="Y12" i="9"/>
  <c r="P82" i="9"/>
  <c r="P84" i="9" s="1"/>
  <c r="X11" i="9"/>
  <c r="Y11" i="9" s="1"/>
  <c r="V11" i="9"/>
  <c r="W11" i="9" s="1"/>
  <c r="W92" i="9" s="1"/>
  <c r="D136" i="9"/>
  <c r="E99" i="9"/>
  <c r="E104" i="9"/>
  <c r="G105" i="9" l="1"/>
  <c r="F105" i="9" s="1"/>
  <c r="E137" i="9"/>
  <c r="F138" i="9"/>
  <c r="E138" i="9" s="1"/>
  <c r="T92" i="9"/>
  <c r="P85" i="9"/>
  <c r="P86" i="9" s="1"/>
  <c r="P87" i="9" s="1"/>
  <c r="G106" i="9"/>
  <c r="F106" i="9" s="1"/>
  <c r="Y81" i="9"/>
  <c r="Y82" i="9" s="1"/>
  <c r="S82" i="9"/>
  <c r="H82" i="9"/>
  <c r="D138" i="9"/>
  <c r="E105" i="9"/>
  <c r="D137" i="9"/>
  <c r="P89" i="9" l="1"/>
  <c r="G107" i="9"/>
  <c r="F107" i="9" s="1"/>
  <c r="Y92" i="9"/>
  <c r="J92" i="9" s="1"/>
  <c r="M99" i="9" s="1"/>
  <c r="G5" i="10" s="1"/>
  <c r="P7" i="8"/>
  <c r="B30" i="8"/>
  <c r="F30" i="8" s="1"/>
  <c r="B29" i="8"/>
  <c r="B28" i="8"/>
  <c r="F28" i="8" s="1"/>
  <c r="B27" i="8"/>
  <c r="B26" i="8"/>
  <c r="B25" i="8"/>
  <c r="B24" i="8"/>
  <c r="B23" i="8"/>
  <c r="B22" i="8"/>
  <c r="B21" i="8"/>
  <c r="B20" i="8"/>
  <c r="C20" i="8" s="1"/>
  <c r="B19" i="8"/>
  <c r="C19" i="8" s="1"/>
  <c r="B18" i="8"/>
  <c r="C18" i="8" s="1"/>
  <c r="B17" i="8"/>
  <c r="B16" i="8"/>
  <c r="C16" i="8" s="1"/>
  <c r="B15" i="8"/>
  <c r="B14" i="8"/>
  <c r="M12" i="8"/>
  <c r="H8" i="8"/>
  <c r="E106" i="9"/>
  <c r="J28" i="8" l="1"/>
  <c r="L28" i="8"/>
  <c r="J30" i="8"/>
  <c r="L30" i="8"/>
  <c r="H28" i="8"/>
  <c r="H30" i="8"/>
  <c r="F29" i="8"/>
  <c r="C24" i="8"/>
  <c r="C22" i="8"/>
  <c r="C26" i="8"/>
  <c r="C30" i="8"/>
  <c r="C28" i="8"/>
  <c r="C23" i="8"/>
  <c r="C27" i="8"/>
  <c r="G108" i="9"/>
  <c r="F108" i="9" s="1"/>
  <c r="I8" i="8"/>
  <c r="K4" i="12" s="1"/>
  <c r="C15" i="8"/>
  <c r="C14" i="8"/>
  <c r="C17" i="8"/>
  <c r="C21" i="8"/>
  <c r="C25" i="8"/>
  <c r="C29" i="8"/>
  <c r="E107" i="9"/>
  <c r="L29" i="8" l="1"/>
  <c r="J29" i="8"/>
  <c r="H29" i="8"/>
  <c r="G109" i="9"/>
  <c r="F109" i="9" s="1"/>
  <c r="M10" i="6"/>
  <c r="F11" i="10" s="1"/>
  <c r="L10" i="6"/>
  <c r="A10" i="6"/>
  <c r="B10" i="6" s="1"/>
  <c r="M9" i="6"/>
  <c r="F10" i="10" s="1"/>
  <c r="L9" i="6"/>
  <c r="A9" i="6"/>
  <c r="B9" i="6" s="1"/>
  <c r="M8" i="6"/>
  <c r="F9" i="10" s="1"/>
  <c r="L8" i="6"/>
  <c r="A8" i="6"/>
  <c r="B8" i="6" s="1"/>
  <c r="M7" i="6"/>
  <c r="F8" i="10" s="1"/>
  <c r="L7" i="6"/>
  <c r="A7" i="6"/>
  <c r="B7" i="6" s="1"/>
  <c r="M6" i="6"/>
  <c r="F7" i="10" s="1"/>
  <c r="L6" i="6"/>
  <c r="A6" i="6"/>
  <c r="B6" i="6" s="1"/>
  <c r="M5" i="6"/>
  <c r="F6" i="10" s="1"/>
  <c r="L5" i="6"/>
  <c r="A5" i="6"/>
  <c r="B5" i="6" s="1"/>
  <c r="L4" i="6"/>
  <c r="A4" i="6"/>
  <c r="B4" i="6" s="1"/>
  <c r="N12" i="5"/>
  <c r="A12" i="5"/>
  <c r="B12" i="5" s="1"/>
  <c r="J12" i="5" s="1"/>
  <c r="N11" i="5"/>
  <c r="A11" i="5"/>
  <c r="B11" i="5" s="1"/>
  <c r="J11" i="5" s="1"/>
  <c r="N10" i="5"/>
  <c r="A10" i="5"/>
  <c r="B10" i="5" s="1"/>
  <c r="J10" i="5" s="1"/>
  <c r="N9" i="5"/>
  <c r="A9" i="5"/>
  <c r="B9" i="5" s="1"/>
  <c r="J9" i="5" s="1"/>
  <c r="N8" i="5"/>
  <c r="A8" i="5"/>
  <c r="B8" i="5" s="1"/>
  <c r="J8" i="5" s="1"/>
  <c r="N7" i="5"/>
  <c r="A7" i="5"/>
  <c r="B7" i="5" s="1"/>
  <c r="J7" i="5" s="1"/>
  <c r="N6" i="5"/>
  <c r="I6" i="5"/>
  <c r="E6" i="5"/>
  <c r="A6" i="5"/>
  <c r="B6" i="5" s="1"/>
  <c r="S201" i="4"/>
  <c r="S198" i="4"/>
  <c r="S195" i="4"/>
  <c r="S192" i="4"/>
  <c r="S186" i="4"/>
  <c r="F186" i="4"/>
  <c r="S179" i="4"/>
  <c r="S176" i="4"/>
  <c r="S173" i="4"/>
  <c r="S170" i="4"/>
  <c r="S167" i="4"/>
  <c r="S164" i="4"/>
  <c r="F164" i="4"/>
  <c r="S157" i="4"/>
  <c r="S154" i="4"/>
  <c r="S151" i="4"/>
  <c r="S148" i="4"/>
  <c r="S145" i="4"/>
  <c r="S142" i="4"/>
  <c r="F142" i="4"/>
  <c r="S135" i="4"/>
  <c r="S132" i="4"/>
  <c r="S129" i="4"/>
  <c r="S126" i="4"/>
  <c r="S123" i="4"/>
  <c r="S120" i="4"/>
  <c r="F120" i="4"/>
  <c r="S113" i="4"/>
  <c r="S110" i="4"/>
  <c r="S107" i="4"/>
  <c r="S104" i="4"/>
  <c r="S101" i="4"/>
  <c r="S98" i="4"/>
  <c r="F98" i="4"/>
  <c r="S91" i="4"/>
  <c r="S88" i="4"/>
  <c r="S85" i="4"/>
  <c r="S82" i="4"/>
  <c r="S79" i="4"/>
  <c r="S76" i="4"/>
  <c r="F76" i="4"/>
  <c r="S69" i="4"/>
  <c r="S66" i="4"/>
  <c r="S63" i="4"/>
  <c r="S60" i="4"/>
  <c r="S57" i="4"/>
  <c r="S54" i="4"/>
  <c r="F54" i="4"/>
  <c r="S47" i="4"/>
  <c r="S44" i="4"/>
  <c r="S41" i="4"/>
  <c r="S38" i="4"/>
  <c r="S35" i="4"/>
  <c r="S32" i="4"/>
  <c r="F32" i="4"/>
  <c r="Y28" i="4"/>
  <c r="Y27" i="4"/>
  <c r="AE27" i="4" s="1"/>
  <c r="Y26" i="4"/>
  <c r="AE26" i="4" s="1"/>
  <c r="Y25" i="4"/>
  <c r="AE25" i="4" s="1"/>
  <c r="U25" i="4"/>
  <c r="S25" i="4"/>
  <c r="Y24" i="4"/>
  <c r="AE24" i="4" s="1"/>
  <c r="Y23" i="4"/>
  <c r="AE23" i="4" s="1"/>
  <c r="Y22" i="4"/>
  <c r="AE22" i="4" s="1"/>
  <c r="U22" i="4"/>
  <c r="S22" i="4"/>
  <c r="Y21" i="4"/>
  <c r="AE21" i="4" s="1"/>
  <c r="Y20" i="4"/>
  <c r="AE20" i="4" s="1"/>
  <c r="Y19" i="4"/>
  <c r="AE19" i="4" s="1"/>
  <c r="U19" i="4"/>
  <c r="S19" i="4"/>
  <c r="Y18" i="4"/>
  <c r="AE18" i="4" s="1"/>
  <c r="Y17" i="4"/>
  <c r="AE17" i="4" s="1"/>
  <c r="Y16" i="4"/>
  <c r="AE16" i="4" s="1"/>
  <c r="U16" i="4"/>
  <c r="Y15" i="4"/>
  <c r="AE15" i="4" s="1"/>
  <c r="Y14" i="4"/>
  <c r="AE14" i="4" s="1"/>
  <c r="AI13" i="4"/>
  <c r="AI14" i="4" s="1"/>
  <c r="Y13" i="4"/>
  <c r="AE13" i="4" s="1"/>
  <c r="Y12" i="4"/>
  <c r="AE12" i="4" s="1"/>
  <c r="S10" i="4"/>
  <c r="F10" i="4"/>
  <c r="P6" i="4"/>
  <c r="I4" i="3"/>
  <c r="H4" i="3"/>
  <c r="G4" i="3"/>
  <c r="F4" i="3"/>
  <c r="E4" i="3"/>
  <c r="D4" i="3"/>
  <c r="C4" i="3"/>
  <c r="A13" i="2"/>
  <c r="C13" i="2" s="1"/>
  <c r="A12" i="2"/>
  <c r="C12" i="2" s="1"/>
  <c r="A11" i="2"/>
  <c r="C11" i="2" s="1"/>
  <c r="A10" i="2"/>
  <c r="C10" i="2" s="1"/>
  <c r="A9" i="2"/>
  <c r="C9" i="2" s="1"/>
  <c r="A8" i="2"/>
  <c r="E108" i="9"/>
  <c r="S227" i="4" l="1"/>
  <c r="T226" i="4" s="1"/>
  <c r="S315" i="4"/>
  <c r="S293" i="4"/>
  <c r="S271" i="4"/>
  <c r="S249" i="4"/>
  <c r="J6" i="5"/>
  <c r="O5" i="3"/>
  <c r="M5" i="3"/>
  <c r="P5" i="3"/>
  <c r="N5" i="3"/>
  <c r="L5" i="3"/>
  <c r="J5" i="3"/>
  <c r="K5" i="3"/>
  <c r="F5" i="3"/>
  <c r="C8" i="2"/>
  <c r="I5" i="3"/>
  <c r="E5" i="3"/>
  <c r="H5" i="3"/>
  <c r="C5" i="3"/>
  <c r="D5" i="3"/>
  <c r="G5" i="3"/>
  <c r="G110" i="9"/>
  <c r="F110" i="9" s="1"/>
  <c r="S204" i="4"/>
  <c r="S205" i="4" s="1"/>
  <c r="S182" i="4"/>
  <c r="S183" i="4" s="1"/>
  <c r="S160" i="4"/>
  <c r="S161" i="4" s="1"/>
  <c r="S138" i="4"/>
  <c r="S139" i="4" s="1"/>
  <c r="T138" i="4" s="1"/>
  <c r="S116" i="4"/>
  <c r="S117" i="4" s="1"/>
  <c r="T116" i="4" s="1"/>
  <c r="S72" i="4"/>
  <c r="S73" i="4" s="1"/>
  <c r="B72" i="4" s="1"/>
  <c r="S28" i="4"/>
  <c r="S29" i="4" s="1"/>
  <c r="B28" i="4" s="1"/>
  <c r="S50" i="4"/>
  <c r="S51" i="4" s="1"/>
  <c r="B50" i="4" s="1"/>
  <c r="F7" i="5"/>
  <c r="F9" i="5"/>
  <c r="F11" i="5"/>
  <c r="F6" i="5"/>
  <c r="F8" i="5"/>
  <c r="F10" i="5"/>
  <c r="F12" i="5"/>
  <c r="S94" i="4"/>
  <c r="S95" i="4" s="1"/>
  <c r="B94" i="4" s="1"/>
  <c r="AE28" i="4"/>
  <c r="AI15" i="4"/>
  <c r="E109" i="9"/>
  <c r="B226" i="4" l="1"/>
  <c r="T270" i="4"/>
  <c r="B270" i="4"/>
  <c r="T292" i="4"/>
  <c r="B292" i="4"/>
  <c r="T314" i="4"/>
  <c r="B314" i="4"/>
  <c r="T248" i="4"/>
  <c r="B248" i="4"/>
  <c r="B204" i="4"/>
  <c r="T204" i="4"/>
  <c r="B182" i="4"/>
  <c r="T182" i="4"/>
  <c r="B160" i="4"/>
  <c r="T160" i="4"/>
  <c r="G111" i="9"/>
  <c r="F111" i="9" s="1"/>
  <c r="B138" i="4"/>
  <c r="B116" i="4"/>
  <c r="T72" i="4"/>
  <c r="T50" i="4"/>
  <c r="T28" i="4"/>
  <c r="O12" i="5"/>
  <c r="E11" i="10" s="1"/>
  <c r="O9" i="5"/>
  <c r="E8" i="10" s="1"/>
  <c r="O8" i="5"/>
  <c r="E7" i="10" s="1"/>
  <c r="O10" i="5"/>
  <c r="E9" i="10" s="1"/>
  <c r="O6" i="5"/>
  <c r="E5" i="10" s="1"/>
  <c r="O11" i="5"/>
  <c r="E10" i="10" s="1"/>
  <c r="O7" i="5"/>
  <c r="E6" i="10" s="1"/>
  <c r="T94" i="4"/>
  <c r="AI16" i="4"/>
  <c r="E110" i="9"/>
  <c r="AF13" i="4"/>
  <c r="AF14" i="4"/>
  <c r="AF15" i="4"/>
  <c r="AF12" i="4"/>
  <c r="G112" i="9" l="1"/>
  <c r="F112" i="9" s="1"/>
  <c r="Z14" i="4"/>
  <c r="AA14" i="4" s="1"/>
  <c r="D7" i="10" s="1"/>
  <c r="Z13" i="4"/>
  <c r="AA13" i="4" s="1"/>
  <c r="D6" i="10" s="1"/>
  <c r="Z12" i="4"/>
  <c r="Z15" i="4"/>
  <c r="AA15" i="4" s="1"/>
  <c r="D8" i="10" s="1"/>
  <c r="AI17" i="4"/>
  <c r="E111" i="9"/>
  <c r="AF16" i="4"/>
  <c r="H6" i="10" l="1"/>
  <c r="F15" i="8" s="1"/>
  <c r="H8" i="10"/>
  <c r="F17" i="8" s="1"/>
  <c r="AA12" i="4"/>
  <c r="D5" i="10" s="1"/>
  <c r="G113" i="9"/>
  <c r="F113" i="9" s="1"/>
  <c r="H7" i="10"/>
  <c r="F16" i="8" s="1"/>
  <c r="Z16" i="4"/>
  <c r="AA16" i="4" s="1"/>
  <c r="D9" i="10" s="1"/>
  <c r="AI18" i="4"/>
  <c r="AF17" i="4"/>
  <c r="E112" i="9"/>
  <c r="J17" i="8" l="1"/>
  <c r="L17" i="8"/>
  <c r="H16" i="8"/>
  <c r="H15" i="8"/>
  <c r="G17" i="8"/>
  <c r="I17" i="8" s="1"/>
  <c r="H17" i="8"/>
  <c r="F14" i="8"/>
  <c r="C8" i="12" s="1"/>
  <c r="H9" i="10"/>
  <c r="F18" i="8" s="1"/>
  <c r="G16" i="8"/>
  <c r="G8" i="12"/>
  <c r="G114" i="9"/>
  <c r="F114" i="9" s="1"/>
  <c r="I8" i="12"/>
  <c r="E8" i="12"/>
  <c r="G15" i="8"/>
  <c r="Z17" i="4"/>
  <c r="AA17" i="4" s="1"/>
  <c r="D10" i="10" s="1"/>
  <c r="AI19" i="4"/>
  <c r="AF18" i="4"/>
  <c r="E113" i="9"/>
  <c r="I106" i="12" l="1"/>
  <c r="I110" i="12"/>
  <c r="I114" i="12"/>
  <c r="I118" i="12"/>
  <c r="I122" i="12"/>
  <c r="I126" i="12"/>
  <c r="I130" i="12"/>
  <c r="I134" i="12"/>
  <c r="I138" i="12"/>
  <c r="I108" i="12"/>
  <c r="I113" i="12"/>
  <c r="I119" i="12"/>
  <c r="I124" i="12"/>
  <c r="I129" i="12"/>
  <c r="I135" i="12"/>
  <c r="I140" i="12"/>
  <c r="I109" i="12"/>
  <c r="I115" i="12"/>
  <c r="I120" i="12"/>
  <c r="I125" i="12"/>
  <c r="I131" i="12"/>
  <c r="I136" i="12"/>
  <c r="I111" i="12"/>
  <c r="I121" i="12"/>
  <c r="I132" i="12"/>
  <c r="I112" i="12"/>
  <c r="I123" i="12"/>
  <c r="I133" i="12"/>
  <c r="I105" i="12"/>
  <c r="I116" i="12"/>
  <c r="I127" i="12"/>
  <c r="I137" i="12"/>
  <c r="I128" i="12"/>
  <c r="I107" i="12"/>
  <c r="I139" i="12"/>
  <c r="I117" i="12"/>
  <c r="C106" i="12"/>
  <c r="C110" i="12"/>
  <c r="C114" i="12"/>
  <c r="C118" i="12"/>
  <c r="C122" i="12"/>
  <c r="C126" i="12"/>
  <c r="C109" i="12"/>
  <c r="C115" i="12"/>
  <c r="C120" i="12"/>
  <c r="C125" i="12"/>
  <c r="C130" i="12"/>
  <c r="C134" i="12"/>
  <c r="C138" i="12"/>
  <c r="C105" i="12"/>
  <c r="C111" i="12"/>
  <c r="C116" i="12"/>
  <c r="C121" i="12"/>
  <c r="C127" i="12"/>
  <c r="C131" i="12"/>
  <c r="C135" i="12"/>
  <c r="C139" i="12"/>
  <c r="C107" i="12"/>
  <c r="C117" i="12"/>
  <c r="C128" i="12"/>
  <c r="C136" i="12"/>
  <c r="C108" i="12"/>
  <c r="C119" i="12"/>
  <c r="C129" i="12"/>
  <c r="C137" i="12"/>
  <c r="C112" i="12"/>
  <c r="C123" i="12"/>
  <c r="C132" i="12"/>
  <c r="C140" i="12"/>
  <c r="C133" i="12"/>
  <c r="C113" i="12"/>
  <c r="C124" i="12"/>
  <c r="G18" i="8"/>
  <c r="H18" i="8"/>
  <c r="H10" i="10"/>
  <c r="F19" i="8" s="1"/>
  <c r="C89" i="12"/>
  <c r="C84" i="12"/>
  <c r="C69" i="12"/>
  <c r="C74" i="12"/>
  <c r="C85" i="12"/>
  <c r="C83" i="12"/>
  <c r="C75" i="12"/>
  <c r="C76" i="12"/>
  <c r="C91" i="12"/>
  <c r="C92" i="12"/>
  <c r="C86" i="12"/>
  <c r="C70" i="12"/>
  <c r="C72" i="12"/>
  <c r="C87" i="12"/>
  <c r="C88" i="12"/>
  <c r="C90" i="12"/>
  <c r="C73" i="12"/>
  <c r="C71" i="12"/>
  <c r="G91" i="12"/>
  <c r="H91" i="12" s="1"/>
  <c r="G87" i="12"/>
  <c r="H87" i="12" s="1"/>
  <c r="G89" i="12"/>
  <c r="H89" i="12" s="1"/>
  <c r="G85" i="12"/>
  <c r="H85" i="12" s="1"/>
  <c r="G92" i="12"/>
  <c r="H92" i="12" s="1"/>
  <c r="G88" i="12"/>
  <c r="H88" i="12" s="1"/>
  <c r="G84" i="12"/>
  <c r="H84" i="12" s="1"/>
  <c r="G86" i="12"/>
  <c r="H86" i="12" s="1"/>
  <c r="G83" i="12"/>
  <c r="H83" i="12" s="1"/>
  <c r="G90" i="12"/>
  <c r="H90" i="12" s="1"/>
  <c r="E89" i="12"/>
  <c r="F89" i="12" s="1"/>
  <c r="E85" i="12"/>
  <c r="F85" i="12" s="1"/>
  <c r="E91" i="12"/>
  <c r="F91" i="12" s="1"/>
  <c r="E87" i="12"/>
  <c r="F87" i="12" s="1"/>
  <c r="E83" i="12"/>
  <c r="F83" i="12" s="1"/>
  <c r="E90" i="12"/>
  <c r="F90" i="12" s="1"/>
  <c r="E86" i="12"/>
  <c r="F86" i="12" s="1"/>
  <c r="E88" i="12"/>
  <c r="F88" i="12" s="1"/>
  <c r="E92" i="12"/>
  <c r="F92" i="12" s="1"/>
  <c r="E84" i="12"/>
  <c r="F84" i="12" s="1"/>
  <c r="I89" i="12"/>
  <c r="J89" i="12" s="1"/>
  <c r="I85" i="12"/>
  <c r="J85" i="12" s="1"/>
  <c r="I91" i="12"/>
  <c r="J91" i="12" s="1"/>
  <c r="I87" i="12"/>
  <c r="J87" i="12" s="1"/>
  <c r="I83" i="12"/>
  <c r="J83" i="12" s="1"/>
  <c r="I90" i="12"/>
  <c r="J90" i="12" s="1"/>
  <c r="I86" i="12"/>
  <c r="J86" i="12" s="1"/>
  <c r="I88" i="12"/>
  <c r="J88" i="12" s="1"/>
  <c r="I84" i="12"/>
  <c r="J84" i="12" s="1"/>
  <c r="I92" i="12"/>
  <c r="J92" i="12" s="1"/>
  <c r="E140" i="12"/>
  <c r="E136" i="12"/>
  <c r="E139" i="12"/>
  <c r="E138" i="12"/>
  <c r="E137" i="12"/>
  <c r="G138" i="12"/>
  <c r="G137" i="12"/>
  <c r="G140" i="12"/>
  <c r="G136" i="12"/>
  <c r="G139" i="12"/>
  <c r="E69" i="12"/>
  <c r="F69" i="12" s="1"/>
  <c r="E72" i="12"/>
  <c r="E75" i="12"/>
  <c r="F75" i="12" s="1"/>
  <c r="E71" i="12"/>
  <c r="E74" i="12"/>
  <c r="F74" i="12" s="1"/>
  <c r="E70" i="12"/>
  <c r="F70" i="12" s="1"/>
  <c r="E73" i="12"/>
  <c r="F73" i="12" s="1"/>
  <c r="E76" i="12"/>
  <c r="F76" i="12" s="1"/>
  <c r="G29" i="12"/>
  <c r="G75" i="12"/>
  <c r="H75" i="12" s="1"/>
  <c r="G74" i="12"/>
  <c r="H74" i="12" s="1"/>
  <c r="G73" i="12"/>
  <c r="H73" i="12" s="1"/>
  <c r="G69" i="12"/>
  <c r="H69" i="12" s="1"/>
  <c r="G76" i="12"/>
  <c r="H76" i="12" s="1"/>
  <c r="G72" i="12"/>
  <c r="H72" i="12" s="1"/>
  <c r="G71" i="12"/>
  <c r="H71" i="12" s="1"/>
  <c r="G70" i="12"/>
  <c r="H70" i="12" s="1"/>
  <c r="I75" i="12"/>
  <c r="J75" i="12" s="1"/>
  <c r="I71" i="12"/>
  <c r="J71" i="12" s="1"/>
  <c r="I74" i="12"/>
  <c r="J74" i="12" s="1"/>
  <c r="I70" i="12"/>
  <c r="J70" i="12" s="1"/>
  <c r="I73" i="12"/>
  <c r="J73" i="12" s="1"/>
  <c r="I69" i="12"/>
  <c r="J69" i="12" s="1"/>
  <c r="I76" i="12"/>
  <c r="J76" i="12" s="1"/>
  <c r="I72" i="12"/>
  <c r="J72" i="12" s="1"/>
  <c r="E14" i="12"/>
  <c r="E17" i="12"/>
  <c r="E21" i="12"/>
  <c r="E25" i="12"/>
  <c r="E29" i="12"/>
  <c r="E33" i="12"/>
  <c r="E37" i="12"/>
  <c r="E41" i="12"/>
  <c r="E45" i="12"/>
  <c r="E49" i="12"/>
  <c r="E53" i="12"/>
  <c r="E57" i="12"/>
  <c r="E61" i="12"/>
  <c r="E65" i="12"/>
  <c r="E77" i="12"/>
  <c r="E81" i="12"/>
  <c r="E18" i="12"/>
  <c r="E22" i="12"/>
  <c r="E26" i="12"/>
  <c r="E30" i="12"/>
  <c r="E34" i="12"/>
  <c r="E38" i="12"/>
  <c r="E42" i="12"/>
  <c r="E46" i="12"/>
  <c r="E50" i="12"/>
  <c r="E54" i="12"/>
  <c r="E58" i="12"/>
  <c r="E62" i="12"/>
  <c r="E66" i="12"/>
  <c r="E78" i="12"/>
  <c r="E82" i="12"/>
  <c r="E15" i="12"/>
  <c r="E19" i="12"/>
  <c r="E23" i="12"/>
  <c r="E27" i="12"/>
  <c r="E31" i="12"/>
  <c r="E35" i="12"/>
  <c r="E39" i="12"/>
  <c r="E43" i="12"/>
  <c r="E47" i="12"/>
  <c r="E51" i="12"/>
  <c r="E55" i="12"/>
  <c r="E59" i="12"/>
  <c r="E63" i="12"/>
  <c r="E67" i="12"/>
  <c r="E79" i="12"/>
  <c r="E16" i="12"/>
  <c r="E20" i="12"/>
  <c r="E24" i="12"/>
  <c r="E28" i="12"/>
  <c r="E32" i="12"/>
  <c r="E36" i="12"/>
  <c r="E40" i="12"/>
  <c r="E44" i="12"/>
  <c r="E48" i="12"/>
  <c r="E52" i="12"/>
  <c r="E56" i="12"/>
  <c r="E60" i="12"/>
  <c r="E64" i="12"/>
  <c r="E68" i="12"/>
  <c r="E80" i="12"/>
  <c r="E101" i="12"/>
  <c r="G34" i="12"/>
  <c r="G82" i="12"/>
  <c r="G51" i="12"/>
  <c r="G52" i="12"/>
  <c r="G30" i="12"/>
  <c r="G101" i="12"/>
  <c r="G54" i="12"/>
  <c r="G31" i="12"/>
  <c r="G57" i="12"/>
  <c r="G55" i="12"/>
  <c r="G32" i="12"/>
  <c r="G80" i="12"/>
  <c r="G41" i="12"/>
  <c r="G25" i="12"/>
  <c r="G81" i="12"/>
  <c r="E105" i="12"/>
  <c r="E109" i="12"/>
  <c r="E113" i="12"/>
  <c r="E117" i="12"/>
  <c r="E121" i="12"/>
  <c r="E125" i="12"/>
  <c r="E129" i="12"/>
  <c r="E133" i="12"/>
  <c r="E106" i="12"/>
  <c r="E110" i="12"/>
  <c r="E114" i="12"/>
  <c r="E118" i="12"/>
  <c r="E122" i="12"/>
  <c r="E126" i="12"/>
  <c r="E130" i="12"/>
  <c r="E134" i="12"/>
  <c r="E111" i="12"/>
  <c r="E119" i="12"/>
  <c r="E127" i="12"/>
  <c r="E135" i="12"/>
  <c r="E115" i="12"/>
  <c r="E131" i="12"/>
  <c r="E112" i="12"/>
  <c r="E120" i="12"/>
  <c r="E128" i="12"/>
  <c r="E104" i="12"/>
  <c r="E107" i="12"/>
  <c r="E123" i="12"/>
  <c r="E108" i="12"/>
  <c r="E116" i="12"/>
  <c r="E124" i="12"/>
  <c r="E132" i="12"/>
  <c r="G79" i="12"/>
  <c r="G50" i="12"/>
  <c r="G28" i="12"/>
  <c r="G78" i="12"/>
  <c r="G48" i="12"/>
  <c r="G27" i="12"/>
  <c r="G68" i="12"/>
  <c r="G47" i="12"/>
  <c r="G26" i="12"/>
  <c r="G67" i="12"/>
  <c r="G46" i="12"/>
  <c r="G24" i="12"/>
  <c r="G77" i="12"/>
  <c r="G53" i="12"/>
  <c r="G37" i="12"/>
  <c r="G21" i="12"/>
  <c r="G66" i="12"/>
  <c r="G44" i="12"/>
  <c r="G23" i="12"/>
  <c r="G64" i="12"/>
  <c r="G43" i="12"/>
  <c r="G22" i="12"/>
  <c r="G63" i="12"/>
  <c r="G42" i="12"/>
  <c r="G20" i="12"/>
  <c r="G62" i="12"/>
  <c r="G40" i="12"/>
  <c r="G19" i="12"/>
  <c r="G65" i="12"/>
  <c r="G49" i="12"/>
  <c r="G33" i="12"/>
  <c r="G17" i="12"/>
  <c r="I104" i="12"/>
  <c r="I10" i="12" s="1"/>
  <c r="G60" i="12"/>
  <c r="G39" i="12"/>
  <c r="G18" i="12"/>
  <c r="G59" i="12"/>
  <c r="G38" i="12"/>
  <c r="G16" i="12"/>
  <c r="G58" i="12"/>
  <c r="G36" i="12"/>
  <c r="G15" i="12"/>
  <c r="G56" i="12"/>
  <c r="G35" i="12"/>
  <c r="G14" i="12"/>
  <c r="G61" i="12"/>
  <c r="G45" i="12"/>
  <c r="G105" i="12"/>
  <c r="G109" i="12"/>
  <c r="G113" i="12"/>
  <c r="G117" i="12"/>
  <c r="G121" i="12"/>
  <c r="G125" i="12"/>
  <c r="G129" i="12"/>
  <c r="G133" i="12"/>
  <c r="G106" i="12"/>
  <c r="G110" i="12"/>
  <c r="G114" i="12"/>
  <c r="G118" i="12"/>
  <c r="G122" i="12"/>
  <c r="G126" i="12"/>
  <c r="G130" i="12"/>
  <c r="G134" i="12"/>
  <c r="G111" i="12"/>
  <c r="G119" i="12"/>
  <c r="G127" i="12"/>
  <c r="G135" i="12"/>
  <c r="G115" i="12"/>
  <c r="G131" i="12"/>
  <c r="G112" i="12"/>
  <c r="G120" i="12"/>
  <c r="G128" i="12"/>
  <c r="G104" i="12"/>
  <c r="G107" i="12"/>
  <c r="G123" i="12"/>
  <c r="G108" i="12"/>
  <c r="G116" i="12"/>
  <c r="G124" i="12"/>
  <c r="G132" i="12"/>
  <c r="I16" i="12"/>
  <c r="I20" i="12"/>
  <c r="I24" i="12"/>
  <c r="I28" i="12"/>
  <c r="I32" i="12"/>
  <c r="I36" i="12"/>
  <c r="I40" i="12"/>
  <c r="I44" i="12"/>
  <c r="I48" i="12"/>
  <c r="I52" i="12"/>
  <c r="I56" i="12"/>
  <c r="I60" i="12"/>
  <c r="I64" i="12"/>
  <c r="I68" i="12"/>
  <c r="I80" i="12"/>
  <c r="I101" i="12"/>
  <c r="I18" i="12"/>
  <c r="I23" i="12"/>
  <c r="I29" i="12"/>
  <c r="I34" i="12"/>
  <c r="I39" i="12"/>
  <c r="I45" i="12"/>
  <c r="I50" i="12"/>
  <c r="I55" i="12"/>
  <c r="I61" i="12"/>
  <c r="I66" i="12"/>
  <c r="I79" i="12"/>
  <c r="I14" i="12"/>
  <c r="I19" i="12"/>
  <c r="I25" i="12"/>
  <c r="I30" i="12"/>
  <c r="I35" i="12"/>
  <c r="I41" i="12"/>
  <c r="I46" i="12"/>
  <c r="I51" i="12"/>
  <c r="I57" i="12"/>
  <c r="I62" i="12"/>
  <c r="I67" i="12"/>
  <c r="I81" i="12"/>
  <c r="I15" i="12"/>
  <c r="I21" i="12"/>
  <c r="I26" i="12"/>
  <c r="I31" i="12"/>
  <c r="I37" i="12"/>
  <c r="I42" i="12"/>
  <c r="I47" i="12"/>
  <c r="I53" i="12"/>
  <c r="I58" i="12"/>
  <c r="I63" i="12"/>
  <c r="I77" i="12"/>
  <c r="I82" i="12"/>
  <c r="I17" i="12"/>
  <c r="I22" i="12"/>
  <c r="I27" i="12"/>
  <c r="I33" i="12"/>
  <c r="I38" i="12"/>
  <c r="I43" i="12"/>
  <c r="I49" i="12"/>
  <c r="I54" i="12"/>
  <c r="I59" i="12"/>
  <c r="I65" i="12"/>
  <c r="I78" i="12"/>
  <c r="G115" i="9"/>
  <c r="F115" i="9" s="1"/>
  <c r="K8" i="12"/>
  <c r="Z18" i="4"/>
  <c r="AA18" i="4" s="1"/>
  <c r="D11" i="10" s="1"/>
  <c r="AI20" i="4"/>
  <c r="E115" i="9"/>
  <c r="E114" i="9"/>
  <c r="AF19" i="4"/>
  <c r="D91" i="12" l="1"/>
  <c r="D90" i="12"/>
  <c r="D70" i="12"/>
  <c r="D76" i="12"/>
  <c r="D74" i="12"/>
  <c r="D85" i="12"/>
  <c r="D89" i="12"/>
  <c r="D88" i="12"/>
  <c r="D86" i="12"/>
  <c r="D75" i="12"/>
  <c r="D69" i="12"/>
  <c r="D73" i="12"/>
  <c r="D87" i="12"/>
  <c r="D92" i="12"/>
  <c r="D83" i="12"/>
  <c r="D84" i="12"/>
  <c r="G19" i="8"/>
  <c r="H19" i="8"/>
  <c r="K91" i="12"/>
  <c r="L91" i="12" s="1"/>
  <c r="K87" i="12"/>
  <c r="K89" i="12"/>
  <c r="K85" i="12"/>
  <c r="L85" i="12" s="1"/>
  <c r="K92" i="12"/>
  <c r="K88" i="12"/>
  <c r="L88" i="12" s="1"/>
  <c r="K84" i="12"/>
  <c r="L84" i="12" s="1"/>
  <c r="K90" i="12"/>
  <c r="K83" i="12"/>
  <c r="K86" i="12"/>
  <c r="L86" i="12" s="1"/>
  <c r="K138" i="12"/>
  <c r="K137" i="12"/>
  <c r="K140" i="12"/>
  <c r="K136" i="12"/>
  <c r="K139" i="12"/>
  <c r="K75" i="12"/>
  <c r="L75" i="12" s="1"/>
  <c r="K70" i="12"/>
  <c r="L70" i="12" s="1"/>
  <c r="K73" i="12"/>
  <c r="L73" i="12" s="1"/>
  <c r="K69" i="12"/>
  <c r="K76" i="12"/>
  <c r="L76" i="12" s="1"/>
  <c r="K72" i="12"/>
  <c r="L72" i="12" s="1"/>
  <c r="K71" i="12"/>
  <c r="L71" i="12" s="1"/>
  <c r="K74" i="12"/>
  <c r="L74" i="12" s="1"/>
  <c r="H11" i="10"/>
  <c r="F20" i="8" s="1"/>
  <c r="G14" i="8"/>
  <c r="K105" i="12"/>
  <c r="K109" i="12"/>
  <c r="K113" i="12"/>
  <c r="K117" i="12"/>
  <c r="K121" i="12"/>
  <c r="K125" i="12"/>
  <c r="K129" i="12"/>
  <c r="K133" i="12"/>
  <c r="K106" i="12"/>
  <c r="K110" i="12"/>
  <c r="K114" i="12"/>
  <c r="K118" i="12"/>
  <c r="K122" i="12"/>
  <c r="K126" i="12"/>
  <c r="K130" i="12"/>
  <c r="K134" i="12"/>
  <c r="K107" i="12"/>
  <c r="K111" i="12"/>
  <c r="K115" i="12"/>
  <c r="K119" i="12"/>
  <c r="K123" i="12"/>
  <c r="K127" i="12"/>
  <c r="K131" i="12"/>
  <c r="K135" i="12"/>
  <c r="K112" i="12"/>
  <c r="K128" i="12"/>
  <c r="K120" i="12"/>
  <c r="K116" i="12"/>
  <c r="K132" i="12"/>
  <c r="K108" i="12"/>
  <c r="K124" i="12"/>
  <c r="K104" i="12"/>
  <c r="K15" i="12"/>
  <c r="K19" i="12"/>
  <c r="K23" i="12"/>
  <c r="K27" i="12"/>
  <c r="K31" i="12"/>
  <c r="K35" i="12"/>
  <c r="K39" i="12"/>
  <c r="K43" i="12"/>
  <c r="K47" i="12"/>
  <c r="K51" i="12"/>
  <c r="K55" i="12"/>
  <c r="K59" i="12"/>
  <c r="K63" i="12"/>
  <c r="K67" i="12"/>
  <c r="K79" i="12"/>
  <c r="K17" i="12"/>
  <c r="K22" i="12"/>
  <c r="K28" i="12"/>
  <c r="K33" i="12"/>
  <c r="K38" i="12"/>
  <c r="K44" i="12"/>
  <c r="K49" i="12"/>
  <c r="K54" i="12"/>
  <c r="K60" i="12"/>
  <c r="K65" i="12"/>
  <c r="K78" i="12"/>
  <c r="K101" i="12"/>
  <c r="K18" i="12"/>
  <c r="K24" i="12"/>
  <c r="K29" i="12"/>
  <c r="K34" i="12"/>
  <c r="K40" i="12"/>
  <c r="K45" i="12"/>
  <c r="K50" i="12"/>
  <c r="K56" i="12"/>
  <c r="K61" i="12"/>
  <c r="K66" i="12"/>
  <c r="K80" i="12"/>
  <c r="K14" i="12"/>
  <c r="K20" i="12"/>
  <c r="K25" i="12"/>
  <c r="K30" i="12"/>
  <c r="K36" i="12"/>
  <c r="K41" i="12"/>
  <c r="K46" i="12"/>
  <c r="K52" i="12"/>
  <c r="K57" i="12"/>
  <c r="K62" i="12"/>
  <c r="K68" i="12"/>
  <c r="K81" i="12"/>
  <c r="K16" i="12"/>
  <c r="K21" i="12"/>
  <c r="K26" i="12"/>
  <c r="K32" i="12"/>
  <c r="K37" i="12"/>
  <c r="K42" i="12"/>
  <c r="K48" i="12"/>
  <c r="K53" i="12"/>
  <c r="K58" i="12"/>
  <c r="K64" i="12"/>
  <c r="K77" i="12"/>
  <c r="K82" i="12"/>
  <c r="M8" i="12"/>
  <c r="H14" i="8"/>
  <c r="Z19" i="4"/>
  <c r="AA19" i="4" s="1"/>
  <c r="D12" i="10" s="1"/>
  <c r="AI21" i="4"/>
  <c r="AF20" i="4"/>
  <c r="M17" i="12" l="1"/>
  <c r="M21" i="12"/>
  <c r="M25" i="12"/>
  <c r="M29" i="12"/>
  <c r="M33" i="12"/>
  <c r="M37" i="12"/>
  <c r="M41" i="12"/>
  <c r="M45" i="12"/>
  <c r="M49" i="12"/>
  <c r="M53" i="12"/>
  <c r="M57" i="12"/>
  <c r="M61" i="12"/>
  <c r="M65" i="12"/>
  <c r="M69" i="12"/>
  <c r="M73" i="12"/>
  <c r="M77" i="12"/>
  <c r="M81" i="12"/>
  <c r="M85" i="12"/>
  <c r="M89" i="12"/>
  <c r="M18" i="12"/>
  <c r="M22" i="12"/>
  <c r="M26" i="12"/>
  <c r="M30" i="12"/>
  <c r="M34" i="12"/>
  <c r="M38" i="12"/>
  <c r="M42" i="12"/>
  <c r="M46" i="12"/>
  <c r="M50" i="12"/>
  <c r="M54" i="12"/>
  <c r="M58" i="12"/>
  <c r="M62" i="12"/>
  <c r="M66" i="12"/>
  <c r="M70" i="12"/>
  <c r="M74" i="12"/>
  <c r="M78" i="12"/>
  <c r="M82" i="12"/>
  <c r="M86" i="12"/>
  <c r="M90" i="12"/>
  <c r="M15" i="12"/>
  <c r="M23" i="12"/>
  <c r="M31" i="12"/>
  <c r="M39" i="12"/>
  <c r="M47" i="12"/>
  <c r="M55" i="12"/>
  <c r="M63" i="12"/>
  <c r="M71" i="12"/>
  <c r="M79" i="12"/>
  <c r="M87" i="12"/>
  <c r="M27" i="12"/>
  <c r="M43" i="12"/>
  <c r="M59" i="12"/>
  <c r="M75" i="12"/>
  <c r="M91" i="12"/>
  <c r="M60" i="12"/>
  <c r="M16" i="12"/>
  <c r="M24" i="12"/>
  <c r="M32" i="12"/>
  <c r="M40" i="12"/>
  <c r="M48" i="12"/>
  <c r="M56" i="12"/>
  <c r="M64" i="12"/>
  <c r="M72" i="12"/>
  <c r="M80" i="12"/>
  <c r="M88" i="12"/>
  <c r="M19" i="12"/>
  <c r="M35" i="12"/>
  <c r="M51" i="12"/>
  <c r="M67" i="12"/>
  <c r="M83" i="12"/>
  <c r="M20" i="12"/>
  <c r="M28" i="12"/>
  <c r="M36" i="12"/>
  <c r="M44" i="12"/>
  <c r="M52" i="12"/>
  <c r="M68" i="12"/>
  <c r="M76" i="12"/>
  <c r="M84" i="12"/>
  <c r="M92" i="12"/>
  <c r="G20" i="8"/>
  <c r="H20" i="8"/>
  <c r="L89" i="12"/>
  <c r="L90" i="12"/>
  <c r="L87" i="12"/>
  <c r="N89" i="12"/>
  <c r="N85" i="12"/>
  <c r="N87" i="12"/>
  <c r="N83" i="12"/>
  <c r="N90" i="12"/>
  <c r="N86" i="12"/>
  <c r="N92" i="12"/>
  <c r="N88" i="12"/>
  <c r="L83" i="12"/>
  <c r="L92" i="12"/>
  <c r="L69" i="12"/>
  <c r="M140" i="12"/>
  <c r="M136" i="12"/>
  <c r="M139" i="12"/>
  <c r="M138" i="12"/>
  <c r="M137" i="12"/>
  <c r="N72" i="12"/>
  <c r="N71" i="12"/>
  <c r="N74" i="12"/>
  <c r="N70" i="12"/>
  <c r="N73" i="12"/>
  <c r="N69" i="12"/>
  <c r="N76" i="12"/>
  <c r="H12" i="10"/>
  <c r="F21" i="8" s="1"/>
  <c r="M105" i="12"/>
  <c r="M109" i="12"/>
  <c r="M113" i="12"/>
  <c r="M117" i="12"/>
  <c r="M121" i="12"/>
  <c r="M125" i="12"/>
  <c r="M129" i="12"/>
  <c r="M133" i="12"/>
  <c r="M106" i="12"/>
  <c r="M110" i="12"/>
  <c r="M114" i="12"/>
  <c r="M118" i="12"/>
  <c r="M122" i="12"/>
  <c r="M126" i="12"/>
  <c r="M130" i="12"/>
  <c r="M134" i="12"/>
  <c r="M107" i="12"/>
  <c r="M111" i="12"/>
  <c r="M115" i="12"/>
  <c r="M119" i="12"/>
  <c r="M123" i="12"/>
  <c r="M127" i="12"/>
  <c r="M131" i="12"/>
  <c r="M135" i="12"/>
  <c r="M112" i="12"/>
  <c r="M128" i="12"/>
  <c r="M120" i="12"/>
  <c r="M116" i="12"/>
  <c r="M132" i="12"/>
  <c r="M104" i="12"/>
  <c r="M108" i="12"/>
  <c r="M124" i="12"/>
  <c r="C104" i="12"/>
  <c r="C17" i="12"/>
  <c r="C21" i="12"/>
  <c r="C25" i="12"/>
  <c r="C29" i="12"/>
  <c r="C33" i="12"/>
  <c r="C37" i="12"/>
  <c r="C41" i="12"/>
  <c r="C45" i="12"/>
  <c r="C49" i="12"/>
  <c r="C53" i="12"/>
  <c r="C57" i="12"/>
  <c r="C61" i="12"/>
  <c r="C65" i="12"/>
  <c r="C77" i="12"/>
  <c r="C81" i="12"/>
  <c r="C14" i="12"/>
  <c r="C18" i="12"/>
  <c r="C22" i="12"/>
  <c r="C26" i="12"/>
  <c r="C30" i="12"/>
  <c r="C34" i="12"/>
  <c r="C38" i="12"/>
  <c r="C42" i="12"/>
  <c r="C46" i="12"/>
  <c r="C50" i="12"/>
  <c r="C54" i="12"/>
  <c r="C58" i="12"/>
  <c r="C62" i="12"/>
  <c r="C66" i="12"/>
  <c r="C78" i="12"/>
  <c r="C82" i="12"/>
  <c r="C15" i="12"/>
  <c r="C19" i="12"/>
  <c r="C23" i="12"/>
  <c r="C27" i="12"/>
  <c r="C31" i="12"/>
  <c r="C35" i="12"/>
  <c r="C39" i="12"/>
  <c r="C43" i="12"/>
  <c r="C47" i="12"/>
  <c r="C51" i="12"/>
  <c r="C55" i="12"/>
  <c r="C59" i="12"/>
  <c r="C63" i="12"/>
  <c r="C67" i="12"/>
  <c r="C79" i="12"/>
  <c r="C16" i="12"/>
  <c r="C20" i="12"/>
  <c r="C24" i="12"/>
  <c r="C28" i="12"/>
  <c r="C32" i="12"/>
  <c r="C36" i="12"/>
  <c r="C40" i="12"/>
  <c r="C44" i="12"/>
  <c r="C48" i="12"/>
  <c r="C52" i="12"/>
  <c r="C56" i="12"/>
  <c r="C60" i="12"/>
  <c r="C64" i="12"/>
  <c r="C68" i="12"/>
  <c r="C80" i="12"/>
  <c r="C101" i="12"/>
  <c r="M101" i="12"/>
  <c r="M14" i="12"/>
  <c r="O8" i="12"/>
  <c r="Z20" i="4"/>
  <c r="AA20" i="4" s="1"/>
  <c r="D13" i="10" s="1"/>
  <c r="AI22" i="4"/>
  <c r="AF21" i="4"/>
  <c r="H21" i="8" l="1"/>
  <c r="Q8" i="12"/>
  <c r="G21" i="8"/>
  <c r="O91" i="12"/>
  <c r="O87" i="12"/>
  <c r="P87" i="12" s="1"/>
  <c r="O89" i="12"/>
  <c r="O85" i="12"/>
  <c r="O92" i="12"/>
  <c r="P92" i="12" s="1"/>
  <c r="O88" i="12"/>
  <c r="O84" i="12"/>
  <c r="O90" i="12"/>
  <c r="P90" i="12" s="1"/>
  <c r="O86" i="12"/>
  <c r="O83" i="12"/>
  <c r="N91" i="12"/>
  <c r="N84" i="12"/>
  <c r="N75" i="12"/>
  <c r="O138" i="12"/>
  <c r="O137" i="12"/>
  <c r="O140" i="12"/>
  <c r="O136" i="12"/>
  <c r="O139" i="12"/>
  <c r="O75" i="12"/>
  <c r="O73" i="12"/>
  <c r="P73" i="12" s="1"/>
  <c r="O69" i="12"/>
  <c r="P69" i="12" s="1"/>
  <c r="O76" i="12"/>
  <c r="P76" i="12" s="1"/>
  <c r="O72" i="12"/>
  <c r="O71" i="12"/>
  <c r="P71" i="12" s="1"/>
  <c r="O74" i="12"/>
  <c r="P74" i="12" s="1"/>
  <c r="O70" i="12"/>
  <c r="P70" i="12" s="1"/>
  <c r="R101" i="12"/>
  <c r="H13" i="10"/>
  <c r="F22" i="8" s="1"/>
  <c r="O105" i="12"/>
  <c r="O109" i="12"/>
  <c r="O113" i="12"/>
  <c r="O117" i="12"/>
  <c r="O121" i="12"/>
  <c r="O125" i="12"/>
  <c r="O129" i="12"/>
  <c r="O133" i="12"/>
  <c r="O106" i="12"/>
  <c r="O110" i="12"/>
  <c r="O114" i="12"/>
  <c r="O118" i="12"/>
  <c r="O122" i="12"/>
  <c r="O126" i="12"/>
  <c r="O130" i="12"/>
  <c r="O134" i="12"/>
  <c r="O107" i="12"/>
  <c r="O111" i="12"/>
  <c r="O115" i="12"/>
  <c r="O119" i="12"/>
  <c r="O123" i="12"/>
  <c r="O127" i="12"/>
  <c r="O131" i="12"/>
  <c r="O135" i="12"/>
  <c r="O108" i="12"/>
  <c r="O112" i="12"/>
  <c r="O128" i="12"/>
  <c r="O116" i="12"/>
  <c r="O132" i="12"/>
  <c r="O120" i="12"/>
  <c r="O124" i="12"/>
  <c r="O104" i="12"/>
  <c r="O17" i="12"/>
  <c r="O21" i="12"/>
  <c r="O25" i="12"/>
  <c r="O29" i="12"/>
  <c r="O33" i="12"/>
  <c r="O37" i="12"/>
  <c r="O41" i="12"/>
  <c r="O45" i="12"/>
  <c r="O49" i="12"/>
  <c r="O53" i="12"/>
  <c r="O57" i="12"/>
  <c r="O61" i="12"/>
  <c r="O65" i="12"/>
  <c r="O77" i="12"/>
  <c r="O81" i="12"/>
  <c r="O14" i="12"/>
  <c r="O15" i="12"/>
  <c r="O20" i="12"/>
  <c r="O26" i="12"/>
  <c r="O31" i="12"/>
  <c r="O36" i="12"/>
  <c r="O42" i="12"/>
  <c r="O47" i="12"/>
  <c r="O52" i="12"/>
  <c r="O58" i="12"/>
  <c r="O63" i="12"/>
  <c r="O68" i="12"/>
  <c r="O82" i="12"/>
  <c r="O16" i="12"/>
  <c r="O22" i="12"/>
  <c r="O27" i="12"/>
  <c r="O32" i="12"/>
  <c r="O38" i="12"/>
  <c r="O43" i="12"/>
  <c r="O48" i="12"/>
  <c r="O54" i="12"/>
  <c r="O59" i="12"/>
  <c r="O64" i="12"/>
  <c r="O78" i="12"/>
  <c r="O18" i="12"/>
  <c r="O23" i="12"/>
  <c r="O28" i="12"/>
  <c r="O34" i="12"/>
  <c r="O39" i="12"/>
  <c r="O44" i="12"/>
  <c r="O50" i="12"/>
  <c r="O55" i="12"/>
  <c r="O60" i="12"/>
  <c r="O66" i="12"/>
  <c r="O79" i="12"/>
  <c r="O101" i="12"/>
  <c r="O19" i="12"/>
  <c r="O24" i="12"/>
  <c r="O30" i="12"/>
  <c r="O35" i="12"/>
  <c r="O40" i="12"/>
  <c r="O46" i="12"/>
  <c r="O51" i="12"/>
  <c r="O56" i="12"/>
  <c r="O62" i="12"/>
  <c r="O67" i="12"/>
  <c r="O80" i="12"/>
  <c r="Z21" i="4"/>
  <c r="AA21" i="4" s="1"/>
  <c r="D14" i="10" s="1"/>
  <c r="AI23" i="4"/>
  <c r="AF22" i="4"/>
  <c r="P75" i="12" l="1"/>
  <c r="P88" i="12"/>
  <c r="P91" i="12"/>
  <c r="P85" i="12"/>
  <c r="P84" i="12"/>
  <c r="P89" i="12"/>
  <c r="H22" i="8"/>
  <c r="R92" i="12"/>
  <c r="Q107" i="12"/>
  <c r="Q111" i="12"/>
  <c r="Q115" i="12"/>
  <c r="Q119" i="12"/>
  <c r="Q123" i="12"/>
  <c r="Q127" i="12"/>
  <c r="Q131" i="12"/>
  <c r="Q135" i="12"/>
  <c r="Q139" i="12"/>
  <c r="Q108" i="12"/>
  <c r="Q113" i="12"/>
  <c r="Q118" i="12"/>
  <c r="Q124" i="12"/>
  <c r="Q129" i="12"/>
  <c r="Q134" i="12"/>
  <c r="Q140" i="12"/>
  <c r="Q109" i="12"/>
  <c r="Q114" i="12"/>
  <c r="Q120" i="12"/>
  <c r="Q125" i="12"/>
  <c r="Q130" i="12"/>
  <c r="Q136" i="12"/>
  <c r="Q104" i="12"/>
  <c r="Q105" i="12"/>
  <c r="Q116" i="12"/>
  <c r="Q126" i="12"/>
  <c r="Q137" i="12"/>
  <c r="Q16" i="12"/>
  <c r="Q20" i="12"/>
  <c r="Q24" i="12"/>
  <c r="Q28" i="12"/>
  <c r="Q32" i="12"/>
  <c r="Q36" i="12"/>
  <c r="Q40" i="12"/>
  <c r="Q44" i="12"/>
  <c r="Q48" i="12"/>
  <c r="Q52" i="12"/>
  <c r="Q56" i="12"/>
  <c r="Q60" i="12"/>
  <c r="Q64" i="12"/>
  <c r="Q68" i="12"/>
  <c r="Q72" i="12"/>
  <c r="Q76" i="12"/>
  <c r="Q80" i="12"/>
  <c r="Q84" i="12"/>
  <c r="Q88" i="12"/>
  <c r="Q92" i="12"/>
  <c r="Q106" i="12"/>
  <c r="Q117" i="12"/>
  <c r="Q128" i="12"/>
  <c r="Q138" i="12"/>
  <c r="Q17" i="12"/>
  <c r="Q21" i="12"/>
  <c r="Q25" i="12"/>
  <c r="Q29" i="12"/>
  <c r="Q33" i="12"/>
  <c r="Q37" i="12"/>
  <c r="Q41" i="12"/>
  <c r="Q45" i="12"/>
  <c r="Q49" i="12"/>
  <c r="Q53" i="12"/>
  <c r="Q57" i="12"/>
  <c r="Q61" i="12"/>
  <c r="Q65" i="12"/>
  <c r="Q69" i="12"/>
  <c r="Q73" i="12"/>
  <c r="Q77" i="12"/>
  <c r="Q81" i="12"/>
  <c r="Q85" i="12"/>
  <c r="Q89" i="12"/>
  <c r="Q14" i="12"/>
  <c r="Q110" i="12"/>
  <c r="Q121" i="12"/>
  <c r="Q132" i="12"/>
  <c r="Q122" i="12"/>
  <c r="Q22" i="12"/>
  <c r="Q30" i="12"/>
  <c r="Q38" i="12"/>
  <c r="Q46" i="12"/>
  <c r="Q54" i="12"/>
  <c r="Q62" i="12"/>
  <c r="Q70" i="12"/>
  <c r="Q78" i="12"/>
  <c r="Q86" i="12"/>
  <c r="Q18" i="12"/>
  <c r="Q34" i="12"/>
  <c r="Q50" i="12"/>
  <c r="Q66" i="12"/>
  <c r="Q90" i="12"/>
  <c r="Q133" i="12"/>
  <c r="Q15" i="12"/>
  <c r="Q23" i="12"/>
  <c r="Q31" i="12"/>
  <c r="Q39" i="12"/>
  <c r="Q47" i="12"/>
  <c r="Q55" i="12"/>
  <c r="Q63" i="12"/>
  <c r="Q71" i="12"/>
  <c r="Q79" i="12"/>
  <c r="Q87" i="12"/>
  <c r="Q26" i="12"/>
  <c r="Q42" i="12"/>
  <c r="Q58" i="12"/>
  <c r="Q74" i="12"/>
  <c r="Q82" i="12"/>
  <c r="Q112" i="12"/>
  <c r="Q19" i="12"/>
  <c r="Q27" i="12"/>
  <c r="Q35" i="12"/>
  <c r="Q43" i="12"/>
  <c r="Q51" i="12"/>
  <c r="Q59" i="12"/>
  <c r="Q67" i="12"/>
  <c r="Q75" i="12"/>
  <c r="Q83" i="12"/>
  <c r="Q91" i="12"/>
  <c r="R67" i="12"/>
  <c r="R59" i="12"/>
  <c r="R42" i="12"/>
  <c r="R61" i="12"/>
  <c r="R71" i="12"/>
  <c r="R73" i="12"/>
  <c r="R76" i="12"/>
  <c r="R44" i="12"/>
  <c r="R79" i="12"/>
  <c r="R63" i="12"/>
  <c r="R80" i="12"/>
  <c r="R65" i="12"/>
  <c r="R75" i="12"/>
  <c r="R48" i="12"/>
  <c r="R54" i="12"/>
  <c r="R51" i="12"/>
  <c r="R49" i="12"/>
  <c r="R74" i="12"/>
  <c r="R91" i="12"/>
  <c r="R83" i="12"/>
  <c r="Q101" i="12"/>
  <c r="R43" i="12"/>
  <c r="R58" i="12"/>
  <c r="R46" i="12"/>
  <c r="R45" i="12"/>
  <c r="R85" i="12"/>
  <c r="R84" i="12"/>
  <c r="R89" i="12"/>
  <c r="G22" i="8"/>
  <c r="R66" i="12"/>
  <c r="R60" i="12"/>
  <c r="R82" i="12"/>
  <c r="R52" i="12"/>
  <c r="R62" i="12"/>
  <c r="R81" i="12"/>
  <c r="R57" i="12"/>
  <c r="R41" i="12"/>
  <c r="R70" i="12"/>
  <c r="R87" i="12"/>
  <c r="R88" i="12"/>
  <c r="R90" i="12"/>
  <c r="S8" i="12"/>
  <c r="R78" i="12"/>
  <c r="R55" i="12"/>
  <c r="R64" i="12"/>
  <c r="R50" i="12"/>
  <c r="R68" i="12"/>
  <c r="R47" i="12"/>
  <c r="R56" i="12"/>
  <c r="R77" i="12"/>
  <c r="R53" i="12"/>
  <c r="R69" i="12"/>
  <c r="R72" i="12"/>
  <c r="R86" i="12"/>
  <c r="P83" i="12"/>
  <c r="P86" i="12"/>
  <c r="P72" i="12"/>
  <c r="H14" i="10"/>
  <c r="F23" i="8" s="1"/>
  <c r="N42" i="12"/>
  <c r="J42" i="12"/>
  <c r="N62" i="12"/>
  <c r="J62" i="12"/>
  <c r="N58" i="12"/>
  <c r="J58" i="12"/>
  <c r="N46" i="12"/>
  <c r="J46" i="12"/>
  <c r="N51" i="12"/>
  <c r="J51" i="12"/>
  <c r="D51" i="12"/>
  <c r="H51" i="12"/>
  <c r="F51" i="12"/>
  <c r="L51" i="12"/>
  <c r="D46" i="12"/>
  <c r="F46" i="12"/>
  <c r="H46" i="12"/>
  <c r="L46" i="12"/>
  <c r="D42" i="12"/>
  <c r="F42" i="12"/>
  <c r="H42" i="12"/>
  <c r="L42" i="12"/>
  <c r="H62" i="12"/>
  <c r="L62" i="12"/>
  <c r="D58" i="12"/>
  <c r="H58" i="12"/>
  <c r="F58" i="12"/>
  <c r="L58" i="12"/>
  <c r="P46" i="12"/>
  <c r="P42" i="12"/>
  <c r="P58" i="12"/>
  <c r="P62" i="12"/>
  <c r="P51" i="12"/>
  <c r="Z22" i="4"/>
  <c r="AA22" i="4" s="1"/>
  <c r="D15" i="10" s="1"/>
  <c r="AI24" i="4"/>
  <c r="AF23" i="4"/>
  <c r="H23" i="8" l="1"/>
  <c r="T90" i="12"/>
  <c r="S108" i="12"/>
  <c r="S112" i="12"/>
  <c r="S116" i="12"/>
  <c r="S120" i="12"/>
  <c r="S124" i="12"/>
  <c r="S128" i="12"/>
  <c r="S132" i="12"/>
  <c r="S136" i="12"/>
  <c r="S140" i="12"/>
  <c r="S107" i="12"/>
  <c r="S113" i="12"/>
  <c r="S118" i="12"/>
  <c r="S123" i="12"/>
  <c r="S129" i="12"/>
  <c r="S134" i="12"/>
  <c r="S139" i="12"/>
  <c r="S109" i="12"/>
  <c r="S114" i="12"/>
  <c r="S119" i="12"/>
  <c r="S125" i="12"/>
  <c r="S130" i="12"/>
  <c r="S135" i="12"/>
  <c r="S104" i="12"/>
  <c r="S110" i="12"/>
  <c r="S121" i="12"/>
  <c r="S131" i="12"/>
  <c r="S15" i="12"/>
  <c r="S19" i="12"/>
  <c r="S23" i="12"/>
  <c r="S27" i="12"/>
  <c r="S31" i="12"/>
  <c r="S35" i="12"/>
  <c r="S39" i="12"/>
  <c r="S43" i="12"/>
  <c r="S47" i="12"/>
  <c r="S51" i="12"/>
  <c r="S55" i="12"/>
  <c r="S59" i="12"/>
  <c r="S63" i="12"/>
  <c r="S67" i="12"/>
  <c r="S71" i="12"/>
  <c r="S75" i="12"/>
  <c r="S79" i="12"/>
  <c r="S83" i="12"/>
  <c r="S87" i="12"/>
  <c r="S91" i="12"/>
  <c r="S111" i="12"/>
  <c r="S122" i="12"/>
  <c r="S133" i="12"/>
  <c r="S16" i="12"/>
  <c r="S20" i="12"/>
  <c r="S24" i="12"/>
  <c r="S28" i="12"/>
  <c r="S32" i="12"/>
  <c r="S36" i="12"/>
  <c r="S40" i="12"/>
  <c r="S44" i="12"/>
  <c r="S48" i="12"/>
  <c r="S52" i="12"/>
  <c r="S56" i="12"/>
  <c r="S60" i="12"/>
  <c r="S64" i="12"/>
  <c r="S68" i="12"/>
  <c r="S72" i="12"/>
  <c r="S76" i="12"/>
  <c r="S80" i="12"/>
  <c r="S84" i="12"/>
  <c r="S88" i="12"/>
  <c r="S92" i="12"/>
  <c r="S105" i="12"/>
  <c r="S115" i="12"/>
  <c r="S126" i="12"/>
  <c r="S137" i="12"/>
  <c r="S117" i="12"/>
  <c r="S21" i="12"/>
  <c r="S29" i="12"/>
  <c r="S37" i="12"/>
  <c r="S45" i="12"/>
  <c r="S53" i="12"/>
  <c r="S61" i="12"/>
  <c r="S69" i="12"/>
  <c r="S77" i="12"/>
  <c r="S85" i="12"/>
  <c r="S14" i="12"/>
  <c r="S138" i="12"/>
  <c r="S17" i="12"/>
  <c r="S25" i="12"/>
  <c r="S41" i="12"/>
  <c r="S49" i="12"/>
  <c r="S65" i="12"/>
  <c r="S81" i="12"/>
  <c r="S127" i="12"/>
  <c r="S22" i="12"/>
  <c r="S30" i="12"/>
  <c r="S38" i="12"/>
  <c r="S46" i="12"/>
  <c r="S54" i="12"/>
  <c r="S62" i="12"/>
  <c r="S70" i="12"/>
  <c r="S78" i="12"/>
  <c r="S86" i="12"/>
  <c r="S33" i="12"/>
  <c r="S57" i="12"/>
  <c r="S73" i="12"/>
  <c r="S89" i="12"/>
  <c r="S106" i="12"/>
  <c r="S18" i="12"/>
  <c r="S26" i="12"/>
  <c r="S34" i="12"/>
  <c r="S42" i="12"/>
  <c r="S50" i="12"/>
  <c r="S58" i="12"/>
  <c r="S66" i="12"/>
  <c r="S74" i="12"/>
  <c r="S82" i="12"/>
  <c r="S90" i="12"/>
  <c r="T91" i="12"/>
  <c r="T79" i="12"/>
  <c r="T58" i="12"/>
  <c r="T86" i="12"/>
  <c r="T48" i="12"/>
  <c r="T41" i="12"/>
  <c r="T42" i="12"/>
  <c r="T49" i="12"/>
  <c r="T73" i="12"/>
  <c r="T54" i="12"/>
  <c r="T50" i="12"/>
  <c r="T72" i="12"/>
  <c r="U8" i="12"/>
  <c r="T77" i="12"/>
  <c r="T82" i="12"/>
  <c r="T57" i="12"/>
  <c r="T64" i="12"/>
  <c r="T89" i="12"/>
  <c r="T47" i="12"/>
  <c r="T45" i="12"/>
  <c r="T44" i="12"/>
  <c r="T84" i="12"/>
  <c r="S101" i="12"/>
  <c r="T71" i="12"/>
  <c r="T92" i="12"/>
  <c r="T43" i="12"/>
  <c r="T63" i="12"/>
  <c r="T59" i="12"/>
  <c r="T66" i="12"/>
  <c r="T60" i="12"/>
  <c r="T70" i="12"/>
  <c r="T87" i="12"/>
  <c r="G23" i="8"/>
  <c r="T65" i="12"/>
  <c r="T53" i="12"/>
  <c r="T78" i="12"/>
  <c r="T81" i="12"/>
  <c r="T51" i="12"/>
  <c r="T61" i="12"/>
  <c r="T80" i="12"/>
  <c r="T56" i="12"/>
  <c r="T75" i="12"/>
  <c r="T74" i="12"/>
  <c r="T88" i="12"/>
  <c r="T85" i="12"/>
  <c r="T67" i="12"/>
  <c r="T46" i="12"/>
  <c r="T55" i="12"/>
  <c r="T68" i="12"/>
  <c r="T52" i="12"/>
  <c r="T69" i="12"/>
  <c r="T76" i="12"/>
  <c r="T83" i="12"/>
  <c r="H15" i="10"/>
  <c r="F24" i="8" s="1"/>
  <c r="N56" i="12"/>
  <c r="J56" i="12"/>
  <c r="N60" i="12"/>
  <c r="J60" i="12"/>
  <c r="N61" i="12"/>
  <c r="J61" i="12"/>
  <c r="N47" i="12"/>
  <c r="J47" i="12"/>
  <c r="N64" i="12"/>
  <c r="J64" i="12"/>
  <c r="N45" i="12"/>
  <c r="J45" i="12"/>
  <c r="N54" i="12"/>
  <c r="J54" i="12"/>
  <c r="N65" i="12"/>
  <c r="J65" i="12"/>
  <c r="N68" i="12"/>
  <c r="J68" i="12"/>
  <c r="N43" i="12"/>
  <c r="J43" i="12"/>
  <c r="P44" i="12"/>
  <c r="N44" i="12"/>
  <c r="P55" i="12"/>
  <c r="N55" i="12"/>
  <c r="P50" i="12"/>
  <c r="N50" i="12"/>
  <c r="P49" i="12"/>
  <c r="N49" i="12"/>
  <c r="P57" i="12"/>
  <c r="N57" i="12"/>
  <c r="P52" i="12"/>
  <c r="N52" i="12"/>
  <c r="P53" i="12"/>
  <c r="N53" i="12"/>
  <c r="P59" i="12"/>
  <c r="N59" i="12"/>
  <c r="P67" i="12"/>
  <c r="N67" i="12"/>
  <c r="P48" i="12"/>
  <c r="N48" i="12"/>
  <c r="P63" i="12"/>
  <c r="N63" i="12"/>
  <c r="P41" i="12"/>
  <c r="N41" i="12"/>
  <c r="P66" i="12"/>
  <c r="N66" i="12"/>
  <c r="D65" i="12"/>
  <c r="F65" i="12"/>
  <c r="H65" i="12"/>
  <c r="L65" i="12"/>
  <c r="D68" i="12"/>
  <c r="H68" i="12"/>
  <c r="F68" i="12"/>
  <c r="L68" i="12"/>
  <c r="H63" i="12"/>
  <c r="L63" i="12"/>
  <c r="D43" i="12"/>
  <c r="F43" i="12"/>
  <c r="H43" i="12"/>
  <c r="L43" i="12"/>
  <c r="D44" i="12"/>
  <c r="H44" i="12"/>
  <c r="F44" i="12"/>
  <c r="L44" i="12"/>
  <c r="P65" i="12"/>
  <c r="P43" i="12"/>
  <c r="D47" i="12"/>
  <c r="H47" i="12"/>
  <c r="F47" i="12"/>
  <c r="L47" i="12"/>
  <c r="D66" i="12"/>
  <c r="H66" i="12"/>
  <c r="F66" i="12"/>
  <c r="L66" i="12"/>
  <c r="D48" i="12"/>
  <c r="F48" i="12"/>
  <c r="H48" i="12"/>
  <c r="L48" i="12"/>
  <c r="H64" i="12"/>
  <c r="L64" i="12"/>
  <c r="D60" i="12"/>
  <c r="H60" i="12"/>
  <c r="F60" i="12"/>
  <c r="L60" i="12"/>
  <c r="H45" i="12"/>
  <c r="L45" i="12"/>
  <c r="H55" i="12"/>
  <c r="L55" i="12"/>
  <c r="P64" i="12"/>
  <c r="P47" i="12"/>
  <c r="P45" i="12"/>
  <c r="H41" i="12"/>
  <c r="L41" i="12"/>
  <c r="D50" i="12"/>
  <c r="H50" i="12"/>
  <c r="F50" i="12"/>
  <c r="L50" i="12"/>
  <c r="D49" i="12"/>
  <c r="H49" i="12"/>
  <c r="F49" i="12"/>
  <c r="L49" i="12"/>
  <c r="D54" i="12"/>
  <c r="H54" i="12"/>
  <c r="F54" i="12"/>
  <c r="L54" i="12"/>
  <c r="H61" i="12"/>
  <c r="L61" i="12"/>
  <c r="D56" i="12"/>
  <c r="F56" i="12"/>
  <c r="H56" i="12"/>
  <c r="L56" i="12"/>
  <c r="D57" i="12"/>
  <c r="F57" i="12"/>
  <c r="H57" i="12"/>
  <c r="L57" i="12"/>
  <c r="D52" i="12"/>
  <c r="F52" i="12"/>
  <c r="H52" i="12"/>
  <c r="L52" i="12"/>
  <c r="D53" i="12"/>
  <c r="H53" i="12"/>
  <c r="F53" i="12"/>
  <c r="L53" i="12"/>
  <c r="D59" i="12"/>
  <c r="H59" i="12"/>
  <c r="F59" i="12"/>
  <c r="L59" i="12"/>
  <c r="D67" i="12"/>
  <c r="H67" i="12"/>
  <c r="F67" i="12"/>
  <c r="L67" i="12"/>
  <c r="P60" i="12"/>
  <c r="P68" i="12"/>
  <c r="P61" i="12"/>
  <c r="P54" i="12"/>
  <c r="P56" i="12"/>
  <c r="Z23" i="4"/>
  <c r="AA23" i="4" s="1"/>
  <c r="D16" i="10" s="1"/>
  <c r="AI25" i="4"/>
  <c r="AF24" i="4"/>
  <c r="T101" i="12" l="1"/>
  <c r="U105" i="12"/>
  <c r="U109" i="12"/>
  <c r="U113" i="12"/>
  <c r="U117" i="12"/>
  <c r="U121" i="12"/>
  <c r="U125" i="12"/>
  <c r="U129" i="12"/>
  <c r="U133" i="12"/>
  <c r="U137" i="12"/>
  <c r="U104" i="12"/>
  <c r="U107" i="12"/>
  <c r="U112" i="12"/>
  <c r="U118" i="12"/>
  <c r="U123" i="12"/>
  <c r="U128" i="12"/>
  <c r="U134" i="12"/>
  <c r="U139" i="12"/>
  <c r="U108" i="12"/>
  <c r="U114" i="12"/>
  <c r="U119" i="12"/>
  <c r="U124" i="12"/>
  <c r="U130" i="12"/>
  <c r="U135" i="12"/>
  <c r="U140" i="12"/>
  <c r="U115" i="12"/>
  <c r="U126" i="12"/>
  <c r="U136" i="12"/>
  <c r="U18" i="12"/>
  <c r="U22" i="12"/>
  <c r="U26" i="12"/>
  <c r="U30" i="12"/>
  <c r="U34" i="12"/>
  <c r="U38" i="12"/>
  <c r="U42" i="12"/>
  <c r="U46" i="12"/>
  <c r="U50" i="12"/>
  <c r="U54" i="12"/>
  <c r="U58" i="12"/>
  <c r="U62" i="12"/>
  <c r="U66" i="12"/>
  <c r="U70" i="12"/>
  <c r="U74" i="12"/>
  <c r="U78" i="12"/>
  <c r="U82" i="12"/>
  <c r="U86" i="12"/>
  <c r="AL86" i="12" s="1"/>
  <c r="U90" i="12"/>
  <c r="AL90" i="12" s="1"/>
  <c r="U106" i="12"/>
  <c r="U116" i="12"/>
  <c r="U127" i="12"/>
  <c r="U138" i="12"/>
  <c r="U15" i="12"/>
  <c r="U19" i="12"/>
  <c r="U23" i="12"/>
  <c r="U27" i="12"/>
  <c r="U31" i="12"/>
  <c r="U35" i="12"/>
  <c r="U39" i="12"/>
  <c r="U43" i="12"/>
  <c r="U47" i="12"/>
  <c r="U51" i="12"/>
  <c r="U55" i="12"/>
  <c r="U59" i="12"/>
  <c r="U63" i="12"/>
  <c r="U67" i="12"/>
  <c r="U71" i="12"/>
  <c r="U75" i="12"/>
  <c r="U79" i="12"/>
  <c r="U83" i="12"/>
  <c r="U87" i="12"/>
  <c r="AM87" i="12" s="1"/>
  <c r="U91" i="12"/>
  <c r="AL91" i="12" s="1"/>
  <c r="U110" i="12"/>
  <c r="U120" i="12"/>
  <c r="U131" i="12"/>
  <c r="U111" i="12"/>
  <c r="U20" i="12"/>
  <c r="U28" i="12"/>
  <c r="U36" i="12"/>
  <c r="U44" i="12"/>
  <c r="U52" i="12"/>
  <c r="U60" i="12"/>
  <c r="U68" i="12"/>
  <c r="U76" i="12"/>
  <c r="U84" i="12"/>
  <c r="AL84" i="12" s="1"/>
  <c r="U92" i="12"/>
  <c r="AM92" i="12" s="1"/>
  <c r="U132" i="12"/>
  <c r="U16" i="12"/>
  <c r="U24" i="12"/>
  <c r="U32" i="12"/>
  <c r="U40" i="12"/>
  <c r="U56" i="12"/>
  <c r="U64" i="12"/>
  <c r="U72" i="12"/>
  <c r="U80" i="12"/>
  <c r="U122" i="12"/>
  <c r="U21" i="12"/>
  <c r="U29" i="12"/>
  <c r="U37" i="12"/>
  <c r="U45" i="12"/>
  <c r="U53" i="12"/>
  <c r="U61" i="12"/>
  <c r="U69" i="12"/>
  <c r="U77" i="12"/>
  <c r="U85" i="12"/>
  <c r="U14" i="12"/>
  <c r="U48" i="12"/>
  <c r="U88" i="12"/>
  <c r="AL88" i="12" s="1"/>
  <c r="U17" i="12"/>
  <c r="U25" i="12"/>
  <c r="U33" i="12"/>
  <c r="U41" i="12"/>
  <c r="U49" i="12"/>
  <c r="U57" i="12"/>
  <c r="U65" i="12"/>
  <c r="U73" i="12"/>
  <c r="U81" i="12"/>
  <c r="U89" i="12"/>
  <c r="H24" i="8"/>
  <c r="T62" i="12"/>
  <c r="V74" i="12"/>
  <c r="V66" i="12"/>
  <c r="V57" i="12"/>
  <c r="V78" i="12"/>
  <c r="B90" i="12"/>
  <c r="V50" i="12"/>
  <c r="V54" i="12"/>
  <c r="V43" i="12"/>
  <c r="V69" i="12"/>
  <c r="V89" i="12"/>
  <c r="V58" i="12"/>
  <c r="V42" i="12"/>
  <c r="V49" i="12"/>
  <c r="V79" i="12"/>
  <c r="V73" i="12"/>
  <c r="V91" i="12"/>
  <c r="V53" i="12"/>
  <c r="V62" i="12"/>
  <c r="V80" i="12"/>
  <c r="U101" i="12"/>
  <c r="V59" i="12"/>
  <c r="V72" i="12"/>
  <c r="V85" i="12"/>
  <c r="B92" i="12"/>
  <c r="V77" i="12"/>
  <c r="V81" i="12"/>
  <c r="V52" i="12"/>
  <c r="V61" i="12"/>
  <c r="V65" i="12"/>
  <c r="V44" i="12"/>
  <c r="V67" i="12"/>
  <c r="V51" i="12"/>
  <c r="V75" i="12"/>
  <c r="V76" i="12"/>
  <c r="B84" i="12"/>
  <c r="V83" i="12"/>
  <c r="V82" i="12"/>
  <c r="V48" i="12"/>
  <c r="V68" i="12"/>
  <c r="V46" i="12"/>
  <c r="V56" i="12"/>
  <c r="V60" i="12"/>
  <c r="V47" i="12"/>
  <c r="V70" i="12"/>
  <c r="V71" i="12"/>
  <c r="B86" i="12"/>
  <c r="V88" i="12"/>
  <c r="W8" i="12"/>
  <c r="G24" i="8"/>
  <c r="H16" i="10"/>
  <c r="F25" i="8" s="1"/>
  <c r="V87" i="12"/>
  <c r="B87" i="12"/>
  <c r="Z24" i="4"/>
  <c r="AA24" i="4" s="1"/>
  <c r="D17" i="10" s="1"/>
  <c r="AI26" i="4"/>
  <c r="AF25" i="4"/>
  <c r="AL87" i="12" l="1"/>
  <c r="AO87" i="12" s="1"/>
  <c r="AM86" i="12"/>
  <c r="AO86" i="12" s="1"/>
  <c r="V101" i="12"/>
  <c r="AM84" i="12"/>
  <c r="AN84" i="12" s="1"/>
  <c r="AL92" i="12"/>
  <c r="AL89" i="12"/>
  <c r="AM89" i="12"/>
  <c r="AM91" i="12"/>
  <c r="AO91" i="12" s="1"/>
  <c r="AM88" i="12"/>
  <c r="AN88" i="12" s="1"/>
  <c r="AM90" i="12"/>
  <c r="AO90" i="12" s="1"/>
  <c r="AL85" i="12"/>
  <c r="AM85" i="12"/>
  <c r="H25" i="8"/>
  <c r="W106" i="12"/>
  <c r="W110" i="12"/>
  <c r="W114" i="12"/>
  <c r="W118" i="12"/>
  <c r="W122" i="12"/>
  <c r="W126" i="12"/>
  <c r="W130" i="12"/>
  <c r="W134" i="12"/>
  <c r="W138" i="12"/>
  <c r="W107" i="12"/>
  <c r="W112" i="12"/>
  <c r="W117" i="12"/>
  <c r="W123" i="12"/>
  <c r="W128" i="12"/>
  <c r="W133" i="12"/>
  <c r="W139" i="12"/>
  <c r="W108" i="12"/>
  <c r="W113" i="12"/>
  <c r="W119" i="12"/>
  <c r="W124" i="12"/>
  <c r="W129" i="12"/>
  <c r="W135" i="12"/>
  <c r="W140" i="12"/>
  <c r="W109" i="12"/>
  <c r="W120" i="12"/>
  <c r="W131" i="12"/>
  <c r="W104" i="12"/>
  <c r="W16" i="12"/>
  <c r="W20" i="12"/>
  <c r="W24" i="12"/>
  <c r="W28" i="12"/>
  <c r="W32" i="12"/>
  <c r="W36" i="12"/>
  <c r="W40" i="12"/>
  <c r="W44" i="12"/>
  <c r="W48" i="12"/>
  <c r="W52" i="12"/>
  <c r="W56" i="12"/>
  <c r="W60" i="12"/>
  <c r="W64" i="12"/>
  <c r="W68" i="12"/>
  <c r="W72" i="12"/>
  <c r="W76" i="12"/>
  <c r="W80" i="12"/>
  <c r="W14" i="12"/>
  <c r="W111" i="12"/>
  <c r="W121" i="12"/>
  <c r="W132" i="12"/>
  <c r="W17" i="12"/>
  <c r="W21" i="12"/>
  <c r="W25" i="12"/>
  <c r="W29" i="12"/>
  <c r="W33" i="12"/>
  <c r="W37" i="12"/>
  <c r="W41" i="12"/>
  <c r="W45" i="12"/>
  <c r="W49" i="12"/>
  <c r="W53" i="12"/>
  <c r="W57" i="12"/>
  <c r="W61" i="12"/>
  <c r="W65" i="12"/>
  <c r="W69" i="12"/>
  <c r="W73" i="12"/>
  <c r="W77" i="12"/>
  <c r="W81" i="12"/>
  <c r="W115" i="12"/>
  <c r="W125" i="12"/>
  <c r="W136" i="12"/>
  <c r="W105" i="12"/>
  <c r="W18" i="12"/>
  <c r="W26" i="12"/>
  <c r="W34" i="12"/>
  <c r="W42" i="12"/>
  <c r="W50" i="12"/>
  <c r="W58" i="12"/>
  <c r="W66" i="12"/>
  <c r="W74" i="12"/>
  <c r="W82" i="12"/>
  <c r="W127" i="12"/>
  <c r="W22" i="12"/>
  <c r="W30" i="12"/>
  <c r="W38" i="12"/>
  <c r="W46" i="12"/>
  <c r="W62" i="12"/>
  <c r="W70" i="12"/>
  <c r="W78" i="12"/>
  <c r="W116" i="12"/>
  <c r="W19" i="12"/>
  <c r="W27" i="12"/>
  <c r="W35" i="12"/>
  <c r="W43" i="12"/>
  <c r="W51" i="12"/>
  <c r="W59" i="12"/>
  <c r="W67" i="12"/>
  <c r="W75" i="12"/>
  <c r="W83" i="12"/>
  <c r="W54" i="12"/>
  <c r="W137" i="12"/>
  <c r="W15" i="12"/>
  <c r="W23" i="12"/>
  <c r="W31" i="12"/>
  <c r="W39" i="12"/>
  <c r="W47" i="12"/>
  <c r="W55" i="12"/>
  <c r="W63" i="12"/>
  <c r="W71" i="12"/>
  <c r="W79" i="12"/>
  <c r="B91" i="12"/>
  <c r="V92" i="12"/>
  <c r="V55" i="12"/>
  <c r="V63" i="12"/>
  <c r="V41" i="12"/>
  <c r="V45" i="12"/>
  <c r="V64" i="12"/>
  <c r="V84" i="12"/>
  <c r="V86" i="12"/>
  <c r="V90" i="12"/>
  <c r="B89" i="12"/>
  <c r="B85" i="12"/>
  <c r="B88" i="12"/>
  <c r="J63" i="12"/>
  <c r="X79" i="12"/>
  <c r="J55" i="12"/>
  <c r="X77" i="12"/>
  <c r="G25" i="8"/>
  <c r="X78" i="12"/>
  <c r="X81" i="12"/>
  <c r="X82" i="12"/>
  <c r="Y8" i="12"/>
  <c r="X83" i="12"/>
  <c r="W101" i="12"/>
  <c r="X101" i="12" s="1"/>
  <c r="X80" i="12"/>
  <c r="H17" i="10"/>
  <c r="F26" i="8" s="1"/>
  <c r="Z25" i="4"/>
  <c r="AA25" i="4" s="1"/>
  <c r="D18" i="10" s="1"/>
  <c r="AI27" i="4"/>
  <c r="AF26" i="4"/>
  <c r="AN87" i="12" l="1"/>
  <c r="AO84" i="12"/>
  <c r="AN86" i="12"/>
  <c r="AO89" i="12"/>
  <c r="AN89" i="12"/>
  <c r="AO85" i="12"/>
  <c r="AN85" i="12"/>
  <c r="AO88" i="12"/>
  <c r="AN90" i="12"/>
  <c r="AN91" i="12"/>
  <c r="AN92" i="12"/>
  <c r="AO92" i="12"/>
  <c r="J26" i="8"/>
  <c r="L26" i="8"/>
  <c r="H26" i="8"/>
  <c r="Y107" i="12"/>
  <c r="Y111" i="12"/>
  <c r="Y115" i="12"/>
  <c r="Y119" i="12"/>
  <c r="Y123" i="12"/>
  <c r="Y127" i="12"/>
  <c r="Y131" i="12"/>
  <c r="Y135" i="12"/>
  <c r="Y139" i="12"/>
  <c r="Y108" i="12"/>
  <c r="Y112" i="12"/>
  <c r="Y110" i="12"/>
  <c r="Y117" i="12"/>
  <c r="Y122" i="12"/>
  <c r="Y128" i="12"/>
  <c r="Y133" i="12"/>
  <c r="Y138" i="12"/>
  <c r="Y105" i="12"/>
  <c r="Y113" i="12"/>
  <c r="Y118" i="12"/>
  <c r="Y124" i="12"/>
  <c r="Y129" i="12"/>
  <c r="Y134" i="12"/>
  <c r="Y140" i="12"/>
  <c r="Y114" i="12"/>
  <c r="Y125" i="12"/>
  <c r="Y136" i="12"/>
  <c r="Y18" i="12"/>
  <c r="Y22" i="12"/>
  <c r="Y26" i="12"/>
  <c r="Y30" i="12"/>
  <c r="Y34" i="12"/>
  <c r="Y38" i="12"/>
  <c r="Y42" i="12"/>
  <c r="Y46" i="12"/>
  <c r="Y50" i="12"/>
  <c r="Y54" i="12"/>
  <c r="Y58" i="12"/>
  <c r="Y62" i="12"/>
  <c r="Y66" i="12"/>
  <c r="Y70" i="12"/>
  <c r="Y74" i="12"/>
  <c r="Y78" i="12"/>
  <c r="Y82" i="12"/>
  <c r="Y116" i="12"/>
  <c r="Y126" i="12"/>
  <c r="Y137" i="12"/>
  <c r="Y15" i="12"/>
  <c r="Y19" i="12"/>
  <c r="Y23" i="12"/>
  <c r="Y27" i="12"/>
  <c r="Y31" i="12"/>
  <c r="Y35" i="12"/>
  <c r="Y39" i="12"/>
  <c r="Y43" i="12"/>
  <c r="Y47" i="12"/>
  <c r="Y51" i="12"/>
  <c r="Y55" i="12"/>
  <c r="Y59" i="12"/>
  <c r="Y63" i="12"/>
  <c r="Y67" i="12"/>
  <c r="Y71" i="12"/>
  <c r="Y75" i="12"/>
  <c r="Y79" i="12"/>
  <c r="Y83" i="12"/>
  <c r="Y106" i="12"/>
  <c r="Y120" i="12"/>
  <c r="Y130" i="12"/>
  <c r="Y104" i="12"/>
  <c r="Y16" i="12"/>
  <c r="Y20" i="12"/>
  <c r="Y24" i="12"/>
  <c r="Y28" i="12"/>
  <c r="Y32" i="12"/>
  <c r="Y36" i="12"/>
  <c r="Y40" i="12"/>
  <c r="Y44" i="12"/>
  <c r="Y48" i="12"/>
  <c r="Y52" i="12"/>
  <c r="Y56" i="12"/>
  <c r="Y60" i="12"/>
  <c r="Y64" i="12"/>
  <c r="Y68" i="12"/>
  <c r="Y25" i="12"/>
  <c r="Y41" i="12"/>
  <c r="Y57" i="12"/>
  <c r="Y72" i="12"/>
  <c r="Y80" i="12"/>
  <c r="Y121" i="12"/>
  <c r="Y17" i="12"/>
  <c r="Y33" i="12"/>
  <c r="Y49" i="12"/>
  <c r="Y65" i="12"/>
  <c r="Y76" i="12"/>
  <c r="Y14" i="12"/>
  <c r="Y109" i="12"/>
  <c r="Y29" i="12"/>
  <c r="Y45" i="12"/>
  <c r="Y61" i="12"/>
  <c r="Y73" i="12"/>
  <c r="Y81" i="12"/>
  <c r="Y132" i="12"/>
  <c r="Y21" i="12"/>
  <c r="Y37" i="12"/>
  <c r="Y53" i="12"/>
  <c r="Y69" i="12"/>
  <c r="Y77" i="12"/>
  <c r="Z41" i="12"/>
  <c r="Z43" i="12"/>
  <c r="Z45" i="12"/>
  <c r="Z47" i="12"/>
  <c r="Z49" i="12"/>
  <c r="Z51" i="12"/>
  <c r="Z53" i="12"/>
  <c r="Z57" i="12"/>
  <c r="Z59" i="12"/>
  <c r="Z61" i="12"/>
  <c r="Z65" i="12"/>
  <c r="Z67" i="12"/>
  <c r="Z69" i="12"/>
  <c r="Z73" i="12"/>
  <c r="Z75" i="12"/>
  <c r="Z42" i="12"/>
  <c r="Z44" i="12"/>
  <c r="Z46" i="12"/>
  <c r="Z48" i="12"/>
  <c r="Z50" i="12"/>
  <c r="Z52" i="12"/>
  <c r="Z54" i="12"/>
  <c r="Z56" i="12"/>
  <c r="Z58" i="12"/>
  <c r="Z60" i="12"/>
  <c r="Z62" i="12"/>
  <c r="Z64" i="12"/>
  <c r="Z66" i="12"/>
  <c r="Z68" i="12"/>
  <c r="Z70" i="12"/>
  <c r="Z72" i="12"/>
  <c r="Z74" i="12"/>
  <c r="Z76" i="12"/>
  <c r="X53" i="12"/>
  <c r="X76" i="12"/>
  <c r="X60" i="12"/>
  <c r="X44" i="12"/>
  <c r="X75" i="12"/>
  <c r="X73" i="12"/>
  <c r="X59" i="12"/>
  <c r="X51" i="12"/>
  <c r="X43" i="12"/>
  <c r="X74" i="12"/>
  <c r="X66" i="12"/>
  <c r="X58" i="12"/>
  <c r="X50" i="12"/>
  <c r="X42" i="12"/>
  <c r="X63" i="12"/>
  <c r="X52" i="12"/>
  <c r="X71" i="12"/>
  <c r="X69" i="12"/>
  <c r="X57" i="12"/>
  <c r="X49" i="12"/>
  <c r="X41" i="12"/>
  <c r="X72" i="12"/>
  <c r="X64" i="12"/>
  <c r="X56" i="12"/>
  <c r="X48" i="12"/>
  <c r="X61" i="12"/>
  <c r="X45" i="12"/>
  <c r="X68" i="12"/>
  <c r="X67" i="12"/>
  <c r="X65" i="12"/>
  <c r="X55" i="12"/>
  <c r="X47" i="12"/>
  <c r="X70" i="12"/>
  <c r="X62" i="12"/>
  <c r="X54" i="12"/>
  <c r="X46" i="12"/>
  <c r="Y101" i="12"/>
  <c r="AA8" i="12"/>
  <c r="G26" i="8"/>
  <c r="I26" i="8" s="1"/>
  <c r="H18" i="10"/>
  <c r="F27" i="8" s="1"/>
  <c r="Z26" i="4"/>
  <c r="AA26" i="4" s="1"/>
  <c r="G28" i="8" s="1"/>
  <c r="AI28" i="4"/>
  <c r="AF27" i="4"/>
  <c r="AA108" i="12" l="1"/>
  <c r="AA112" i="12"/>
  <c r="AA116" i="12"/>
  <c r="AA120" i="12"/>
  <c r="AA124" i="12"/>
  <c r="AA128" i="12"/>
  <c r="AA132" i="12"/>
  <c r="AA136" i="12"/>
  <c r="AB136" i="12" s="1"/>
  <c r="AA140" i="12"/>
  <c r="AA105" i="12"/>
  <c r="AA109" i="12"/>
  <c r="AA113" i="12"/>
  <c r="AA117" i="12"/>
  <c r="AA121" i="12"/>
  <c r="AA125" i="12"/>
  <c r="AA129" i="12"/>
  <c r="AA133" i="12"/>
  <c r="AA137" i="12"/>
  <c r="AB137" i="12" s="1"/>
  <c r="AA104" i="12"/>
  <c r="AA10" i="12" s="1"/>
  <c r="AA107" i="12"/>
  <c r="AA115" i="12"/>
  <c r="AA123" i="12"/>
  <c r="AA131" i="12"/>
  <c r="AA139" i="12"/>
  <c r="AA110" i="12"/>
  <c r="AA118" i="12"/>
  <c r="AA126" i="12"/>
  <c r="AA134" i="12"/>
  <c r="AA15" i="12"/>
  <c r="AA19" i="12"/>
  <c r="AA23" i="12"/>
  <c r="AA27" i="12"/>
  <c r="AA31" i="12"/>
  <c r="AA35" i="12"/>
  <c r="AA39" i="12"/>
  <c r="AA43" i="12"/>
  <c r="AA119" i="12"/>
  <c r="AA135" i="12"/>
  <c r="AA17" i="12"/>
  <c r="AA22" i="12"/>
  <c r="AA28" i="12"/>
  <c r="AA33" i="12"/>
  <c r="AA38" i="12"/>
  <c r="AA44" i="12"/>
  <c r="AA48" i="12"/>
  <c r="AA52" i="12"/>
  <c r="AA56" i="12"/>
  <c r="AA60" i="12"/>
  <c r="AA64" i="12"/>
  <c r="AA68" i="12"/>
  <c r="AA72" i="12"/>
  <c r="AA76" i="12"/>
  <c r="AA80" i="12"/>
  <c r="AA14" i="12"/>
  <c r="AA9" i="12" s="1"/>
  <c r="AA106" i="12"/>
  <c r="AA122" i="12"/>
  <c r="AA138" i="12"/>
  <c r="AA18" i="12"/>
  <c r="AA24" i="12"/>
  <c r="AA29" i="12"/>
  <c r="AA34" i="12"/>
  <c r="AA40" i="12"/>
  <c r="AA45" i="12"/>
  <c r="AA49" i="12"/>
  <c r="AA53" i="12"/>
  <c r="AA57" i="12"/>
  <c r="AA61" i="12"/>
  <c r="AA65" i="12"/>
  <c r="AA69" i="12"/>
  <c r="AA73" i="12"/>
  <c r="AA77" i="12"/>
  <c r="AA81" i="12"/>
  <c r="AA111" i="12"/>
  <c r="AA127" i="12"/>
  <c r="AA20" i="12"/>
  <c r="AA25" i="12"/>
  <c r="AA30" i="12"/>
  <c r="AA36" i="12"/>
  <c r="AA41" i="12"/>
  <c r="AA46" i="12"/>
  <c r="AA50" i="12"/>
  <c r="AA54" i="12"/>
  <c r="AA58" i="12"/>
  <c r="AA62" i="12"/>
  <c r="AA66" i="12"/>
  <c r="AA70" i="12"/>
  <c r="AA74" i="12"/>
  <c r="AA78" i="12"/>
  <c r="AA82" i="12"/>
  <c r="AA130" i="12"/>
  <c r="AA26" i="12"/>
  <c r="AA47" i="12"/>
  <c r="AA63" i="12"/>
  <c r="AA79" i="12"/>
  <c r="AA16" i="12"/>
  <c r="AA37" i="12"/>
  <c r="AA55" i="12"/>
  <c r="AA71" i="12"/>
  <c r="AA32" i="12"/>
  <c r="AA51" i="12"/>
  <c r="AA67" i="12"/>
  <c r="AA83" i="12"/>
  <c r="AA114" i="12"/>
  <c r="AA21" i="12"/>
  <c r="AA42" i="12"/>
  <c r="AA59" i="12"/>
  <c r="AA75" i="12"/>
  <c r="H27" i="8"/>
  <c r="L16" i="8" s="1"/>
  <c r="Z71" i="12"/>
  <c r="Z63" i="12"/>
  <c r="Z55" i="12"/>
  <c r="AA101" i="12"/>
  <c r="AB46" i="12"/>
  <c r="AB54" i="12"/>
  <c r="AB62" i="12"/>
  <c r="AB70" i="12"/>
  <c r="AB43" i="12"/>
  <c r="AB51" i="12"/>
  <c r="AB59" i="12"/>
  <c r="AB67" i="12"/>
  <c r="AB75" i="12"/>
  <c r="G27" i="8"/>
  <c r="AC8" i="12"/>
  <c r="AE8" i="12"/>
  <c r="Z27" i="4"/>
  <c r="AA27" i="4" s="1"/>
  <c r="G29" i="8" s="1"/>
  <c r="AF28" i="4"/>
  <c r="L27" i="8" l="1"/>
  <c r="L18" i="8"/>
  <c r="L15" i="8"/>
  <c r="L20" i="8"/>
  <c r="L19" i="8"/>
  <c r="H34" i="8"/>
  <c r="H35" i="8"/>
  <c r="L23" i="8"/>
  <c r="L21" i="8"/>
  <c r="L22" i="8"/>
  <c r="L24" i="8"/>
  <c r="L25" i="8"/>
  <c r="AB14" i="12"/>
  <c r="L14" i="8"/>
  <c r="AB138" i="12"/>
  <c r="AB140" i="12"/>
  <c r="AC105" i="12"/>
  <c r="AC109" i="12"/>
  <c r="AC113" i="12"/>
  <c r="AC117" i="12"/>
  <c r="AC121" i="12"/>
  <c r="AC125" i="12"/>
  <c r="AC129" i="12"/>
  <c r="AC133" i="12"/>
  <c r="AC137" i="12"/>
  <c r="AC104" i="12"/>
  <c r="AC106" i="12"/>
  <c r="AC110" i="12"/>
  <c r="AC114" i="12"/>
  <c r="AC118" i="12"/>
  <c r="AC122" i="12"/>
  <c r="AC126" i="12"/>
  <c r="AC130" i="12"/>
  <c r="AC134" i="12"/>
  <c r="AC138" i="12"/>
  <c r="AC112" i="12"/>
  <c r="AC120" i="12"/>
  <c r="AC128" i="12"/>
  <c r="AC136" i="12"/>
  <c r="AC16" i="12"/>
  <c r="AC20" i="12"/>
  <c r="AC24" i="12"/>
  <c r="AC28" i="12"/>
  <c r="AC32" i="12"/>
  <c r="AC36" i="12"/>
  <c r="AC40" i="12"/>
  <c r="AC44" i="12"/>
  <c r="AC48" i="12"/>
  <c r="AC52" i="12"/>
  <c r="AC56" i="12"/>
  <c r="AC60" i="12"/>
  <c r="AC64" i="12"/>
  <c r="AC68" i="12"/>
  <c r="AC72" i="12"/>
  <c r="AC76" i="12"/>
  <c r="AC80" i="12"/>
  <c r="AC107" i="12"/>
  <c r="AC115" i="12"/>
  <c r="AC123" i="12"/>
  <c r="AC131" i="12"/>
  <c r="AC139" i="12"/>
  <c r="AC17" i="12"/>
  <c r="AC21" i="12"/>
  <c r="AC25" i="12"/>
  <c r="AC29" i="12"/>
  <c r="AC33" i="12"/>
  <c r="AC37" i="12"/>
  <c r="AC41" i="12"/>
  <c r="AC45" i="12"/>
  <c r="AC49" i="12"/>
  <c r="AC53" i="12"/>
  <c r="AC57" i="12"/>
  <c r="AC61" i="12"/>
  <c r="AC65" i="12"/>
  <c r="AC69" i="12"/>
  <c r="AC73" i="12"/>
  <c r="AC77" i="12"/>
  <c r="AC81" i="12"/>
  <c r="AC108" i="12"/>
  <c r="AC124" i="12"/>
  <c r="AC140" i="12"/>
  <c r="AC18" i="12"/>
  <c r="AC26" i="12"/>
  <c r="AC34" i="12"/>
  <c r="AC42" i="12"/>
  <c r="AC50" i="12"/>
  <c r="AC58" i="12"/>
  <c r="AC66" i="12"/>
  <c r="AC74" i="12"/>
  <c r="AC82" i="12"/>
  <c r="AC111" i="12"/>
  <c r="AC127" i="12"/>
  <c r="AC19" i="12"/>
  <c r="AC27" i="12"/>
  <c r="AC35" i="12"/>
  <c r="AC43" i="12"/>
  <c r="AC51" i="12"/>
  <c r="AC59" i="12"/>
  <c r="AC67" i="12"/>
  <c r="AC75" i="12"/>
  <c r="AC83" i="12"/>
  <c r="AC116" i="12"/>
  <c r="AC132" i="12"/>
  <c r="AC22" i="12"/>
  <c r="AC30" i="12"/>
  <c r="AC38" i="12"/>
  <c r="AC46" i="12"/>
  <c r="AC54" i="12"/>
  <c r="AC62" i="12"/>
  <c r="AC70" i="12"/>
  <c r="AC78" i="12"/>
  <c r="AC14" i="12"/>
  <c r="AC39" i="12"/>
  <c r="AC71" i="12"/>
  <c r="AC23" i="12"/>
  <c r="AC55" i="12"/>
  <c r="AC119" i="12"/>
  <c r="AC15" i="12"/>
  <c r="AC47" i="12"/>
  <c r="AC79" i="12"/>
  <c r="AC135" i="12"/>
  <c r="AC31" i="12"/>
  <c r="AC63" i="12"/>
  <c r="AB139" i="12"/>
  <c r="B137" i="12"/>
  <c r="T137" i="12" s="1"/>
  <c r="AB35" i="12"/>
  <c r="AB27" i="12"/>
  <c r="AB19" i="12"/>
  <c r="AB38" i="12"/>
  <c r="AB30" i="12"/>
  <c r="AB22" i="12"/>
  <c r="K8" i="8"/>
  <c r="I25" i="8" s="1"/>
  <c r="AD42" i="12"/>
  <c r="AD44" i="12"/>
  <c r="AD48" i="12"/>
  <c r="AD50" i="12"/>
  <c r="AD52" i="12"/>
  <c r="AD54" i="12"/>
  <c r="AD56" i="12"/>
  <c r="AD58" i="12"/>
  <c r="AD60" i="12"/>
  <c r="AD64" i="12"/>
  <c r="AD66" i="12"/>
  <c r="AD68" i="12"/>
  <c r="AD70" i="12"/>
  <c r="AD74" i="12"/>
  <c r="AD76" i="12"/>
  <c r="AD43" i="12"/>
  <c r="AD45" i="12"/>
  <c r="AD47" i="12"/>
  <c r="AD49" i="12"/>
  <c r="AD51" i="12"/>
  <c r="AD53" i="12"/>
  <c r="AD55" i="12"/>
  <c r="AD57" i="12"/>
  <c r="AD59" i="12"/>
  <c r="AD61" i="12"/>
  <c r="AD65" i="12"/>
  <c r="AD69" i="12"/>
  <c r="AD73" i="12"/>
  <c r="AD63" i="12"/>
  <c r="AD67" i="12"/>
  <c r="AD71" i="12"/>
  <c r="AD75" i="12"/>
  <c r="AB58" i="12"/>
  <c r="AB42" i="12"/>
  <c r="AB18" i="12"/>
  <c r="AB71" i="12"/>
  <c r="AB69" i="12"/>
  <c r="AB57" i="12"/>
  <c r="AB49" i="12"/>
  <c r="AB41" i="12"/>
  <c r="AB33" i="12"/>
  <c r="AB25" i="12"/>
  <c r="AB17" i="12"/>
  <c r="AB72" i="12"/>
  <c r="AB64" i="12"/>
  <c r="AB56" i="12"/>
  <c r="AB48" i="12"/>
  <c r="AB40" i="12"/>
  <c r="AB32" i="12"/>
  <c r="AB24" i="12"/>
  <c r="AB16" i="12"/>
  <c r="AB73" i="12"/>
  <c r="AB66" i="12"/>
  <c r="AB50" i="12"/>
  <c r="AB34" i="12"/>
  <c r="AB26" i="12"/>
  <c r="AB65" i="12"/>
  <c r="AB55" i="12"/>
  <c r="AB47" i="12"/>
  <c r="AB39" i="12"/>
  <c r="AB31" i="12"/>
  <c r="AB23" i="12"/>
  <c r="AB15" i="12"/>
  <c r="AB74" i="12"/>
  <c r="AB63" i="12"/>
  <c r="AB61" i="12"/>
  <c r="AB53" i="12"/>
  <c r="AB45" i="12"/>
  <c r="AB37" i="12"/>
  <c r="AB29" i="12"/>
  <c r="AB21" i="12"/>
  <c r="AB76" i="12"/>
  <c r="AB68" i="12"/>
  <c r="AB60" i="12"/>
  <c r="AB52" i="12"/>
  <c r="AB44" i="12"/>
  <c r="AB36" i="12"/>
  <c r="AB28" i="12"/>
  <c r="AB20" i="12"/>
  <c r="AC101" i="12"/>
  <c r="AG8" i="12"/>
  <c r="N29" i="8"/>
  <c r="AE120" i="12"/>
  <c r="AE105" i="12"/>
  <c r="AE121" i="12"/>
  <c r="AE106" i="12"/>
  <c r="AE122" i="12"/>
  <c r="AE104" i="12"/>
  <c r="AE83" i="12"/>
  <c r="AE108" i="12"/>
  <c r="AE124" i="12"/>
  <c r="AE109" i="12"/>
  <c r="AE125" i="12"/>
  <c r="AE110" i="12"/>
  <c r="AE126" i="12"/>
  <c r="AE107" i="12"/>
  <c r="AE81" i="12"/>
  <c r="AE77" i="12"/>
  <c r="AE78" i="12"/>
  <c r="AE112" i="12"/>
  <c r="AE128" i="12"/>
  <c r="AE113" i="12"/>
  <c r="AE129" i="12"/>
  <c r="AE114" i="12"/>
  <c r="AE130" i="12"/>
  <c r="AE111" i="12"/>
  <c r="AE115" i="12"/>
  <c r="AE119" i="12"/>
  <c r="AE123" i="12"/>
  <c r="AE80" i="12"/>
  <c r="AE116" i="12"/>
  <c r="AE132" i="12"/>
  <c r="AE117" i="12"/>
  <c r="AE133" i="12"/>
  <c r="AE118" i="12"/>
  <c r="AE134" i="12"/>
  <c r="AE127" i="12"/>
  <c r="AE131" i="12"/>
  <c r="AE135" i="12"/>
  <c r="AE79" i="12"/>
  <c r="AE101" i="12"/>
  <c r="AE82" i="12"/>
  <c r="Z28" i="4"/>
  <c r="AA28" i="4" s="1"/>
  <c r="G30" i="8" s="1"/>
  <c r="AL124" i="12" l="1"/>
  <c r="AM124" i="12"/>
  <c r="AM126" i="12"/>
  <c r="AL126" i="12"/>
  <c r="AM110" i="12"/>
  <c r="AL110" i="12"/>
  <c r="AM117" i="12"/>
  <c r="AL117" i="12"/>
  <c r="AM132" i="12"/>
  <c r="AL132" i="12"/>
  <c r="AL111" i="12"/>
  <c r="AM111" i="12"/>
  <c r="AL108" i="12"/>
  <c r="AM108" i="12"/>
  <c r="AL123" i="12"/>
  <c r="AM123" i="12"/>
  <c r="AL136" i="12"/>
  <c r="AM136" i="12"/>
  <c r="B138" i="12"/>
  <c r="L138" i="12" s="1"/>
  <c r="AL138" i="12"/>
  <c r="AM138" i="12"/>
  <c r="AM122" i="12"/>
  <c r="AL122" i="12"/>
  <c r="AM106" i="12"/>
  <c r="AL106" i="12"/>
  <c r="AL129" i="12"/>
  <c r="AM129" i="12"/>
  <c r="AM113" i="12"/>
  <c r="AL113" i="12"/>
  <c r="AL127" i="12"/>
  <c r="AM127" i="12"/>
  <c r="AL131" i="12"/>
  <c r="AM131" i="12"/>
  <c r="AM112" i="12"/>
  <c r="AL112" i="12"/>
  <c r="AL133" i="12"/>
  <c r="AM133" i="12"/>
  <c r="AL116" i="12"/>
  <c r="AM116" i="12"/>
  <c r="AM115" i="12"/>
  <c r="AL115" i="12"/>
  <c r="AM128" i="12"/>
  <c r="AL128" i="12"/>
  <c r="AM134" i="12"/>
  <c r="AL134" i="12"/>
  <c r="AL118" i="12"/>
  <c r="AM118" i="12"/>
  <c r="AL125" i="12"/>
  <c r="AM125" i="12"/>
  <c r="AM109" i="12"/>
  <c r="AL109" i="12"/>
  <c r="AL135" i="12"/>
  <c r="AM135" i="12"/>
  <c r="AL119" i="12"/>
  <c r="AM119" i="12"/>
  <c r="AM140" i="12"/>
  <c r="AL140" i="12"/>
  <c r="AL139" i="12"/>
  <c r="AM139" i="12"/>
  <c r="AL107" i="12"/>
  <c r="AM107" i="12"/>
  <c r="AM120" i="12"/>
  <c r="AL120" i="12"/>
  <c r="AM130" i="12"/>
  <c r="AL130" i="12"/>
  <c r="AM114" i="12"/>
  <c r="AL114" i="12"/>
  <c r="AM137" i="12"/>
  <c r="AL137" i="12"/>
  <c r="AM121" i="12"/>
  <c r="AL121" i="12"/>
  <c r="AL105" i="12"/>
  <c r="AM105" i="12"/>
  <c r="AL104" i="12"/>
  <c r="AM104" i="12"/>
  <c r="AL101" i="12"/>
  <c r="AM101" i="12"/>
  <c r="AL75" i="12"/>
  <c r="AM75" i="12"/>
  <c r="AL43" i="12"/>
  <c r="AM43" i="12"/>
  <c r="AL80" i="12"/>
  <c r="AM80" i="12"/>
  <c r="AL48" i="12"/>
  <c r="AM48" i="12"/>
  <c r="AL16" i="12"/>
  <c r="AM16" i="12"/>
  <c r="AL63" i="12"/>
  <c r="AM63" i="12"/>
  <c r="AL47" i="12"/>
  <c r="AM47" i="12"/>
  <c r="AL78" i="12"/>
  <c r="AM78" i="12"/>
  <c r="AL46" i="12"/>
  <c r="AM46" i="12"/>
  <c r="AL67" i="12"/>
  <c r="AM67" i="12"/>
  <c r="AL35" i="12"/>
  <c r="AM35" i="12"/>
  <c r="AL58" i="12"/>
  <c r="AM58" i="12"/>
  <c r="AL26" i="12"/>
  <c r="AM26" i="12"/>
  <c r="AL69" i="12"/>
  <c r="AM69" i="12"/>
  <c r="AL53" i="12"/>
  <c r="AM53" i="12"/>
  <c r="AL37" i="12"/>
  <c r="AM37" i="12"/>
  <c r="AL21" i="12"/>
  <c r="AM21" i="12"/>
  <c r="AL76" i="12"/>
  <c r="AM76" i="12"/>
  <c r="AL60" i="12"/>
  <c r="AM60" i="12"/>
  <c r="AL44" i="12"/>
  <c r="AM44" i="12"/>
  <c r="AL28" i="12"/>
  <c r="AM28" i="12"/>
  <c r="AL55" i="12"/>
  <c r="AM55" i="12"/>
  <c r="AL54" i="12"/>
  <c r="AM54" i="12"/>
  <c r="AL66" i="12"/>
  <c r="AM66" i="12"/>
  <c r="AL25" i="12"/>
  <c r="AM25" i="12"/>
  <c r="AL32" i="12"/>
  <c r="AM32" i="12"/>
  <c r="AL23" i="12"/>
  <c r="AM23" i="12"/>
  <c r="AL31" i="12"/>
  <c r="AM31" i="12"/>
  <c r="AL15" i="12"/>
  <c r="AM15" i="12"/>
  <c r="AL71" i="12"/>
  <c r="AM71" i="12"/>
  <c r="AL70" i="12"/>
  <c r="AM70" i="12"/>
  <c r="AL38" i="12"/>
  <c r="AM38" i="12"/>
  <c r="AL59" i="12"/>
  <c r="AM59" i="12"/>
  <c r="AL27" i="12"/>
  <c r="AM27" i="12"/>
  <c r="AL82" i="12"/>
  <c r="AM82" i="12"/>
  <c r="AL50" i="12"/>
  <c r="AM50" i="12"/>
  <c r="AL18" i="12"/>
  <c r="AM18" i="12"/>
  <c r="AL81" i="12"/>
  <c r="AM81" i="12"/>
  <c r="AL65" i="12"/>
  <c r="AM65" i="12"/>
  <c r="AL49" i="12"/>
  <c r="AM49" i="12"/>
  <c r="AL33" i="12"/>
  <c r="AM33" i="12"/>
  <c r="AL17" i="12"/>
  <c r="AM17" i="12"/>
  <c r="AL72" i="12"/>
  <c r="AM72" i="12"/>
  <c r="AL56" i="12"/>
  <c r="AM56" i="12"/>
  <c r="AL40" i="12"/>
  <c r="AM40" i="12"/>
  <c r="AL24" i="12"/>
  <c r="AM24" i="12"/>
  <c r="AL79" i="12"/>
  <c r="AM79" i="12"/>
  <c r="AL22" i="12"/>
  <c r="AM22" i="12"/>
  <c r="AL34" i="12"/>
  <c r="AM34" i="12"/>
  <c r="AL73" i="12"/>
  <c r="AM73" i="12"/>
  <c r="AL57" i="12"/>
  <c r="AM57" i="12"/>
  <c r="AL41" i="12"/>
  <c r="AM41" i="12"/>
  <c r="AL64" i="12"/>
  <c r="AM64" i="12"/>
  <c r="AL39" i="12"/>
  <c r="AM39" i="12"/>
  <c r="AL62" i="12"/>
  <c r="AM62" i="12"/>
  <c r="AL30" i="12"/>
  <c r="AM30" i="12"/>
  <c r="AL83" i="12"/>
  <c r="AM83" i="12"/>
  <c r="AL51" i="12"/>
  <c r="AM51" i="12"/>
  <c r="AL19" i="12"/>
  <c r="AM19" i="12"/>
  <c r="AL74" i="12"/>
  <c r="AM74" i="12"/>
  <c r="AL42" i="12"/>
  <c r="AM42" i="12"/>
  <c r="AL77" i="12"/>
  <c r="AM77" i="12"/>
  <c r="AL61" i="12"/>
  <c r="AM61" i="12"/>
  <c r="AL45" i="12"/>
  <c r="AM45" i="12"/>
  <c r="AL29" i="12"/>
  <c r="AM29" i="12"/>
  <c r="AL68" i="12"/>
  <c r="AM68" i="12"/>
  <c r="AL52" i="12"/>
  <c r="AM52" i="12"/>
  <c r="AL36" i="12"/>
  <c r="AM36" i="12"/>
  <c r="AL20" i="12"/>
  <c r="AM20" i="12"/>
  <c r="I27" i="8"/>
  <c r="I16" i="8"/>
  <c r="I15" i="8"/>
  <c r="I14" i="8"/>
  <c r="I18" i="8"/>
  <c r="I19" i="8"/>
  <c r="I20" i="8"/>
  <c r="H36" i="8"/>
  <c r="H37" i="8"/>
  <c r="I21" i="8"/>
  <c r="I22" i="8"/>
  <c r="I30" i="8"/>
  <c r="I28" i="8"/>
  <c r="I29" i="8"/>
  <c r="I24" i="8"/>
  <c r="I23" i="8"/>
  <c r="R137" i="12"/>
  <c r="P137" i="12"/>
  <c r="B139" i="12"/>
  <c r="P139" i="12" s="1"/>
  <c r="AD137" i="12"/>
  <c r="L137" i="12"/>
  <c r="J137" i="12"/>
  <c r="X137" i="12"/>
  <c r="D137" i="12"/>
  <c r="V137" i="12"/>
  <c r="N137" i="12"/>
  <c r="AM14" i="12"/>
  <c r="AL14" i="12"/>
  <c r="H137" i="12"/>
  <c r="Z137" i="12"/>
  <c r="B136" i="12"/>
  <c r="D136" i="12" s="1"/>
  <c r="AD138" i="12"/>
  <c r="D138" i="12"/>
  <c r="J138" i="12"/>
  <c r="X138" i="12"/>
  <c r="V138" i="12"/>
  <c r="B140" i="12"/>
  <c r="Z140" i="12" s="1"/>
  <c r="F137" i="12"/>
  <c r="AD72" i="12"/>
  <c r="AD41" i="12"/>
  <c r="B54" i="12"/>
  <c r="B42" i="12"/>
  <c r="B40" i="12"/>
  <c r="F40" i="12" s="1"/>
  <c r="B41" i="12"/>
  <c r="J41" i="12" s="1"/>
  <c r="B72" i="12"/>
  <c r="D72" i="12" s="1"/>
  <c r="B56" i="12"/>
  <c r="B57" i="12"/>
  <c r="J57" i="12" s="1"/>
  <c r="B24" i="12"/>
  <c r="D24" i="12" s="1"/>
  <c r="B25" i="12"/>
  <c r="V25" i="12" s="1"/>
  <c r="B14" i="12"/>
  <c r="F14" i="12" s="1"/>
  <c r="B31" i="12"/>
  <c r="D31" i="12" s="1"/>
  <c r="B22" i="12"/>
  <c r="AD22" i="12" s="1"/>
  <c r="B65" i="12"/>
  <c r="B67" i="12"/>
  <c r="J67" i="12" s="1"/>
  <c r="B15" i="12"/>
  <c r="D15" i="12" s="1"/>
  <c r="B47" i="12"/>
  <c r="B71" i="12"/>
  <c r="D71" i="12" s="1"/>
  <c r="B70" i="12"/>
  <c r="B16" i="12"/>
  <c r="H16" i="12" s="1"/>
  <c r="B32" i="12"/>
  <c r="D32" i="12" s="1"/>
  <c r="B48" i="12"/>
  <c r="J48" i="12" s="1"/>
  <c r="B64" i="12"/>
  <c r="B17" i="12"/>
  <c r="N17" i="12" s="1"/>
  <c r="B33" i="12"/>
  <c r="F33" i="12" s="1"/>
  <c r="B49" i="12"/>
  <c r="J49" i="12" s="1"/>
  <c r="B69" i="12"/>
  <c r="B38" i="12"/>
  <c r="D38" i="12" s="1"/>
  <c r="B23" i="12"/>
  <c r="D23" i="12" s="1"/>
  <c r="B39" i="12"/>
  <c r="P39" i="12" s="1"/>
  <c r="B55" i="12"/>
  <c r="D55" i="12" s="1"/>
  <c r="B34" i="12"/>
  <c r="P34" i="12" s="1"/>
  <c r="B74" i="12"/>
  <c r="B59" i="12"/>
  <c r="J59" i="12" s="1"/>
  <c r="B27" i="12"/>
  <c r="Z27" i="12" s="1"/>
  <c r="B66" i="12"/>
  <c r="J66" i="12" s="1"/>
  <c r="B75" i="12"/>
  <c r="B43" i="12"/>
  <c r="B26" i="12"/>
  <c r="AD26" i="12" s="1"/>
  <c r="B50" i="12"/>
  <c r="J50" i="12" s="1"/>
  <c r="B73" i="12"/>
  <c r="B18" i="12"/>
  <c r="H18" i="12" s="1"/>
  <c r="B58" i="12"/>
  <c r="B35" i="12"/>
  <c r="H35" i="12" s="1"/>
  <c r="B51" i="12"/>
  <c r="B20" i="12"/>
  <c r="J20" i="12" s="1"/>
  <c r="B36" i="12"/>
  <c r="D36" i="12" s="1"/>
  <c r="B52" i="12"/>
  <c r="J52" i="12" s="1"/>
  <c r="B68" i="12"/>
  <c r="B21" i="12"/>
  <c r="V21" i="12" s="1"/>
  <c r="B37" i="12"/>
  <c r="D37" i="12" s="1"/>
  <c r="B53" i="12"/>
  <c r="J53" i="12" s="1"/>
  <c r="B63" i="12"/>
  <c r="D63" i="12" s="1"/>
  <c r="B19" i="12"/>
  <c r="X19" i="12" s="1"/>
  <c r="B28" i="12"/>
  <c r="D28" i="12" s="1"/>
  <c r="B44" i="12"/>
  <c r="J44" i="12" s="1"/>
  <c r="B60" i="12"/>
  <c r="B76" i="12"/>
  <c r="B29" i="12"/>
  <c r="D29" i="12" s="1"/>
  <c r="B45" i="12"/>
  <c r="D45" i="12" s="1"/>
  <c r="B61" i="12"/>
  <c r="AD62" i="12"/>
  <c r="B62" i="12"/>
  <c r="D62" i="12" s="1"/>
  <c r="AD46" i="12"/>
  <c r="B46" i="12"/>
  <c r="B30" i="12"/>
  <c r="D30" i="12" s="1"/>
  <c r="AI8" i="12"/>
  <c r="P8" i="8"/>
  <c r="AG106" i="12"/>
  <c r="AH106" i="12" s="1"/>
  <c r="AG122" i="12"/>
  <c r="AH122" i="12" s="1"/>
  <c r="AG104" i="12"/>
  <c r="AG111" i="12"/>
  <c r="AH111" i="12" s="1"/>
  <c r="AG127" i="12"/>
  <c r="AH127" i="12" s="1"/>
  <c r="AG120" i="12"/>
  <c r="AH120" i="12" s="1"/>
  <c r="AG129" i="12"/>
  <c r="AH129" i="12" s="1"/>
  <c r="AG117" i="12"/>
  <c r="AH117" i="12" s="1"/>
  <c r="AG79" i="12"/>
  <c r="AH79" i="12" s="1"/>
  <c r="AG110" i="12"/>
  <c r="AH110" i="12" s="1"/>
  <c r="AG126" i="12"/>
  <c r="AH126" i="12" s="1"/>
  <c r="AG115" i="12"/>
  <c r="AH115" i="12" s="1"/>
  <c r="AG131" i="12"/>
  <c r="AH131" i="12" s="1"/>
  <c r="AG108" i="12"/>
  <c r="AH108" i="12" s="1"/>
  <c r="AG124" i="12"/>
  <c r="AH124" i="12" s="1"/>
  <c r="AG133" i="12"/>
  <c r="AH133" i="12" s="1"/>
  <c r="AG83" i="12"/>
  <c r="AG81" i="12"/>
  <c r="AH81" i="12" s="1"/>
  <c r="AG80" i="12"/>
  <c r="AH80" i="12" s="1"/>
  <c r="AG114" i="12"/>
  <c r="AH114" i="12" s="1"/>
  <c r="AG130" i="12"/>
  <c r="AH130" i="12" s="1"/>
  <c r="AG119" i="12"/>
  <c r="AG135" i="12"/>
  <c r="AH135" i="12" s="1"/>
  <c r="AG112" i="12"/>
  <c r="AH112" i="12" s="1"/>
  <c r="AG128" i="12"/>
  <c r="AH128" i="12" s="1"/>
  <c r="AG109" i="12"/>
  <c r="AH109" i="12" s="1"/>
  <c r="AG77" i="12"/>
  <c r="AG118" i="12"/>
  <c r="AH118" i="12" s="1"/>
  <c r="AG134" i="12"/>
  <c r="AH134" i="12" s="1"/>
  <c r="AG107" i="12"/>
  <c r="AH107" i="12" s="1"/>
  <c r="AG123" i="12"/>
  <c r="AH123" i="12" s="1"/>
  <c r="AG116" i="12"/>
  <c r="AH116" i="12" s="1"/>
  <c r="AG132" i="12"/>
  <c r="AH132" i="12" s="1"/>
  <c r="AG125" i="12"/>
  <c r="AH125" i="12" s="1"/>
  <c r="AG113" i="12"/>
  <c r="AH113" i="12" s="1"/>
  <c r="AG105" i="12"/>
  <c r="AH105" i="12" s="1"/>
  <c r="AG101" i="12"/>
  <c r="AH101" i="12" s="1"/>
  <c r="AG82" i="12"/>
  <c r="AH82" i="12" s="1"/>
  <c r="AG121" i="12"/>
  <c r="AH121" i="12" s="1"/>
  <c r="AG78" i="12"/>
  <c r="AH78" i="12" s="1"/>
  <c r="AG11" i="12"/>
  <c r="H138" i="12" l="1"/>
  <c r="R138" i="12"/>
  <c r="N138" i="12"/>
  <c r="F138" i="12"/>
  <c r="T138" i="12"/>
  <c r="P138" i="12"/>
  <c r="Z138" i="12"/>
  <c r="AN105" i="12"/>
  <c r="AO105" i="12"/>
  <c r="AN107" i="12"/>
  <c r="AO107" i="12"/>
  <c r="AN135" i="12"/>
  <c r="AO135" i="12"/>
  <c r="AN133" i="12"/>
  <c r="AO133" i="12"/>
  <c r="AN131" i="12"/>
  <c r="AO131" i="12"/>
  <c r="AN138" i="12"/>
  <c r="AO138" i="12"/>
  <c r="AN117" i="12"/>
  <c r="AO117" i="12"/>
  <c r="AN126" i="12"/>
  <c r="AO126" i="12"/>
  <c r="AN121" i="12"/>
  <c r="AO121" i="12"/>
  <c r="AN114" i="12"/>
  <c r="AO114" i="12"/>
  <c r="AN120" i="12"/>
  <c r="AO120" i="12"/>
  <c r="AN109" i="12"/>
  <c r="AO109" i="12"/>
  <c r="AN128" i="12"/>
  <c r="AO128" i="12"/>
  <c r="AN112" i="12"/>
  <c r="AO112" i="12"/>
  <c r="AN122" i="12"/>
  <c r="AO122" i="12"/>
  <c r="AN123" i="12"/>
  <c r="AO123" i="12"/>
  <c r="AN111" i="12"/>
  <c r="AO111" i="12"/>
  <c r="AN139" i="12"/>
  <c r="AO139" i="12"/>
  <c r="AN119" i="12"/>
  <c r="AO119" i="12"/>
  <c r="AN118" i="12"/>
  <c r="AO118" i="12"/>
  <c r="AN116" i="12"/>
  <c r="AO116" i="12"/>
  <c r="AN127" i="12"/>
  <c r="AO127" i="12"/>
  <c r="AN129" i="12"/>
  <c r="AO129" i="12"/>
  <c r="AN132" i="12"/>
  <c r="AO132" i="12"/>
  <c r="AN110" i="12"/>
  <c r="AO110" i="12"/>
  <c r="AN125" i="12"/>
  <c r="AO125" i="12"/>
  <c r="AN137" i="12"/>
  <c r="AO137" i="12"/>
  <c r="AN130" i="12"/>
  <c r="AO130" i="12"/>
  <c r="AN140" i="12"/>
  <c r="AO140" i="12"/>
  <c r="AN134" i="12"/>
  <c r="AO134" i="12"/>
  <c r="AN115" i="12"/>
  <c r="AO115" i="12"/>
  <c r="AN113" i="12"/>
  <c r="AO113" i="12"/>
  <c r="AN106" i="12"/>
  <c r="AO106" i="12"/>
  <c r="AN136" i="12"/>
  <c r="AO136" i="12"/>
  <c r="AN108" i="12"/>
  <c r="AO108" i="12"/>
  <c r="AN124" i="12"/>
  <c r="AO124" i="12"/>
  <c r="AO104" i="12"/>
  <c r="AN104" i="12"/>
  <c r="AN20" i="12"/>
  <c r="AO20" i="12"/>
  <c r="AN52" i="12"/>
  <c r="AO52" i="12"/>
  <c r="AO29" i="12"/>
  <c r="AN29" i="12"/>
  <c r="AO61" i="12"/>
  <c r="AN61" i="12"/>
  <c r="AO42" i="12"/>
  <c r="AN42" i="12"/>
  <c r="AN19" i="12"/>
  <c r="AO19" i="12"/>
  <c r="AO83" i="12"/>
  <c r="AN83" i="12"/>
  <c r="AN62" i="12"/>
  <c r="AO62" i="12"/>
  <c r="AN64" i="12"/>
  <c r="AO64" i="12"/>
  <c r="AO57" i="12"/>
  <c r="AN57" i="12"/>
  <c r="AO34" i="12"/>
  <c r="AN34" i="12"/>
  <c r="AN79" i="12"/>
  <c r="AO79" i="12"/>
  <c r="AN40" i="12"/>
  <c r="AO40" i="12"/>
  <c r="AN72" i="12"/>
  <c r="AO72" i="12"/>
  <c r="AO33" i="12"/>
  <c r="AN33" i="12"/>
  <c r="AO65" i="12"/>
  <c r="AN65" i="12"/>
  <c r="AO18" i="12"/>
  <c r="AN18" i="12"/>
  <c r="AO82" i="12"/>
  <c r="AN82" i="12"/>
  <c r="AN59" i="12"/>
  <c r="AO59" i="12"/>
  <c r="AO70" i="12"/>
  <c r="AN70" i="12"/>
  <c r="AN15" i="12"/>
  <c r="AO15" i="12"/>
  <c r="AN23" i="12"/>
  <c r="AO23" i="12"/>
  <c r="AO25" i="12"/>
  <c r="AN25" i="12"/>
  <c r="AO54" i="12"/>
  <c r="AN54" i="12"/>
  <c r="AN28" i="12"/>
  <c r="AO28" i="12"/>
  <c r="AN60" i="12"/>
  <c r="AO60" i="12"/>
  <c r="AO21" i="12"/>
  <c r="AN21" i="12"/>
  <c r="AO53" i="12"/>
  <c r="AN53" i="12"/>
  <c r="AO26" i="12"/>
  <c r="AN26" i="12"/>
  <c r="AN35" i="12"/>
  <c r="AO35" i="12"/>
  <c r="AN46" i="12"/>
  <c r="AO46" i="12"/>
  <c r="AO47" i="12"/>
  <c r="AN47" i="12"/>
  <c r="AN16" i="12"/>
  <c r="AO16" i="12"/>
  <c r="AN80" i="12"/>
  <c r="AO80" i="12"/>
  <c r="AN75" i="12"/>
  <c r="AO75" i="12"/>
  <c r="AN36" i="12"/>
  <c r="AO36" i="12"/>
  <c r="AN68" i="12"/>
  <c r="AO68" i="12"/>
  <c r="AO45" i="12"/>
  <c r="AN45" i="12"/>
  <c r="AO77" i="12"/>
  <c r="AN77" i="12"/>
  <c r="AO74" i="12"/>
  <c r="AN74" i="12"/>
  <c r="AO51" i="12"/>
  <c r="AN51" i="12"/>
  <c r="AN30" i="12"/>
  <c r="AO30" i="12"/>
  <c r="AN39" i="12"/>
  <c r="AO39" i="12"/>
  <c r="AO41" i="12"/>
  <c r="AN41" i="12"/>
  <c r="AO73" i="12"/>
  <c r="AN73" i="12"/>
  <c r="AN22" i="12"/>
  <c r="AO22" i="12"/>
  <c r="AN24" i="12"/>
  <c r="AO24" i="12"/>
  <c r="AN56" i="12"/>
  <c r="AO56" i="12"/>
  <c r="AO17" i="12"/>
  <c r="AN17" i="12"/>
  <c r="AO49" i="12"/>
  <c r="AN49" i="12"/>
  <c r="AO81" i="12"/>
  <c r="AN81" i="12"/>
  <c r="AO50" i="12"/>
  <c r="AN50" i="12"/>
  <c r="AN27" i="12"/>
  <c r="AO27" i="12"/>
  <c r="AN38" i="12"/>
  <c r="AO38" i="12"/>
  <c r="AN71" i="12"/>
  <c r="AO71" i="12"/>
  <c r="AN31" i="12"/>
  <c r="AO31" i="12"/>
  <c r="AN32" i="12"/>
  <c r="AO32" i="12"/>
  <c r="AN66" i="12"/>
  <c r="AO66" i="12"/>
  <c r="AN55" i="12"/>
  <c r="AO55" i="12"/>
  <c r="AN44" i="12"/>
  <c r="AO44" i="12"/>
  <c r="AN76" i="12"/>
  <c r="AO76" i="12"/>
  <c r="AO37" i="12"/>
  <c r="AN37" i="12"/>
  <c r="AO69" i="12"/>
  <c r="AN69" i="12"/>
  <c r="AO58" i="12"/>
  <c r="AN58" i="12"/>
  <c r="AO67" i="12"/>
  <c r="AN67" i="12"/>
  <c r="AN78" i="12"/>
  <c r="AO78" i="12"/>
  <c r="AN63" i="12"/>
  <c r="AO63" i="12"/>
  <c r="AN48" i="12"/>
  <c r="AO48" i="12"/>
  <c r="AN43" i="12"/>
  <c r="AO43" i="12"/>
  <c r="AO101" i="12"/>
  <c r="AN101" i="12"/>
  <c r="D139" i="12"/>
  <c r="L136" i="12"/>
  <c r="P136" i="12"/>
  <c r="V136" i="12"/>
  <c r="X136" i="12"/>
  <c r="H136" i="12"/>
  <c r="N136" i="12"/>
  <c r="AD136" i="12"/>
  <c r="F139" i="12"/>
  <c r="AD139" i="12"/>
  <c r="T140" i="12"/>
  <c r="X140" i="12"/>
  <c r="R140" i="12"/>
  <c r="Z136" i="12"/>
  <c r="F136" i="12"/>
  <c r="T139" i="12"/>
  <c r="F140" i="12"/>
  <c r="P140" i="12"/>
  <c r="J140" i="12"/>
  <c r="AD140" i="12"/>
  <c r="J139" i="12"/>
  <c r="L139" i="12"/>
  <c r="H139" i="12"/>
  <c r="V139" i="12"/>
  <c r="R139" i="12"/>
  <c r="N139" i="12"/>
  <c r="D140" i="12"/>
  <c r="H140" i="12"/>
  <c r="V140" i="12"/>
  <c r="J136" i="12"/>
  <c r="T136" i="12"/>
  <c r="R136" i="12"/>
  <c r="AO14" i="12"/>
  <c r="AN14" i="12"/>
  <c r="Z139" i="12"/>
  <c r="X139" i="12"/>
  <c r="N140" i="12"/>
  <c r="L140" i="12"/>
  <c r="AD19" i="12"/>
  <c r="V22" i="12"/>
  <c r="X28" i="12"/>
  <c r="L21" i="12"/>
  <c r="J25" i="12"/>
  <c r="X14" i="12"/>
  <c r="L39" i="12"/>
  <c r="P32" i="12"/>
  <c r="Z21" i="12"/>
  <c r="V17" i="12"/>
  <c r="P14" i="12"/>
  <c r="L38" i="12"/>
  <c r="J18" i="12"/>
  <c r="J31" i="12"/>
  <c r="H39" i="12"/>
  <c r="P28" i="12"/>
  <c r="AD16" i="12"/>
  <c r="AD17" i="12"/>
  <c r="P18" i="12"/>
  <c r="H14" i="12"/>
  <c r="T38" i="12"/>
  <c r="Z16" i="12"/>
  <c r="R37" i="12"/>
  <c r="L30" i="12"/>
  <c r="J24" i="12"/>
  <c r="X24" i="12"/>
  <c r="P30" i="12"/>
  <c r="N15" i="12"/>
  <c r="V15" i="12"/>
  <c r="N31" i="12"/>
  <c r="R40" i="12"/>
  <c r="J17" i="12"/>
  <c r="V34" i="12"/>
  <c r="AD34" i="12"/>
  <c r="R31" i="12"/>
  <c r="X21" i="12"/>
  <c r="N36" i="12"/>
  <c r="L31" i="12"/>
  <c r="P31" i="12"/>
  <c r="P20" i="12"/>
  <c r="Z22" i="12"/>
  <c r="X17" i="12"/>
  <c r="H22" i="12"/>
  <c r="H36" i="12"/>
  <c r="T33" i="12"/>
  <c r="X38" i="12"/>
  <c r="R20" i="12"/>
  <c r="N35" i="12"/>
  <c r="P38" i="12"/>
  <c r="AD20" i="12"/>
  <c r="AD29" i="12"/>
  <c r="R30" i="12"/>
  <c r="H34" i="12"/>
  <c r="R14" i="12"/>
  <c r="L17" i="12"/>
  <c r="Z38" i="12"/>
  <c r="P40" i="12"/>
  <c r="J23" i="12"/>
  <c r="Z15" i="12"/>
  <c r="Z26" i="12"/>
  <c r="L18" i="12"/>
  <c r="H21" i="12"/>
  <c r="H24" i="12"/>
  <c r="J35" i="12"/>
  <c r="R33" i="12"/>
  <c r="Z37" i="12"/>
  <c r="AD38" i="12"/>
  <c r="N24" i="12"/>
  <c r="L33" i="12"/>
  <c r="L19" i="12"/>
  <c r="X36" i="12"/>
  <c r="X30" i="12"/>
  <c r="AD15" i="12"/>
  <c r="T35" i="12"/>
  <c r="P36" i="12"/>
  <c r="N20" i="12"/>
  <c r="T14" i="12"/>
  <c r="X34" i="12"/>
  <c r="V36" i="12"/>
  <c r="P15" i="12"/>
  <c r="X33" i="12"/>
  <c r="P21" i="12"/>
  <c r="L22" i="12"/>
  <c r="N39" i="12"/>
  <c r="N19" i="12"/>
  <c r="L35" i="12"/>
  <c r="P19" i="12"/>
  <c r="H26" i="12"/>
  <c r="AD24" i="12"/>
  <c r="AD25" i="12"/>
  <c r="X29" i="12"/>
  <c r="P22" i="12"/>
  <c r="P23" i="12"/>
  <c r="X23" i="12"/>
  <c r="V31" i="12"/>
  <c r="P35" i="12"/>
  <c r="J14" i="12"/>
  <c r="Z24" i="12"/>
  <c r="R29" i="12"/>
  <c r="V26" i="12"/>
  <c r="H17" i="12"/>
  <c r="T16" i="12"/>
  <c r="Z25" i="12"/>
  <c r="P33" i="12"/>
  <c r="P26" i="12"/>
  <c r="AD27" i="12"/>
  <c r="H23" i="12"/>
  <c r="Z31" i="12"/>
  <c r="R39" i="12"/>
  <c r="R21" i="12"/>
  <c r="T30" i="12"/>
  <c r="R19" i="12"/>
  <c r="P27" i="12"/>
  <c r="X16" i="12"/>
  <c r="Z23" i="12"/>
  <c r="V35" i="12"/>
  <c r="T17" i="12"/>
  <c r="X22" i="12"/>
  <c r="P24" i="12"/>
  <c r="T19" i="12"/>
  <c r="T34" i="12"/>
  <c r="AD28" i="12"/>
  <c r="AD37" i="12"/>
  <c r="L34" i="12"/>
  <c r="Z39" i="12"/>
  <c r="L36" i="12"/>
  <c r="L24" i="12"/>
  <c r="T28" i="12"/>
  <c r="V16" i="12"/>
  <c r="V18" i="12"/>
  <c r="J33" i="12"/>
  <c r="T31" i="12"/>
  <c r="H37" i="12"/>
  <c r="Z40" i="12"/>
  <c r="J19" i="12"/>
  <c r="R23" i="12"/>
  <c r="V28" i="12"/>
  <c r="N27" i="12"/>
  <c r="AD23" i="12"/>
  <c r="H32" i="12"/>
  <c r="X18" i="12"/>
  <c r="H27" i="12"/>
  <c r="T21" i="12"/>
  <c r="H15" i="12"/>
  <c r="AD31" i="12"/>
  <c r="P17" i="12"/>
  <c r="T26" i="12"/>
  <c r="T25" i="12"/>
  <c r="Z20" i="12"/>
  <c r="L40" i="12"/>
  <c r="Z14" i="12"/>
  <c r="L23" i="12"/>
  <c r="T32" i="12"/>
  <c r="X32" i="12"/>
  <c r="R26" i="12"/>
  <c r="Z36" i="12"/>
  <c r="R28" i="12"/>
  <c r="N23" i="12"/>
  <c r="V29" i="12"/>
  <c r="T15" i="12"/>
  <c r="R15" i="12"/>
  <c r="AD32" i="12"/>
  <c r="N33" i="12"/>
  <c r="X20" i="12"/>
  <c r="J30" i="12"/>
  <c r="R18" i="12"/>
  <c r="X27" i="12"/>
  <c r="J36" i="12"/>
  <c r="R34" i="12"/>
  <c r="H31" i="12"/>
  <c r="T23" i="12"/>
  <c r="J32" i="12"/>
  <c r="V40" i="12"/>
  <c r="H33" i="12"/>
  <c r="Z34" i="12"/>
  <c r="N16" i="12"/>
  <c r="J37" i="12"/>
  <c r="AD18" i="12"/>
  <c r="AD35" i="12"/>
  <c r="V19" i="12"/>
  <c r="N28" i="12"/>
  <c r="T29" i="12"/>
  <c r="R38" i="12"/>
  <c r="H29" i="12"/>
  <c r="Z28" i="12"/>
  <c r="R35" i="12"/>
  <c r="H20" i="12"/>
  <c r="T36" i="12"/>
  <c r="V30" i="12"/>
  <c r="Z29" i="12"/>
  <c r="R22" i="12"/>
  <c r="R24" i="12"/>
  <c r="T37" i="12"/>
  <c r="R32" i="12"/>
  <c r="AD36" i="12"/>
  <c r="V24" i="12"/>
  <c r="X15" i="12"/>
  <c r="N40" i="12"/>
  <c r="P16" i="12"/>
  <c r="X35" i="12"/>
  <c r="N29" i="12"/>
  <c r="T22" i="12"/>
  <c r="J22" i="12"/>
  <c r="N26" i="12"/>
  <c r="V27" i="12"/>
  <c r="J38" i="12"/>
  <c r="V39" i="12"/>
  <c r="T40" i="12"/>
  <c r="L14" i="12"/>
  <c r="J39" i="12"/>
  <c r="AD14" i="12"/>
  <c r="AD39" i="12"/>
  <c r="H40" i="12"/>
  <c r="J26" i="12"/>
  <c r="Z35" i="12"/>
  <c r="J29" i="12"/>
  <c r="X31" i="12"/>
  <c r="AD30" i="12"/>
  <c r="AD33" i="12"/>
  <c r="R16" i="12"/>
  <c r="X37" i="12"/>
  <c r="L20" i="12"/>
  <c r="L28" i="12"/>
  <c r="L16" i="12"/>
  <c r="N21" i="12"/>
  <c r="N18" i="12"/>
  <c r="T39" i="12"/>
  <c r="Z33" i="12"/>
  <c r="R25" i="12"/>
  <c r="V37" i="12"/>
  <c r="V14" i="12"/>
  <c r="V33" i="12"/>
  <c r="N30" i="12"/>
  <c r="V32" i="12"/>
  <c r="N38" i="12"/>
  <c r="AD40" i="12"/>
  <c r="L27" i="12"/>
  <c r="L29" i="12"/>
  <c r="H25" i="12"/>
  <c r="X26" i="12"/>
  <c r="J15" i="12"/>
  <c r="T24" i="12"/>
  <c r="X25" i="12"/>
  <c r="N37" i="12"/>
  <c r="V20" i="12"/>
  <c r="N34" i="12"/>
  <c r="P25" i="12"/>
  <c r="V23" i="12"/>
  <c r="L26" i="12"/>
  <c r="T27" i="12"/>
  <c r="Z32" i="12"/>
  <c r="X39" i="12"/>
  <c r="P29" i="12"/>
  <c r="L15" i="12"/>
  <c r="R17" i="12"/>
  <c r="Z18" i="12"/>
  <c r="R27" i="12"/>
  <c r="R36" i="12"/>
  <c r="N22" i="12"/>
  <c r="P37" i="12"/>
  <c r="Z19" i="12"/>
  <c r="H19" i="12"/>
  <c r="T20" i="12"/>
  <c r="N32" i="12"/>
  <c r="AD21" i="12"/>
  <c r="H38" i="12"/>
  <c r="L32" i="12"/>
  <c r="T18" i="12"/>
  <c r="L25" i="12"/>
  <c r="J28" i="12"/>
  <c r="X40" i="12"/>
  <c r="Z17" i="12"/>
  <c r="V38" i="12"/>
  <c r="Z30" i="12"/>
  <c r="N25" i="12"/>
  <c r="H30" i="12"/>
  <c r="H28" i="12"/>
  <c r="L37" i="12"/>
  <c r="J34" i="12"/>
  <c r="F34" i="12"/>
  <c r="D34" i="12"/>
  <c r="F17" i="12"/>
  <c r="D17" i="12"/>
  <c r="J16" i="12"/>
  <c r="D16" i="12"/>
  <c r="F16" i="12"/>
  <c r="F26" i="12"/>
  <c r="D26" i="12"/>
  <c r="J27" i="12"/>
  <c r="D27" i="12"/>
  <c r="F27" i="12"/>
  <c r="J21" i="12"/>
  <c r="F21" i="12"/>
  <c r="D21" i="12"/>
  <c r="F20" i="12"/>
  <c r="D20" i="12"/>
  <c r="D18" i="12"/>
  <c r="F18" i="12"/>
  <c r="D25" i="12"/>
  <c r="F25" i="12"/>
  <c r="F35" i="12"/>
  <c r="D35" i="12"/>
  <c r="F19" i="12"/>
  <c r="D19" i="12"/>
  <c r="F22" i="12"/>
  <c r="D22" i="12"/>
  <c r="F38" i="12"/>
  <c r="F24" i="12"/>
  <c r="D64" i="12"/>
  <c r="F64" i="12"/>
  <c r="F55" i="12"/>
  <c r="F36" i="12"/>
  <c r="F30" i="12"/>
  <c r="D61" i="12"/>
  <c r="F61" i="12"/>
  <c r="D39" i="12"/>
  <c r="F39" i="12"/>
  <c r="D33" i="12"/>
  <c r="F37" i="12"/>
  <c r="F23" i="12"/>
  <c r="F31" i="12"/>
  <c r="F72" i="12"/>
  <c r="F62" i="12"/>
  <c r="F32" i="12"/>
  <c r="F29" i="12"/>
  <c r="F63" i="12"/>
  <c r="F45" i="12"/>
  <c r="F71" i="12"/>
  <c r="F28" i="12"/>
  <c r="F41" i="12"/>
  <c r="F15" i="12"/>
  <c r="N14" i="12"/>
  <c r="D14" i="12"/>
  <c r="D41" i="12"/>
  <c r="J40" i="12"/>
  <c r="D40" i="12"/>
  <c r="AH83" i="12"/>
  <c r="AH104" i="12"/>
  <c r="AG10" i="12"/>
  <c r="K29" i="8" s="1"/>
  <c r="AI114" i="12"/>
  <c r="AI130" i="12"/>
  <c r="AI119" i="12"/>
  <c r="AI135" i="12"/>
  <c r="AI112" i="12"/>
  <c r="AI128" i="12"/>
  <c r="AI80" i="12"/>
  <c r="AI77" i="12"/>
  <c r="B77" i="12" s="1"/>
  <c r="J77" i="12" s="1"/>
  <c r="AI118" i="12"/>
  <c r="AI134" i="12"/>
  <c r="AI107" i="12"/>
  <c r="AI123" i="12"/>
  <c r="AI116" i="12"/>
  <c r="AI132" i="12"/>
  <c r="AI117" i="12"/>
  <c r="AI105" i="12"/>
  <c r="AI129" i="12"/>
  <c r="AI113" i="12"/>
  <c r="AI101" i="12"/>
  <c r="AI82" i="12"/>
  <c r="AI106" i="12"/>
  <c r="AI122" i="12"/>
  <c r="AI104" i="12"/>
  <c r="AI111" i="12"/>
  <c r="AI127" i="12"/>
  <c r="AI120" i="12"/>
  <c r="AI133" i="12"/>
  <c r="AI121" i="12"/>
  <c r="AI109" i="12"/>
  <c r="AI79" i="12"/>
  <c r="AI78" i="12"/>
  <c r="AI110" i="12"/>
  <c r="AI126" i="12"/>
  <c r="AI115" i="12"/>
  <c r="AI131" i="12"/>
  <c r="AI108" i="12"/>
  <c r="AI124" i="12"/>
  <c r="AI125" i="12"/>
  <c r="AI83" i="12"/>
  <c r="B83" i="12" s="1"/>
  <c r="AI81" i="12"/>
  <c r="AH77" i="12"/>
  <c r="AG9" i="12"/>
  <c r="AH119" i="12"/>
  <c r="M8" i="8"/>
  <c r="S9" i="12" l="1"/>
  <c r="J22" i="8" s="1"/>
  <c r="U9" i="12"/>
  <c r="J23" i="8" s="1"/>
  <c r="Q9" i="12"/>
  <c r="J21" i="8" s="1"/>
  <c r="W9" i="12"/>
  <c r="J24" i="8" s="1"/>
  <c r="M29" i="8"/>
  <c r="F77" i="12"/>
  <c r="P77" i="12"/>
  <c r="B122" i="12"/>
  <c r="X122" i="12" s="1"/>
  <c r="B129" i="12"/>
  <c r="X129" i="12" s="1"/>
  <c r="B109" i="12"/>
  <c r="X109" i="12" s="1"/>
  <c r="B125" i="12"/>
  <c r="X125" i="12" s="1"/>
  <c r="B119" i="12"/>
  <c r="X119" i="12" s="1"/>
  <c r="B105" i="12"/>
  <c r="X105" i="12" s="1"/>
  <c r="B134" i="12"/>
  <c r="X134" i="12" s="1"/>
  <c r="B130" i="12"/>
  <c r="X130" i="12" s="1"/>
  <c r="B135" i="12"/>
  <c r="X135" i="12" s="1"/>
  <c r="B123" i="12"/>
  <c r="X123" i="12" s="1"/>
  <c r="B128" i="12"/>
  <c r="X128" i="12" s="1"/>
  <c r="B133" i="12"/>
  <c r="X133" i="12" s="1"/>
  <c r="B110" i="12"/>
  <c r="X110" i="12" s="1"/>
  <c r="B132" i="12"/>
  <c r="X132" i="12" s="1"/>
  <c r="B127" i="12"/>
  <c r="X127" i="12" s="1"/>
  <c r="B121" i="12"/>
  <c r="X121" i="12" s="1"/>
  <c r="B120" i="12"/>
  <c r="X120" i="12" s="1"/>
  <c r="B131" i="12"/>
  <c r="X131" i="12" s="1"/>
  <c r="B81" i="12"/>
  <c r="J81" i="12" s="1"/>
  <c r="B78" i="12"/>
  <c r="J78" i="12" s="1"/>
  <c r="B115" i="12"/>
  <c r="X115" i="12" s="1"/>
  <c r="B106" i="12"/>
  <c r="X106" i="12" s="1"/>
  <c r="B113" i="12"/>
  <c r="X113" i="12" s="1"/>
  <c r="B118" i="12"/>
  <c r="X118" i="12" s="1"/>
  <c r="B112" i="12"/>
  <c r="X112" i="12" s="1"/>
  <c r="B101" i="12"/>
  <c r="J101" i="12" s="1"/>
  <c r="B82" i="12"/>
  <c r="J82" i="12" s="1"/>
  <c r="B117" i="12"/>
  <c r="X117" i="12" s="1"/>
  <c r="B104" i="12"/>
  <c r="X104" i="12" s="1"/>
  <c r="B114" i="12"/>
  <c r="X114" i="12" s="1"/>
  <c r="B124" i="12"/>
  <c r="X124" i="12" s="1"/>
  <c r="B107" i="12"/>
  <c r="X107" i="12" s="1"/>
  <c r="B80" i="12"/>
  <c r="J80" i="12" s="1"/>
  <c r="B108" i="12"/>
  <c r="X108" i="12" s="1"/>
  <c r="B126" i="12"/>
  <c r="X126" i="12" s="1"/>
  <c r="B111" i="12"/>
  <c r="X111" i="12" s="1"/>
  <c r="B116" i="12"/>
  <c r="X116" i="12" s="1"/>
  <c r="AF77" i="12"/>
  <c r="B79" i="12"/>
  <c r="J79" i="12" s="1"/>
  <c r="W10" i="12" l="1"/>
  <c r="J108" i="12"/>
  <c r="T108" i="12"/>
  <c r="R108" i="12"/>
  <c r="V108" i="12"/>
  <c r="T104" i="12"/>
  <c r="R104" i="12"/>
  <c r="V104" i="12"/>
  <c r="V112" i="12"/>
  <c r="T112" i="12"/>
  <c r="R112" i="12"/>
  <c r="V115" i="12"/>
  <c r="T115" i="12"/>
  <c r="R115" i="12"/>
  <c r="J120" i="12"/>
  <c r="V120" i="12"/>
  <c r="T120" i="12"/>
  <c r="R120" i="12"/>
  <c r="V110" i="12"/>
  <c r="T110" i="12"/>
  <c r="R110" i="12"/>
  <c r="V135" i="12"/>
  <c r="R135" i="12"/>
  <c r="T135" i="12"/>
  <c r="T119" i="12"/>
  <c r="R119" i="12"/>
  <c r="V119" i="12"/>
  <c r="J122" i="12"/>
  <c r="T122" i="12"/>
  <c r="R122" i="12"/>
  <c r="V122" i="12"/>
  <c r="T111" i="12"/>
  <c r="V111" i="12"/>
  <c r="R111" i="12"/>
  <c r="T107" i="12"/>
  <c r="R107" i="12"/>
  <c r="V107" i="12"/>
  <c r="J117" i="12"/>
  <c r="R117" i="12"/>
  <c r="V117" i="12"/>
  <c r="T117" i="12"/>
  <c r="J118" i="12"/>
  <c r="R118" i="12"/>
  <c r="V118" i="12"/>
  <c r="T118" i="12"/>
  <c r="T121" i="12"/>
  <c r="V121" i="12"/>
  <c r="R121" i="12"/>
  <c r="J133" i="12"/>
  <c r="T133" i="12"/>
  <c r="V133" i="12"/>
  <c r="R133" i="12"/>
  <c r="R130" i="12"/>
  <c r="V130" i="12"/>
  <c r="T130" i="12"/>
  <c r="R125" i="12"/>
  <c r="T125" i="12"/>
  <c r="V125" i="12"/>
  <c r="V116" i="12"/>
  <c r="R116" i="12"/>
  <c r="T116" i="12"/>
  <c r="R126" i="12"/>
  <c r="V126" i="12"/>
  <c r="T126" i="12"/>
  <c r="T124" i="12"/>
  <c r="R124" i="12"/>
  <c r="V124" i="12"/>
  <c r="J113" i="12"/>
  <c r="R113" i="12"/>
  <c r="V113" i="12"/>
  <c r="T113" i="12"/>
  <c r="R127" i="12"/>
  <c r="V127" i="12"/>
  <c r="T127" i="12"/>
  <c r="J128" i="12"/>
  <c r="R128" i="12"/>
  <c r="T128" i="12"/>
  <c r="V128" i="12"/>
  <c r="J134" i="12"/>
  <c r="R134" i="12"/>
  <c r="T134" i="12"/>
  <c r="V134" i="12"/>
  <c r="V109" i="12"/>
  <c r="T109" i="12"/>
  <c r="R109" i="12"/>
  <c r="V114" i="12"/>
  <c r="T114" i="12"/>
  <c r="R114" i="12"/>
  <c r="V106" i="12"/>
  <c r="T106" i="12"/>
  <c r="R106" i="12"/>
  <c r="R131" i="12"/>
  <c r="T131" i="12"/>
  <c r="V131" i="12"/>
  <c r="J132" i="12"/>
  <c r="V132" i="12"/>
  <c r="R132" i="12"/>
  <c r="T132" i="12"/>
  <c r="R123" i="12"/>
  <c r="T123" i="12"/>
  <c r="V123" i="12"/>
  <c r="R105" i="12"/>
  <c r="V105" i="12"/>
  <c r="T105" i="12"/>
  <c r="J129" i="12"/>
  <c r="T129" i="12"/>
  <c r="V129" i="12"/>
  <c r="R129" i="12"/>
  <c r="I9" i="12"/>
  <c r="P106" i="12"/>
  <c r="J106" i="12"/>
  <c r="P131" i="12"/>
  <c r="J131" i="12"/>
  <c r="P111" i="12"/>
  <c r="J111" i="12"/>
  <c r="P104" i="12"/>
  <c r="J104" i="12"/>
  <c r="P112" i="12"/>
  <c r="J112" i="12"/>
  <c r="P115" i="12"/>
  <c r="J115" i="12"/>
  <c r="P110" i="12"/>
  <c r="J110" i="12"/>
  <c r="P135" i="12"/>
  <c r="J135" i="12"/>
  <c r="P119" i="12"/>
  <c r="J119" i="12"/>
  <c r="P123" i="12"/>
  <c r="J123" i="12"/>
  <c r="P126" i="12"/>
  <c r="J126" i="12"/>
  <c r="P107" i="12"/>
  <c r="J107" i="12"/>
  <c r="P121" i="12"/>
  <c r="J121" i="12"/>
  <c r="P130" i="12"/>
  <c r="J130" i="12"/>
  <c r="P125" i="12"/>
  <c r="J125" i="12"/>
  <c r="P116" i="12"/>
  <c r="J116" i="12"/>
  <c r="P114" i="12"/>
  <c r="J114" i="12"/>
  <c r="P105" i="12"/>
  <c r="J105" i="12"/>
  <c r="P124" i="12"/>
  <c r="J124" i="12"/>
  <c r="P127" i="12"/>
  <c r="J127" i="12"/>
  <c r="P109" i="12"/>
  <c r="J109" i="12"/>
  <c r="AF83" i="12"/>
  <c r="AF101" i="12"/>
  <c r="P101" i="12"/>
  <c r="AF132" i="12"/>
  <c r="P132" i="12"/>
  <c r="AF129" i="12"/>
  <c r="P129" i="12"/>
  <c r="AF120" i="12"/>
  <c r="P120" i="12"/>
  <c r="AF122" i="12"/>
  <c r="P122" i="12"/>
  <c r="AF117" i="12"/>
  <c r="P117" i="12"/>
  <c r="AF118" i="12"/>
  <c r="P118" i="12"/>
  <c r="AF78" i="12"/>
  <c r="P78" i="12"/>
  <c r="AF133" i="12"/>
  <c r="P133" i="12"/>
  <c r="AF80" i="12"/>
  <c r="P80" i="12"/>
  <c r="AF79" i="12"/>
  <c r="P79" i="12"/>
  <c r="AF108" i="12"/>
  <c r="P108" i="12"/>
  <c r="AF82" i="12"/>
  <c r="P82" i="12"/>
  <c r="AF113" i="12"/>
  <c r="P113" i="12"/>
  <c r="AF81" i="12"/>
  <c r="P81" i="12"/>
  <c r="AF128" i="12"/>
  <c r="P128" i="12"/>
  <c r="AF134" i="12"/>
  <c r="P134" i="12"/>
  <c r="AF124" i="12"/>
  <c r="D124" i="12"/>
  <c r="AF127" i="12"/>
  <c r="D127" i="12"/>
  <c r="AF131" i="12"/>
  <c r="D131" i="12"/>
  <c r="AF123" i="12"/>
  <c r="D123" i="12"/>
  <c r="AF111" i="12"/>
  <c r="D111" i="12"/>
  <c r="AF104" i="12"/>
  <c r="D104" i="12"/>
  <c r="AF112" i="12"/>
  <c r="D112" i="12"/>
  <c r="AF115" i="12"/>
  <c r="D115" i="12"/>
  <c r="AF110" i="12"/>
  <c r="D110" i="12"/>
  <c r="AF135" i="12"/>
  <c r="D135" i="12"/>
  <c r="AF119" i="12"/>
  <c r="D119" i="12"/>
  <c r="AF109" i="12"/>
  <c r="D109" i="12"/>
  <c r="AF116" i="12"/>
  <c r="D116" i="12"/>
  <c r="AF114" i="12"/>
  <c r="D114" i="12"/>
  <c r="AF106" i="12"/>
  <c r="D106" i="12"/>
  <c r="AF105" i="12"/>
  <c r="D105" i="12"/>
  <c r="AF126" i="12"/>
  <c r="D126" i="12"/>
  <c r="AF107" i="12"/>
  <c r="D107" i="12"/>
  <c r="AF121" i="12"/>
  <c r="D121" i="12"/>
  <c r="AF130" i="12"/>
  <c r="D130" i="12"/>
  <c r="AF125" i="12"/>
  <c r="D125" i="12"/>
  <c r="AJ116" i="12"/>
  <c r="AJ108" i="12"/>
  <c r="AE9" i="12"/>
  <c r="AJ111" i="12"/>
  <c r="AJ126" i="12"/>
  <c r="AJ112" i="12"/>
  <c r="AJ121" i="12"/>
  <c r="AJ109" i="12"/>
  <c r="AJ119" i="12"/>
  <c r="AJ101" i="12"/>
  <c r="AJ115" i="12"/>
  <c r="AJ124" i="12"/>
  <c r="AJ82" i="12"/>
  <c r="AJ78" i="12"/>
  <c r="AJ114" i="12"/>
  <c r="AJ117" i="12"/>
  <c r="AJ134" i="12"/>
  <c r="AJ122" i="12"/>
  <c r="AJ118" i="12"/>
  <c r="AJ127" i="12"/>
  <c r="AJ131" i="12"/>
  <c r="AJ129" i="12"/>
  <c r="AJ80" i="12"/>
  <c r="AJ113" i="12"/>
  <c r="AJ135" i="12"/>
  <c r="AJ123" i="12"/>
  <c r="AJ133" i="12"/>
  <c r="AJ83" i="12"/>
  <c r="AJ77" i="12"/>
  <c r="AJ104" i="12"/>
  <c r="AJ132" i="12"/>
  <c r="AJ120" i="12"/>
  <c r="AJ125" i="12"/>
  <c r="AJ130" i="12"/>
  <c r="AJ107" i="12"/>
  <c r="AJ106" i="12"/>
  <c r="AJ110" i="12"/>
  <c r="AJ128" i="12"/>
  <c r="AJ105" i="12"/>
  <c r="AJ79" i="12"/>
  <c r="AJ81" i="12"/>
  <c r="AE10" i="12"/>
  <c r="K28" i="8" s="1"/>
  <c r="AB80" i="12"/>
  <c r="AD80" i="12"/>
  <c r="AB111" i="12"/>
  <c r="AD111" i="12"/>
  <c r="AB126" i="12"/>
  <c r="AD126" i="12"/>
  <c r="AB107" i="12"/>
  <c r="AD107" i="12"/>
  <c r="AB112" i="12"/>
  <c r="AD112" i="12"/>
  <c r="AB131" i="12"/>
  <c r="AD131" i="12"/>
  <c r="AB127" i="12"/>
  <c r="AD127" i="12"/>
  <c r="AB128" i="12"/>
  <c r="AD128" i="12"/>
  <c r="AB130" i="12"/>
  <c r="AD130" i="12"/>
  <c r="AB129" i="12"/>
  <c r="AD129" i="12"/>
  <c r="AB124" i="12"/>
  <c r="AD124" i="12"/>
  <c r="AB114" i="12"/>
  <c r="AD114" i="12"/>
  <c r="AB115" i="12"/>
  <c r="AD115" i="12"/>
  <c r="AB132" i="12"/>
  <c r="AD132" i="12"/>
  <c r="AB134" i="12"/>
  <c r="AD134" i="12"/>
  <c r="AB122" i="12"/>
  <c r="AD122" i="12"/>
  <c r="AB79" i="12"/>
  <c r="AD79" i="12"/>
  <c r="AB116" i="12"/>
  <c r="AD116" i="12"/>
  <c r="AB108" i="12"/>
  <c r="AD108" i="12"/>
  <c r="AB83" i="12"/>
  <c r="AD83" i="12"/>
  <c r="AB104" i="12"/>
  <c r="AD104" i="12"/>
  <c r="AB118" i="12"/>
  <c r="AD118" i="12"/>
  <c r="AB113" i="12"/>
  <c r="AD113" i="12"/>
  <c r="AB78" i="12"/>
  <c r="AD78" i="12"/>
  <c r="AB121" i="12"/>
  <c r="AD121" i="12"/>
  <c r="AB110" i="12"/>
  <c r="AD110" i="12"/>
  <c r="AB123" i="12"/>
  <c r="AD123" i="12"/>
  <c r="AB105" i="12"/>
  <c r="AD105" i="12"/>
  <c r="AB125" i="12"/>
  <c r="AD125" i="12"/>
  <c r="AB77" i="12"/>
  <c r="AD77" i="12"/>
  <c r="AB117" i="12"/>
  <c r="AD117" i="12"/>
  <c r="AB82" i="12"/>
  <c r="AD82" i="12"/>
  <c r="AB101" i="12"/>
  <c r="AD101" i="12"/>
  <c r="AB106" i="12"/>
  <c r="AD106" i="12"/>
  <c r="AB81" i="12"/>
  <c r="AD81" i="12"/>
  <c r="AB120" i="12"/>
  <c r="AD120" i="12"/>
  <c r="AB133" i="12"/>
  <c r="AD133" i="12"/>
  <c r="AB135" i="12"/>
  <c r="AD135" i="12"/>
  <c r="AB119" i="12"/>
  <c r="AD119" i="12"/>
  <c r="AB109" i="12"/>
  <c r="AD109" i="12"/>
  <c r="Z126" i="12"/>
  <c r="Z107" i="12"/>
  <c r="Z112" i="12"/>
  <c r="Z128" i="12"/>
  <c r="Z129" i="12"/>
  <c r="Z124" i="12"/>
  <c r="Z114" i="12"/>
  <c r="Z115" i="12"/>
  <c r="Z132" i="12"/>
  <c r="Z134" i="12"/>
  <c r="Z122" i="12"/>
  <c r="Z77" i="12"/>
  <c r="Z111" i="12"/>
  <c r="Z131" i="12"/>
  <c r="Z127" i="12"/>
  <c r="Z130" i="12"/>
  <c r="Z79" i="12"/>
  <c r="Z116" i="12"/>
  <c r="Z108" i="12"/>
  <c r="Z83" i="12"/>
  <c r="Z104" i="12"/>
  <c r="Z118" i="12"/>
  <c r="Z113" i="12"/>
  <c r="Z78" i="12"/>
  <c r="Z121" i="12"/>
  <c r="Z110" i="12"/>
  <c r="Z123" i="12"/>
  <c r="Z105" i="12"/>
  <c r="Z125" i="12"/>
  <c r="Z80" i="12"/>
  <c r="Z117" i="12"/>
  <c r="Z82" i="12"/>
  <c r="Z101" i="12"/>
  <c r="Z106" i="12"/>
  <c r="Z81" i="12"/>
  <c r="Z120" i="12"/>
  <c r="Z133" i="12"/>
  <c r="Z135" i="12"/>
  <c r="Z119" i="12"/>
  <c r="Z109" i="12"/>
  <c r="L107" i="12"/>
  <c r="N107" i="12"/>
  <c r="L130" i="12"/>
  <c r="N130" i="12"/>
  <c r="L111" i="12"/>
  <c r="N111" i="12"/>
  <c r="L112" i="12"/>
  <c r="N112" i="12"/>
  <c r="L127" i="12"/>
  <c r="N127" i="12"/>
  <c r="L132" i="12"/>
  <c r="N132" i="12"/>
  <c r="L131" i="12"/>
  <c r="N131" i="12"/>
  <c r="L128" i="12"/>
  <c r="N128" i="12"/>
  <c r="L129" i="12"/>
  <c r="N129" i="12"/>
  <c r="L114" i="12"/>
  <c r="N114" i="12"/>
  <c r="L115" i="12"/>
  <c r="N115" i="12"/>
  <c r="L122" i="12"/>
  <c r="N122" i="12"/>
  <c r="L79" i="12"/>
  <c r="N79" i="12"/>
  <c r="L116" i="12"/>
  <c r="N116" i="12"/>
  <c r="L108" i="12"/>
  <c r="N108" i="12"/>
  <c r="L104" i="12"/>
  <c r="N104" i="12"/>
  <c r="L118" i="12"/>
  <c r="N118" i="12"/>
  <c r="L113" i="12"/>
  <c r="N113" i="12"/>
  <c r="L78" i="12"/>
  <c r="N78" i="12"/>
  <c r="L121" i="12"/>
  <c r="N121" i="12"/>
  <c r="L110" i="12"/>
  <c r="N110" i="12"/>
  <c r="L123" i="12"/>
  <c r="N123" i="12"/>
  <c r="L105" i="12"/>
  <c r="N105" i="12"/>
  <c r="L125" i="12"/>
  <c r="N125" i="12"/>
  <c r="L126" i="12"/>
  <c r="N126" i="12"/>
  <c r="L124" i="12"/>
  <c r="N124" i="12"/>
  <c r="L134" i="12"/>
  <c r="N134" i="12"/>
  <c r="L77" i="12"/>
  <c r="N77" i="12"/>
  <c r="L80" i="12"/>
  <c r="N80" i="12"/>
  <c r="L117" i="12"/>
  <c r="N117" i="12"/>
  <c r="L82" i="12"/>
  <c r="N82" i="12"/>
  <c r="L101" i="12"/>
  <c r="N101" i="12"/>
  <c r="L106" i="12"/>
  <c r="N106" i="12"/>
  <c r="L81" i="12"/>
  <c r="N81" i="12"/>
  <c r="L120" i="12"/>
  <c r="N120" i="12"/>
  <c r="L133" i="12"/>
  <c r="N133" i="12"/>
  <c r="L135" i="12"/>
  <c r="N135" i="12"/>
  <c r="L119" i="12"/>
  <c r="N119" i="12"/>
  <c r="L109" i="12"/>
  <c r="N109" i="12"/>
  <c r="D80" i="12"/>
  <c r="F80" i="12"/>
  <c r="H80" i="12"/>
  <c r="H111" i="12"/>
  <c r="F111" i="12"/>
  <c r="F126" i="12"/>
  <c r="H126" i="12"/>
  <c r="H107" i="12"/>
  <c r="F107" i="12"/>
  <c r="H112" i="12"/>
  <c r="F112" i="12"/>
  <c r="H131" i="12"/>
  <c r="F131" i="12"/>
  <c r="H127" i="12"/>
  <c r="F127" i="12"/>
  <c r="D128" i="12"/>
  <c r="H128" i="12"/>
  <c r="F128" i="12"/>
  <c r="H130" i="12"/>
  <c r="F130" i="12"/>
  <c r="D129" i="12"/>
  <c r="F129" i="12"/>
  <c r="H129" i="12"/>
  <c r="F124" i="12"/>
  <c r="H124" i="12"/>
  <c r="H114" i="12"/>
  <c r="F114" i="12"/>
  <c r="F115" i="12"/>
  <c r="H115" i="12"/>
  <c r="D132" i="12"/>
  <c r="F132" i="12"/>
  <c r="H132" i="12"/>
  <c r="D134" i="12"/>
  <c r="F134" i="12"/>
  <c r="H134" i="12"/>
  <c r="D122" i="12"/>
  <c r="H122" i="12"/>
  <c r="F122" i="12"/>
  <c r="D79" i="12"/>
  <c r="F79" i="12"/>
  <c r="H79" i="12"/>
  <c r="H116" i="12"/>
  <c r="F116" i="12"/>
  <c r="D108" i="12"/>
  <c r="H108" i="12"/>
  <c r="F108" i="12"/>
  <c r="F104" i="12"/>
  <c r="H104" i="12"/>
  <c r="D118" i="12"/>
  <c r="F118" i="12"/>
  <c r="H118" i="12"/>
  <c r="D113" i="12"/>
  <c r="H113" i="12"/>
  <c r="F113" i="12"/>
  <c r="D78" i="12"/>
  <c r="F78" i="12"/>
  <c r="H78" i="12"/>
  <c r="H121" i="12"/>
  <c r="F121" i="12"/>
  <c r="H110" i="12"/>
  <c r="F110" i="12"/>
  <c r="F123" i="12"/>
  <c r="H123" i="12"/>
  <c r="F105" i="12"/>
  <c r="H105" i="12"/>
  <c r="H125" i="12"/>
  <c r="F125" i="12"/>
  <c r="D77" i="12"/>
  <c r="H77" i="12"/>
  <c r="D117" i="12"/>
  <c r="F117" i="12"/>
  <c r="H117" i="12"/>
  <c r="D82" i="12"/>
  <c r="F82" i="12"/>
  <c r="H82" i="12"/>
  <c r="D101" i="12"/>
  <c r="F101" i="12"/>
  <c r="H101" i="12"/>
  <c r="H106" i="12"/>
  <c r="F106" i="12"/>
  <c r="D81" i="12"/>
  <c r="H81" i="12"/>
  <c r="F81" i="12"/>
  <c r="D120" i="12"/>
  <c r="H120" i="12"/>
  <c r="F120" i="12"/>
  <c r="D133" i="12"/>
  <c r="H133" i="12"/>
  <c r="F133" i="12"/>
  <c r="H135" i="12"/>
  <c r="F135" i="12"/>
  <c r="F119" i="12"/>
  <c r="H119" i="12"/>
  <c r="F109" i="12"/>
  <c r="H109" i="12"/>
  <c r="C9" i="12" l="1"/>
  <c r="J14" i="8" s="1"/>
  <c r="G10" i="12"/>
  <c r="K16" i="8" s="1"/>
  <c r="AC10" i="12"/>
  <c r="O10" i="12"/>
  <c r="K20" i="8" s="1"/>
  <c r="U10" i="12"/>
  <c r="K23" i="8" s="1"/>
  <c r="K10" i="12"/>
  <c r="K18" i="8" s="1"/>
  <c r="Y10" i="12"/>
  <c r="K25" i="8" s="1"/>
  <c r="Q10" i="12"/>
  <c r="K21" i="8" s="1"/>
  <c r="M10" i="12"/>
  <c r="K19" i="8" s="1"/>
  <c r="S10" i="12"/>
  <c r="K22" i="8" s="1"/>
  <c r="E10" i="12"/>
  <c r="K15" i="8" s="1"/>
  <c r="C10" i="12"/>
  <c r="Y9" i="12"/>
  <c r="J25" i="8" s="1"/>
  <c r="AC9" i="12"/>
  <c r="J27" i="8" s="1"/>
  <c r="K24" i="8"/>
  <c r="M24" i="8" s="1"/>
  <c r="W11" i="12"/>
  <c r="E9" i="12"/>
  <c r="J15" i="8" s="1"/>
  <c r="M9" i="12"/>
  <c r="J19" i="8" s="1"/>
  <c r="O9" i="12"/>
  <c r="J20" i="8" s="1"/>
  <c r="G9" i="12"/>
  <c r="J16" i="8" s="1"/>
  <c r="K9" i="12"/>
  <c r="J18" i="8" s="1"/>
  <c r="K14" i="8"/>
  <c r="AI10" i="12"/>
  <c r="K30" i="8" s="1"/>
  <c r="AI9" i="12"/>
  <c r="K26" i="8"/>
  <c r="AE11" i="12"/>
  <c r="M28" i="8"/>
  <c r="K27" i="8"/>
  <c r="M20" i="8" l="1"/>
  <c r="K17" i="8"/>
  <c r="M17" i="8" s="1"/>
  <c r="I11" i="12"/>
  <c r="O11" i="12"/>
  <c r="M14" i="8"/>
  <c r="C11" i="12"/>
  <c r="M18" i="8"/>
  <c r="M30" i="8"/>
  <c r="AI11" i="12"/>
  <c r="U11" i="12"/>
  <c r="M23" i="8"/>
  <c r="AA11" i="12"/>
  <c r="M26" i="8"/>
  <c r="M27" i="8"/>
  <c r="AC11" i="12"/>
  <c r="M25" i="8"/>
  <c r="Y11" i="12"/>
  <c r="K11" i="12"/>
  <c r="M21" i="8"/>
  <c r="Q11" i="12"/>
  <c r="M19" i="8"/>
  <c r="M11" i="12"/>
  <c r="M22" i="8"/>
  <c r="S11" i="12"/>
  <c r="M16" i="8"/>
  <c r="G11" i="12"/>
  <c r="M15" i="8"/>
  <c r="E11" i="12"/>
  <c r="T14" i="8" l="1"/>
  <c r="T18" i="8"/>
  <c r="T20" i="8"/>
  <c r="T25" i="8"/>
  <c r="T26" i="8"/>
  <c r="T19" i="8"/>
  <c r="T27" i="8"/>
  <c r="T17" i="8"/>
  <c r="T28" i="8"/>
  <c r="T24" i="8"/>
  <c r="T30" i="8"/>
  <c r="T23" i="8"/>
  <c r="T16" i="8"/>
  <c r="T15" i="8"/>
  <c r="T22" i="8"/>
  <c r="T21" i="8"/>
  <c r="T29" i="8"/>
  <c r="N24" i="8" l="1"/>
  <c r="N17" i="8"/>
  <c r="N14" i="8"/>
  <c r="N20" i="8"/>
  <c r="N30" i="8"/>
  <c r="N27" i="8"/>
  <c r="N28" i="8"/>
  <c r="N25" i="8"/>
  <c r="N26" i="8"/>
  <c r="N16" i="8"/>
  <c r="N21" i="8"/>
  <c r="N23" i="8"/>
  <c r="N18" i="8"/>
  <c r="N22" i="8"/>
  <c r="N19" i="8"/>
  <c r="N15" i="8"/>
</calcChain>
</file>

<file path=xl/comments1.xml><?xml version="1.0" encoding="utf-8"?>
<comments xmlns="http://schemas.openxmlformats.org/spreadsheetml/2006/main">
  <authors>
    <author>Gustavo</author>
  </authors>
  <commentList>
    <comment ref="T11" authorId="0" shapeId="0">
      <text>
        <r>
          <rPr>
            <b/>
            <sz val="9"/>
            <color indexed="81"/>
            <rFont val="Tahoma"/>
            <family val="2"/>
          </rPr>
          <t>Gustavo:</t>
        </r>
        <r>
          <rPr>
            <sz val="9"/>
            <color indexed="81"/>
            <rFont val="Tahoma"/>
            <family val="2"/>
          </rPr>
          <t xml:space="preserve">
Experiencia específica
</t>
        </r>
      </text>
    </comment>
    <comment ref="T33" authorId="0" shapeId="0">
      <text>
        <r>
          <rPr>
            <b/>
            <sz val="9"/>
            <color indexed="81"/>
            <rFont val="Tahoma"/>
            <family val="2"/>
          </rPr>
          <t>Gustavo:</t>
        </r>
        <r>
          <rPr>
            <sz val="9"/>
            <color indexed="81"/>
            <rFont val="Tahoma"/>
            <family val="2"/>
          </rPr>
          <t xml:space="preserve">
Experiencia específica
</t>
        </r>
      </text>
    </comment>
    <comment ref="T55" authorId="0" shapeId="0">
      <text>
        <r>
          <rPr>
            <b/>
            <sz val="9"/>
            <color indexed="81"/>
            <rFont val="Tahoma"/>
            <family val="2"/>
          </rPr>
          <t>Gustavo:</t>
        </r>
        <r>
          <rPr>
            <sz val="9"/>
            <color indexed="81"/>
            <rFont val="Tahoma"/>
            <family val="2"/>
          </rPr>
          <t xml:space="preserve">
Experiencia específica
</t>
        </r>
      </text>
    </comment>
    <comment ref="T77" authorId="0" shapeId="0">
      <text>
        <r>
          <rPr>
            <b/>
            <sz val="9"/>
            <color indexed="81"/>
            <rFont val="Tahoma"/>
            <family val="2"/>
          </rPr>
          <t>Gustavo:</t>
        </r>
        <r>
          <rPr>
            <sz val="9"/>
            <color indexed="81"/>
            <rFont val="Tahoma"/>
            <family val="2"/>
          </rPr>
          <t xml:space="preserve">
Experiencia específica
</t>
        </r>
      </text>
    </comment>
    <comment ref="T99" authorId="0" shapeId="0">
      <text>
        <r>
          <rPr>
            <b/>
            <sz val="9"/>
            <color indexed="81"/>
            <rFont val="Tahoma"/>
            <family val="2"/>
          </rPr>
          <t>Gustavo:</t>
        </r>
        <r>
          <rPr>
            <sz val="9"/>
            <color indexed="81"/>
            <rFont val="Tahoma"/>
            <family val="2"/>
          </rPr>
          <t xml:space="preserve">
Experiencia específica
</t>
        </r>
      </text>
    </comment>
    <comment ref="T121" authorId="0" shapeId="0">
      <text>
        <r>
          <rPr>
            <b/>
            <sz val="9"/>
            <color indexed="81"/>
            <rFont val="Tahoma"/>
            <family val="2"/>
          </rPr>
          <t>Gustavo:</t>
        </r>
        <r>
          <rPr>
            <sz val="9"/>
            <color indexed="81"/>
            <rFont val="Tahoma"/>
            <family val="2"/>
          </rPr>
          <t xml:space="preserve">
Experiencia específica
</t>
        </r>
      </text>
    </comment>
    <comment ref="T143" authorId="0" shapeId="0">
      <text>
        <r>
          <rPr>
            <b/>
            <sz val="9"/>
            <color indexed="81"/>
            <rFont val="Tahoma"/>
            <family val="2"/>
          </rPr>
          <t>Gustavo:</t>
        </r>
        <r>
          <rPr>
            <sz val="9"/>
            <color indexed="81"/>
            <rFont val="Tahoma"/>
            <family val="2"/>
          </rPr>
          <t xml:space="preserve">
Experiencia específica
</t>
        </r>
      </text>
    </comment>
    <comment ref="T165" authorId="0" shapeId="0">
      <text>
        <r>
          <rPr>
            <b/>
            <sz val="9"/>
            <color indexed="81"/>
            <rFont val="Tahoma"/>
            <family val="2"/>
          </rPr>
          <t>Gustavo:</t>
        </r>
        <r>
          <rPr>
            <sz val="9"/>
            <color indexed="81"/>
            <rFont val="Tahoma"/>
            <family val="2"/>
          </rPr>
          <t xml:space="preserve">
Experiencia específica
</t>
        </r>
      </text>
    </comment>
    <comment ref="T187" authorId="0" shapeId="0">
      <text>
        <r>
          <rPr>
            <b/>
            <sz val="9"/>
            <color indexed="81"/>
            <rFont val="Tahoma"/>
            <family val="2"/>
          </rPr>
          <t>Gustavo:</t>
        </r>
        <r>
          <rPr>
            <sz val="9"/>
            <color indexed="81"/>
            <rFont val="Tahoma"/>
            <family val="2"/>
          </rPr>
          <t xml:space="preserve">
Experiencia específica
</t>
        </r>
      </text>
    </comment>
    <comment ref="T209" authorId="0" shapeId="0">
      <text>
        <r>
          <rPr>
            <b/>
            <sz val="9"/>
            <color indexed="81"/>
            <rFont val="Tahoma"/>
            <family val="2"/>
          </rPr>
          <t>Gustavo:</t>
        </r>
        <r>
          <rPr>
            <sz val="9"/>
            <color indexed="81"/>
            <rFont val="Tahoma"/>
            <family val="2"/>
          </rPr>
          <t xml:space="preserve">
Experiencia específica
</t>
        </r>
      </text>
    </comment>
    <comment ref="T231" authorId="0" shapeId="0">
      <text>
        <r>
          <rPr>
            <b/>
            <sz val="9"/>
            <color indexed="81"/>
            <rFont val="Tahoma"/>
            <family val="2"/>
          </rPr>
          <t>Gustavo:</t>
        </r>
        <r>
          <rPr>
            <sz val="9"/>
            <color indexed="81"/>
            <rFont val="Tahoma"/>
            <family val="2"/>
          </rPr>
          <t xml:space="preserve">
Experiencia específica
</t>
        </r>
      </text>
    </comment>
    <comment ref="T253" authorId="0" shapeId="0">
      <text>
        <r>
          <rPr>
            <b/>
            <sz val="9"/>
            <color indexed="81"/>
            <rFont val="Tahoma"/>
            <family val="2"/>
          </rPr>
          <t>Gustavo:</t>
        </r>
        <r>
          <rPr>
            <sz val="9"/>
            <color indexed="81"/>
            <rFont val="Tahoma"/>
            <family val="2"/>
          </rPr>
          <t xml:space="preserve">
Experiencia específica
</t>
        </r>
      </text>
    </comment>
    <comment ref="T275" authorId="0" shapeId="0">
      <text>
        <r>
          <rPr>
            <b/>
            <sz val="9"/>
            <color indexed="81"/>
            <rFont val="Tahoma"/>
            <family val="2"/>
          </rPr>
          <t>Gustavo:</t>
        </r>
        <r>
          <rPr>
            <sz val="9"/>
            <color indexed="81"/>
            <rFont val="Tahoma"/>
            <family val="2"/>
          </rPr>
          <t xml:space="preserve">
Experiencia específica
</t>
        </r>
      </text>
    </comment>
    <comment ref="T297" authorId="0" shapeId="0">
      <text>
        <r>
          <rPr>
            <b/>
            <sz val="9"/>
            <color indexed="81"/>
            <rFont val="Tahoma"/>
            <family val="2"/>
          </rPr>
          <t>Gustavo:</t>
        </r>
        <r>
          <rPr>
            <sz val="9"/>
            <color indexed="81"/>
            <rFont val="Tahoma"/>
            <family val="2"/>
          </rPr>
          <t xml:space="preserve">
Experiencia específica
</t>
        </r>
      </text>
    </comment>
  </commentList>
</comments>
</file>

<file path=xl/comments2.xml><?xml version="1.0" encoding="utf-8"?>
<comments xmlns="http://schemas.openxmlformats.org/spreadsheetml/2006/main">
  <authors>
    <author>Gustavo</author>
  </authors>
  <commentList>
    <comment ref="D8" authorId="0" shapeId="0">
      <text>
        <r>
          <rPr>
            <b/>
            <sz val="9"/>
            <color indexed="81"/>
            <rFont val="Tahoma"/>
            <family val="2"/>
          </rPr>
          <t>Fecha de la TRM</t>
        </r>
      </text>
    </comment>
  </commentList>
</comments>
</file>

<file path=xl/sharedStrings.xml><?xml version="1.0" encoding="utf-8"?>
<sst xmlns="http://schemas.openxmlformats.org/spreadsheetml/2006/main" count="5262" uniqueCount="474">
  <si>
    <t>UNIVERSIDAD DE ANTIOQUIA</t>
  </si>
  <si>
    <t>OBJETO:</t>
  </si>
  <si>
    <t>NRO</t>
  </si>
  <si>
    <t>OFERENTE</t>
  </si>
  <si>
    <r>
      <rPr>
        <b/>
        <sz val="10"/>
        <rFont val="Arial"/>
        <family val="2"/>
      </rPr>
      <t>OBSERVACIÓN:</t>
    </r>
    <r>
      <rPr>
        <sz val="10"/>
        <rFont val="Arial"/>
        <family val="2"/>
      </rPr>
      <t xml:space="preserve">
</t>
    </r>
  </si>
  <si>
    <t>APERTURA DE SOBRES</t>
  </si>
  <si>
    <t>N°</t>
  </si>
  <si>
    <t>HORA DE RECIBIDO</t>
  </si>
  <si>
    <t>PROPONENTES</t>
  </si>
  <si>
    <t>NIT/CC</t>
  </si>
  <si>
    <t>OBSERVACIONES</t>
  </si>
  <si>
    <t>EVALUACIÓN DE REQUISITOS JURÍDICOS</t>
  </si>
  <si>
    <t>NIT O CÉDULA</t>
  </si>
  <si>
    <t>REQUISITOS JURÍDICOS DE PARTICIPACIÓN  (personas naturales y jurídicas) numeral 5.1</t>
  </si>
  <si>
    <t>Numeral</t>
  </si>
  <si>
    <t>5.1.1 Requisitos personas naturales</t>
  </si>
  <si>
    <t>Aseguradora:</t>
  </si>
  <si>
    <t>Número:</t>
  </si>
  <si>
    <t>Valor :</t>
  </si>
  <si>
    <t>Vigencia:</t>
  </si>
  <si>
    <t>CUMPLE / NO CUMPLE:</t>
  </si>
  <si>
    <t>5.1.2. Requisitos personas jurídicas de forma individual</t>
  </si>
  <si>
    <t>Póliza número:</t>
  </si>
  <si>
    <t>valor asegurado:</t>
  </si>
  <si>
    <t>Vigencia [dias]:</t>
  </si>
  <si>
    <t>CUMPLE/NO CUMPLE:</t>
  </si>
  <si>
    <t>EVALUACIÓN DE EXPERIENCIA GENERAL</t>
  </si>
  <si>
    <t>COCIENTE EVALUACIÓN</t>
  </si>
  <si>
    <t>PRESUPUESTO OFICIAL</t>
  </si>
  <si>
    <t>EN PESOS</t>
  </si>
  <si>
    <t>EN SMMLV</t>
  </si>
  <si>
    <t>EXPERIENCIA GENERAL Y ESPECÍFICA</t>
  </si>
  <si>
    <t>CERTIFICADOS PRESENTADOS</t>
  </si>
  <si>
    <t>ITEM</t>
  </si>
  <si>
    <t>N° DEL CONSECUTIVO DEL REPORTE DEL CONTRATO EJECUTADO EN EL RUP (1)</t>
  </si>
  <si>
    <t>N° de Folio en el RUP (2)</t>
  </si>
  <si>
    <t>CONTRATO (3)</t>
  </si>
  <si>
    <t>CONTRATANTE (4)</t>
  </si>
  <si>
    <t>EN SMMLV (5)</t>
  </si>
  <si>
    <t>FORMA DE
EJECUCIÓN (6)</t>
  </si>
  <si>
    <t>% de Participación (7)</t>
  </si>
  <si>
    <t>CLASIFICACIÓN DEL OBJETO DEL CONTRATO (8)</t>
  </si>
  <si>
    <t>PRESENTACIÓN DE CERTIFICADOS (9)</t>
  </si>
  <si>
    <t>ALCANCE DEL OBJETO CONTRACTUAL (10)</t>
  </si>
  <si>
    <t>VALORACIÓN DE OBSERVACIONES (11)</t>
  </si>
  <si>
    <t>VALORACIÓN DE REQUERIMIENTOS ENTREGADOS(12)</t>
  </si>
  <si>
    <t>SMMLV DE PARTICIPACIÓN PONDERADOS (13)</t>
  </si>
  <si>
    <t>TABLA RESUMEN EXPERIENCIA</t>
  </si>
  <si>
    <t>ESTATUS</t>
  </si>
  <si>
    <t>VALIDACIÓN DE CODIGOS SEGÚN TABLA  3 (CODIGOS UNSPSC) DE LOS TÉRMINOS DE REFERENCIA</t>
  </si>
  <si>
    <t>VALORACIÓN</t>
  </si>
  <si>
    <t>T</t>
  </si>
  <si>
    <t>TOTAL EXPERIENCIA ESPECÍFICA EN SMMLV</t>
  </si>
  <si>
    <t>INDICE SUMATORIA CONTRATOS/PRESUPUESTO OFICIAL</t>
  </si>
  <si>
    <t>EVALUACIÓN EXPERIENCIA - INDICADORES FINANCIEROS</t>
  </si>
  <si>
    <t>PROPONENTE</t>
  </si>
  <si>
    <t>INDICADOR 1</t>
  </si>
  <si>
    <t>INDICADOR 2</t>
  </si>
  <si>
    <t>ÍNDICE DE ENDEUDAMIENTO</t>
  </si>
  <si>
    <t>IE = PT/AT &lt;=
Siendo PT = pasivo total 
AT = activo total</t>
  </si>
  <si>
    <t>CAPITAL DE TRABAJO</t>
  </si>
  <si>
    <t>CT = AC-PC ≥ PO*0,5
Siendo PO = Presupuesto Oficial</t>
  </si>
  <si>
    <t>PASIVO TOTAL</t>
  </si>
  <si>
    <t>ACTIVO TOTAL</t>
  </si>
  <si>
    <t>TOTAL</t>
  </si>
  <si>
    <t>ESTADO</t>
  </si>
  <si>
    <t>ACTIVO CORRIENTE</t>
  </si>
  <si>
    <t>PASIVO CORRIENTE</t>
  </si>
  <si>
    <t>TABLA RESUMEN</t>
  </si>
  <si>
    <t>EVALUACIÓN DE REQUISITOS DE CUMPLIMIENTO DE NORMATIVIDAD EN GESTIÓN AMBIENTAL Y SEGURIDAD Y SALUD EN EL TRABAJO Y REQUISITOS COMERCIALES</t>
  </si>
  <si>
    <t>PEGUE AQUÍ EL LOGO DEL OFERENTE</t>
  </si>
  <si>
    <t>PONDERACIÓN DE HABILITACIÓN</t>
  </si>
  <si>
    <t>VERIFICACIÓN DE REDONDEO</t>
  </si>
  <si>
    <t>DIFERENCIA</t>
  </si>
  <si>
    <t>REDONDEO</t>
  </si>
  <si>
    <t>% DIFERENCIA</t>
  </si>
  <si>
    <t>EVALUACIÓN ECONÓMICA - DEFINICIÓN DE MÉTODO DE EVALUACIÓN Y CÁLCULO DE PUNTAJES</t>
  </si>
  <si>
    <t>TRM día siguiente</t>
  </si>
  <si>
    <t>Asignar de acuerdo al proceso</t>
  </si>
  <si>
    <t>MÉTODO DE EVALUACIÓN DE ACUERDO A TRM</t>
  </si>
  <si>
    <t>Presupuesto Total</t>
  </si>
  <si>
    <t>Fecha</t>
  </si>
  <si>
    <t>Media aritmética</t>
  </si>
  <si>
    <t># propuestas (n)</t>
  </si>
  <si>
    <t>Valor máximo de la sumatoria de valores unitarios</t>
  </si>
  <si>
    <t>Desviación estándar</t>
  </si>
  <si>
    <t>AU Max</t>
  </si>
  <si>
    <t>MÁXIMO PUNTAJE A ASIGNAR PARA Pti</t>
  </si>
  <si>
    <t>*H=Habilitado  NH=No habilitado</t>
  </si>
  <si>
    <t>Nro</t>
  </si>
  <si>
    <t>NOMBRE OFERENTE</t>
  </si>
  <si>
    <t>ESTADO*</t>
  </si>
  <si>
    <t>SUMATORIA DE VALORES UNITARIOS</t>
  </si>
  <si>
    <t>AU [%]</t>
  </si>
  <si>
    <r>
      <t>PUNTAJE (Pt</t>
    </r>
    <r>
      <rPr>
        <b/>
        <vertAlign val="subscript"/>
        <sz val="12"/>
        <rFont val="Calibri"/>
        <family val="2"/>
        <scheme val="minor"/>
      </rPr>
      <t>1</t>
    </r>
    <r>
      <rPr>
        <b/>
        <sz val="12"/>
        <rFont val="Calibri"/>
        <family val="2"/>
        <scheme val="minor"/>
      </rPr>
      <t>)</t>
    </r>
  </si>
  <si>
    <r>
      <t>PUNTAJE (Pt</t>
    </r>
    <r>
      <rPr>
        <b/>
        <vertAlign val="subscript"/>
        <sz val="12"/>
        <rFont val="Calibri"/>
        <family val="2"/>
        <scheme val="minor"/>
      </rPr>
      <t>2A</t>
    </r>
    <r>
      <rPr>
        <b/>
        <sz val="12"/>
        <rFont val="Calibri"/>
        <family val="2"/>
        <scheme val="minor"/>
      </rPr>
      <t>)</t>
    </r>
  </si>
  <si>
    <r>
      <t>PUNTAJE (Pt</t>
    </r>
    <r>
      <rPr>
        <b/>
        <vertAlign val="subscript"/>
        <sz val="12"/>
        <rFont val="Calibri"/>
        <family val="2"/>
        <scheme val="minor"/>
      </rPr>
      <t>2B</t>
    </r>
    <r>
      <rPr>
        <b/>
        <sz val="12"/>
        <rFont val="Calibri"/>
        <family val="2"/>
        <scheme val="minor"/>
      </rPr>
      <t>)</t>
    </r>
  </si>
  <si>
    <t>PUNTAJE (Pt3)</t>
  </si>
  <si>
    <t>PUNTAJE TOTAL</t>
  </si>
  <si>
    <t>ORDEN ELEGIBILIDAD</t>
  </si>
  <si>
    <t>OBSERVACIONES CON RESPECTO A PROPUESTA ECONÓMICA</t>
  </si>
  <si>
    <t>ORDEN</t>
  </si>
  <si>
    <t xml:space="preserve"> </t>
  </si>
  <si>
    <t>ANEXO 2</t>
  </si>
  <si>
    <t>AREA METROPOLITANA, HACIENDA LA MONTAÑA Y EL PROGRESO</t>
  </si>
  <si>
    <t>Item</t>
  </si>
  <si>
    <t>Actividad</t>
  </si>
  <si>
    <t>Unid</t>
  </si>
  <si>
    <t>Cant</t>
  </si>
  <si>
    <t>Precio Unitario</t>
  </si>
  <si>
    <t>Sumatoria de Valores Unitarios</t>
  </si>
  <si>
    <t>VERIFICACIÓN DE ITEMS</t>
  </si>
  <si>
    <t>VERIFICACIÓN DE DESCRIPCIÓN</t>
  </si>
  <si>
    <t>VERIFICACIÓN DE UNIDADES</t>
  </si>
  <si>
    <t>VERIFICACIÓN DE CANTIDADES</t>
  </si>
  <si>
    <t>VERIFICACIÓN DE PRECIOS UNITARIOS</t>
  </si>
  <si>
    <t>VERIFICACIÓN DE VALORES TOTALES</t>
  </si>
  <si>
    <t>TOTAL DIFERENCIA</t>
  </si>
  <si>
    <t>TOTAL VALORES UNITARIOS</t>
  </si>
  <si>
    <t xml:space="preserve">ITEMS </t>
  </si>
  <si>
    <t>DIRECCION INICIAL</t>
  </si>
  <si>
    <t>DIFERENCIA DIRECCIÓN</t>
  </si>
  <si>
    <t>VERIFICACIÓN DE PRESUPUESTO</t>
  </si>
  <si>
    <t>DIRECCIÒN AU</t>
  </si>
  <si>
    <t>DIFERENCIA DIRECCIÒN</t>
  </si>
  <si>
    <t>AU TOTALES</t>
  </si>
  <si>
    <t>DIRECCIÓN COSTO UNITARIO</t>
  </si>
  <si>
    <t>VERIFICACIÓN DE VALORES UNITARIOS TOTALES</t>
  </si>
  <si>
    <t>RESUMEN CUADRO DE HABILITACIÓN</t>
  </si>
  <si>
    <t>ESTATUS CAPACIDAD FINANCIERA</t>
  </si>
  <si>
    <t>ESTATUS REQUISITOS COMERCIALES</t>
  </si>
  <si>
    <t>ESTATUS REQUISITOS JURÍDICOS</t>
  </si>
  <si>
    <t>ESTATUS GENERAL</t>
  </si>
  <si>
    <t>CONCLUSIONES</t>
  </si>
  <si>
    <t>ESTATUS EXPERIENCIA GENERAL Y ESPECIFICA</t>
  </si>
  <si>
    <t>CALCULO DE Pt2</t>
  </si>
  <si>
    <t>Número total de ítems</t>
  </si>
  <si>
    <t>ASIGNACIÓN DE PUNTAJE PARA Pt3:</t>
  </si>
  <si>
    <t>Método de evaluación</t>
  </si>
  <si>
    <t>IR</t>
  </si>
  <si>
    <t>(IR) Ítems representativos</t>
  </si>
  <si>
    <t>(IRES) Ítems restantes</t>
  </si>
  <si>
    <t>IRES</t>
  </si>
  <si>
    <t>Proponente</t>
  </si>
  <si>
    <t>Estado</t>
  </si>
  <si>
    <t>Pt2A</t>
  </si>
  <si>
    <t>Pt2B</t>
  </si>
  <si>
    <t>Pt2 TOTAL</t>
  </si>
  <si>
    <t>(IR) ITEMS REPRESENTATIVOS</t>
  </si>
  <si>
    <t>(IRES) ITEMS RESTANTES</t>
  </si>
  <si>
    <t>N° PÓLIZA SERIEDAD</t>
  </si>
  <si>
    <t>COSTO DIRECTO</t>
  </si>
  <si>
    <t>% ADMINISTRACIÓN</t>
  </si>
  <si>
    <t>% UTILIDAD</t>
  </si>
  <si>
    <t>HORA:11:00</t>
  </si>
  <si>
    <t>Póliza de seriedad de la oferta a favor de entidades Estatales y a nombre de la Universidad de Antioquia.</t>
  </si>
  <si>
    <t>SALARIO MÍNIMO 2021</t>
  </si>
  <si>
    <t xml:space="preserve">VERIFICACIÓN CONDICIÓN DE EXPERIENCIA  </t>
  </si>
  <si>
    <t>Utilidad</t>
  </si>
  <si>
    <t>IVA</t>
  </si>
  <si>
    <t>Total AU</t>
  </si>
  <si>
    <t>Total propuesta</t>
  </si>
  <si>
    <t>ESTATUS PRESUPUESTO</t>
  </si>
  <si>
    <t>COSTOS DIRECTOS</t>
  </si>
  <si>
    <t>Valor Total</t>
  </si>
  <si>
    <t>INGAP S.A.S</t>
  </si>
  <si>
    <t>KA S.A.</t>
  </si>
  <si>
    <t>12.5%</t>
  </si>
  <si>
    <t xml:space="preserve">Tener capacidad jurídica para contratar. Por tanto, el Proponente debe:
(i) Ser mayor de edad;
(ii) No tener inhabilidades, incompatibilidades ni conflictos de interés para contratar, según la Constitución y la Ley; el Acuerdo Superior 395 de 2011 (Por el cual se regula el conflicto de intereses del servidor público en la Universidad de Antioquia), y el artículo 4° del Acuerdo Superior 419 de 2014.
(iii) No tener ninguna de estas situaciones: Cesación de pagos o cualquier otra circunstancia que justificadamente permita a la U.de.A. presumir incapacidad o imposibilidad jurídica, económica o técnica para cumplir el objeto del contrato.
</t>
  </si>
  <si>
    <t xml:space="preserve">Estar afiliado como trabajador independiente y a paz y salvo con el Sistema de Salud (EPS) y el Sistema General de Pensiones en los términos de la Ley.
En caso de tener empleados a su cargo, deben estar afiliados y a paz y salvo con el Sistema General de Seguridad Social (Salud, Pensiones, Riesgos Laborales) y con los aportes Parafiscales (Caja de Compensación Familiar, Sena, ICBF).
</t>
  </si>
  <si>
    <t>No estar reportado al Boletín de Responsables Fiscales de la Contraloría General de la República (Art. 60 Ley 610 de 2000; Circular 005 del 25 de febrero de 2008).</t>
  </si>
  <si>
    <t>No tener antecedentes disciplinarios en la Procuraduría General de la Nación.</t>
  </si>
  <si>
    <t>No tener antecedentes judiciales en la Policía Nacional de Colombia.</t>
  </si>
  <si>
    <t>No estar en mora en el Sistema Registro Nacional de Medidas Correctivas RNMC de la Policía Nacional de Colombia (artículo 183 de la Ley 1801 de 2016)</t>
  </si>
  <si>
    <t>Estar inscrita en el Registro Único de Tributario.</t>
  </si>
  <si>
    <t>Haber cumplido con los aportes al Sistema de Seguridad Social Integral y Parafiscales , en los seis (6) meses anteriores a la presentación de la propuesta Comercial y encontrarse a paz y salvo con el sistema. Si tiene acuerdos de pago deberá certificarlo.</t>
  </si>
  <si>
    <t>No estar reportada al Boletín de Responsables Fiscales de la Contraloría General de la República (Art. 60 Ley 610 de 2000; Circular 005 del 25 de febrero de 2008).</t>
  </si>
  <si>
    <t>OBJETO: Obras de Mantenimiento civil a demanda de las diferentes edificaciones e infraestructura propiedad de la Universidad de Antioquia, ubicadas y existentes dentro del Área Metropolitana del Valle de Aburrá, Sedes Regionales de Oriente (Municipio del Carmen de Viboral), Biofábrica (Corregimiento de Rionegro), Seccional Occidente (Municipio de Santafé de Antioquia), y aquellas que se integren a la institución durante el desarrollo del contrato, en los lugares anteriores, así como en la  Hacienda la Montaña (Municipio de San Pedro de los Milagros) y Hacienda el Progreso (Municipio de Barbosa) )”, conforme con las especificaciones técnicas de construcción y actividades descritas en la propuesta económica presentada por el contratista, como parte integral del contrato</t>
  </si>
  <si>
    <t>R</t>
  </si>
  <si>
    <t>m</t>
  </si>
  <si>
    <t>NR</t>
  </si>
  <si>
    <t>día</t>
  </si>
  <si>
    <t>2</t>
  </si>
  <si>
    <t>un</t>
  </si>
  <si>
    <t>m2</t>
  </si>
  <si>
    <t>2.13</t>
  </si>
  <si>
    <t>2.14</t>
  </si>
  <si>
    <t>und</t>
  </si>
  <si>
    <t>3</t>
  </si>
  <si>
    <t>4</t>
  </si>
  <si>
    <t>5</t>
  </si>
  <si>
    <t>6</t>
  </si>
  <si>
    <t>7</t>
  </si>
  <si>
    <t>Suministro, transporte y alquiler de ANDAMIO MULTIDIRECCIONAL (TORRE MULTIDIRECCIONAL) para 2m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</si>
  <si>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Suministro, transporte y alquiler de ANDAMIO MULTIDIRECCIONAL (TORRE MULTIDIRECCIONAL) para 6m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</si>
  <si>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OBRAS VARIAS</t>
  </si>
  <si>
    <t>Colocación de ESTUCO PLÁSTICO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t>
  </si>
  <si>
    <t>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</si>
  <si>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m3</t>
  </si>
  <si>
    <t>5.5.1. Presentarse en PESOS COLOMBIANOS.</t>
  </si>
  <si>
    <t>5.5.2. Incluir todos los costos, gastos impuestos, tasas y contribuciones en los que deba incurrir el Proponente para cumplir el objeto de la INVITACIÓN.</t>
  </si>
  <si>
    <t>5.5.3. Tener una vigencia mínima de SESENTA (60) días calendario, contados a partir del cierre de la INVITACIÓN, prorrogable en un plazo igual, en caso de que no se pueda adjudicar en dicho término.</t>
  </si>
  <si>
    <t>5.5.4. No modificar los formatos del Proceso de Contratación, salvo autorización expresa.</t>
  </si>
  <si>
    <t>5.5.5. Ser irrevocable, una vez presentada (artículo 8465 del Código de Comercio).</t>
  </si>
  <si>
    <t>5.5.7. Los ítems que tengan la misma descripción deberán tener el mismo valor económico.</t>
  </si>
  <si>
    <t>Invitación Pública N° VA-017-2021</t>
  </si>
  <si>
    <t>Se recibieron catorce (14) propuestas tecnico-económicas</t>
  </si>
  <si>
    <t>FECHA CIERRE: 24/08/2021</t>
  </si>
  <si>
    <t>Resúmen: se recibieron catorce (14) propuestas.
EQUIPO TÉCNICO DE EVALUACIÓN
DIVISIÓN DE INFRAESTRUCTURA FÍSICA</t>
  </si>
  <si>
    <t xml:space="preserve">(i) Ser ingeniero civil, arquitecto o arquitecto constructor, ingeniero constructor.
(ii) Tener matrícula profesional vigente y expedida mínimo tres (3) años antes del cierre de la INVITACIÓN.
</t>
  </si>
  <si>
    <t>Estar inscrito en el Registro Único de Tributario.</t>
  </si>
  <si>
    <t xml:space="preserve">Estar inscrito, calificado y clasificado en el Registro Único de Proponentes –RUP- de la Cámara de Comercio de su domicilio, antes de la fecha de cierre o entrega de propuestas de esta INVITACIÓN, en alguna de las clasificaciones de la UNSPSC, establecidas en la Tabla 4, códigos 721015 – 721033 – 721513 </t>
  </si>
  <si>
    <t xml:space="preserve">Tener capacidad jurídica para contratar. Por tanto, el Proponente debe:
(i) Ser persona jurídica con capacidad jurídica para celebrar contratos;
(ii) Tener como objeto social principal, o conexo, las actividades establecidas en el objeto de la presente INVITACIÓN;
(iii) Haber sido registrada por lo menos TRES (3) años antes de la fecha de apertura de la INVITACIÓN;
(iv) Tener una vigencia mínima igual al término de duración de las garantías exigidas y un año más;
(v) Estar inscrita en la Cámara de Comercio de su domicilio.
(vi) No tener, el representante legal ni los miembros de su órgano de dirección y manejo (sea Junta Directiva, Junta de Socios, entre otras), inhabilidades, incompatibilidades ni conflictos de interés para contratar con la UdeA., según la Constitución y la Ley; y el Acuerdo Superior 395 de 2011 (Por el cual se regula el conflicto de intereses del servidor público en la Universidad de Antioquia).
(vii) No tener ninguna de estas situaciones: Cesación de pagos o, cualquier otra circunstancia que justificadamente permita a la UdeA presumir incapacidad o imposibilidad jurídica, económica o técnica para cumplir el objeto del contrato.
</t>
  </si>
  <si>
    <t xml:space="preserve">
i) Ser el representante legal: Ingeniero Civil, Arquitecto, Arquitecto Constructor, o Ingeniero Constructor.
(ii) Tener matrícula profesional vigente, que haya sido expedida mínimo TRES (3) años antes del cierre de la presente INVITACIÓN.
Cuando el representante legal NO CUMPLA el requisito anterior, la propuesta debe ser también FIRMADA o ABONADA, por un profesional que SÍ cumpla el requisito. Debe adjuntar los medios de prueba requeridos.
</t>
  </si>
  <si>
    <t xml:space="preserve">Estar inscrita, calificada y clasificada en el Registro Único de PROPONENTES –RUP- de la Cámara de Comercio de su domicilio antes de la fecha de cierre o entrega de propuestas de esta invitación, en alguna de las clasificaciones de la UNSPSC, establecidas en la Tabla 4, códigos 721015 – 721033 – 721513 </t>
  </si>
  <si>
    <t>CONCRETOS Y MEZCLAS S.A</t>
  </si>
  <si>
    <t xml:space="preserve">VIACOL INGENIEROS CONTRATISTAS </t>
  </si>
  <si>
    <t>CÉSAR AUGUSTO GIRALDO ATEHORTÚA</t>
  </si>
  <si>
    <t>JUAN CARLOS RESTREPO GUTIERREZ</t>
  </si>
  <si>
    <t>ANGELA MARÍA CÁRDENAS ZAPATA</t>
  </si>
  <si>
    <t>ASEM S.A.S</t>
  </si>
  <si>
    <t>LUIS CARLOS PARRA VELASQUEZ</t>
  </si>
  <si>
    <t xml:space="preserve">DANIEL JOSE NIEVES VERGARA </t>
  </si>
  <si>
    <t xml:space="preserve">CARLOS ANDRES ACEBEDO ESCOBAR </t>
  </si>
  <si>
    <t>CONDEIN S.A.S</t>
  </si>
  <si>
    <t>CONSTRUVALORES S.A.S</t>
  </si>
  <si>
    <t>WILLIAMS.CO S.A.S</t>
  </si>
  <si>
    <t>65-44-101201998</t>
  </si>
  <si>
    <t>65-44-101201361</t>
  </si>
  <si>
    <t>B-100019152</t>
  </si>
  <si>
    <t>M-100149187</t>
  </si>
  <si>
    <t>65-44-101201994</t>
  </si>
  <si>
    <t>520-47-994000043981</t>
  </si>
  <si>
    <t>45-44-101128182</t>
  </si>
  <si>
    <t>CV-100015521</t>
  </si>
  <si>
    <t>21-44-101358302</t>
  </si>
  <si>
    <t>75-44-101115001</t>
  </si>
  <si>
    <t>33-44-101215929</t>
  </si>
  <si>
    <t>21-44-101358357</t>
  </si>
  <si>
    <t>21-44-101358465</t>
  </si>
  <si>
    <t>16.59%</t>
  </si>
  <si>
    <t>19.5%</t>
  </si>
  <si>
    <t>18.40%</t>
  </si>
  <si>
    <t>18.30%</t>
  </si>
  <si>
    <t>16.60%</t>
  </si>
  <si>
    <t>18.3%</t>
  </si>
  <si>
    <t>12.50%</t>
  </si>
  <si>
    <t>“Mantenimiento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t>
  </si>
  <si>
    <t>2000 m² en actividades de pintura acrílica o pintura
tipo fachada o pintura vinílica</t>
  </si>
  <si>
    <t>CUMPLE CON EL REQUERIMIENTO DE HABER EJECUTADO MÁS DE 2000M# EN ACTIVIDADES DE PINTURA</t>
  </si>
  <si>
    <t>1</t>
  </si>
  <si>
    <t xml:space="preserve">PINTURAS ACRÍLICAS </t>
  </si>
  <si>
    <t>Aplicación de PINTURA ACRÍLICA tipo KORAZA o equivalente para exteriores (hidrorepelente) de primera calidad que cumpla con la Norma NTC 1335, para ser aplicada sobre muros y techos, en superficies con revoque, estucadas, Drywall, Superboard, incluye: Suministro,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t>
  </si>
  <si>
    <t>Aplicación de PINTURA ACRILICA, tipo Koraza para muros en ladrillo a la vista, incluye: Suministro, mano de obra, transporte horizontal y vertical, preparación de superficie, pintura acrílica sobre el  ladrillo, pintura acrílica color gris basalto para la pega de mortero, resanes, emporada, disolvente,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t>
  </si>
  <si>
    <t>Aplicación de pintura acrílica para VIGAS Y COLUMNAS, tipo Koraza  incluye: Suministro, mano de obra, transporte horizontal y vertical, preparación de superficie, resanes, emporada,  pintura acrílica color gris basalto, disolvente, aplicación de manos necesarias que garanticen cubrimiento total del elemento, herramienta, equipo y todos los elementos necesarios para su correcta aplicación. Nota: La pintura se debe entonar hasta alcanzar el color existente o el color indicado por la interventoría</t>
  </si>
  <si>
    <t>Aplicación de pintura acrílica para CALADOS A LA VISTA, tipo Koraza incluye: Suministro, mano de obra, transporte horizontal y vertical,  preparación de superficie, pintura acrílica color gris basalto,  resanes, emporada, disolvente, aplicación de manos necesarias que garanticen cubrimiento total del elemento, herramienta, equipo y todos los elementos necesarios para su correcta aplicación. Nota: La pintura se debe entonar hasta alcanzar el color existente o el color indicado por la interventoría</t>
  </si>
  <si>
    <t>Aplicación de Pintura a base de aceite para PASAMANOS REDONDOS con diámetros entre 5cm y 8cm, tipo Pintulux. Incluye: Suministro, mano de obra, transporte horizontal y vertical, preparación de la superficie, pintura acrílica, disolvente, aplicación de manos necesarias que garanticen cubrimiento total del elemento, herramienta, equipo y todos los elementos necesarios para su correcta aplicación. Nota: La pintura se debe entonar hasta alcanzar el color existente o el color indicado por la interventoría</t>
  </si>
  <si>
    <t>Aplicación de RECUBRIMIENTO PROTECTOR DE POLIURETANO (dos componentes relación A:B= 4:1) tipo Sikauretano o equivalente, sobre muros de bloque de concreto para protección antigrafiti, dos manos o las necesarias para lograr una buena protección a la intemperie a satisfacción de la interventoría, color transparente semi mate.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t>
  </si>
  <si>
    <t>Pintura IMPERMEABILIZANTE de corona ref: 407251001, apta para resistir presión negativa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t>
  </si>
  <si>
    <r>
      <t>m</t>
    </r>
    <r>
      <rPr>
        <vertAlign val="superscript"/>
        <sz val="16"/>
        <rFont val="Swis721 LtCn BT"/>
        <family val="2"/>
      </rPr>
      <t>2</t>
    </r>
  </si>
  <si>
    <t>PINTURAS VINÍLICAS</t>
  </si>
  <si>
    <t>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t>
  </si>
  <si>
    <t>Aplicación de PINTURA VINILICA tipo 1, para MUROS EN LADRILLO RANURADO A LA VISTA, incluye: Suministro, mano de obra, transporte horizontal y vertical, preparación de superficie, pintura vinílica tipo 1 sobre el  ladrillo, resanes, emporada,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t>
  </si>
  <si>
    <t>Aplicación de PINTURA VINILICA tipo 1 color GRIS BASALTO para VIGAS Y COLUMNAS, ancho entre 0.20 - 0.40 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</si>
  <si>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Aplicación de PINTURA VINILICA tipo 1 para CALADOS A LA VISTA,  incluye: Suministro, mano de obra, transporte horizontal y vertical,  preparación de superficie, pintura vinílica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</si>
  <si>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Pintura a base de CAL APAGADA para ser aplicada en edificios patrimoniales sobre CIELOS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t>
  </si>
  <si>
    <t>Pintura a base de CAL APAGADA para ser aplicada en edificios patrimoniales sobre MUROS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t>
  </si>
  <si>
    <t>Pintura a base de CAL APAGADA para ser aplicada en edificios patrimoniales sobre cielos y muros (CENEFAS ENTRE 10cm y 15cm)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t>
  </si>
  <si>
    <t>Pintura a base de CAL APAGADA para ser aplicada en edificios patrimoniales sobre cielos y muros (LÍNEAS EN CENEFA)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t>
  </si>
  <si>
    <t>Pintura tipo ESMALTE transparente semi brillante aplicada en edificios patrimoniales sobre muros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t>
  </si>
  <si>
    <t>Aplicación de PINTURA VINÍLICA PARA GUARDAESCOBA e=10cm, incluye: Suministro, mano de obra, transporte horizontal y vertical, peparación de sperficie, pintura vinilica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</si>
  <si>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Aplicación de PINTURA VINÍLICA TIPO 1 para interiores 1 MANO, muros y cielos tipo viniltex o similar aplicada sobre superficies de revoque estucadas y superficies de Drywall y Superboard. Incluye: Suministro, mano de obra, transporte horizontal y vertical, preparación de superficie hasta garantizar un buen puente de adherencia, emporad, resanes, retiro de pintura existente de ser necesario, herramienta, equipo, retiro y reinstalación de cuadros, carteleras, clavos y todos los elementos necesarios para su correcta aplicación.  NO INCLUYE ANDAMIOS</t>
  </si>
  <si>
    <t>Suministro de MANO DE OBRA para aplicación de Pintura VINÍLICA a 2 manos en MUROS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t>
  </si>
  <si>
    <t>Aplicación de pintura en vinilo tipo 1 en tuberia PVC de diferentes diametros</t>
  </si>
  <si>
    <t>ml</t>
  </si>
  <si>
    <t>PINTURAS TIPO TRÁFICO  Y PINTURA PARA CANCHAS</t>
  </si>
  <si>
    <t>Aplicación de Pintura tipo TRÁFICO ACRÍLICA de pintuco o equivalente aplicada sobre superfices de CONCRETO,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de Pintuco o similar, marcaciónes necesarias según norma o especifiaciones de la interventoría, herramienta, equipo, retiro y reinstalación de cuadros, carteleras, clavos y todos los elementos necesarios para su correcta ejecución y funcionamiento.</t>
  </si>
  <si>
    <t>Aplicación de Pintura tipo TRÁFICO ACRÍLICA aplicada sobre superfices de ASFALTO,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Pintuco o similar, marcaciónes necesarias según norma o especifiaciones de la interventoría, herramienta, equipo y todos los elementos necesarios para su correcta ejecución y funcionamiento.</t>
  </si>
  <si>
    <t>Aplicación de Pintura tipo TRÁFICO ACRÍLICA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t>
  </si>
  <si>
    <t>Aplicación de Pintura tipo TRÁFICO ACRÍLICA en elementos de señalización para PERSONAS CON MOVILIDAD REDUCIDA con medidas de 1,00m*1,00m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t>
  </si>
  <si>
    <t>Aplicación de Pintura tipo TRÁFICO ACRÍLICA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tráfico de referencias 13754 - 13757 Pintuco o similar, marcaciónes necesarias según norma o especifiaciones de la interventoría, herramienta, equipo y todos los elementos necesarios para su correcta ejecución y funcionamiento.</t>
  </si>
  <si>
    <t>Aplicación de Pintura tipo TRÁFICO ACRÍLICA para demarcación de CELDAS DE PARQUEADERO. Incluye: Suministro, mano de obra, transporte horizontal y vertical, base sobre pavimento, Pintura tipo tráfico de referencias 13754 - 13757 Pintuco o similar,  preparación de la superficie hasta lograr un buen  puente de adherencia, herramienta, equipo y todos los elementos necesarios para su correcta ejecución y funcionamiento.</t>
  </si>
  <si>
    <t>Aplicación de Pintura Acrílica para CANCHAS ANTIDESLIZANTE antiderrapante para concreto no esmaltado, incluye: suministro,mano de obra, transporte horizontal y vertical, preparación de la superficie hasta lograr un buen  puente de adherencia, lavada de superficie con jabón neutro o equivalente, Imprimante o base para aplicación de pintura, aplicación de tres manos de pintura para canchas, marcaciónes necesarias según norma o especifiaciones de la interventoría, herramienta, equipo y todos los elementos necesarios para su correcta ejecución y funcionamiento.</t>
  </si>
  <si>
    <t>Aplicación de Pintura SIKAFLOOR 2430 CO para pisos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t>
  </si>
  <si>
    <t>Aplicación de Pintura tipo TRÁFICO PLÁSTICO EN FRÍO en elementos de señalización para FLECHAS EN UN SENTIDO de circulación de 5m de lontigud. Incluye: Suministro, mano de obra, transporte horizontal y vertical, base sobre pavimento, preparación de la superficie hasta lograr un buen  puente de adherencia, fondo blanco, logo, líneas de separación, Pintura tipo pintutráfico plástico en frío con llana de referencias 13760 Pintuco o similar, marcaciones necesarias según norma o especifiaciones de la interventoría, herramienta, equipo y todos los elementos necesarios para su correcta ejecución y funcionamiento.</t>
  </si>
  <si>
    <t>3.10</t>
  </si>
  <si>
    <t>Aplicación de Pintura TRÁFICO PLÁSTICO EN FRÍO en llana para demarcación de PASOS PEATONALES a = 0,40m , lineas de pare en porterias . Incluye: Suministro, mano de obra, transporte horizontal y vertical, base sobre pavimento, pintura tipo pintutráfico plástico en frío con llana de referencia 13760 Pintuco o equivalente, preparación de la superficie hasta lograr un buen puente de adherencia, herramienta, equipo y todos los elementos necesarios para su correcta ejecución y funcionamiento.</t>
  </si>
  <si>
    <t>3.11</t>
  </si>
  <si>
    <t>Aplicacióon de Pintura tipo TRÁFICO PLÁSTICO EN FRÍO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pintutráfico plástico en frío con llana  de referencias 13754-13757-13760 Pintuco o similar, marcaciones necesarias según norma o especifiaciones de la interventoría, herramienta, equipo y todos los elementos necesarios para su correcta ejecución y funcionamiento.</t>
  </si>
  <si>
    <t>3.12</t>
  </si>
  <si>
    <t>Aplicación de Pintura tipo TRÁFICO PLÁSTICO EN FRÍO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Pintutráfico plástica en frío con llana de referencias 13760 Pintuco o similar, marcaciones necesarias según norma o especifiaciones de la interventoría, herramienta, equipo y todos los elementos necesarios para su correcta ejecución y funcionamiento.</t>
  </si>
  <si>
    <t>3.13</t>
  </si>
  <si>
    <t>Aplición de Pintura tipo TRÁFICO PLÁSTICO EN FRÍO en elementos de señalización para PERSONAS CON MOVIIDAD REDUCIDA con medidas de 1,00m de largo y entre 1,10 de ancho Incluye: Suministro, mano de obra, transporte horizontal y vertical, base sobre pavimento, preparación de la superficie hasta lograr un buen  puente de adherencia, fondo azul, logo, líneas de separación, Pintura tipo pintutráfico plástico en frío con llana  de referencias 13754-13757-13760 Pintuco o similar, marcaciónes necesarias según norma o especifiaciones de la interventoría, herramienta, equipo y todos los elementos necesarios para su correcta ejecución y funcionamiento.</t>
  </si>
  <si>
    <t>3.14</t>
  </si>
  <si>
    <t>Aplicación de Pintura tipo TRÁFICO PLÁSTICO EN FRÍO en elementos de señalización para ZONA DE PARQUEO PROHIBIDA. Incluye: Suministro, mano de obra, transporte horizontal y vertical, base sobre pavimento, preparación de la superficie hasta lograr un buen  puente de adherencia, fondo blanco, logo, líneas de separación, Pintura tipo pintutráfico plástico en frío en llana de referencias 113760 Pintuco o similar, marcaciones necesarias según norma o especifiaciones de la interventoría, herramienta, equipo y todos los elementos necesarios para su correcta ejecución y funcionamiento.</t>
  </si>
  <si>
    <t>3.15</t>
  </si>
  <si>
    <t>Aplicación de Pintura tipo TRÁFICO PLÁSTICO EN FRÍO  para demarcación de CELDAS DE PARQUEADERO Y LÍNEAD DE TROTE, 10 cm de ancho. Incluye: Suministro, mano de obra, transporte horizontal y vertical, base sobre pavimento, pintura tipo pintutráfico plástico en frío en llana de referencia 13760 Pintuco, preparación de la superficie hasta lograr un buen puente de adherencia, herramienta, equipo y todos los elementos necesarios para su correcta ejecución y funcionamiento.</t>
  </si>
  <si>
    <t>PINTURAS EPÓXICAS Y ANTIHUMEDAD</t>
  </si>
  <si>
    <t>Aplicación de PINTURA EPÓXICA EN MUROS (dos componentes proporción 1:3, no tóxica) tipo epoxiconstrucción de pintuco o equivalente, de primera calidad, semimate, sobre estuco plástico, 2 a 3 manos o las necesarias para lograr una superficie pareja a satisfacción de la interventoría, color blanco.</t>
  </si>
  <si>
    <t>Aplicación de PINTURA EPÓXICA EN CIELOS (dos componentes proporción 1:3, no tóxica) tipo epoxiconstrucción de pintuco o equivalente, semimate, sobre estuco plástico, 2 a 3 manos o las necesarias para lograr una superficie pareja a satisfacción de la interventoría, color blanco.</t>
  </si>
  <si>
    <t>Aplicación de Pintura tipo ANTIHUMEDAD, para muros,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t>
  </si>
  <si>
    <t>Aplicación de Pintura tipo ANTIHUMEDAD, para cielos,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t>
  </si>
  <si>
    <t>Aplicación de  Pintura ANTIBACTATERIAL,  para muros,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t>
  </si>
  <si>
    <t xml:space="preserve">Aplicación de Pintura ANTIBACTATERIAL,  para cielos,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 </t>
  </si>
  <si>
    <t>4.7</t>
  </si>
  <si>
    <t>Suministro de MANO DE OBRA para aplicación de Pintura EPÓXICA ó ANTIBACTERIAL  a 2 manos en MUOS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t>
  </si>
  <si>
    <t>PINTURAS ESMALTE</t>
  </si>
  <si>
    <t>5,1</t>
  </si>
  <si>
    <t>Aplicación de ESMALTE A BASE DE ACEITE, sobre PUERTAS EN MADERA Y MARCOS METÁLICOS,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t>
  </si>
  <si>
    <t>Aplicación de ESMALTE A BASE DE ACEITE, sobre CORTINAS ENROLLABLES METÁLICASs,  Incluye suministro, mano de obra, transporte horizontal y vertical, acondicionador de superficies metálicas Tipo Wash Primer o equivelente, pistola para la aplicación de la pintura, disolvente para pinturas a base de aceite, herrramienta, equipo, manos necesarias hasta obtener una superficie pareja y homogénea, color a definir según aprobación de la interventoría y todos los demás elementos necesarios para su correcta aplicación.</t>
  </si>
  <si>
    <t>Aplicación de ESMALTE A BASE DE ACEITE, sobre REJAS METÁLICAS,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t>
  </si>
  <si>
    <t>Aplicación de PINTURA TIPO ESMALTE para bajantes de aguas lluvias Incluye: Suministro, mano de obra, transporte horizontal y vertical, preparación de la superficie, pintura acrílica, disolvente, aplicación de manos encesarias que garanticen cubrimiento total del elemento, elementos de trabajo en alturas y todos los ementos necesarios para su correcta aplicación. Nota: La pintura se debe entonar hasta alcanzar el color existente o el color indicado por la interventoría</t>
  </si>
  <si>
    <t>Aplicación de ESMALTE A BASE DE ACEITE sobre muros y techos en superficies  de revoque estucadas y superficies de Drywall y Superboard. Incluye: Suministro de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t>
  </si>
  <si>
    <t>PINTURA PARA PISOS Y TECHOS EN MADERA</t>
  </si>
  <si>
    <t>6,1</t>
  </si>
  <si>
    <t>Aplicación de Pintura para TECHOS de acabado tipo Impra Profilan Plus o equivalente (color teka nogal o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t>
  </si>
  <si>
    <t>6,2</t>
  </si>
  <si>
    <t>Aplicación de Pintura para PISOS EN MADERA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t>
  </si>
  <si>
    <t>Adecuacion de superficie con ARGAMASA ( arena estuco y cemento) para muros y cielos  : Suministro, mano de obra, transporte horizontal y vertical,  manos necesarias que garanticen cubrimiento total del elemento, retiro y reinstalación de cuadros, carteleras, clavos y todos los elementos necesarios para su correcta aplicación</t>
  </si>
  <si>
    <t>Aplicación de REMOVEDOR PINTUCO 1020 o equivalente de primera calidad para eliminar pinturas o barnices  en cualquier estado en muros, la aplicación debe ser sin dilución, 3 manos o las que sean necesarias para obtener una superficie pareja y homogénea logrando la eliminación total de de residuos, retiro de pintura con espátula, a satisfacción de la interventoría, lavado de la superficie con agua para eliminar residuos. Incluye suministro y transporte de los materiales, preparada y adecuación de la superficie a intervenir.</t>
  </si>
  <si>
    <t>RETIRO DE PINTURA en mampostería, muros en concreto, fachadas con acabado en piedra maní empleando HIDROLAVADORA de agua fría o agua caliente a presión necesaria para retirar la pintura (Previa revision y autorización de interventoría). Incluye: Herramienta y equipo necesario para desarrollar la actividad, suministro y transporte del removedor, mano de obra, hidrolavadora, lavado de la superficie intervenida, careta especial para éste tipo de trabajo, guantes y todos los demás elementos necesarios para desarrollar la actividad.</t>
  </si>
  <si>
    <t>Suministro y transporte de gal removedor grafiti wipe out</t>
  </si>
  <si>
    <t>galon</t>
  </si>
  <si>
    <t>Suministro, transporte y alquiler de ANDAMIO MULTIDIRECCIONAL (TORRE MULTIDIRECCIONAL) para 4m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</si>
  <si>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Suministro, transporte y alquiler de ANDAMIO MULTIDIRECCIONAL (TORRE MULTIDIRECCIONAL) para 8m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</si>
  <si>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7.10</t>
  </si>
  <si>
    <t>Suministro, transporte y alquiler de ANDAMIO MULTIDIRECCIONAL (TORRE MULTIDIRECCIONAL) para 10m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</si>
  <si>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7.11</t>
  </si>
  <si>
    <t>Suministro, transporte y alquiler de ANDAMIO MULTIDIRECCIONAL (TORRE MULTIDIRECCIONAL) para 13m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</si>
  <si>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7.12</t>
  </si>
  <si>
    <t>Suministro, transporte y alquiler de ANDAMIO MULTIDIRECCIONAL (TORRE MULTIDIRECCIONAL) para 15m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</si>
  <si>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7.13</t>
  </si>
  <si>
    <t>7.14</t>
  </si>
  <si>
    <t>Aplicación de BARNIZ PARA MADERA EN MUROS Y PISOS TIPO BARNEX. Incluye suministro de mano de obra, catalizador, masillado, lijado, tintilla, color que indique la Interventoría, sellado de poros y todo lo necesario para su correcto acabado que indique la Interventoría</t>
  </si>
  <si>
    <t>Se aceptarán aquellas propuestas que certifiquen experiencia GENERAL acreditada en hasta cinco (5) contratos terminados y liquidados que incluyan alguno de los códigos de la siguiente clasificación UNSPSC: 721015 – 721033 - 721513, debidamente soportada en el RUP renovado, mayor a 3 veces el presupuesto oficial, así:
Σ (Del valor total de hasta 5 certificados de contratos terminados y liquidados que certifiquen clasificación en alguno de los códigos requeridos) &gt;3
(Valor del presupuesto total oficial en SMMLV de 2021)
La experiencia ESPECIFICA, dentro de los mismos cinco (5) contratos de la Experiencia General, acreditada debe certificar contratos terminados y liquidados en los
cuales se hubiese ejecutado más de 2000 m² en actividades de pintura acrílica o pintura tipo fachada o pintura vinílica.</t>
  </si>
  <si>
    <t>Se evalua con 2018, conforme el D.579</t>
  </si>
  <si>
    <t>Observación</t>
  </si>
  <si>
    <t>Se evalua con 2019, conforme el D.579</t>
  </si>
  <si>
    <t>Administración</t>
  </si>
  <si>
    <t>Subtotal</t>
  </si>
  <si>
    <t>Ing. César Giraldo.</t>
  </si>
  <si>
    <t>JCR</t>
  </si>
  <si>
    <t>ÁNGELA MARÍA CÁRDENAS ZAPATA
Ingeniera Civil</t>
  </si>
  <si>
    <t>Aplicación de Pintura tipo TRÁFICO PLÁSTICO EN FRÍO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pintutráfico plástico en frío con llana  de referencias 13754-13757-13760 Pintuco o similar, marcaciones necesarias según norma o especifiaciones de la interventoría, herramienta, equipo y todos los elementos necesarios para su correcta ejecución y funcionamiento.</t>
  </si>
  <si>
    <t>CONDEIN SAS</t>
  </si>
  <si>
    <t>CONSTRUVALORES SAS</t>
  </si>
  <si>
    <t>CUMPLE</t>
  </si>
  <si>
    <t>NO CUMPLE</t>
  </si>
  <si>
    <t>H</t>
  </si>
  <si>
    <t>LS</t>
  </si>
  <si>
    <t>LI</t>
  </si>
  <si>
    <t>09 de 2017</t>
  </si>
  <si>
    <t>policia nacional -
direccion administrativa
y financiera</t>
  </si>
  <si>
    <t>C</t>
  </si>
  <si>
    <t>100215312-226-0-201</t>
  </si>
  <si>
    <t>124-2018</t>
  </si>
  <si>
    <t>487-2014</t>
  </si>
  <si>
    <t>U.A.E. DIRECCION DE
IMPUESTOS Y
ADUANAS NACIONALES
DIAN</t>
  </si>
  <si>
    <t>FONDO DE
DESARROLLO LOCAL
DE ANTONIO NARIÑO</t>
  </si>
  <si>
    <t>FISCALIA GENERAL DE
LA NACION</t>
  </si>
  <si>
    <t>I</t>
  </si>
  <si>
    <t>PRESENTÓ CERTIFICADO</t>
  </si>
  <si>
    <t>ACORDE A ITEM 5.2.2 (T.R.)</t>
  </si>
  <si>
    <t>SIN OBSERVACIÓN</t>
  </si>
  <si>
    <t>CUMPLEN CON LO SOLICITADO</t>
  </si>
  <si>
    <t>si</t>
  </si>
  <si>
    <t>Se toma el valor en SMLV del RUP</t>
  </si>
  <si>
    <t>4600081363 - 2019</t>
  </si>
  <si>
    <t>190 CNT 2009 - 130</t>
  </si>
  <si>
    <t>19001394 H4 - 2019</t>
  </si>
  <si>
    <t>18000964 H4 - 2018</t>
  </si>
  <si>
    <t>18000770 H4 - 2018</t>
  </si>
  <si>
    <t>MUNICIPIO DE MEDELLIN</t>
  </si>
  <si>
    <t>CORANTIOQUIA</t>
  </si>
  <si>
    <t>AEROCIVIL</t>
  </si>
  <si>
    <t>NINGUNO</t>
  </si>
  <si>
    <t>SI</t>
  </si>
  <si>
    <t>CONSTRUCCION Y
ADECUACION DEL PALACIO
MINICIPAL EN EL MUNICIPIO
DE ABEJORRAL</t>
  </si>
  <si>
    <t>REALIZAR LAS OBRAS DE
REPOTENCIACION DEL
BLOQUE ADMINISTRATIVO
1RO Y 2DO PISO DE LA
UNIVERSIDAD COOPERATIVA
DE COLOMBIA SEDE SANTA
MARTA PARA EL
CUMPLIMIENTO DEL CODIGO
NSR - 10</t>
  </si>
  <si>
    <t>CONSTRUCCION Y
ADECUACION DE
INFRAESTRUCTURA
EDUCATIVA EN EL MUNCIPIO
DE MEDELLIN</t>
  </si>
  <si>
    <t>MUNICIPIO DE
ABEJORRAL</t>
  </si>
  <si>
    <t>UNIVERSIDAD
COOPERATIVAD E
COLOMBIA</t>
  </si>
  <si>
    <t>EDU</t>
  </si>
  <si>
    <t>MP-OP-004 DE 2014</t>
  </si>
  <si>
    <t>ALCALDIA DE PURISIMA</t>
  </si>
  <si>
    <t>No. 08-6-16170-2015</t>
  </si>
  <si>
    <t>POLICIA NACIONAL DIRECCION DE BIENESTAR SOCIAL</t>
  </si>
  <si>
    <t>023 de 2007</t>
  </si>
  <si>
    <t>272 de 2010</t>
  </si>
  <si>
    <t>301 de 2010</t>
  </si>
  <si>
    <t>015-2014</t>
  </si>
  <si>
    <t>114-ICFE-2013</t>
  </si>
  <si>
    <t>FISCALIA GENERAL DE LA NACION</t>
  </si>
  <si>
    <t>SENA C.I.D.T.</t>
  </si>
  <si>
    <t>SENA C.A.S.A.</t>
  </si>
  <si>
    <t>INSTITUTO DE CASAS FISCALES DEL EJERCITO</t>
  </si>
  <si>
    <t>Se toma el valor del RUP</t>
  </si>
  <si>
    <t>014 DE 2014</t>
  </si>
  <si>
    <t>011 DE 2013</t>
  </si>
  <si>
    <t>PROMEDIO</t>
  </si>
  <si>
    <t>Desv</t>
  </si>
  <si>
    <t>UNIVERSIDAD DE LA GUAJIRA</t>
  </si>
  <si>
    <t>900.01.01-148 DE
2015</t>
  </si>
  <si>
    <t>GJ 041 DE 2016</t>
  </si>
  <si>
    <t>4600066635 DE 2016</t>
  </si>
  <si>
    <t>4600076018 de 2018</t>
  </si>
  <si>
    <t>Municipio de Amagá</t>
  </si>
  <si>
    <t>Institución Universitaria
Pascual Bravo</t>
  </si>
  <si>
    <t>Municipio de Medellín</t>
  </si>
  <si>
    <t>NO CUMPLEN CON LO SOLICITADO</t>
  </si>
  <si>
    <t>175 de 2003</t>
  </si>
  <si>
    <t>426 de 2015</t>
  </si>
  <si>
    <t>4600076252 de 2018</t>
  </si>
  <si>
    <t>4600083187 de 2019</t>
  </si>
  <si>
    <t>EDIURBANO SAS</t>
  </si>
  <si>
    <t>EMPRESA DE DESARROLLO
URBANO</t>
  </si>
  <si>
    <t>EMPRESA DE VIVIENDA DE
ANTIOQUIA</t>
  </si>
  <si>
    <t>El contrato es 436 de 2015</t>
  </si>
  <si>
    <t>945 de 2019</t>
  </si>
  <si>
    <t>Municipio de Bello</t>
  </si>
  <si>
    <t>LP 035 DE 2015</t>
  </si>
  <si>
    <t>AREA METROPOLITANA DEL VALLE DE ABURRA</t>
  </si>
  <si>
    <t>N GLI-068-2016</t>
  </si>
  <si>
    <t>19000581 01 H4 DE 2019</t>
  </si>
  <si>
    <t>UNIDAD
ADMINISTRATIVA
AERONAUTICA CIVIL</t>
  </si>
  <si>
    <t>UT</t>
  </si>
  <si>
    <t>0202 DE 2014</t>
  </si>
  <si>
    <t>AGENCIA NACIONAL
DE MINERIA</t>
  </si>
  <si>
    <t>20000899 02 H4 DE 2020</t>
  </si>
  <si>
    <t>0083 DE 2014</t>
  </si>
  <si>
    <t>BGA - 125 - 2017</t>
  </si>
  <si>
    <t>NACIÓN - CONSEJO
SUPERIOR DE LA
JUDICATURA</t>
  </si>
  <si>
    <t>4600040622 DE 2012</t>
  </si>
  <si>
    <t>SECRETARIA DE EDUCACIONDE MEDELLIN</t>
  </si>
  <si>
    <t>CN 31072008-338</t>
  </si>
  <si>
    <t>CONSTRUCCIONES E.U.</t>
  </si>
  <si>
    <t>4600004638 DE 2015</t>
  </si>
  <si>
    <t>GOBERNACION DEANTIOQUIA</t>
  </si>
  <si>
    <t>SE RECHAZA EL CERTIFICADO YA QUE PRESENTA ENMENDADURAS EN EL NUMERO DEL CONTRATO</t>
  </si>
  <si>
    <t>NO SUBSANABLE</t>
  </si>
  <si>
    <t>SE RECHAZA EL CERTIFICADO , YA QUE ESTE PRESENTA MODIFICACIONES CONFORME EL CERTIFICADO ORIGINAL REPORTADO A LA CAMARA DE COMERCIO DE MEDELLIN</t>
  </si>
  <si>
    <t xml:space="preserve"> Seguros del Estado S.A</t>
  </si>
  <si>
    <t xml:space="preserve">Del 24 de Agosto de 2021 al 7 de diciembre de 2021. </t>
  </si>
  <si>
    <t>Del 24 de Agosto de 2021 al 24 de noviembre de 2021</t>
  </si>
  <si>
    <t>Seguros del Estado S.A.</t>
  </si>
  <si>
    <t xml:space="preserve"> 45-44-101128182</t>
  </si>
  <si>
    <t xml:space="preserve">Del 24 de Agosto de 2021 al 4 de noviembre de 2021. </t>
  </si>
  <si>
    <t>Seguros del Estado S.A</t>
  </si>
  <si>
    <t>21 - 44 -101358302</t>
  </si>
  <si>
    <t>Del 24 de Agosto de 2021 al 5 de noviembre de 2021</t>
  </si>
  <si>
    <t>Seguros del Estado</t>
  </si>
  <si>
    <t xml:space="preserve">Del 24 de Agosto de 2021 al 24 de diciembre de 2021. </t>
  </si>
  <si>
    <t xml:space="preserve">Seguros del Estado S.A </t>
  </si>
  <si>
    <t>Del 24 de Agosto de 2021 al 24 de noviembre de 2021.</t>
  </si>
  <si>
    <t>N/A</t>
  </si>
  <si>
    <t>Mundial de Seguros S.A.</t>
  </si>
  <si>
    <t xml:space="preserve">Del 24 de Agosto de 2021 al 24 de noviembre de 2021. </t>
  </si>
  <si>
    <t xml:space="preserve">Del 24 de Agosto de 2021 al 30 de enero de 2022. </t>
  </si>
  <si>
    <t xml:space="preserve"> Del 24 de Agosto de 2021 al 24 de noviembre de 2021. </t>
  </si>
  <si>
    <t>Aseguradora Solidaria de Colombia.</t>
  </si>
  <si>
    <t>520 47 994000043981</t>
  </si>
  <si>
    <t>Compañía  Mundial de Seguros.</t>
  </si>
  <si>
    <t xml:space="preserve">Del 24 de Agosto de 2021 al 1 de noviembre de 2021. </t>
  </si>
  <si>
    <t xml:space="preserve"> 65-44-101202033</t>
  </si>
  <si>
    <t>Del 23 de Agosto de 2021 al 30 de enero de 2022</t>
  </si>
  <si>
    <t>NH</t>
  </si>
  <si>
    <t>TOTAL AU</t>
  </si>
  <si>
    <t>Subsanó los documentos el 10/09/2021</t>
  </si>
  <si>
    <t>REQUERIMIENTOS SUBSANADOS</t>
  </si>
  <si>
    <r>
      <t>Se inhabilita la propuesta ya que entrego la propuesta en un horario diferente al establecido en los Términos de Referencia, según la causal de rechazo:</t>
    </r>
    <r>
      <rPr>
        <i/>
        <sz val="16"/>
        <rFont val="Arial"/>
        <family val="2"/>
      </rPr>
      <t xml:space="preserve"> 14.3. Se presente de forma extemporánea o luego de la fecha y hora fijadas para la entrega y el cierre o en lugar diferente al indicado.</t>
    </r>
  </si>
  <si>
    <r>
      <t xml:space="preserve">No subsanó los documentos conforme se le solicitó el 8/09/2021, siendo esto causal de rechazo </t>
    </r>
    <r>
      <rPr>
        <i/>
        <sz val="16"/>
        <rFont val="Arial"/>
        <family val="2"/>
      </rPr>
      <t>14.11. Cuando el Proponente, habiendo sido requerido por la UdeA. para aportar documentos, suministrar información o hacer aclaraciones conforme a lo establecido en esta Invitación, no los allegue dentro del término fijado para el efecto en la respectiva comunicación, o que habiéndolos aportado no estén conformes con lo exigido en la comunicación.</t>
    </r>
  </si>
  <si>
    <r>
      <t xml:space="preserve">Los certificados aportados para certificar la experiencia, con los contratos número 4600040622 de 2012 y CN 31072008-338, presentan presuntas irregularidades respecto a lo reportado al RUP, por lo tanto, se inhabilita la propuesta conforme lo dispuesto en los Términos de Referencia causal de rechazo: </t>
    </r>
    <r>
      <rPr>
        <i/>
        <sz val="16"/>
        <rFont val="Arial"/>
        <family val="2"/>
      </rPr>
      <t>14.6. La información o documentación entregada no sea veraz o se observen presuntas falsedades o inconsistencias o contradicciones.</t>
    </r>
  </si>
  <si>
    <t xml:space="preserve">
El Anexo 2 fue modificado, y en dicha modificación no se contempla la sumatoria de los valores totales de los ítems 1,1 y 1,2 los cuales ascienden a $ 46,902,117, el proponente presenta propuesta por $ 498,450,845 y al incluir los ítems 1,1 y 1,2 el valor real sería por $ 545,352,963 el cual supera el valor máximo del Pt1 siendo así causal de rechazo de los Términos de Referencia: 5.5.4. No modificar los formatos del Proceso de Contratación, salvo autorización expresa. Y 14.7. Cuando el valor de la propuesta supera el presupuesto oficial o supere los valores límites establecidos en 12.2. Fase 2. Evaluación económica, para Pt1.
</t>
  </si>
  <si>
    <t>No se anexa certificado por parte del oferente. Es consultado por la Entidad.
Certificado expedido por la Policía Nacional de Colombia el 2 de septiembre de 2021, en el que consta que la cédula 84083515  correspondiente al señor ALEXANDER AREVALO MUÑOZ, representante legal del proponente, SÍ TIENE MEDIDAS CORRECTIVAS PENDIENTES POR CUMPLIR.
EXPEDIENTE: 47-189-6-2021-1925
FECHA: 23/07/2021 05:54:10 p. m
DEPARTAMENTO: MAGDALENA 
MUNICIPIO: CIÉNAGA
MEDIDA: Multa General Tipo 3
REMITIDO A: INSPECCIÓN DE POLICÍA CIÉNAGA
ESTADO: 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</si>
</sst>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quot;$&quot;\ #,##0"/>
    <numFmt numFmtId="166" formatCode="&quot;$&quot;\ #,##0.00"/>
    <numFmt numFmtId="167" formatCode="_ * #,##0.00_ ;_ * \-#,##0.00_ ;_ * &quot;-&quot;??_ ;_ @_ "/>
    <numFmt numFmtId="168" formatCode="&quot;K=&quot;\ \ \ \ #,##0.00\ &quot;de contra&quot;"/>
    <numFmt numFmtId="169" formatCode="0.0"/>
    <numFmt numFmtId="170" formatCode="#,##0.00\ &quot;SMMLV&quot;"/>
    <numFmt numFmtId="171" formatCode="_ * #,##0_ ;_ * \-#,##0_ ;_ * &quot;-&quot;??_ ;_ @_ "/>
    <numFmt numFmtId="172" formatCode="_(&quot;$&quot;\ * #,##0.00_);_(&quot;$&quot;\ * \(#,##0.00\);_(&quot;$&quot;\ * &quot;-&quot;??_);_(@_)"/>
    <numFmt numFmtId="173" formatCode="&quot;$&quot;#,##0.00"/>
    <numFmt numFmtId="174" formatCode="_(&quot;$&quot;* #,##0.00_);_(&quot;$&quot;* \(#,##0.00\);_(&quot;$&quot;* &quot;-&quot;??_);_(@_)"/>
    <numFmt numFmtId="175" formatCode="_-&quot;$&quot;* #,##0_-;\-&quot;$&quot;* #,##0_-;_-&quot;$&quot;* &quot;-&quot;??_-;_-@_-"/>
    <numFmt numFmtId="176" formatCode="0.0%"/>
    <numFmt numFmtId="177" formatCode="_-* #,##0.00_-;\-* #,##0.00_-;_-* &quot;-&quot;_-;_-@_-"/>
    <numFmt numFmtId="178" formatCode="#,##0.00;[Red]#,##0.00"/>
    <numFmt numFmtId="179" formatCode="#,##0;[Red]#,##0"/>
    <numFmt numFmtId="180" formatCode="_-&quot;$&quot;\ * #,##0_-;\-&quot;$&quot;\ * #,##0_-;_-&quot;$&quot;\ * &quot;-&quot;??_-;_-@_-"/>
    <numFmt numFmtId="181" formatCode="_(* #,##0.00_);_(* \(#,##0.00\);_(* &quot;-&quot;??_);_(@_)"/>
    <numFmt numFmtId="182" formatCode="#,##0.00_ ;[Red]\-#,##0.00\ "/>
    <numFmt numFmtId="183" formatCode="_(* #,##0_);_(* \(#,##0\);_(* &quot;-&quot;??_);_(@_)"/>
  </numFmts>
  <fonts count="75" x14ac:knownFonts="1">
    <font>
      <sz val="11"/>
      <color theme="1"/>
      <name val="Calibri"/>
      <family val="2"/>
      <scheme val="minor"/>
    </font>
    <font>
      <sz val="11"/>
      <color theme="1"/>
      <name val="Calibri"/>
      <family val="2"/>
      <scheme val="minor"/>
    </font>
    <font>
      <b/>
      <sz val="16"/>
      <name val="Arial"/>
      <family val="2"/>
    </font>
    <font>
      <b/>
      <sz val="14"/>
      <name val="Arial"/>
      <family val="2"/>
    </font>
    <font>
      <sz val="11"/>
      <name val="Arial"/>
      <family val="2"/>
    </font>
    <font>
      <b/>
      <sz val="12"/>
      <name val="Arial"/>
      <family val="2"/>
    </font>
    <font>
      <b/>
      <sz val="11"/>
      <name val="Arial"/>
      <family val="2"/>
    </font>
    <font>
      <sz val="10"/>
      <name val="Arial"/>
      <family val="2"/>
    </font>
    <font>
      <b/>
      <sz val="10"/>
      <name val="Arial"/>
      <family val="2"/>
    </font>
    <font>
      <sz val="11"/>
      <color theme="1"/>
      <name val="Arial"/>
      <family val="2"/>
    </font>
    <font>
      <sz val="12"/>
      <color theme="1"/>
      <name val="Arial"/>
      <family val="2"/>
    </font>
    <font>
      <b/>
      <sz val="12"/>
      <color theme="1"/>
      <name val="Arial"/>
      <family val="2"/>
    </font>
    <font>
      <b/>
      <sz val="12"/>
      <color rgb="FF000000"/>
      <name val="Arial"/>
      <family val="2"/>
    </font>
    <font>
      <sz val="12"/>
      <name val="Arial"/>
      <family val="2"/>
    </font>
    <font>
      <sz val="12"/>
      <color rgb="FF000000"/>
      <name val="Arial"/>
      <family val="2"/>
    </font>
    <font>
      <b/>
      <sz val="10"/>
      <color theme="1"/>
      <name val="Arial"/>
      <family val="2"/>
    </font>
    <font>
      <b/>
      <sz val="12"/>
      <color rgb="FFFF0000"/>
      <name val="Arial"/>
      <family val="2"/>
    </font>
    <font>
      <b/>
      <sz val="36"/>
      <name val="Arial"/>
      <family val="2"/>
    </font>
    <font>
      <sz val="16"/>
      <name val="Arial"/>
      <family val="2"/>
    </font>
    <font>
      <b/>
      <sz val="22"/>
      <name val="Arial"/>
      <family val="2"/>
    </font>
    <font>
      <b/>
      <sz val="26"/>
      <color rgb="FF000000"/>
      <name val="Calibri"/>
      <family val="2"/>
    </font>
    <font>
      <b/>
      <sz val="11"/>
      <color rgb="FF000000"/>
      <name val="Arial"/>
      <family val="2"/>
    </font>
    <font>
      <b/>
      <sz val="14"/>
      <color rgb="FF000000"/>
      <name val="Calibri"/>
      <family val="2"/>
    </font>
    <font>
      <b/>
      <sz val="72"/>
      <name val="Arial"/>
      <family val="2"/>
    </font>
    <font>
      <b/>
      <sz val="20"/>
      <name val="Arial"/>
      <family val="2"/>
    </font>
    <font>
      <b/>
      <sz val="11"/>
      <color theme="0"/>
      <name val="Arial"/>
      <family val="2"/>
    </font>
    <font>
      <b/>
      <sz val="9"/>
      <color indexed="81"/>
      <name val="Tahoma"/>
      <family val="2"/>
    </font>
    <font>
      <sz val="9"/>
      <color indexed="81"/>
      <name val="Tahoma"/>
      <family val="2"/>
    </font>
    <font>
      <b/>
      <sz val="18"/>
      <name val="Arial"/>
      <family val="2"/>
    </font>
    <font>
      <b/>
      <sz val="8"/>
      <name val="Arial"/>
      <family val="2"/>
    </font>
    <font>
      <sz val="8"/>
      <name val="Arial"/>
      <family val="2"/>
    </font>
    <font>
      <sz val="10"/>
      <color theme="1"/>
      <name val="Arial"/>
      <family val="2"/>
    </font>
    <font>
      <b/>
      <sz val="10"/>
      <color rgb="FF000000"/>
      <name val="Arial"/>
      <family val="2"/>
    </font>
    <font>
      <sz val="12"/>
      <color theme="1"/>
      <name val="Calibri"/>
      <family val="2"/>
      <scheme val="minor"/>
    </font>
    <font>
      <b/>
      <sz val="12"/>
      <name val="Calibri"/>
      <family val="2"/>
      <scheme val="minor"/>
    </font>
    <font>
      <b/>
      <sz val="11"/>
      <name val="Calibri"/>
      <family val="2"/>
      <scheme val="minor"/>
    </font>
    <font>
      <sz val="12"/>
      <name val="Calibri"/>
      <family val="2"/>
      <scheme val="minor"/>
    </font>
    <font>
      <b/>
      <sz val="12"/>
      <color theme="1"/>
      <name val="Calibri"/>
      <family val="2"/>
      <scheme val="minor"/>
    </font>
    <font>
      <sz val="10"/>
      <name val="Century Gothic"/>
      <family val="2"/>
    </font>
    <font>
      <b/>
      <sz val="12"/>
      <name val="Swis721 LtCn BT"/>
      <family val="2"/>
    </font>
    <font>
      <b/>
      <sz val="11.5"/>
      <name val="Arial"/>
      <family val="2"/>
    </font>
    <font>
      <b/>
      <sz val="12"/>
      <color rgb="FFFF0000"/>
      <name val="Calibri"/>
      <family val="2"/>
      <scheme val="minor"/>
    </font>
    <font>
      <b/>
      <vertAlign val="subscript"/>
      <sz val="12"/>
      <name val="Calibri"/>
      <family val="2"/>
      <scheme val="minor"/>
    </font>
    <font>
      <sz val="20"/>
      <name val="Arial"/>
      <family val="2"/>
    </font>
    <font>
      <sz val="12"/>
      <name val="Swis721 LtCn BT"/>
      <family val="2"/>
    </font>
    <font>
      <sz val="14"/>
      <name val="Arial"/>
      <family val="2"/>
    </font>
    <font>
      <sz val="11"/>
      <name val="Calibri"/>
      <family val="2"/>
      <scheme val="minor"/>
    </font>
    <font>
      <b/>
      <sz val="11"/>
      <color indexed="8"/>
      <name val="Swis721 LtCn BT"/>
      <family val="2"/>
    </font>
    <font>
      <sz val="11"/>
      <name val="Swis721 LtCn BT"/>
      <family val="2"/>
    </font>
    <font>
      <u/>
      <sz val="11"/>
      <color theme="10"/>
      <name val="Calibri"/>
      <family val="2"/>
      <scheme val="minor"/>
    </font>
    <font>
      <b/>
      <sz val="14"/>
      <color theme="1"/>
      <name val="Swis721 LtCn BT"/>
      <family val="2"/>
    </font>
    <font>
      <b/>
      <sz val="22"/>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b/>
      <sz val="14"/>
      <name val="Swis721 LtCn BT"/>
      <family val="2"/>
    </font>
    <font>
      <sz val="14"/>
      <name val="Swis721 LtCn BT"/>
      <family val="2"/>
    </font>
    <font>
      <sz val="16"/>
      <name val="Swis721 LtCn BT"/>
      <family val="2"/>
    </font>
    <font>
      <b/>
      <sz val="16"/>
      <color indexed="8"/>
      <name val="Swis721 LtCn BT"/>
      <family val="2"/>
    </font>
    <font>
      <u/>
      <sz val="11"/>
      <color theme="3"/>
      <name val="Calibri"/>
      <family val="2"/>
      <scheme val="minor"/>
    </font>
    <font>
      <vertAlign val="superscript"/>
      <sz val="16"/>
      <name val="Swis721 LtCn BT"/>
      <family val="2"/>
    </font>
    <font>
      <b/>
      <sz val="12"/>
      <color theme="1"/>
      <name val="Swis721 LtCn BTSW"/>
    </font>
    <font>
      <sz val="72"/>
      <name val="Calibri"/>
      <family val="2"/>
      <scheme val="minor"/>
    </font>
    <font>
      <sz val="72"/>
      <name val="Stencil"/>
      <family val="5"/>
    </font>
    <font>
      <b/>
      <sz val="26"/>
      <name val="Calibri"/>
      <family val="2"/>
      <scheme val="minor"/>
    </font>
    <font>
      <b/>
      <sz val="48"/>
      <name val="Calibri"/>
      <family val="2"/>
      <scheme val="minor"/>
    </font>
    <font>
      <b/>
      <sz val="72"/>
      <name val="Calibri"/>
      <family val="2"/>
      <scheme val="minor"/>
    </font>
    <font>
      <b/>
      <sz val="14"/>
      <color theme="1"/>
      <name val="Arial"/>
      <family val="2"/>
    </font>
    <font>
      <b/>
      <sz val="28"/>
      <name val="Arial"/>
      <family val="2"/>
    </font>
    <font>
      <b/>
      <sz val="26"/>
      <name val="Arial"/>
      <family val="2"/>
    </font>
    <font>
      <b/>
      <sz val="24"/>
      <name val="Arial"/>
      <family val="2"/>
    </font>
    <font>
      <sz val="26"/>
      <name val="Arial"/>
      <family val="2"/>
    </font>
    <font>
      <sz val="28"/>
      <name val="Arial"/>
      <family val="2"/>
    </font>
    <font>
      <i/>
      <sz val="16"/>
      <name val="Arial"/>
      <family val="2"/>
    </font>
    <font>
      <sz val="12"/>
      <color rgb="FFFF0000"/>
      <name val="Arial"/>
      <family val="2"/>
    </font>
  </fonts>
  <fills count="20">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theme="0" tint="-0.249977111117893"/>
        <bgColor indexed="8"/>
      </patternFill>
    </fill>
    <fill>
      <patternFill patternType="solid">
        <fgColor theme="9" tint="0.79998168889431442"/>
        <bgColor indexed="64"/>
      </patternFill>
    </fill>
    <fill>
      <patternFill patternType="solid">
        <fgColor theme="5" tint="0.39997558519241921"/>
        <bgColor indexed="64"/>
      </patternFill>
    </fill>
    <fill>
      <patternFill patternType="solid">
        <fgColor rgb="FFFFCCFF"/>
        <bgColor indexed="8"/>
      </patternFill>
    </fill>
  </fills>
  <borders count="7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double">
        <color auto="1"/>
      </right>
      <top style="double">
        <color auto="1"/>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style="double">
        <color auto="1"/>
      </right>
      <top/>
      <bottom style="double">
        <color auto="1"/>
      </bottom>
      <diagonal/>
    </border>
    <border>
      <left style="double">
        <color auto="1"/>
      </left>
      <right/>
      <top/>
      <bottom style="double">
        <color indexed="64"/>
      </bottom>
      <diagonal/>
    </border>
    <border>
      <left/>
      <right style="double">
        <color indexed="64"/>
      </right>
      <top/>
      <bottom style="double">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indexed="64"/>
      </right>
      <top/>
      <bottom/>
      <diagonal/>
    </border>
    <border>
      <left style="double">
        <color auto="1"/>
      </left>
      <right/>
      <top/>
      <bottom/>
      <diagonal/>
    </border>
    <border>
      <left/>
      <right style="double">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auto="1"/>
      </bottom>
      <diagonal/>
    </border>
    <border>
      <left/>
      <right/>
      <top style="double">
        <color auto="1"/>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auto="1"/>
      </left>
      <right style="double">
        <color indexed="64"/>
      </right>
      <top style="thin">
        <color indexed="64"/>
      </top>
      <bottom style="thin">
        <color auto="1"/>
      </bottom>
      <diagonal/>
    </border>
    <border>
      <left/>
      <right/>
      <top style="double">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auto="1"/>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41">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167" fontId="13" fillId="0" borderId="0" applyFont="0" applyFill="0" applyBorder="0" applyAlignment="0" applyProtection="0"/>
    <xf numFmtId="0" fontId="7" fillId="0" borderId="0"/>
    <xf numFmtId="0" fontId="1" fillId="0" borderId="0"/>
    <xf numFmtId="0" fontId="7" fillId="0" borderId="0"/>
    <xf numFmtId="172" fontId="1" fillId="0" borderId="0" applyFont="0" applyFill="0" applyBorder="0" applyAlignment="0" applyProtection="0"/>
    <xf numFmtId="42" fontId="7" fillId="0" borderId="0" applyFont="0" applyFill="0" applyBorder="0" applyAlignment="0" applyProtection="0"/>
    <xf numFmtId="174"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1" fillId="0" borderId="0"/>
    <xf numFmtId="41" fontId="7" fillId="0" borderId="0" applyFont="0" applyFill="0" applyBorder="0" applyAlignment="0" applyProtection="0"/>
    <xf numFmtId="181"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 fillId="0" borderId="0"/>
    <xf numFmtId="41"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49" fillId="0" borderId="0" applyNumberFormat="0" applyFill="0" applyBorder="0" applyAlignment="0" applyProtection="0"/>
    <xf numFmtId="164" fontId="1" fillId="0" borderId="0" applyFont="0" applyFill="0" applyBorder="0" applyAlignment="0" applyProtection="0"/>
    <xf numFmtId="42" fontId="7" fillId="0" borderId="0" applyFont="0" applyFill="0" applyBorder="0" applyAlignment="0" applyProtection="0"/>
    <xf numFmtId="44" fontId="1"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699">
    <xf numFmtId="0" fontId="0" fillId="0" borderId="0" xfId="0"/>
    <xf numFmtId="0" fontId="0" fillId="3" borderId="0" xfId="0" applyFill="1" applyAlignment="1" applyProtection="1">
      <alignment vertical="center" wrapText="1"/>
      <protection hidden="1"/>
    </xf>
    <xf numFmtId="0" fontId="5" fillId="4" borderId="7"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xf numFmtId="0" fontId="6" fillId="4" borderId="8" xfId="3" applyFont="1" applyFill="1" applyBorder="1" applyAlignment="1" applyProtection="1">
      <alignment horizontal="center" vertical="center" wrapText="1"/>
      <protection hidden="1"/>
    </xf>
    <xf numFmtId="0" fontId="4" fillId="4" borderId="8" xfId="0" applyNumberFormat="1" applyFont="1" applyFill="1" applyBorder="1" applyAlignment="1" applyProtection="1">
      <alignment horizontal="center" wrapText="1"/>
      <protection hidden="1"/>
    </xf>
    <xf numFmtId="0" fontId="4" fillId="4" borderId="0" xfId="0" applyNumberFormat="1" applyFont="1" applyFill="1" applyBorder="1" applyAlignment="1" applyProtection="1">
      <alignment horizontal="center" vertical="center" wrapText="1"/>
      <protection hidden="1"/>
    </xf>
    <xf numFmtId="0" fontId="4" fillId="4" borderId="0" xfId="0" applyFont="1" applyFill="1" applyBorder="1" applyAlignment="1" applyProtection="1">
      <alignment vertical="center"/>
      <protection hidden="1"/>
    </xf>
    <xf numFmtId="0" fontId="9" fillId="0" borderId="0" xfId="4" applyFont="1" applyProtection="1">
      <protection hidden="1"/>
    </xf>
    <xf numFmtId="0" fontId="6" fillId="4" borderId="10" xfId="4" applyFont="1" applyFill="1" applyBorder="1" applyAlignment="1" applyProtection="1">
      <alignment vertical="center" wrapText="1"/>
      <protection hidden="1"/>
    </xf>
    <xf numFmtId="0" fontId="6" fillId="4" borderId="6" xfId="4" applyFont="1" applyFill="1" applyBorder="1" applyAlignment="1" applyProtection="1">
      <alignment vertical="center" wrapText="1"/>
      <protection hidden="1"/>
    </xf>
    <xf numFmtId="0" fontId="4" fillId="0" borderId="0" xfId="4" applyFont="1" applyProtection="1">
      <protection hidden="1"/>
    </xf>
    <xf numFmtId="0" fontId="13" fillId="0" borderId="0" xfId="3" applyNumberFormat="1" applyFont="1" applyFill="1" applyAlignment="1" applyProtection="1">
      <alignment vertical="center" wrapText="1"/>
      <protection hidden="1"/>
    </xf>
    <xf numFmtId="0" fontId="13" fillId="0" borderId="0" xfId="3" applyFont="1" applyFill="1" applyAlignment="1" applyProtection="1">
      <alignment vertical="center" wrapText="1"/>
      <protection hidden="1"/>
    </xf>
    <xf numFmtId="0" fontId="5" fillId="0" borderId="0" xfId="8" applyNumberFormat="1" applyFont="1" applyFill="1" applyAlignment="1" applyProtection="1">
      <alignment vertical="center" wrapText="1"/>
      <protection hidden="1"/>
    </xf>
    <xf numFmtId="167" fontId="5" fillId="0" borderId="0" xfId="8" applyFont="1" applyFill="1" applyAlignment="1" applyProtection="1">
      <alignment horizontal="center" vertical="center" wrapText="1"/>
      <protection hidden="1"/>
    </xf>
    <xf numFmtId="167" fontId="5" fillId="0" borderId="0" xfId="8" applyFont="1" applyFill="1" applyAlignment="1" applyProtection="1">
      <alignment vertical="center" wrapText="1"/>
      <protection hidden="1"/>
    </xf>
    <xf numFmtId="167" fontId="5" fillId="7" borderId="8" xfId="8" applyFont="1" applyFill="1" applyBorder="1" applyAlignment="1" applyProtection="1">
      <alignment horizontal="center" vertical="center" wrapText="1"/>
      <protection hidden="1"/>
    </xf>
    <xf numFmtId="170" fontId="3" fillId="7" borderId="8" xfId="8" applyNumberFormat="1" applyFont="1" applyFill="1" applyBorder="1" applyAlignment="1" applyProtection="1">
      <alignment horizontal="center" vertical="center" wrapText="1"/>
      <protection hidden="1"/>
    </xf>
    <xf numFmtId="0" fontId="5" fillId="0" borderId="0" xfId="3" applyNumberFormat="1" applyFont="1" applyFill="1" applyBorder="1" applyAlignment="1" applyProtection="1">
      <alignment vertical="center" wrapText="1"/>
      <protection hidden="1"/>
    </xf>
    <xf numFmtId="168" fontId="5" fillId="0" borderId="0" xfId="8" applyNumberFormat="1" applyFont="1" applyFill="1" applyBorder="1" applyAlignment="1" applyProtection="1">
      <alignment vertical="center" wrapText="1"/>
      <protection hidden="1"/>
    </xf>
    <xf numFmtId="166" fontId="13" fillId="0" borderId="0" xfId="8" applyNumberFormat="1" applyFont="1" applyFill="1" applyBorder="1" applyAlignment="1" applyProtection="1">
      <alignment horizontal="right" vertical="center" wrapText="1"/>
      <protection hidden="1"/>
    </xf>
    <xf numFmtId="170" fontId="13" fillId="0" borderId="0" xfId="8" applyNumberFormat="1" applyFont="1" applyFill="1" applyBorder="1" applyAlignment="1" applyProtection="1">
      <alignment vertical="center" wrapText="1"/>
      <protection hidden="1"/>
    </xf>
    <xf numFmtId="3" fontId="5" fillId="0" borderId="0" xfId="8" applyNumberFormat="1" applyFont="1" applyFill="1" applyBorder="1" applyAlignment="1" applyProtection="1">
      <alignment vertical="center" wrapText="1"/>
      <protection hidden="1"/>
    </xf>
    <xf numFmtId="171" fontId="13" fillId="0" borderId="0" xfId="8" applyNumberFormat="1" applyFont="1" applyFill="1" applyAlignment="1" applyProtection="1">
      <alignment vertical="center" wrapText="1"/>
      <protection hidden="1"/>
    </xf>
    <xf numFmtId="167" fontId="13" fillId="0" borderId="0" xfId="8" applyFont="1" applyFill="1" applyAlignment="1" applyProtection="1">
      <alignment vertical="center" wrapText="1"/>
      <protection hidden="1"/>
    </xf>
    <xf numFmtId="0" fontId="19" fillId="9" borderId="8" xfId="8" applyNumberFormat="1" applyFont="1" applyFill="1" applyBorder="1" applyAlignment="1" applyProtection="1">
      <alignment horizontal="center" vertical="center" wrapText="1"/>
      <protection hidden="1"/>
    </xf>
    <xf numFmtId="0" fontId="20" fillId="9" borderId="8" xfId="0" applyNumberFormat="1" applyFont="1" applyFill="1" applyBorder="1" applyAlignment="1" applyProtection="1">
      <alignment horizontal="center" vertical="center" wrapText="1"/>
      <protection hidden="1"/>
    </xf>
    <xf numFmtId="0" fontId="4" fillId="0" borderId="0" xfId="3" applyFont="1" applyFill="1" applyAlignment="1" applyProtection="1">
      <alignment vertical="center" wrapText="1"/>
      <protection hidden="1"/>
    </xf>
    <xf numFmtId="0" fontId="13" fillId="0" borderId="0" xfId="3" applyFont="1" applyFill="1" applyBorder="1" applyAlignment="1" applyProtection="1">
      <alignment vertical="center" wrapText="1"/>
      <protection hidden="1"/>
    </xf>
    <xf numFmtId="167" fontId="6" fillId="0" borderId="0" xfId="8" applyFont="1" applyFill="1" applyAlignment="1" applyProtection="1">
      <alignment horizontal="center" vertical="center" wrapText="1"/>
      <protection hidden="1"/>
    </xf>
    <xf numFmtId="0" fontId="4" fillId="0" borderId="0" xfId="3" applyFont="1" applyFill="1" applyAlignment="1" applyProtection="1">
      <alignment horizontal="center" vertical="center" wrapText="1"/>
      <protection hidden="1"/>
    </xf>
    <xf numFmtId="0" fontId="3" fillId="9" borderId="8" xfId="3" applyFont="1" applyFill="1" applyBorder="1" applyAlignment="1" applyProtection="1">
      <alignment horizontal="center" vertical="center" wrapText="1"/>
      <protection hidden="1"/>
    </xf>
    <xf numFmtId="9" fontId="6" fillId="7" borderId="8" xfId="3" applyNumberFormat="1" applyFont="1" applyFill="1" applyBorder="1" applyAlignment="1" applyProtection="1">
      <alignment horizontal="center" vertical="center" wrapText="1"/>
      <protection hidden="1"/>
    </xf>
    <xf numFmtId="0" fontId="7" fillId="0" borderId="8" xfId="9" applyBorder="1" applyAlignment="1" applyProtection="1">
      <alignment horizontal="center" vertical="center"/>
      <protection hidden="1"/>
    </xf>
    <xf numFmtId="0" fontId="7" fillId="0" borderId="8" xfId="9" applyBorder="1" applyAlignment="1" applyProtection="1">
      <alignment vertical="center"/>
      <protection hidden="1"/>
    </xf>
    <xf numFmtId="167" fontId="6" fillId="0" borderId="8" xfId="8" applyFont="1" applyFill="1" applyBorder="1" applyAlignment="1" applyProtection="1">
      <alignment horizontal="center" vertical="center" wrapText="1"/>
      <protection hidden="1"/>
    </xf>
    <xf numFmtId="2" fontId="6" fillId="0" borderId="8" xfId="8" applyNumberFormat="1" applyFont="1" applyFill="1" applyBorder="1" applyAlignment="1" applyProtection="1">
      <alignment horizontal="center" vertical="center" wrapText="1"/>
      <protection hidden="1"/>
    </xf>
    <xf numFmtId="0" fontId="6" fillId="0" borderId="8" xfId="8" applyNumberFormat="1" applyFont="1" applyFill="1" applyBorder="1" applyAlignment="1" applyProtection="1">
      <alignment horizontal="center" vertical="center" wrapText="1"/>
      <protection hidden="1"/>
    </xf>
    <xf numFmtId="171" fontId="6" fillId="0" borderId="8" xfId="8" applyNumberFormat="1" applyFont="1" applyFill="1" applyBorder="1" applyAlignment="1" applyProtection="1">
      <alignment vertical="center" wrapText="1"/>
      <protection hidden="1"/>
    </xf>
    <xf numFmtId="167" fontId="6" fillId="0" borderId="4" xfId="8" applyFont="1" applyFill="1" applyBorder="1" applyAlignment="1" applyProtection="1">
      <alignment vertical="center" wrapText="1"/>
      <protection hidden="1"/>
    </xf>
    <xf numFmtId="167" fontId="6" fillId="0" borderId="0" xfId="8" applyFont="1" applyFill="1" applyBorder="1" applyAlignment="1" applyProtection="1">
      <alignment vertical="center" wrapText="1"/>
      <protection hidden="1"/>
    </xf>
    <xf numFmtId="167" fontId="6" fillId="0" borderId="0" xfId="8" applyFont="1" applyFill="1" applyAlignment="1" applyProtection="1">
      <alignment horizontal="center" wrapText="1"/>
      <protection hidden="1"/>
    </xf>
    <xf numFmtId="167" fontId="25" fillId="0" borderId="0" xfId="8" applyFont="1" applyFill="1" applyAlignment="1" applyProtection="1">
      <alignment horizontal="center" wrapText="1"/>
      <protection hidden="1"/>
    </xf>
    <xf numFmtId="4" fontId="3" fillId="0" borderId="8" xfId="3" applyNumberFormat="1" applyFont="1" applyFill="1" applyBorder="1" applyAlignment="1" applyProtection="1">
      <alignment horizontal="center" vertical="center" wrapText="1"/>
      <protection hidden="1"/>
    </xf>
    <xf numFmtId="0" fontId="4" fillId="0" borderId="0" xfId="3" applyFont="1" applyFill="1" applyAlignment="1" applyProtection="1">
      <alignment horizontal="center" wrapText="1"/>
      <protection hidden="1"/>
    </xf>
    <xf numFmtId="0" fontId="13" fillId="0" borderId="0" xfId="3" applyNumberFormat="1" applyFont="1" applyFill="1" applyAlignment="1" applyProtection="1">
      <alignment horizontal="center" vertical="center" wrapText="1"/>
      <protection hidden="1"/>
    </xf>
    <xf numFmtId="0" fontId="13" fillId="0" borderId="0" xfId="3" applyFont="1" applyFill="1" applyAlignment="1" applyProtection="1">
      <alignment horizontal="center" vertical="center" wrapText="1"/>
      <protection hidden="1"/>
    </xf>
    <xf numFmtId="0" fontId="3" fillId="4" borderId="0" xfId="3" applyFont="1" applyFill="1" applyBorder="1" applyAlignment="1" applyProtection="1">
      <alignment horizontal="center" vertical="center" wrapText="1"/>
      <protection hidden="1"/>
    </xf>
    <xf numFmtId="0" fontId="13" fillId="4" borderId="0" xfId="3" applyFont="1" applyFill="1" applyAlignment="1" applyProtection="1">
      <alignment vertical="center" wrapText="1"/>
      <protection hidden="1"/>
    </xf>
    <xf numFmtId="0" fontId="13" fillId="4" borderId="0" xfId="3" applyNumberFormat="1" applyFont="1" applyFill="1" applyAlignment="1" applyProtection="1">
      <alignment horizontal="center" vertical="center" wrapText="1"/>
      <protection hidden="1"/>
    </xf>
    <xf numFmtId="0" fontId="13" fillId="4" borderId="0" xfId="3" applyFont="1" applyFill="1" applyAlignment="1" applyProtection="1">
      <alignment horizontal="center" vertical="center" wrapText="1"/>
      <protection hidden="1"/>
    </xf>
    <xf numFmtId="0" fontId="29" fillId="7" borderId="8" xfId="3" applyFont="1" applyFill="1" applyBorder="1" applyAlignment="1" applyProtection="1">
      <alignment horizontal="center" vertical="center" wrapText="1"/>
      <protection hidden="1"/>
    </xf>
    <xf numFmtId="167" fontId="5" fillId="9" borderId="8" xfId="8" applyFont="1" applyFill="1" applyBorder="1" applyAlignment="1" applyProtection="1">
      <alignment horizontal="center" vertical="center" wrapText="1"/>
      <protection hidden="1"/>
    </xf>
    <xf numFmtId="9" fontId="7" fillId="0" borderId="8" xfId="2" applyFont="1" applyFill="1" applyBorder="1" applyAlignment="1" applyProtection="1">
      <alignment horizontal="center" vertical="center"/>
      <protection hidden="1"/>
    </xf>
    <xf numFmtId="4" fontId="6" fillId="6" borderId="8" xfId="3" applyNumberFormat="1" applyFont="1" applyFill="1" applyBorder="1" applyAlignment="1" applyProtection="1">
      <alignment horizontal="center" vertical="center"/>
      <protection hidden="1"/>
    </xf>
    <xf numFmtId="4" fontId="7" fillId="0" borderId="8" xfId="3" applyNumberFormat="1" applyFont="1" applyFill="1" applyBorder="1" applyAlignment="1" applyProtection="1">
      <alignment horizontal="center" vertical="center"/>
      <protection hidden="1"/>
    </xf>
    <xf numFmtId="0" fontId="5" fillId="0" borderId="8" xfId="8" applyNumberFormat="1" applyFont="1" applyFill="1" applyBorder="1" applyAlignment="1" applyProtection="1">
      <alignment horizontal="center" vertical="center" wrapText="1"/>
      <protection hidden="1"/>
    </xf>
    <xf numFmtId="167" fontId="5" fillId="0" borderId="8" xfId="8" applyFont="1" applyFill="1" applyBorder="1" applyAlignment="1" applyProtection="1">
      <alignment vertical="center" wrapText="1"/>
      <protection hidden="1"/>
    </xf>
    <xf numFmtId="167" fontId="5" fillId="0" borderId="8" xfId="8" applyFont="1" applyFill="1" applyBorder="1" applyAlignment="1" applyProtection="1">
      <alignment horizontal="center" vertical="center" wrapText="1"/>
      <protection hidden="1"/>
    </xf>
    <xf numFmtId="4" fontId="7" fillId="9" borderId="8" xfId="3" applyNumberFormat="1" applyFont="1" applyFill="1" applyBorder="1" applyAlignment="1" applyProtection="1">
      <alignment horizontal="center" vertical="center"/>
      <protection hidden="1"/>
    </xf>
    <xf numFmtId="0" fontId="13" fillId="0" borderId="0" xfId="3" applyFont="1" applyFill="1" applyAlignment="1" applyProtection="1">
      <alignment horizontal="left" vertical="center"/>
      <protection hidden="1"/>
    </xf>
    <xf numFmtId="0" fontId="31" fillId="0" borderId="0" xfId="5" applyFont="1" applyAlignment="1" applyProtection="1">
      <alignment vertical="center"/>
      <protection hidden="1"/>
    </xf>
    <xf numFmtId="0" fontId="15" fillId="7" borderId="8" xfId="5" applyFont="1" applyFill="1" applyBorder="1" applyAlignment="1" applyProtection="1">
      <alignment horizontal="center" vertical="center"/>
      <protection hidden="1"/>
    </xf>
    <xf numFmtId="0" fontId="32" fillId="7" borderId="8" xfId="5" applyFont="1" applyFill="1" applyBorder="1" applyAlignment="1" applyProtection="1">
      <alignment horizontal="center" vertical="center" wrapText="1"/>
      <protection hidden="1"/>
    </xf>
    <xf numFmtId="0" fontId="31" fillId="7" borderId="8" xfId="5" applyFont="1" applyFill="1" applyBorder="1" applyAlignment="1" applyProtection="1">
      <alignment horizontal="center" vertical="center" wrapText="1"/>
      <protection hidden="1"/>
    </xf>
    <xf numFmtId="1" fontId="15" fillId="7" borderId="8" xfId="5" applyNumberFormat="1" applyFont="1" applyFill="1" applyBorder="1" applyAlignment="1" applyProtection="1">
      <alignment horizontal="center" vertical="center" wrapText="1"/>
      <protection hidden="1"/>
    </xf>
    <xf numFmtId="0" fontId="15" fillId="7" borderId="8" xfId="5" applyFont="1" applyFill="1" applyBorder="1" applyAlignment="1" applyProtection="1">
      <alignment horizontal="center" vertical="center" wrapText="1"/>
      <protection hidden="1"/>
    </xf>
    <xf numFmtId="0" fontId="31" fillId="0" borderId="0" xfId="5" applyFont="1" applyAlignment="1" applyProtection="1">
      <alignment horizontal="left" vertical="center"/>
      <protection hidden="1"/>
    </xf>
    <xf numFmtId="167" fontId="5" fillId="0" borderId="8" xfId="8" applyFont="1" applyFill="1" applyBorder="1" applyAlignment="1" applyProtection="1">
      <alignment horizontal="left" vertical="center" wrapText="1"/>
      <protection hidden="1"/>
    </xf>
    <xf numFmtId="0" fontId="0" fillId="0" borderId="0" xfId="0" applyProtection="1">
      <protection hidden="1"/>
    </xf>
    <xf numFmtId="0" fontId="7" fillId="0" borderId="0" xfId="0" applyFont="1" applyFill="1" applyProtection="1">
      <protection hidden="1"/>
    </xf>
    <xf numFmtId="0" fontId="24" fillId="4" borderId="13" xfId="9" applyFont="1" applyFill="1" applyBorder="1" applyAlignment="1" applyProtection="1">
      <alignment horizontal="center" vertical="center"/>
      <protection hidden="1"/>
    </xf>
    <xf numFmtId="0" fontId="3" fillId="0" borderId="8" xfId="9" applyFont="1" applyFill="1" applyBorder="1" applyAlignment="1" applyProtection="1">
      <alignment horizontal="center" vertical="center" textRotation="90" wrapText="1"/>
      <protection hidden="1"/>
    </xf>
    <xf numFmtId="0" fontId="5" fillId="0" borderId="0" xfId="0" applyFont="1" applyFill="1" applyBorder="1" applyAlignment="1" applyProtection="1">
      <protection hidden="1"/>
    </xf>
    <xf numFmtId="0" fontId="13" fillId="0" borderId="0" xfId="0" applyFont="1" applyFill="1" applyBorder="1" applyProtection="1">
      <protection hidden="1"/>
    </xf>
    <xf numFmtId="0" fontId="5" fillId="0" borderId="0" xfId="9" applyFont="1" applyFill="1" applyBorder="1" applyAlignment="1" applyProtection="1">
      <alignment vertical="center"/>
      <protection hidden="1"/>
    </xf>
    <xf numFmtId="0" fontId="13" fillId="0" borderId="0" xfId="0" applyFont="1" applyFill="1" applyProtection="1">
      <protection hidden="1"/>
    </xf>
    <xf numFmtId="0" fontId="13" fillId="0" borderId="0" xfId="0" applyFont="1" applyFill="1" applyAlignment="1" applyProtection="1">
      <protection hidden="1"/>
    </xf>
    <xf numFmtId="0" fontId="13" fillId="0" borderId="0" xfId="0" applyFont="1" applyProtection="1">
      <protection hidden="1"/>
    </xf>
    <xf numFmtId="0" fontId="36" fillId="0" borderId="0" xfId="17" applyFont="1" applyBorder="1" applyProtection="1">
      <protection hidden="1"/>
    </xf>
    <xf numFmtId="0" fontId="36" fillId="0" borderId="0" xfId="17" applyFont="1" applyProtection="1">
      <protection hidden="1"/>
    </xf>
    <xf numFmtId="0" fontId="36" fillId="4" borderId="0" xfId="17" applyFont="1" applyFill="1" applyProtection="1">
      <protection hidden="1"/>
    </xf>
    <xf numFmtId="0" fontId="34" fillId="3" borderId="31" xfId="17" applyFont="1" applyFill="1" applyBorder="1" applyAlignment="1" applyProtection="1">
      <alignment horizontal="center"/>
      <protection hidden="1"/>
    </xf>
    <xf numFmtId="42" fontId="34" fillId="7" borderId="32" xfId="13" applyFont="1" applyFill="1" applyBorder="1" applyAlignment="1" applyProtection="1">
      <alignment horizontal="center" vertical="center"/>
      <protection hidden="1"/>
    </xf>
    <xf numFmtId="0" fontId="34" fillId="7" borderId="30" xfId="17" applyFont="1" applyFill="1" applyBorder="1" applyAlignment="1" applyProtection="1">
      <alignment horizontal="center" vertical="center"/>
      <protection hidden="1"/>
    </xf>
    <xf numFmtId="0" fontId="34" fillId="3" borderId="33" xfId="17" applyFont="1" applyFill="1" applyBorder="1" applyAlignment="1" applyProtection="1">
      <alignment horizontal="center" vertical="center" wrapText="1"/>
      <protection hidden="1"/>
    </xf>
    <xf numFmtId="179" fontId="34" fillId="7" borderId="34" xfId="17" applyNumberFormat="1" applyFont="1" applyFill="1" applyBorder="1" applyAlignment="1" applyProtection="1">
      <alignment horizontal="center" vertical="center"/>
      <protection hidden="1"/>
    </xf>
    <xf numFmtId="0" fontId="36" fillId="4" borderId="0" xfId="17" applyFont="1" applyFill="1" applyBorder="1" applyProtection="1">
      <protection hidden="1"/>
    </xf>
    <xf numFmtId="6" fontId="36" fillId="4" borderId="0" xfId="17" applyNumberFormat="1" applyFont="1" applyFill="1" applyProtection="1">
      <protection hidden="1"/>
    </xf>
    <xf numFmtId="0" fontId="34" fillId="3" borderId="8" xfId="17" applyFont="1" applyFill="1" applyBorder="1" applyAlignment="1" applyProtection="1">
      <alignment horizontal="center" vertical="center"/>
      <protection hidden="1"/>
    </xf>
    <xf numFmtId="0" fontId="36" fillId="4" borderId="0" xfId="17" applyFont="1" applyFill="1" applyBorder="1" applyAlignment="1" applyProtection="1">
      <alignment horizontal="center"/>
      <protection hidden="1"/>
    </xf>
    <xf numFmtId="0" fontId="36" fillId="4" borderId="0" xfId="17" applyFont="1" applyFill="1" applyAlignment="1" applyProtection="1">
      <alignment horizontal="left"/>
      <protection hidden="1"/>
    </xf>
    <xf numFmtId="0" fontId="34" fillId="3" borderId="8" xfId="17" applyFont="1" applyFill="1" applyBorder="1" applyAlignment="1" applyProtection="1">
      <alignment horizontal="center" vertical="center" wrapText="1"/>
      <protection hidden="1"/>
    </xf>
    <xf numFmtId="0" fontId="34" fillId="3" borderId="8" xfId="17" applyFont="1" applyFill="1" applyBorder="1" applyAlignment="1" applyProtection="1">
      <alignment vertical="center" wrapText="1"/>
      <protection hidden="1"/>
    </xf>
    <xf numFmtId="0" fontId="34" fillId="3" borderId="14" xfId="17" applyFont="1" applyFill="1" applyBorder="1" applyAlignment="1" applyProtection="1">
      <alignment horizontal="center" vertical="center" wrapText="1"/>
      <protection hidden="1"/>
    </xf>
    <xf numFmtId="0" fontId="34" fillId="3" borderId="13" xfId="17" applyFont="1" applyFill="1" applyBorder="1" applyAlignment="1" applyProtection="1">
      <alignment horizontal="center" vertical="center" wrapText="1"/>
      <protection hidden="1"/>
    </xf>
    <xf numFmtId="0" fontId="34" fillId="4" borderId="8" xfId="17" applyFont="1" applyFill="1" applyBorder="1" applyAlignment="1" applyProtection="1">
      <alignment horizontal="center" vertical="center"/>
      <protection hidden="1"/>
    </xf>
    <xf numFmtId="0" fontId="34" fillId="9" borderId="8" xfId="17" applyFont="1" applyFill="1" applyBorder="1" applyAlignment="1" applyProtection="1">
      <alignment horizontal="center" vertical="center" wrapText="1"/>
      <protection hidden="1"/>
    </xf>
    <xf numFmtId="180" fontId="36" fillId="4" borderId="8" xfId="17" applyNumberFormat="1" applyFont="1" applyFill="1" applyBorder="1" applyAlignment="1" applyProtection="1">
      <alignment horizontal="center" vertical="center"/>
      <protection hidden="1"/>
    </xf>
    <xf numFmtId="10" fontId="36" fillId="4" borderId="8" xfId="15" applyNumberFormat="1" applyFont="1" applyFill="1" applyBorder="1" applyAlignment="1" applyProtection="1">
      <alignment horizontal="center" vertical="center"/>
      <protection hidden="1"/>
    </xf>
    <xf numFmtId="2" fontId="36" fillId="4" borderId="8" xfId="17" applyNumberFormat="1" applyFont="1" applyFill="1" applyBorder="1" applyAlignment="1" applyProtection="1">
      <alignment horizontal="center" vertical="center"/>
      <protection hidden="1"/>
    </xf>
    <xf numFmtId="2" fontId="34" fillId="4" borderId="8" xfId="17" applyNumberFormat="1" applyFont="1" applyFill="1" applyBorder="1" applyAlignment="1" applyProtection="1">
      <alignment horizontal="center" vertical="center"/>
      <protection hidden="1"/>
    </xf>
    <xf numFmtId="1" fontId="34" fillId="0" borderId="8" xfId="17" applyNumberFormat="1" applyFont="1" applyFill="1" applyBorder="1" applyAlignment="1" applyProtection="1">
      <alignment horizontal="center" vertical="center"/>
      <protection hidden="1"/>
    </xf>
    <xf numFmtId="0" fontId="36" fillId="0" borderId="0" xfId="17" applyFont="1" applyAlignment="1" applyProtection="1">
      <alignment vertical="center"/>
      <protection hidden="1"/>
    </xf>
    <xf numFmtId="178" fontId="36" fillId="0" borderId="0" xfId="17" applyNumberFormat="1" applyFont="1" applyBorder="1" applyAlignment="1" applyProtection="1">
      <alignment vertical="center"/>
      <protection hidden="1"/>
    </xf>
    <xf numFmtId="1" fontId="36" fillId="0" borderId="0" xfId="17" applyNumberFormat="1" applyFont="1" applyBorder="1" applyAlignment="1" applyProtection="1">
      <alignment horizontal="center" vertical="center"/>
      <protection hidden="1"/>
    </xf>
    <xf numFmtId="9" fontId="36" fillId="0" borderId="0" xfId="17" applyNumberFormat="1" applyFont="1" applyProtection="1">
      <protection hidden="1"/>
    </xf>
    <xf numFmtId="0" fontId="7" fillId="4" borderId="11" xfId="9" applyFill="1" applyBorder="1" applyAlignment="1" applyProtection="1">
      <alignment horizontal="center" vertical="center"/>
      <protection hidden="1"/>
    </xf>
    <xf numFmtId="173" fontId="38" fillId="0" borderId="11" xfId="13" applyNumberFormat="1" applyFont="1" applyBorder="1" applyAlignment="1" applyProtection="1">
      <alignment horizontal="center" vertical="center"/>
      <protection hidden="1"/>
    </xf>
    <xf numFmtId="166" fontId="38" fillId="0" borderId="11" xfId="0" applyNumberFormat="1" applyFont="1" applyBorder="1" applyAlignment="1" applyProtection="1">
      <alignment horizontal="center" vertical="center"/>
      <protection hidden="1"/>
    </xf>
    <xf numFmtId="175" fontId="39" fillId="9" borderId="8" xfId="14" applyNumberFormat="1" applyFont="1" applyFill="1" applyBorder="1" applyAlignment="1" applyProtection="1">
      <alignment horizontal="center" vertical="center" wrapText="1"/>
      <protection hidden="1"/>
    </xf>
    <xf numFmtId="166" fontId="38" fillId="0" borderId="8" xfId="0" applyNumberFormat="1" applyFont="1" applyBorder="1" applyAlignment="1" applyProtection="1">
      <alignment horizontal="center" vertical="center"/>
      <protection hidden="1"/>
    </xf>
    <xf numFmtId="165" fontId="40" fillId="9" borderId="8" xfId="0" applyNumberFormat="1" applyFont="1" applyFill="1" applyBorder="1" applyAlignment="1" applyProtection="1">
      <alignment horizontal="center" vertical="center" wrapText="1"/>
      <protection hidden="1"/>
    </xf>
    <xf numFmtId="10" fontId="38" fillId="0" borderId="8" xfId="15" applyNumberFormat="1" applyFont="1" applyBorder="1" applyAlignment="1" applyProtection="1">
      <alignment horizontal="center" vertical="center"/>
      <protection hidden="1"/>
    </xf>
    <xf numFmtId="0" fontId="24" fillId="0" borderId="0" xfId="0" applyFont="1" applyFill="1" applyAlignment="1" applyProtection="1">
      <alignment horizontal="center" vertical="center"/>
      <protection hidden="1"/>
    </xf>
    <xf numFmtId="0" fontId="43" fillId="0" borderId="0" xfId="0" applyFont="1" applyFill="1" applyAlignment="1" applyProtection="1">
      <alignment horizontal="center" vertical="center"/>
      <protection hidden="1"/>
    </xf>
    <xf numFmtId="0" fontId="44" fillId="0" borderId="0" xfId="0" applyFont="1" applyProtection="1">
      <protection hidden="1"/>
    </xf>
    <xf numFmtId="0" fontId="13" fillId="0" borderId="8"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protection hidden="1"/>
    </xf>
    <xf numFmtId="0" fontId="5" fillId="9" borderId="8" xfId="0" applyFont="1" applyFill="1" applyBorder="1" applyAlignment="1" applyProtection="1">
      <alignment horizontal="center" vertical="center" wrapText="1"/>
      <protection hidden="1"/>
    </xf>
    <xf numFmtId="0" fontId="45" fillId="0" borderId="8" xfId="0" applyFont="1" applyBorder="1" applyAlignment="1" applyProtection="1">
      <alignment horizontal="left" vertical="center"/>
      <protection hidden="1"/>
    </xf>
    <xf numFmtId="0" fontId="13" fillId="0" borderId="8" xfId="0" applyFont="1" applyFill="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10" fontId="3" fillId="0" borderId="8" xfId="15" applyNumberFormat="1" applyFont="1" applyBorder="1" applyAlignment="1" applyProtection="1">
      <alignment horizontal="center" vertical="center"/>
      <protection hidden="1"/>
    </xf>
    <xf numFmtId="0" fontId="3" fillId="0" borderId="8" xfId="0" applyFont="1" applyFill="1" applyBorder="1" applyAlignment="1" applyProtection="1">
      <alignment horizontal="center" vertical="center"/>
      <protection hidden="1"/>
    </xf>
    <xf numFmtId="0" fontId="7" fillId="0" borderId="0" xfId="0" applyFont="1" applyProtection="1">
      <protection hidden="1"/>
    </xf>
    <xf numFmtId="0" fontId="13" fillId="17" borderId="8" xfId="0" applyFont="1" applyFill="1" applyBorder="1" applyAlignment="1" applyProtection="1">
      <alignment horizontal="center" vertical="center" wrapText="1"/>
      <protection hidden="1"/>
    </xf>
    <xf numFmtId="0" fontId="13" fillId="0" borderId="0" xfId="0" applyFont="1" applyFill="1" applyAlignment="1" applyProtection="1">
      <alignment horizontal="center" vertical="center"/>
      <protection hidden="1"/>
    </xf>
    <xf numFmtId="0" fontId="13" fillId="17" borderId="8" xfId="0" applyFont="1" applyFill="1" applyBorder="1" applyAlignment="1" applyProtection="1">
      <alignment horizontal="center" vertical="center"/>
      <protection hidden="1"/>
    </xf>
    <xf numFmtId="165" fontId="13" fillId="0" borderId="8" xfId="0" applyNumberFormat="1" applyFont="1" applyBorder="1" applyAlignment="1" applyProtection="1">
      <alignment horizontal="center" vertical="center"/>
      <protection hidden="1"/>
    </xf>
    <xf numFmtId="2" fontId="13" fillId="0" borderId="8" xfId="0" applyNumberFormat="1" applyFont="1" applyFill="1" applyBorder="1" applyAlignment="1" applyProtection="1">
      <alignment horizontal="center" vertical="center"/>
      <protection hidden="1"/>
    </xf>
    <xf numFmtId="0" fontId="5" fillId="9" borderId="8" xfId="0" applyFont="1" applyFill="1" applyBorder="1" applyAlignment="1" applyProtection="1">
      <alignment vertical="center"/>
      <protection hidden="1"/>
    </xf>
    <xf numFmtId="0" fontId="19" fillId="9" borderId="15" xfId="0" applyFont="1" applyFill="1" applyBorder="1" applyAlignment="1" applyProtection="1">
      <alignment vertical="center"/>
      <protection hidden="1"/>
    </xf>
    <xf numFmtId="0" fontId="19" fillId="9" borderId="7" xfId="0" applyFont="1" applyFill="1" applyBorder="1" applyAlignment="1" applyProtection="1">
      <alignment vertical="center"/>
      <protection hidden="1"/>
    </xf>
    <xf numFmtId="0" fontId="19" fillId="9" borderId="16" xfId="0" applyFont="1" applyFill="1" applyBorder="1" applyAlignment="1" applyProtection="1">
      <alignment vertical="center"/>
      <protection hidden="1"/>
    </xf>
    <xf numFmtId="0" fontId="18" fillId="9" borderId="11" xfId="0" applyFont="1" applyFill="1" applyBorder="1" applyAlignment="1" applyProtection="1">
      <alignment horizontal="center" vertical="center" wrapText="1"/>
      <protection hidden="1"/>
    </xf>
    <xf numFmtId="0" fontId="18" fillId="9" borderId="11" xfId="3" applyFont="1" applyFill="1" applyBorder="1" applyAlignment="1" applyProtection="1">
      <alignment horizontal="center" vertical="center" wrapText="1"/>
      <protection hidden="1"/>
    </xf>
    <xf numFmtId="0" fontId="18" fillId="12" borderId="14" xfId="0" applyFont="1" applyFill="1" applyBorder="1" applyAlignment="1" applyProtection="1">
      <alignment horizontal="center" vertical="center" wrapText="1"/>
      <protection hidden="1"/>
    </xf>
    <xf numFmtId="0" fontId="18" fillId="0" borderId="8" xfId="0" applyNumberFormat="1" applyFont="1" applyFill="1" applyBorder="1" applyAlignment="1" applyProtection="1">
      <alignment horizontal="center" vertical="center" wrapText="1"/>
      <protection hidden="1"/>
    </xf>
    <xf numFmtId="0" fontId="18" fillId="0" borderId="8" xfId="0" applyFont="1" applyBorder="1" applyAlignment="1" applyProtection="1">
      <alignment vertical="center"/>
      <protection hidden="1"/>
    </xf>
    <xf numFmtId="0" fontId="18" fillId="0" borderId="8" xfId="0" applyFont="1" applyBorder="1" applyAlignment="1" applyProtection="1">
      <alignment horizontal="center"/>
      <protection hidden="1"/>
    </xf>
    <xf numFmtId="0" fontId="28" fillId="0" borderId="8"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28" fillId="2" borderId="0" xfId="3" applyFont="1" applyFill="1" applyBorder="1" applyAlignment="1" applyProtection="1">
      <alignment horizontal="left" vertical="center" wrapText="1"/>
      <protection hidden="1"/>
    </xf>
    <xf numFmtId="0" fontId="46" fillId="0" borderId="0" xfId="17" applyFont="1" applyProtection="1">
      <protection hidden="1"/>
    </xf>
    <xf numFmtId="0" fontId="0" fillId="0" borderId="0" xfId="0" applyAlignment="1" applyProtection="1">
      <alignment vertical="center"/>
      <protection hidden="1"/>
    </xf>
    <xf numFmtId="166" fontId="0" fillId="0" borderId="0" xfId="0" applyNumberFormat="1" applyProtection="1">
      <protection hidden="1"/>
    </xf>
    <xf numFmtId="0" fontId="4" fillId="0" borderId="0" xfId="0" applyFont="1" applyAlignment="1" applyProtection="1">
      <alignment vertical="center"/>
      <protection hidden="1"/>
    </xf>
    <xf numFmtId="0" fontId="8" fillId="3" borderId="8" xfId="0" applyFont="1" applyFill="1" applyBorder="1" applyAlignment="1" applyProtection="1">
      <alignment horizontal="center" vertical="center" wrapText="1"/>
      <protection hidden="1"/>
    </xf>
    <xf numFmtId="0" fontId="5" fillId="3" borderId="8" xfId="0" applyFont="1" applyFill="1" applyBorder="1" applyAlignment="1" applyProtection="1">
      <alignment vertical="center"/>
      <protection hidden="1"/>
    </xf>
    <xf numFmtId="0" fontId="8" fillId="9" borderId="8" xfId="0" applyNumberFormat="1" applyFont="1" applyFill="1" applyBorder="1" applyAlignment="1" applyProtection="1">
      <alignment horizontal="center" vertical="center"/>
      <protection hidden="1"/>
    </xf>
    <xf numFmtId="173" fontId="8" fillId="3" borderId="8" xfId="0" applyNumberFormat="1" applyFont="1" applyFill="1" applyBorder="1" applyAlignment="1" applyProtection="1">
      <alignment horizontal="center" vertical="center"/>
      <protection hidden="1"/>
    </xf>
    <xf numFmtId="173" fontId="0" fillId="0" borderId="8" xfId="0" applyNumberFormat="1" applyBorder="1" applyAlignment="1" applyProtection="1">
      <alignment horizontal="center" vertical="center"/>
      <protection hidden="1"/>
    </xf>
    <xf numFmtId="182" fontId="0" fillId="9" borderId="8" xfId="1" applyNumberFormat="1" applyFont="1" applyFill="1" applyBorder="1" applyAlignment="1" applyProtection="1">
      <alignment horizontal="center" vertical="center"/>
      <protection hidden="1"/>
    </xf>
    <xf numFmtId="0" fontId="5" fillId="3" borderId="8" xfId="0" applyFont="1" applyFill="1" applyBorder="1" applyAlignment="1" applyProtection="1">
      <alignment horizontal="centerContinuous" vertical="center"/>
      <protection hidden="1"/>
    </xf>
    <xf numFmtId="10" fontId="34" fillId="7" borderId="30" xfId="2" applyNumberFormat="1" applyFont="1" applyFill="1" applyBorder="1" applyAlignment="1" applyProtection="1">
      <alignment horizontal="center" vertical="center"/>
      <protection hidden="1"/>
    </xf>
    <xf numFmtId="42" fontId="36" fillId="0" borderId="0" xfId="17" applyNumberFormat="1" applyFont="1" applyProtection="1">
      <protection hidden="1"/>
    </xf>
    <xf numFmtId="10" fontId="36" fillId="0" borderId="0" xfId="2" applyNumberFormat="1" applyFont="1" applyBorder="1" applyProtection="1">
      <protection hidden="1"/>
    </xf>
    <xf numFmtId="167" fontId="3" fillId="7" borderId="8" xfId="8" applyFont="1" applyFill="1" applyBorder="1" applyAlignment="1" applyProtection="1">
      <alignment horizontal="center" vertical="center" wrapText="1"/>
      <protection hidden="1"/>
    </xf>
    <xf numFmtId="0" fontId="5" fillId="9" borderId="8" xfId="0" applyFont="1" applyFill="1" applyBorder="1" applyAlignment="1" applyProtection="1">
      <alignment horizontal="center" vertical="center"/>
      <protection hidden="1"/>
    </xf>
    <xf numFmtId="0" fontId="24" fillId="6" borderId="23" xfId="0" applyFont="1" applyFill="1" applyBorder="1" applyAlignment="1" applyProtection="1">
      <alignment horizontal="center" vertical="center"/>
      <protection hidden="1"/>
    </xf>
    <xf numFmtId="0" fontId="8" fillId="3" borderId="8" xfId="0" applyFont="1" applyFill="1" applyBorder="1" applyAlignment="1" applyProtection="1">
      <alignment horizontal="center" vertical="center"/>
      <protection hidden="1"/>
    </xf>
    <xf numFmtId="0" fontId="6" fillId="3" borderId="8" xfId="0" applyFont="1" applyFill="1" applyBorder="1" applyAlignment="1" applyProtection="1">
      <alignment horizontal="center" vertical="center"/>
      <protection hidden="1"/>
    </xf>
    <xf numFmtId="0" fontId="4" fillId="4" borderId="8" xfId="0" applyFont="1" applyFill="1" applyBorder="1" applyAlignment="1" applyProtection="1">
      <protection hidden="1"/>
    </xf>
    <xf numFmtId="0" fontId="4" fillId="4" borderId="8" xfId="0" applyFont="1" applyFill="1" applyBorder="1" applyAlignment="1" applyProtection="1">
      <alignment wrapText="1"/>
      <protection hidden="1"/>
    </xf>
    <xf numFmtId="0" fontId="9" fillId="0" borderId="0" xfId="4" applyFont="1" applyFill="1" applyProtection="1">
      <protection hidden="1"/>
    </xf>
    <xf numFmtId="0" fontId="6" fillId="4" borderId="5" xfId="4" applyFont="1" applyFill="1" applyBorder="1" applyAlignment="1" applyProtection="1">
      <alignment horizontal="center" vertical="center" wrapText="1"/>
      <protection hidden="1"/>
    </xf>
    <xf numFmtId="0" fontId="10" fillId="2" borderId="0" xfId="5" applyFont="1" applyFill="1" applyAlignment="1" applyProtection="1">
      <alignment vertical="center"/>
      <protection hidden="1"/>
    </xf>
    <xf numFmtId="0" fontId="11" fillId="2" borderId="0" xfId="5" applyFont="1" applyFill="1" applyAlignment="1" applyProtection="1">
      <alignment vertical="center"/>
      <protection hidden="1"/>
    </xf>
    <xf numFmtId="0" fontId="10" fillId="0" borderId="0" xfId="5" applyFont="1" applyFill="1" applyAlignment="1" applyProtection="1">
      <alignment vertical="center"/>
      <protection hidden="1"/>
    </xf>
    <xf numFmtId="0" fontId="5" fillId="4" borderId="12" xfId="5" applyFont="1" applyFill="1" applyBorder="1" applyAlignment="1" applyProtection="1">
      <alignment horizontal="center" vertical="center" wrapText="1"/>
      <protection hidden="1"/>
    </xf>
    <xf numFmtId="0" fontId="5" fillId="4" borderId="0" xfId="5" applyFont="1" applyFill="1" applyBorder="1" applyAlignment="1" applyProtection="1">
      <alignment horizontal="center" vertical="center" wrapText="1"/>
      <protection hidden="1"/>
    </xf>
    <xf numFmtId="0" fontId="10" fillId="7" borderId="8" xfId="5" applyFont="1" applyFill="1" applyBorder="1" applyAlignment="1" applyProtection="1">
      <alignment horizontal="center" vertical="center" wrapText="1"/>
      <protection hidden="1"/>
    </xf>
    <xf numFmtId="0" fontId="12" fillId="7" borderId="8" xfId="5" applyFont="1" applyFill="1" applyBorder="1" applyAlignment="1" applyProtection="1">
      <alignment horizontal="center" vertical="center" wrapText="1"/>
      <protection hidden="1"/>
    </xf>
    <xf numFmtId="0" fontId="11" fillId="7" borderId="8" xfId="5" applyFont="1" applyFill="1" applyBorder="1" applyAlignment="1" applyProtection="1">
      <alignment horizontal="center" vertical="center" wrapText="1"/>
      <protection hidden="1"/>
    </xf>
    <xf numFmtId="0" fontId="10" fillId="4" borderId="8" xfId="5" applyFont="1" applyFill="1" applyBorder="1" applyAlignment="1" applyProtection="1">
      <alignment horizontal="center" vertical="center" wrapText="1"/>
      <protection hidden="1"/>
    </xf>
    <xf numFmtId="0" fontId="5" fillId="4" borderId="8" xfId="5" applyFont="1" applyFill="1" applyBorder="1" applyAlignment="1" applyProtection="1">
      <alignment vertical="center" wrapText="1"/>
      <protection hidden="1"/>
    </xf>
    <xf numFmtId="0" fontId="11" fillId="4" borderId="8" xfId="5" applyFont="1" applyFill="1" applyBorder="1" applyAlignment="1" applyProtection="1">
      <alignment horizontal="center" vertical="center" wrapText="1"/>
      <protection hidden="1"/>
    </xf>
    <xf numFmtId="0" fontId="11" fillId="6" borderId="8" xfId="5" applyFont="1" applyFill="1" applyBorder="1" applyAlignment="1" applyProtection="1">
      <alignment horizontal="center" vertical="center" wrapText="1"/>
      <protection hidden="1"/>
    </xf>
    <xf numFmtId="0" fontId="5" fillId="6" borderId="8" xfId="5" applyFont="1" applyFill="1" applyBorder="1" applyAlignment="1" applyProtection="1">
      <alignment vertical="center"/>
      <protection hidden="1"/>
    </xf>
    <xf numFmtId="0" fontId="10" fillId="6" borderId="8" xfId="5" applyFont="1" applyFill="1" applyBorder="1" applyAlignment="1" applyProtection="1">
      <alignment vertical="center"/>
      <protection hidden="1"/>
    </xf>
    <xf numFmtId="0" fontId="10" fillId="6" borderId="8" xfId="5" applyFont="1" applyFill="1" applyBorder="1" applyAlignment="1" applyProtection="1">
      <alignment horizontal="center" vertical="center" wrapText="1"/>
      <protection hidden="1"/>
    </xf>
    <xf numFmtId="0" fontId="13" fillId="6" borderId="8" xfId="5" applyFont="1" applyFill="1" applyBorder="1" applyAlignment="1" applyProtection="1">
      <alignment horizontal="justify" vertical="center" wrapText="1"/>
      <protection hidden="1"/>
    </xf>
    <xf numFmtId="0" fontId="14" fillId="0" borderId="8" xfId="5" applyFont="1" applyFill="1" applyBorder="1" applyAlignment="1" applyProtection="1">
      <alignment horizontal="center" vertical="center" wrapText="1"/>
      <protection hidden="1"/>
    </xf>
    <xf numFmtId="0" fontId="10" fillId="0" borderId="8" xfId="6" applyFont="1" applyFill="1" applyBorder="1" applyAlignment="1" applyProtection="1">
      <alignment horizontal="center" vertical="center" wrapText="1"/>
      <protection hidden="1"/>
    </xf>
    <xf numFmtId="0" fontId="11" fillId="0" borderId="8" xfId="5" applyFont="1" applyFill="1" applyBorder="1" applyAlignment="1" applyProtection="1">
      <alignment horizontal="center" vertical="center" wrapText="1"/>
      <protection hidden="1"/>
    </xf>
    <xf numFmtId="6" fontId="10" fillId="0" borderId="8" xfId="5" applyNumberFormat="1" applyFont="1" applyFill="1" applyBorder="1" applyAlignment="1" applyProtection="1">
      <alignment horizontal="center" vertical="center"/>
      <protection hidden="1"/>
    </xf>
    <xf numFmtId="14" fontId="10" fillId="0" borderId="8" xfId="6" applyNumberFormat="1" applyFont="1" applyFill="1" applyBorder="1" applyAlignment="1" applyProtection="1">
      <alignment horizontal="center" vertical="center" wrapText="1"/>
      <protection hidden="1"/>
    </xf>
    <xf numFmtId="0" fontId="10" fillId="6" borderId="11" xfId="5" applyFont="1" applyFill="1" applyBorder="1" applyAlignment="1" applyProtection="1">
      <alignment horizontal="center" vertical="center" wrapText="1"/>
      <protection hidden="1"/>
    </xf>
    <xf numFmtId="0" fontId="5" fillId="6" borderId="8" xfId="5" applyFont="1" applyFill="1" applyBorder="1" applyAlignment="1" applyProtection="1">
      <alignment horizontal="right" vertical="center" wrapText="1"/>
      <protection hidden="1"/>
    </xf>
    <xf numFmtId="0" fontId="15" fillId="0" borderId="8" xfId="5" applyFont="1" applyFill="1" applyBorder="1" applyAlignment="1" applyProtection="1">
      <alignment horizontal="center" vertical="center" wrapText="1"/>
      <protection hidden="1"/>
    </xf>
    <xf numFmtId="0" fontId="16" fillId="0" borderId="8" xfId="5" applyFont="1" applyFill="1" applyBorder="1" applyAlignment="1" applyProtection="1">
      <alignment horizontal="left" vertical="center"/>
      <protection hidden="1"/>
    </xf>
    <xf numFmtId="0" fontId="10" fillId="0" borderId="8" xfId="5" applyFont="1" applyFill="1" applyBorder="1" applyAlignment="1" applyProtection="1">
      <alignment horizontal="left" vertical="center" wrapText="1"/>
      <protection hidden="1"/>
    </xf>
    <xf numFmtId="0" fontId="10" fillId="0" borderId="0" xfId="6" applyFont="1" applyFill="1" applyAlignment="1" applyProtection="1">
      <alignment horizontal="justify" vertical="center"/>
      <protection hidden="1"/>
    </xf>
    <xf numFmtId="0" fontId="10" fillId="0" borderId="0" xfId="5" applyFont="1" applyFill="1" applyBorder="1" applyAlignment="1" applyProtection="1">
      <alignment vertical="center"/>
      <protection hidden="1"/>
    </xf>
    <xf numFmtId="0" fontId="11" fillId="8" borderId="8" xfId="5" applyFont="1" applyFill="1" applyBorder="1" applyAlignment="1" applyProtection="1">
      <alignment horizontal="center" vertical="center"/>
      <protection hidden="1"/>
    </xf>
    <xf numFmtId="0" fontId="5" fillId="8" borderId="8" xfId="5" applyFont="1" applyFill="1" applyBorder="1" applyAlignment="1" applyProtection="1">
      <alignment vertical="center"/>
      <protection hidden="1"/>
    </xf>
    <xf numFmtId="0" fontId="10" fillId="8" borderId="8" xfId="5" applyFont="1" applyFill="1" applyBorder="1" applyAlignment="1" applyProtection="1">
      <alignment horizontal="justify" vertical="center"/>
      <protection hidden="1"/>
    </xf>
    <xf numFmtId="0" fontId="10" fillId="8" borderId="8" xfId="5" applyFont="1" applyFill="1" applyBorder="1" applyAlignment="1" applyProtection="1">
      <alignment horizontal="center" vertical="center"/>
      <protection hidden="1"/>
    </xf>
    <xf numFmtId="0" fontId="13" fillId="0" borderId="8" xfId="5" applyFont="1" applyFill="1" applyBorder="1" applyAlignment="1" applyProtection="1">
      <alignment horizontal="center" vertical="center"/>
      <protection hidden="1"/>
    </xf>
    <xf numFmtId="0" fontId="13" fillId="8" borderId="8" xfId="0" applyFont="1" applyFill="1" applyBorder="1" applyAlignment="1" applyProtection="1">
      <alignment horizontal="justify" vertical="center" wrapText="1"/>
      <protection hidden="1"/>
    </xf>
    <xf numFmtId="0" fontId="11" fillId="8" borderId="8" xfId="5" applyFont="1" applyFill="1" applyBorder="1" applyAlignment="1" applyProtection="1">
      <alignment horizontal="right" vertical="center"/>
      <protection hidden="1"/>
    </xf>
    <xf numFmtId="0" fontId="11" fillId="0" borderId="0" xfId="5" applyFont="1" applyFill="1" applyAlignment="1" applyProtection="1">
      <alignment vertical="center"/>
      <protection hidden="1"/>
    </xf>
    <xf numFmtId="0" fontId="10" fillId="0" borderId="0" xfId="5" applyFont="1" applyAlignment="1" applyProtection="1">
      <alignment vertical="center"/>
      <protection hidden="1"/>
    </xf>
    <xf numFmtId="14" fontId="10" fillId="0" borderId="0" xfId="5" applyNumberFormat="1" applyFont="1" applyAlignment="1" applyProtection="1">
      <alignment vertical="center"/>
      <protection hidden="1"/>
    </xf>
    <xf numFmtId="169" fontId="3" fillId="9" borderId="8" xfId="8" applyNumberFormat="1" applyFont="1" applyFill="1" applyBorder="1" applyAlignment="1" applyProtection="1">
      <alignment horizontal="center" vertical="center" wrapText="1"/>
      <protection hidden="1"/>
    </xf>
    <xf numFmtId="9" fontId="6" fillId="5" borderId="8" xfId="3" applyNumberFormat="1" applyFont="1" applyFill="1" applyBorder="1" applyAlignment="1" applyProtection="1">
      <alignment horizontal="center" vertical="center" wrapText="1"/>
      <protection hidden="1"/>
    </xf>
    <xf numFmtId="4" fontId="7" fillId="9" borderId="8" xfId="8" applyNumberFormat="1" applyFont="1" applyFill="1" applyBorder="1" applyAlignment="1" applyProtection="1">
      <alignment horizontal="center" vertical="center" wrapText="1"/>
      <protection hidden="1"/>
    </xf>
    <xf numFmtId="0" fontId="31" fillId="0" borderId="8" xfId="5" applyFont="1" applyFill="1" applyBorder="1" applyAlignment="1" applyProtection="1">
      <alignment horizontal="center" vertical="center" wrapText="1"/>
      <protection hidden="1"/>
    </xf>
    <xf numFmtId="0" fontId="33" fillId="4" borderId="0" xfId="10" applyFont="1" applyFill="1" applyAlignment="1" applyProtection="1">
      <alignment vertical="center"/>
      <protection hidden="1"/>
    </xf>
    <xf numFmtId="0" fontId="33" fillId="0" borderId="0" xfId="10" applyFont="1" applyAlignment="1" applyProtection="1">
      <alignment vertical="center"/>
      <protection hidden="1"/>
    </xf>
    <xf numFmtId="0" fontId="33" fillId="0" borderId="0" xfId="10" applyFont="1" applyFill="1" applyAlignment="1" applyProtection="1">
      <alignment vertical="center"/>
      <protection hidden="1"/>
    </xf>
    <xf numFmtId="0" fontId="33" fillId="0" borderId="0" xfId="10" applyFont="1" applyBorder="1" applyAlignment="1" applyProtection="1">
      <alignment vertical="center"/>
      <protection hidden="1"/>
    </xf>
    <xf numFmtId="0" fontId="36" fillId="0" borderId="0" xfId="10" applyFont="1" applyFill="1" applyAlignment="1" applyProtection="1">
      <alignment vertical="center"/>
      <protection hidden="1"/>
    </xf>
    <xf numFmtId="0" fontId="33" fillId="0" borderId="42" xfId="10" applyFont="1" applyBorder="1" applyAlignment="1" applyProtection="1">
      <alignment vertical="center"/>
      <protection hidden="1"/>
    </xf>
    <xf numFmtId="0" fontId="36" fillId="7" borderId="30" xfId="10" applyFont="1" applyFill="1" applyBorder="1" applyAlignment="1" applyProtection="1">
      <alignment vertical="center"/>
      <protection hidden="1"/>
    </xf>
    <xf numFmtId="165" fontId="36" fillId="7" borderId="30" xfId="10" applyNumberFormat="1" applyFont="1" applyFill="1" applyBorder="1" applyAlignment="1" applyProtection="1">
      <alignment horizontal="center" vertical="center"/>
      <protection hidden="1"/>
    </xf>
    <xf numFmtId="165" fontId="33" fillId="0" borderId="0" xfId="10" applyNumberFormat="1" applyFont="1" applyAlignment="1" applyProtection="1">
      <alignment vertical="center"/>
      <protection hidden="1"/>
    </xf>
    <xf numFmtId="0" fontId="18" fillId="9" borderId="8" xfId="0" applyFont="1" applyFill="1" applyBorder="1" applyAlignment="1" applyProtection="1">
      <alignment horizontal="center" vertical="center" wrapText="1"/>
      <protection hidden="1"/>
    </xf>
    <xf numFmtId="0" fontId="6" fillId="9" borderId="8" xfId="0" applyFont="1" applyFill="1" applyBorder="1" applyAlignment="1" applyProtection="1">
      <alignment horizontal="center" vertical="center"/>
      <protection hidden="1"/>
    </xf>
    <xf numFmtId="177" fontId="41" fillId="9" borderId="30" xfId="18" applyNumberFormat="1" applyFont="1" applyFill="1" applyBorder="1" applyAlignment="1" applyProtection="1">
      <alignment horizontal="center" vertical="center"/>
      <protection hidden="1"/>
    </xf>
    <xf numFmtId="14" fontId="34" fillId="9" borderId="30" xfId="17" applyNumberFormat="1" applyFont="1" applyFill="1" applyBorder="1" applyAlignment="1" applyProtection="1">
      <alignment horizontal="center" vertical="center" wrapText="1"/>
      <protection hidden="1"/>
    </xf>
    <xf numFmtId="0" fontId="34" fillId="9" borderId="30" xfId="17" applyFont="1" applyFill="1" applyBorder="1" applyAlignment="1" applyProtection="1">
      <alignment horizontal="center" vertical="center"/>
      <protection hidden="1"/>
    </xf>
    <xf numFmtId="6" fontId="34" fillId="9" borderId="30" xfId="17" applyNumberFormat="1" applyFont="1" applyFill="1" applyBorder="1" applyAlignment="1" applyProtection="1">
      <alignment horizontal="center" vertical="center" wrapText="1"/>
      <protection hidden="1"/>
    </xf>
    <xf numFmtId="10" fontId="34" fillId="9" borderId="30" xfId="15" applyNumberFormat="1" applyFont="1" applyFill="1" applyBorder="1" applyAlignment="1" applyProtection="1">
      <alignment horizontal="center" vertical="center" wrapText="1"/>
      <protection hidden="1"/>
    </xf>
    <xf numFmtId="0" fontId="34" fillId="9" borderId="8" xfId="18" applyNumberFormat="1" applyFont="1" applyFill="1" applyBorder="1" applyAlignment="1" applyProtection="1">
      <alignment horizontal="center" vertical="center" wrapText="1"/>
      <protection hidden="1"/>
    </xf>
    <xf numFmtId="0" fontId="34" fillId="9" borderId="15" xfId="17" applyFont="1" applyFill="1" applyBorder="1" applyAlignment="1" applyProtection="1">
      <alignment horizontal="center" vertical="center" wrapText="1"/>
      <protection hidden="1"/>
    </xf>
    <xf numFmtId="0" fontId="34" fillId="9" borderId="7" xfId="17" applyFont="1" applyFill="1" applyBorder="1" applyAlignment="1" applyProtection="1">
      <alignment horizontal="center" vertical="center" wrapText="1"/>
      <protection hidden="1"/>
    </xf>
    <xf numFmtId="0" fontId="34" fillId="9" borderId="16" xfId="17" applyFont="1" applyFill="1" applyBorder="1" applyAlignment="1" applyProtection="1">
      <alignment horizontal="center" vertical="center" wrapText="1"/>
      <protection hidden="1"/>
    </xf>
    <xf numFmtId="0" fontId="24" fillId="6" borderId="23" xfId="0" applyFont="1" applyFill="1" applyBorder="1" applyAlignment="1" applyProtection="1">
      <alignment horizontal="center" vertical="center"/>
      <protection hidden="1"/>
    </xf>
    <xf numFmtId="0" fontId="5" fillId="9" borderId="8" xfId="0" applyFont="1" applyFill="1" applyBorder="1" applyAlignment="1" applyProtection="1">
      <alignment horizontal="center" vertical="center"/>
      <protection hidden="1"/>
    </xf>
    <xf numFmtId="0" fontId="4" fillId="4" borderId="8" xfId="0" applyNumberFormat="1" applyFont="1" applyFill="1" applyBorder="1" applyAlignment="1" applyProtection="1">
      <alignment horizontal="left" wrapText="1"/>
      <protection hidden="1"/>
    </xf>
    <xf numFmtId="22" fontId="9" fillId="0" borderId="0" xfId="4" applyNumberFormat="1" applyFont="1" applyProtection="1">
      <protection hidden="1"/>
    </xf>
    <xf numFmtId="0" fontId="4" fillId="0" borderId="8" xfId="4" applyFont="1" applyBorder="1" applyAlignment="1" applyProtection="1">
      <alignment horizontal="left" vertical="center" wrapText="1"/>
      <protection hidden="1"/>
    </xf>
    <xf numFmtId="0" fontId="13" fillId="8" borderId="8" xfId="5" applyFont="1" applyFill="1" applyBorder="1" applyAlignment="1" applyProtection="1">
      <alignment horizontal="left" vertical="center" wrapText="1"/>
      <protection hidden="1"/>
    </xf>
    <xf numFmtId="3" fontId="36" fillId="0" borderId="0" xfId="17" applyNumberFormat="1" applyFont="1" applyProtection="1">
      <protection hidden="1"/>
    </xf>
    <xf numFmtId="41" fontId="36" fillId="0" borderId="0" xfId="24" applyFont="1" applyProtection="1">
      <protection hidden="1"/>
    </xf>
    <xf numFmtId="41" fontId="36" fillId="0" borderId="0" xfId="17" applyNumberFormat="1" applyFont="1" applyProtection="1">
      <protection hidden="1"/>
    </xf>
    <xf numFmtId="0" fontId="37" fillId="0" borderId="31" xfId="10" applyFont="1" applyBorder="1" applyAlignment="1" applyProtection="1">
      <alignment horizontal="center" vertical="center"/>
      <protection hidden="1"/>
    </xf>
    <xf numFmtId="0" fontId="37" fillId="0" borderId="52" xfId="10" applyFont="1" applyBorder="1" applyAlignment="1" applyProtection="1">
      <alignment horizontal="center" vertical="center"/>
      <protection hidden="1"/>
    </xf>
    <xf numFmtId="10" fontId="50" fillId="9" borderId="8" xfId="16" applyNumberFormat="1" applyFont="1" applyFill="1" applyBorder="1" applyAlignment="1">
      <alignment horizontal="center" vertical="center" wrapText="1"/>
    </xf>
    <xf numFmtId="176" fontId="50" fillId="9" borderId="8" xfId="16" applyNumberFormat="1" applyFont="1" applyFill="1" applyBorder="1" applyAlignment="1">
      <alignment horizontal="center" vertical="center" wrapText="1"/>
    </xf>
    <xf numFmtId="166" fontId="13" fillId="0" borderId="0" xfId="0" applyNumberFormat="1" applyFont="1" applyFill="1" applyAlignment="1" applyProtection="1">
      <protection hidden="1"/>
    </xf>
    <xf numFmtId="0" fontId="37" fillId="0" borderId="53" xfId="10" applyFont="1" applyBorder="1" applyAlignment="1" applyProtection="1">
      <alignment horizontal="center" vertical="center"/>
      <protection hidden="1"/>
    </xf>
    <xf numFmtId="176" fontId="50" fillId="9" borderId="1" xfId="16" applyNumberFormat="1" applyFont="1" applyFill="1" applyBorder="1" applyAlignment="1">
      <alignment horizontal="center" vertical="center" wrapText="1"/>
    </xf>
    <xf numFmtId="165" fontId="51" fillId="7" borderId="30" xfId="10" applyNumberFormat="1" applyFont="1" applyFill="1" applyBorder="1" applyAlignment="1" applyProtection="1">
      <alignment horizontal="center" vertical="center"/>
      <protection hidden="1"/>
    </xf>
    <xf numFmtId="42" fontId="50" fillId="18" borderId="8" xfId="25" applyFont="1" applyFill="1" applyBorder="1" applyAlignment="1">
      <alignment vertical="center" wrapText="1"/>
    </xf>
    <xf numFmtId="42" fontId="50" fillId="18" borderId="1" xfId="25" applyFont="1" applyFill="1" applyBorder="1" applyAlignment="1">
      <alignment vertical="center" wrapText="1"/>
    </xf>
    <xf numFmtId="10" fontId="33" fillId="0" borderId="54" xfId="2" applyNumberFormat="1" applyFont="1" applyBorder="1" applyAlignment="1" applyProtection="1">
      <alignment horizontal="center" vertical="center"/>
      <protection hidden="1"/>
    </xf>
    <xf numFmtId="42" fontId="54" fillId="18" borderId="45" xfId="25" applyFont="1" applyFill="1" applyBorder="1" applyAlignment="1" applyProtection="1">
      <alignment vertical="center"/>
      <protection hidden="1"/>
    </xf>
    <xf numFmtId="10" fontId="52" fillId="6" borderId="54" xfId="2" applyNumberFormat="1" applyFont="1" applyFill="1" applyBorder="1" applyAlignment="1" applyProtection="1">
      <alignment horizontal="center" vertical="center"/>
      <protection hidden="1"/>
    </xf>
    <xf numFmtId="165" fontId="13" fillId="0" borderId="0" xfId="0" applyNumberFormat="1" applyFont="1" applyFill="1" applyAlignment="1" applyProtection="1">
      <protection hidden="1"/>
    </xf>
    <xf numFmtId="180" fontId="36" fillId="0" borderId="0" xfId="17" applyNumberFormat="1" applyFont="1" applyProtection="1">
      <protection hidden="1"/>
    </xf>
    <xf numFmtId="173" fontId="0" fillId="0" borderId="0" xfId="0" applyNumberFormat="1" applyProtection="1">
      <protection hidden="1"/>
    </xf>
    <xf numFmtId="0" fontId="33" fillId="0" borderId="46" xfId="10" applyFont="1" applyBorder="1" applyAlignment="1" applyProtection="1">
      <alignment vertical="center"/>
      <protection hidden="1"/>
    </xf>
    <xf numFmtId="10" fontId="50" fillId="9" borderId="8" xfId="16" applyNumberFormat="1" applyFont="1" applyFill="1" applyBorder="1" applyAlignment="1">
      <alignment horizontal="center" vertical="center" wrapText="1"/>
    </xf>
    <xf numFmtId="176" fontId="50" fillId="9" borderId="8" xfId="16" applyNumberFormat="1" applyFont="1" applyFill="1" applyBorder="1" applyAlignment="1">
      <alignment horizontal="center" vertical="center" wrapText="1"/>
    </xf>
    <xf numFmtId="0" fontId="6" fillId="4" borderId="3" xfId="4" applyFont="1" applyFill="1" applyBorder="1" applyAlignment="1" applyProtection="1">
      <alignment horizontal="center" vertical="center" wrapText="1"/>
      <protection hidden="1"/>
    </xf>
    <xf numFmtId="0" fontId="6" fillId="4" borderId="0" xfId="4" applyFont="1" applyFill="1" applyBorder="1" applyAlignment="1" applyProtection="1">
      <alignment vertical="center" wrapText="1"/>
      <protection hidden="1"/>
    </xf>
    <xf numFmtId="0" fontId="6" fillId="4" borderId="4" xfId="4" applyFont="1" applyFill="1" applyBorder="1" applyAlignment="1" applyProtection="1">
      <alignment vertical="center" wrapText="1"/>
      <protection hidden="1"/>
    </xf>
    <xf numFmtId="42" fontId="4" fillId="5" borderId="60" xfId="25" applyFont="1" applyFill="1" applyBorder="1" applyAlignment="1" applyProtection="1">
      <alignment horizontal="center" vertical="center" wrapText="1"/>
      <protection hidden="1"/>
    </xf>
    <xf numFmtId="9" fontId="4" fillId="5" borderId="60" xfId="2" applyFont="1" applyFill="1" applyBorder="1" applyAlignment="1" applyProtection="1">
      <alignment horizontal="center" vertical="center" wrapText="1"/>
      <protection hidden="1"/>
    </xf>
    <xf numFmtId="0" fontId="4" fillId="0" borderId="32" xfId="4" applyFont="1" applyBorder="1" applyAlignment="1" applyProtection="1">
      <alignment horizontal="left" vertical="center" wrapText="1"/>
      <protection hidden="1"/>
    </xf>
    <xf numFmtId="0" fontId="4" fillId="0" borderId="62" xfId="4" applyFont="1" applyBorder="1" applyAlignment="1" applyProtection="1">
      <alignment horizontal="left" vertical="center" wrapText="1"/>
      <protection hidden="1"/>
    </xf>
    <xf numFmtId="0" fontId="4" fillId="0" borderId="34" xfId="4" applyFont="1" applyBorder="1" applyAlignment="1" applyProtection="1">
      <alignment horizontal="left" vertical="center" wrapText="1"/>
      <protection hidden="1"/>
    </xf>
    <xf numFmtId="0" fontId="6" fillId="3" borderId="65" xfId="4" applyFont="1" applyFill="1" applyBorder="1" applyAlignment="1" applyProtection="1">
      <alignment horizontal="center" vertical="center"/>
      <protection hidden="1"/>
    </xf>
    <xf numFmtId="0" fontId="4" fillId="0" borderId="66" xfId="4" applyNumberFormat="1" applyFont="1" applyBorder="1" applyAlignment="1" applyProtection="1">
      <alignment horizontal="center" vertical="center"/>
      <protection hidden="1"/>
    </xf>
    <xf numFmtId="0" fontId="4" fillId="0" borderId="50" xfId="4" applyNumberFormat="1" applyFont="1" applyBorder="1" applyAlignment="1" applyProtection="1">
      <alignment horizontal="center" vertical="center"/>
      <protection hidden="1"/>
    </xf>
    <xf numFmtId="1" fontId="4" fillId="5" borderId="60" xfId="25" applyNumberFormat="1" applyFont="1" applyFill="1" applyBorder="1" applyAlignment="1" applyProtection="1">
      <alignment horizontal="center" vertical="center" wrapText="1"/>
      <protection hidden="1"/>
    </xf>
    <xf numFmtId="1" fontId="4" fillId="5" borderId="8" xfId="25" applyNumberFormat="1" applyFont="1" applyFill="1" applyBorder="1" applyAlignment="1" applyProtection="1">
      <alignment horizontal="center" vertical="center" wrapText="1"/>
      <protection hidden="1"/>
    </xf>
    <xf numFmtId="0" fontId="6" fillId="3" borderId="67" xfId="4" applyFont="1" applyFill="1" applyBorder="1" applyAlignment="1" applyProtection="1">
      <alignment horizontal="center" vertical="center" wrapText="1"/>
      <protection hidden="1"/>
    </xf>
    <xf numFmtId="0" fontId="6" fillId="3" borderId="68" xfId="4" applyFont="1" applyFill="1" applyBorder="1" applyAlignment="1" applyProtection="1">
      <alignment horizontal="center" vertical="center" wrapText="1"/>
      <protection hidden="1"/>
    </xf>
    <xf numFmtId="0" fontId="6" fillId="3" borderId="67" xfId="4" applyFont="1" applyFill="1" applyBorder="1" applyAlignment="1" applyProtection="1">
      <alignment horizontal="center" vertical="center"/>
      <protection hidden="1"/>
    </xf>
    <xf numFmtId="0" fontId="6" fillId="3" borderId="69" xfId="4" applyFont="1" applyFill="1" applyBorder="1" applyAlignment="1" applyProtection="1">
      <alignment horizontal="center" vertical="center" wrapText="1"/>
      <protection hidden="1"/>
    </xf>
    <xf numFmtId="22" fontId="31" fillId="0" borderId="31" xfId="0" applyNumberFormat="1" applyFont="1" applyBorder="1" applyAlignment="1">
      <alignment horizontal="center" vertical="center" wrapText="1"/>
    </xf>
    <xf numFmtId="0" fontId="4" fillId="0" borderId="60" xfId="4" applyFont="1" applyBorder="1" applyAlignment="1" applyProtection="1">
      <alignment horizontal="left" vertical="center" wrapText="1"/>
      <protection hidden="1"/>
    </xf>
    <xf numFmtId="22" fontId="31" fillId="0" borderId="52" xfId="0" applyNumberFormat="1" applyFont="1" applyBorder="1" applyAlignment="1">
      <alignment horizontal="center" vertical="center" wrapText="1"/>
    </xf>
    <xf numFmtId="22" fontId="31" fillId="0" borderId="33" xfId="0" applyNumberFormat="1" applyFont="1" applyBorder="1" applyAlignment="1">
      <alignment horizontal="center" vertical="center" wrapText="1"/>
    </xf>
    <xf numFmtId="0" fontId="4" fillId="0" borderId="63" xfId="4" applyFont="1" applyBorder="1" applyAlignment="1" applyProtection="1">
      <alignment horizontal="left" vertical="center" wrapText="1"/>
      <protection hidden="1"/>
    </xf>
    <xf numFmtId="1" fontId="4" fillId="5" borderId="63" xfId="25" applyNumberFormat="1" applyFont="1" applyFill="1" applyBorder="1" applyAlignment="1" applyProtection="1">
      <alignment horizontal="center" vertical="center" wrapText="1"/>
      <protection hidden="1"/>
    </xf>
    <xf numFmtId="9" fontId="4" fillId="0" borderId="60" xfId="2" applyFont="1" applyFill="1" applyBorder="1" applyAlignment="1" applyProtection="1">
      <alignment horizontal="center" vertical="center" wrapText="1"/>
      <protection hidden="1"/>
    </xf>
    <xf numFmtId="0" fontId="31" fillId="0" borderId="30" xfId="0" applyFont="1" applyBorder="1" applyAlignment="1">
      <alignment horizontal="center" vertical="center" wrapText="1"/>
    </xf>
    <xf numFmtId="0" fontId="31" fillId="0" borderId="57" xfId="0" applyFont="1" applyBorder="1" applyAlignment="1">
      <alignment horizontal="center" vertical="center" wrapText="1"/>
    </xf>
    <xf numFmtId="1" fontId="31" fillId="0" borderId="57" xfId="0" applyNumberFormat="1" applyFont="1" applyBorder="1" applyAlignment="1">
      <alignment horizontal="center" vertical="center" wrapText="1"/>
    </xf>
    <xf numFmtId="0" fontId="5" fillId="0" borderId="52" xfId="8" applyNumberFormat="1" applyFont="1" applyFill="1" applyBorder="1" applyAlignment="1" applyProtection="1">
      <alignment horizontal="center" vertical="center" wrapText="1"/>
      <protection hidden="1"/>
    </xf>
    <xf numFmtId="167" fontId="5" fillId="0" borderId="62" xfId="8" applyFont="1" applyFill="1" applyBorder="1" applyAlignment="1" applyProtection="1">
      <alignment horizontal="center" vertical="center" wrapText="1"/>
      <protection hidden="1"/>
    </xf>
    <xf numFmtId="0" fontId="5" fillId="0" borderId="33" xfId="8" applyNumberFormat="1" applyFont="1" applyFill="1" applyBorder="1" applyAlignment="1" applyProtection="1">
      <alignment horizontal="center" vertical="center" wrapText="1"/>
      <protection hidden="1"/>
    </xf>
    <xf numFmtId="167" fontId="5" fillId="0" borderId="63" xfId="8" applyFont="1" applyFill="1" applyBorder="1" applyAlignment="1" applyProtection="1">
      <alignment vertical="center" wrapText="1"/>
      <protection hidden="1"/>
    </xf>
    <xf numFmtId="167" fontId="5" fillId="0" borderId="34" xfId="8" applyFont="1" applyFill="1" applyBorder="1" applyAlignment="1" applyProtection="1">
      <alignment horizontal="center" vertical="center" wrapText="1"/>
      <protection hidden="1"/>
    </xf>
    <xf numFmtId="0" fontId="5" fillId="0" borderId="70" xfId="8" applyNumberFormat="1" applyFont="1" applyFill="1" applyBorder="1" applyAlignment="1" applyProtection="1">
      <alignment horizontal="center" vertical="center" wrapText="1"/>
      <protection hidden="1"/>
    </xf>
    <xf numFmtId="167" fontId="5" fillId="0" borderId="11" xfId="8" applyFont="1" applyFill="1" applyBorder="1" applyAlignment="1" applyProtection="1">
      <alignment vertical="center" wrapText="1"/>
      <protection hidden="1"/>
    </xf>
    <xf numFmtId="167" fontId="5" fillId="0" borderId="71" xfId="8" applyFont="1" applyFill="1" applyBorder="1" applyAlignment="1" applyProtection="1">
      <alignment horizontal="center" vertical="center" wrapText="1"/>
      <protection hidden="1"/>
    </xf>
    <xf numFmtId="167" fontId="5" fillId="9" borderId="56" xfId="8" applyFont="1" applyFill="1" applyBorder="1" applyAlignment="1" applyProtection="1">
      <alignment horizontal="center" vertical="center" wrapText="1"/>
      <protection hidden="1"/>
    </xf>
    <xf numFmtId="0" fontId="29" fillId="7" borderId="63" xfId="3" applyFont="1" applyFill="1" applyBorder="1" applyAlignment="1" applyProtection="1">
      <alignment horizontal="center" vertical="center" wrapText="1"/>
      <protection hidden="1"/>
    </xf>
    <xf numFmtId="0" fontId="29" fillId="13" borderId="63" xfId="3" applyFont="1" applyFill="1" applyBorder="1" applyAlignment="1" applyProtection="1">
      <alignment horizontal="center" vertical="center" wrapText="1"/>
      <protection hidden="1"/>
    </xf>
    <xf numFmtId="9" fontId="4" fillId="9" borderId="15" xfId="3" applyNumberFormat="1" applyFont="1" applyFill="1" applyBorder="1" applyAlignment="1" applyProtection="1">
      <alignment horizontal="center" vertical="center" wrapText="1"/>
      <protection hidden="1"/>
    </xf>
    <xf numFmtId="0" fontId="29" fillId="7" borderId="73" xfId="3" applyFont="1" applyFill="1" applyBorder="1" applyAlignment="1" applyProtection="1">
      <alignment horizontal="center" vertical="center" wrapText="1"/>
      <protection hidden="1"/>
    </xf>
    <xf numFmtId="0" fontId="29" fillId="13" borderId="52" xfId="0" applyFont="1" applyFill="1" applyBorder="1" applyAlignment="1" applyProtection="1">
      <alignment horizontal="center" vertical="center" wrapText="1"/>
      <protection hidden="1"/>
    </xf>
    <xf numFmtId="0" fontId="29" fillId="13" borderId="33" xfId="3" applyFont="1" applyFill="1" applyBorder="1" applyAlignment="1" applyProtection="1">
      <alignment horizontal="center" vertical="center" wrapText="1"/>
      <protection hidden="1"/>
    </xf>
    <xf numFmtId="4" fontId="7" fillId="9" borderId="60" xfId="8" applyNumberFormat="1" applyFont="1" applyFill="1" applyBorder="1" applyAlignment="1" applyProtection="1">
      <alignment horizontal="center" vertical="center" wrapText="1"/>
      <protection hidden="1"/>
    </xf>
    <xf numFmtId="9" fontId="7" fillId="0" borderId="60" xfId="2" applyFont="1" applyFill="1" applyBorder="1" applyAlignment="1" applyProtection="1">
      <alignment horizontal="center" vertical="center"/>
      <protection hidden="1"/>
    </xf>
    <xf numFmtId="4" fontId="6" fillId="6" borderId="60" xfId="3" applyNumberFormat="1" applyFont="1" applyFill="1" applyBorder="1" applyAlignment="1" applyProtection="1">
      <alignment horizontal="center" vertical="center"/>
      <protection hidden="1"/>
    </xf>
    <xf numFmtId="4" fontId="7" fillId="9" borderId="60" xfId="3" applyNumberFormat="1" applyFont="1" applyFill="1" applyBorder="1" applyAlignment="1" applyProtection="1">
      <alignment horizontal="center" vertical="center"/>
      <protection hidden="1"/>
    </xf>
    <xf numFmtId="4" fontId="7" fillId="0" borderId="60" xfId="3" applyNumberFormat="1" applyFont="1" applyFill="1" applyBorder="1" applyAlignment="1" applyProtection="1">
      <alignment horizontal="center" vertical="center"/>
      <protection hidden="1"/>
    </xf>
    <xf numFmtId="4" fontId="7" fillId="9" borderId="63" xfId="8" applyNumberFormat="1" applyFont="1" applyFill="1" applyBorder="1" applyAlignment="1" applyProtection="1">
      <alignment horizontal="center" vertical="center" wrapText="1"/>
      <protection hidden="1"/>
    </xf>
    <xf numFmtId="9" fontId="7" fillId="0" borderId="63" xfId="2" applyFont="1" applyFill="1" applyBorder="1" applyAlignment="1" applyProtection="1">
      <alignment horizontal="center" vertical="center"/>
      <protection hidden="1"/>
    </xf>
    <xf numFmtId="4" fontId="6" fillId="6" borderId="63" xfId="3" applyNumberFormat="1" applyFont="1" applyFill="1" applyBorder="1" applyAlignment="1" applyProtection="1">
      <alignment horizontal="center" vertical="center"/>
      <protection hidden="1"/>
    </xf>
    <xf numFmtId="4" fontId="7" fillId="9" borderId="63" xfId="3" applyNumberFormat="1" applyFont="1" applyFill="1" applyBorder="1" applyAlignment="1" applyProtection="1">
      <alignment horizontal="center" vertical="center"/>
      <protection hidden="1"/>
    </xf>
    <xf numFmtId="4" fontId="7" fillId="0" borderId="63" xfId="3" applyNumberFormat="1" applyFont="1" applyFill="1" applyBorder="1" applyAlignment="1" applyProtection="1">
      <alignment horizontal="center" vertical="center"/>
      <protection hidden="1"/>
    </xf>
    <xf numFmtId="4" fontId="4" fillId="0" borderId="61" xfId="8" applyNumberFormat="1" applyFont="1" applyFill="1" applyBorder="1" applyAlignment="1" applyProtection="1">
      <alignment horizontal="left" vertical="center" wrapText="1"/>
      <protection hidden="1"/>
    </xf>
    <xf numFmtId="4" fontId="4" fillId="0" borderId="16" xfId="8" applyNumberFormat="1" applyFont="1" applyFill="1" applyBorder="1" applyAlignment="1" applyProtection="1">
      <alignment horizontal="left" vertical="center" wrapText="1"/>
      <protection hidden="1"/>
    </xf>
    <xf numFmtId="4" fontId="4" fillId="0" borderId="64" xfId="8" applyNumberFormat="1" applyFont="1" applyFill="1" applyBorder="1" applyAlignment="1" applyProtection="1">
      <alignment horizontal="left" vertical="center" wrapText="1"/>
      <protection hidden="1"/>
    </xf>
    <xf numFmtId="1" fontId="4" fillId="0" borderId="74" xfId="0" applyNumberFormat="1" applyFont="1" applyFill="1" applyBorder="1" applyAlignment="1" applyProtection="1">
      <alignment horizontal="center" vertical="center" wrapText="1"/>
      <protection hidden="1"/>
    </xf>
    <xf numFmtId="1" fontId="4" fillId="0" borderId="75" xfId="0" applyNumberFormat="1" applyFont="1" applyFill="1" applyBorder="1" applyAlignment="1" applyProtection="1">
      <alignment horizontal="center" vertical="center" wrapText="1"/>
      <protection hidden="1"/>
    </xf>
    <xf numFmtId="1" fontId="4" fillId="0" borderId="58" xfId="0" applyNumberFormat="1" applyFont="1" applyFill="1" applyBorder="1" applyAlignment="1" applyProtection="1">
      <alignment horizontal="center" vertical="center" wrapText="1"/>
      <protection hidden="1"/>
    </xf>
    <xf numFmtId="49" fontId="47" fillId="16" borderId="8" xfId="19" applyNumberFormat="1" applyFont="1" applyFill="1" applyBorder="1" applyAlignment="1" applyProtection="1">
      <alignment horizontal="center" vertical="center" wrapText="1"/>
      <protection locked="0"/>
    </xf>
    <xf numFmtId="0" fontId="55" fillId="3" borderId="8" xfId="20" applyFont="1" applyFill="1" applyBorder="1" applyAlignment="1">
      <alignment horizontal="justify" vertical="center"/>
    </xf>
    <xf numFmtId="0" fontId="49" fillId="4" borderId="8" xfId="30" applyFill="1" applyBorder="1" applyAlignment="1">
      <alignment horizontal="center" vertical="center"/>
    </xf>
    <xf numFmtId="0" fontId="56" fillId="4" borderId="8" xfId="21" applyFont="1" applyFill="1" applyBorder="1" applyAlignment="1">
      <alignment horizontal="justify" vertical="top" wrapText="1"/>
    </xf>
    <xf numFmtId="0" fontId="57" fillId="4" borderId="8" xfId="22" applyNumberFormat="1" applyFont="1" applyFill="1" applyBorder="1" applyAlignment="1">
      <alignment horizontal="center" vertical="center"/>
    </xf>
    <xf numFmtId="183" fontId="57" fillId="0" borderId="8" xfId="19" applyNumberFormat="1" applyFont="1" applyFill="1" applyBorder="1" applyAlignment="1" applyProtection="1">
      <alignment horizontal="center" vertical="center"/>
      <protection locked="0"/>
    </xf>
    <xf numFmtId="165" fontId="57" fillId="9" borderId="8" xfId="20" applyNumberFormat="1" applyFont="1" applyFill="1" applyBorder="1" applyAlignment="1">
      <alignment horizontal="center" vertical="center"/>
    </xf>
    <xf numFmtId="165" fontId="57" fillId="4" borderId="8" xfId="0" applyNumberFormat="1" applyFont="1" applyFill="1" applyBorder="1" applyAlignment="1">
      <alignment horizontal="center" vertical="center"/>
    </xf>
    <xf numFmtId="183" fontId="57" fillId="4" borderId="8" xfId="19" applyNumberFormat="1" applyFont="1" applyFill="1" applyBorder="1" applyAlignment="1" applyProtection="1">
      <alignment horizontal="center" vertical="center"/>
      <protection locked="0"/>
    </xf>
    <xf numFmtId="0" fontId="49" fillId="0" borderId="8" xfId="30" applyFill="1" applyBorder="1" applyAlignment="1">
      <alignment horizontal="center" vertical="center"/>
    </xf>
    <xf numFmtId="0" fontId="57" fillId="0" borderId="8" xfId="22" applyNumberFormat="1" applyFont="1" applyFill="1" applyBorder="1" applyAlignment="1">
      <alignment horizontal="center" vertical="center"/>
    </xf>
    <xf numFmtId="165" fontId="57" fillId="0" borderId="8" xfId="0" applyNumberFormat="1" applyFont="1" applyBorder="1" applyAlignment="1">
      <alignment horizontal="center" vertical="center"/>
    </xf>
    <xf numFmtId="0" fontId="57" fillId="3" borderId="8" xfId="0" applyFont="1" applyFill="1" applyBorder="1" applyAlignment="1" applyProtection="1">
      <alignment vertical="center"/>
      <protection locked="0"/>
    </xf>
    <xf numFmtId="183" fontId="57" fillId="3" borderId="8" xfId="19" applyNumberFormat="1" applyFont="1" applyFill="1" applyBorder="1" applyAlignment="1" applyProtection="1">
      <alignment horizontal="center" vertical="center"/>
      <protection locked="0"/>
    </xf>
    <xf numFmtId="2" fontId="49" fillId="4" borderId="8" xfId="30" applyNumberFormat="1" applyFill="1" applyBorder="1" applyAlignment="1">
      <alignment horizontal="center" vertical="center"/>
    </xf>
    <xf numFmtId="2" fontId="49" fillId="0" borderId="8" xfId="30" applyNumberFormat="1" applyFill="1" applyBorder="1" applyAlignment="1">
      <alignment horizontal="center" vertical="center"/>
    </xf>
    <xf numFmtId="0" fontId="55" fillId="3" borderId="8" xfId="20" applyFont="1" applyFill="1" applyBorder="1" applyAlignment="1">
      <alignment horizontal="justify" vertical="top"/>
    </xf>
    <xf numFmtId="0" fontId="56" fillId="4" borderId="8" xfId="21" applyFont="1" applyFill="1" applyBorder="1" applyAlignment="1">
      <alignment horizontal="justify" vertical="top"/>
    </xf>
    <xf numFmtId="49" fontId="58" fillId="16" borderId="8" xfId="19" applyNumberFormat="1" applyFont="1" applyFill="1" applyBorder="1" applyAlignment="1" applyProtection="1">
      <alignment horizontal="center" vertical="center" wrapText="1"/>
      <protection locked="0"/>
    </xf>
    <xf numFmtId="0" fontId="55" fillId="3" borderId="8" xfId="21" applyFont="1" applyFill="1" applyBorder="1" applyAlignment="1">
      <alignment horizontal="justify" vertical="center"/>
    </xf>
    <xf numFmtId="0" fontId="57" fillId="3" borderId="8" xfId="22" applyNumberFormat="1" applyFont="1" applyFill="1" applyBorder="1" applyAlignment="1">
      <alignment horizontal="center" vertical="center"/>
    </xf>
    <xf numFmtId="165" fontId="57" fillId="3" borderId="8" xfId="20" applyNumberFormat="1" applyFont="1" applyFill="1" applyBorder="1" applyAlignment="1">
      <alignment horizontal="center" vertical="center"/>
    </xf>
    <xf numFmtId="165" fontId="57" fillId="3" borderId="8" xfId="0" applyNumberFormat="1" applyFont="1" applyFill="1" applyBorder="1" applyAlignment="1">
      <alignment horizontal="center" vertical="center"/>
    </xf>
    <xf numFmtId="0" fontId="55" fillId="3" borderId="8" xfId="21" applyFont="1" applyFill="1" applyBorder="1" applyAlignment="1">
      <alignment horizontal="justify" vertical="top"/>
    </xf>
    <xf numFmtId="0" fontId="59" fillId="4" borderId="8" xfId="30" applyFont="1" applyFill="1" applyBorder="1" applyAlignment="1">
      <alignment horizontal="center" vertical="center"/>
    </xf>
    <xf numFmtId="183" fontId="57" fillId="4" borderId="8" xfId="19" applyNumberFormat="1" applyFont="1" applyFill="1" applyBorder="1" applyAlignment="1" applyProtection="1">
      <alignment vertical="center"/>
      <protection locked="0"/>
    </xf>
    <xf numFmtId="183" fontId="57" fillId="0" borderId="8" xfId="19" applyNumberFormat="1" applyFont="1" applyFill="1" applyBorder="1" applyAlignment="1" applyProtection="1">
      <alignment vertical="center"/>
      <protection locked="0"/>
    </xf>
    <xf numFmtId="0" fontId="50" fillId="15" borderId="8" xfId="0" applyFont="1" applyFill="1" applyBorder="1" applyAlignment="1">
      <alignment horizontal="center" vertical="center"/>
    </xf>
    <xf numFmtId="181" fontId="50" fillId="15" borderId="8" xfId="19" applyFont="1" applyFill="1" applyBorder="1" applyAlignment="1" applyProtection="1">
      <alignment horizontal="center" vertical="center"/>
    </xf>
    <xf numFmtId="3" fontId="50" fillId="15" borderId="8" xfId="0" applyNumberFormat="1" applyFont="1" applyFill="1" applyBorder="1" applyAlignment="1">
      <alignment horizontal="center" vertical="center" wrapText="1"/>
    </xf>
    <xf numFmtId="41" fontId="4" fillId="9" borderId="0" xfId="24" applyFont="1" applyFill="1" applyBorder="1" applyAlignment="1" applyProtection="1">
      <alignment horizontal="center" vertical="center"/>
      <protection hidden="1"/>
    </xf>
    <xf numFmtId="0" fontId="29" fillId="13" borderId="73" xfId="3" applyFont="1" applyFill="1" applyBorder="1" applyAlignment="1" applyProtection="1">
      <alignment horizontal="center" vertical="center" wrapText="1"/>
      <protection hidden="1"/>
    </xf>
    <xf numFmtId="4" fontId="6" fillId="6" borderId="72" xfId="3" applyNumberFormat="1" applyFont="1" applyFill="1" applyBorder="1" applyAlignment="1" applyProtection="1">
      <alignment horizontal="center" vertical="center"/>
      <protection hidden="1"/>
    </xf>
    <xf numFmtId="4" fontId="6" fillId="6" borderId="15" xfId="3" applyNumberFormat="1" applyFont="1" applyFill="1" applyBorder="1" applyAlignment="1" applyProtection="1">
      <alignment horizontal="center" vertical="center"/>
      <protection hidden="1"/>
    </xf>
    <xf numFmtId="4" fontId="6" fillId="6" borderId="73" xfId="3" applyNumberFormat="1" applyFont="1" applyFill="1" applyBorder="1" applyAlignment="1" applyProtection="1">
      <alignment horizontal="center" vertical="center"/>
      <protection hidden="1"/>
    </xf>
    <xf numFmtId="167" fontId="5" fillId="0" borderId="75" xfId="8" applyFont="1" applyFill="1" applyBorder="1" applyAlignment="1" applyProtection="1">
      <alignment vertical="center" wrapText="1"/>
      <protection hidden="1"/>
    </xf>
    <xf numFmtId="0" fontId="13" fillId="0" borderId="75" xfId="3" applyFont="1" applyFill="1" applyBorder="1" applyAlignment="1" applyProtection="1">
      <alignment vertical="center" wrapText="1"/>
      <protection hidden="1"/>
    </xf>
    <xf numFmtId="0" fontId="13" fillId="0" borderId="58" xfId="3" applyFont="1" applyFill="1" applyBorder="1" applyAlignment="1" applyProtection="1">
      <alignment vertical="center" wrapText="1"/>
      <protection hidden="1"/>
    </xf>
    <xf numFmtId="176" fontId="50" fillId="0" borderId="1" xfId="16" applyNumberFormat="1" applyFont="1" applyFill="1" applyBorder="1" applyAlignment="1">
      <alignment horizontal="center" vertical="center" wrapText="1"/>
    </xf>
    <xf numFmtId="10" fontId="61" fillId="9" borderId="8" xfId="16" applyNumberFormat="1" applyFont="1" applyFill="1" applyBorder="1" applyAlignment="1">
      <alignment horizontal="center" vertical="center" wrapText="1"/>
    </xf>
    <xf numFmtId="49" fontId="47" fillId="19" borderId="8" xfId="19" applyNumberFormat="1" applyFont="1" applyFill="1" applyBorder="1" applyAlignment="1" applyProtection="1">
      <alignment horizontal="center" vertical="center" wrapText="1"/>
      <protection locked="0"/>
    </xf>
    <xf numFmtId="0" fontId="56" fillId="4" borderId="8" xfId="21" applyFont="1" applyFill="1" applyBorder="1" applyAlignment="1">
      <alignment horizontal="left" vertical="center" wrapText="1"/>
    </xf>
    <xf numFmtId="0" fontId="56" fillId="4" borderId="8" xfId="21" applyFont="1" applyFill="1" applyBorder="1" applyAlignment="1">
      <alignment horizontal="justify" vertical="center" wrapText="1"/>
    </xf>
    <xf numFmtId="0" fontId="56" fillId="4" borderId="8" xfId="21" applyFont="1" applyFill="1" applyBorder="1" applyAlignment="1">
      <alignment horizontal="justify" vertical="center"/>
    </xf>
    <xf numFmtId="10" fontId="67" fillId="9" borderId="8" xfId="16" applyNumberFormat="1" applyFont="1" applyFill="1" applyBorder="1" applyAlignment="1">
      <alignment horizontal="center" vertical="center" wrapText="1"/>
    </xf>
    <xf numFmtId="0" fontId="49" fillId="4" borderId="8" xfId="30" applyFill="1" applyBorder="1" applyAlignment="1">
      <alignment horizontal="center" vertical="center"/>
    </xf>
    <xf numFmtId="0" fontId="49" fillId="0" borderId="8" xfId="30" applyFill="1" applyBorder="1" applyAlignment="1">
      <alignment horizontal="center" vertical="center"/>
    </xf>
    <xf numFmtId="2" fontId="49" fillId="0" borderId="8" xfId="30" applyNumberFormat="1" applyFill="1" applyBorder="1" applyAlignment="1">
      <alignment horizontal="center" vertical="center"/>
    </xf>
    <xf numFmtId="41" fontId="0" fillId="0" borderId="0" xfId="24" applyFont="1" applyProtection="1">
      <protection hidden="1"/>
    </xf>
    <xf numFmtId="0" fontId="49" fillId="4" borderId="8" xfId="30" applyFill="1" applyBorder="1" applyAlignment="1">
      <alignment horizontal="center" vertical="center"/>
    </xf>
    <xf numFmtId="3" fontId="14" fillId="0" borderId="8" xfId="5" applyNumberFormat="1" applyFont="1" applyFill="1" applyBorder="1" applyAlignment="1" applyProtection="1">
      <alignment horizontal="center" vertical="center" wrapText="1"/>
      <protection hidden="1"/>
    </xf>
    <xf numFmtId="3" fontId="13" fillId="0" borderId="8" xfId="5" applyNumberFormat="1" applyFont="1" applyFill="1" applyBorder="1" applyAlignment="1" applyProtection="1">
      <alignment horizontal="center" vertical="center"/>
      <protection hidden="1"/>
    </xf>
    <xf numFmtId="6" fontId="14" fillId="0" borderId="8" xfId="5" applyNumberFormat="1" applyFont="1" applyFill="1" applyBorder="1" applyAlignment="1" applyProtection="1">
      <alignment horizontal="center" vertical="center" wrapText="1"/>
      <protection hidden="1"/>
    </xf>
    <xf numFmtId="41" fontId="13" fillId="0" borderId="0" xfId="24" applyFont="1" applyFill="1" applyAlignment="1" applyProtection="1">
      <alignment vertical="center" wrapText="1"/>
      <protection hidden="1"/>
    </xf>
    <xf numFmtId="0" fontId="18" fillId="9" borderId="8" xfId="0" applyFont="1" applyFill="1" applyBorder="1" applyAlignment="1" applyProtection="1">
      <alignment horizontal="left" vertical="center" wrapText="1"/>
      <protection hidden="1"/>
    </xf>
    <xf numFmtId="0" fontId="18" fillId="9" borderId="8" xfId="0" applyFont="1" applyFill="1" applyBorder="1" applyAlignment="1" applyProtection="1">
      <alignment vertical="center" wrapText="1"/>
      <protection hidden="1"/>
    </xf>
    <xf numFmtId="0" fontId="18" fillId="0" borderId="8" xfId="0" applyFont="1" applyBorder="1" applyAlignment="1" applyProtection="1">
      <alignment horizontal="center" vertical="center"/>
      <protection hidden="1"/>
    </xf>
    <xf numFmtId="6" fontId="36" fillId="0" borderId="0" xfId="17" applyNumberFormat="1" applyFont="1" applyProtection="1">
      <protection hidden="1"/>
    </xf>
    <xf numFmtId="0" fontId="74" fillId="0" borderId="8" xfId="5" applyFont="1" applyFill="1" applyBorder="1" applyAlignment="1" applyProtection="1">
      <alignment horizontal="left" vertical="center" wrapText="1"/>
      <protection hidden="1"/>
    </xf>
    <xf numFmtId="0" fontId="7" fillId="4" borderId="0" xfId="0" applyFont="1" applyFill="1" applyAlignment="1" applyProtection="1">
      <alignment horizontal="justify" vertical="top" wrapText="1"/>
      <protection hidden="1"/>
    </xf>
    <xf numFmtId="0" fontId="2" fillId="5" borderId="1" xfId="0" applyFont="1" applyFill="1" applyBorder="1" applyAlignment="1" applyProtection="1">
      <alignment horizontal="center" vertical="center" wrapText="1"/>
      <protection hidden="1"/>
    </xf>
    <xf numFmtId="0" fontId="2" fillId="5" borderId="2" xfId="0" applyFont="1" applyFill="1" applyBorder="1" applyAlignment="1" applyProtection="1">
      <alignment horizontal="center" vertical="center" wrapText="1"/>
      <protection hidden="1"/>
    </xf>
    <xf numFmtId="0" fontId="3" fillId="5" borderId="3" xfId="0" applyFont="1" applyFill="1" applyBorder="1" applyAlignment="1" applyProtection="1">
      <alignment horizontal="center" vertical="center" wrapText="1"/>
      <protection hidden="1"/>
    </xf>
    <xf numFmtId="0" fontId="3" fillId="5" borderId="4"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0" fontId="5" fillId="5" borderId="5" xfId="0" applyFont="1" applyFill="1" applyBorder="1" applyAlignment="1" applyProtection="1">
      <alignment horizontal="center" vertical="center" wrapText="1"/>
      <protection hidden="1"/>
    </xf>
    <xf numFmtId="0" fontId="5" fillId="5" borderId="6" xfId="0" applyFont="1" applyFill="1" applyBorder="1" applyAlignment="1" applyProtection="1">
      <alignment horizontal="center" vertical="center" wrapText="1"/>
      <protection hidden="1"/>
    </xf>
    <xf numFmtId="0" fontId="4" fillId="0" borderId="43" xfId="4" applyFont="1" applyBorder="1" applyAlignment="1" applyProtection="1">
      <alignment horizontal="center" vertical="center" wrapText="1"/>
      <protection hidden="1"/>
    </xf>
    <xf numFmtId="0" fontId="4" fillId="0" borderId="44" xfId="4" applyFont="1" applyBorder="1" applyAlignment="1" applyProtection="1">
      <alignment horizontal="center" vertical="center" wrapText="1"/>
      <protection hidden="1"/>
    </xf>
    <xf numFmtId="0" fontId="4" fillId="0" borderId="44" xfId="4" applyFont="1" applyBorder="1" applyAlignment="1" applyProtection="1">
      <alignment horizontal="center" vertical="center"/>
      <protection hidden="1"/>
    </xf>
    <xf numFmtId="0" fontId="4" fillId="0" borderId="45" xfId="4" applyFont="1" applyBorder="1" applyAlignment="1" applyProtection="1">
      <alignment horizontal="center" vertical="center"/>
      <protection hidden="1"/>
    </xf>
    <xf numFmtId="0" fontId="4" fillId="5" borderId="1" xfId="4" applyFont="1" applyFill="1" applyBorder="1" applyAlignment="1" applyProtection="1">
      <alignment horizontal="center"/>
      <protection hidden="1"/>
    </xf>
    <xf numFmtId="0" fontId="4" fillId="5" borderId="3" xfId="4" applyFont="1" applyFill="1" applyBorder="1" applyAlignment="1" applyProtection="1">
      <alignment horizontal="center"/>
      <protection hidden="1"/>
    </xf>
    <xf numFmtId="0" fontId="2" fillId="5" borderId="9" xfId="4" applyFont="1" applyFill="1" applyBorder="1" applyAlignment="1" applyProtection="1">
      <alignment horizontal="center" wrapText="1"/>
      <protection hidden="1"/>
    </xf>
    <xf numFmtId="0" fontId="2" fillId="5" borderId="2" xfId="4" applyFont="1" applyFill="1" applyBorder="1" applyAlignment="1" applyProtection="1">
      <alignment horizontal="center" wrapText="1"/>
      <protection hidden="1"/>
    </xf>
    <xf numFmtId="0" fontId="3" fillId="5" borderId="0" xfId="4" applyFont="1" applyFill="1" applyBorder="1" applyAlignment="1" applyProtection="1">
      <alignment horizontal="center"/>
      <protection hidden="1"/>
    </xf>
    <xf numFmtId="0" fontId="3" fillId="5" borderId="4" xfId="4" applyFont="1" applyFill="1" applyBorder="1" applyAlignment="1" applyProtection="1">
      <alignment horizontal="center"/>
      <protection hidden="1"/>
    </xf>
    <xf numFmtId="0" fontId="6" fillId="5" borderId="0" xfId="4" applyFont="1" applyFill="1" applyBorder="1" applyAlignment="1" applyProtection="1">
      <alignment horizontal="center" vertical="center" wrapText="1"/>
      <protection hidden="1"/>
    </xf>
    <xf numFmtId="0" fontId="6" fillId="5" borderId="4" xfId="4" applyFont="1" applyFill="1" applyBorder="1" applyAlignment="1" applyProtection="1">
      <alignment horizontal="center" vertical="center" wrapText="1"/>
      <protection hidden="1"/>
    </xf>
    <xf numFmtId="0" fontId="5" fillId="5" borderId="5" xfId="4" applyFont="1" applyFill="1" applyBorder="1" applyAlignment="1" applyProtection="1">
      <alignment horizontal="center" vertical="center" wrapText="1"/>
      <protection hidden="1"/>
    </xf>
    <xf numFmtId="0" fontId="5" fillId="5" borderId="10" xfId="4" applyFont="1" applyFill="1" applyBorder="1" applyAlignment="1" applyProtection="1">
      <alignment horizontal="center" vertical="center" wrapText="1"/>
      <protection hidden="1"/>
    </xf>
    <xf numFmtId="0" fontId="5" fillId="5" borderId="6" xfId="4" applyFont="1" applyFill="1" applyBorder="1" applyAlignment="1" applyProtection="1">
      <alignment horizontal="center" vertical="center" wrapText="1"/>
      <protection hidden="1"/>
    </xf>
    <xf numFmtId="0" fontId="6" fillId="6" borderId="5" xfId="4" applyFont="1" applyFill="1" applyBorder="1" applyAlignment="1" applyProtection="1">
      <alignment horizontal="center" wrapText="1"/>
      <protection hidden="1"/>
    </xf>
    <xf numFmtId="0" fontId="6" fillId="6" borderId="10" xfId="4" applyFont="1" applyFill="1" applyBorder="1" applyAlignment="1" applyProtection="1">
      <alignment horizontal="center" wrapText="1"/>
      <protection hidden="1"/>
    </xf>
    <xf numFmtId="0" fontId="6" fillId="6" borderId="6" xfId="4" applyFont="1" applyFill="1" applyBorder="1" applyAlignment="1" applyProtection="1">
      <alignment horizontal="center" wrapText="1"/>
      <protection hidden="1"/>
    </xf>
    <xf numFmtId="0" fontId="6" fillId="6" borderId="3" xfId="4" applyFont="1" applyFill="1" applyBorder="1" applyAlignment="1" applyProtection="1">
      <alignment horizontal="center" vertical="center" wrapText="1"/>
      <protection hidden="1"/>
    </xf>
    <xf numFmtId="0" fontId="6" fillId="6" borderId="0" xfId="4" applyFont="1" applyFill="1" applyBorder="1" applyAlignment="1" applyProtection="1">
      <alignment horizontal="center" vertical="center" wrapText="1"/>
      <protection hidden="1"/>
    </xf>
    <xf numFmtId="0" fontId="6" fillId="6" borderId="4" xfId="4" applyFont="1" applyFill="1" applyBorder="1" applyAlignment="1" applyProtection="1">
      <alignment horizontal="center" vertical="center" wrapText="1"/>
      <protection hidden="1"/>
    </xf>
    <xf numFmtId="0" fontId="10" fillId="8" borderId="13" xfId="5" applyFont="1" applyFill="1" applyBorder="1" applyAlignment="1" applyProtection="1">
      <alignment horizontal="center" vertical="center"/>
      <protection hidden="1"/>
    </xf>
    <xf numFmtId="0" fontId="10" fillId="8" borderId="14" xfId="5" applyFont="1" applyFill="1" applyBorder="1" applyAlignment="1" applyProtection="1">
      <alignment horizontal="center" vertical="center"/>
      <protection hidden="1"/>
    </xf>
    <xf numFmtId="0" fontId="10" fillId="8" borderId="11" xfId="5" applyFont="1" applyFill="1" applyBorder="1" applyAlignment="1" applyProtection="1">
      <alignment horizontal="center" vertical="center"/>
      <protection hidden="1"/>
    </xf>
    <xf numFmtId="0" fontId="24" fillId="0" borderId="1" xfId="1" applyNumberFormat="1" applyFont="1" applyFill="1" applyBorder="1" applyAlignment="1" applyProtection="1">
      <alignment horizontal="center" vertical="center" wrapText="1"/>
      <protection hidden="1"/>
    </xf>
    <xf numFmtId="0" fontId="24" fillId="0" borderId="9" xfId="1" applyNumberFormat="1" applyFont="1" applyFill="1" applyBorder="1" applyAlignment="1" applyProtection="1">
      <alignment horizontal="center" vertical="center" wrapText="1"/>
      <protection hidden="1"/>
    </xf>
    <xf numFmtId="0" fontId="24" fillId="0" borderId="2" xfId="1" applyNumberFormat="1" applyFont="1" applyFill="1" applyBorder="1" applyAlignment="1" applyProtection="1">
      <alignment horizontal="center" vertical="center" wrapText="1"/>
      <protection hidden="1"/>
    </xf>
    <xf numFmtId="0" fontId="24" fillId="0" borderId="5" xfId="1" applyNumberFormat="1" applyFont="1" applyFill="1" applyBorder="1" applyAlignment="1" applyProtection="1">
      <alignment horizontal="center" vertical="center" wrapText="1"/>
      <protection hidden="1"/>
    </xf>
    <xf numFmtId="0" fontId="24" fillId="0" borderId="10" xfId="1" applyNumberFormat="1" applyFont="1" applyFill="1" applyBorder="1" applyAlignment="1" applyProtection="1">
      <alignment horizontal="center" vertical="center" wrapText="1"/>
      <protection hidden="1"/>
    </xf>
    <xf numFmtId="0" fontId="24" fillId="0" borderId="6" xfId="1" applyNumberFormat="1" applyFont="1" applyFill="1" applyBorder="1" applyAlignment="1" applyProtection="1">
      <alignment horizontal="center" vertical="center" wrapText="1"/>
      <protection hidden="1"/>
    </xf>
    <xf numFmtId="0" fontId="3" fillId="11" borderId="15" xfId="0" applyFont="1" applyFill="1" applyBorder="1" applyAlignment="1" applyProtection="1">
      <alignment horizontal="center" vertical="center"/>
      <protection hidden="1"/>
    </xf>
    <xf numFmtId="0" fontId="3" fillId="11" borderId="7" xfId="0" applyFont="1" applyFill="1" applyBorder="1" applyAlignment="1" applyProtection="1">
      <alignment horizontal="center" vertical="center"/>
      <protection hidden="1"/>
    </xf>
    <xf numFmtId="0" fontId="3" fillId="11" borderId="16" xfId="0" applyFont="1" applyFill="1" applyBorder="1" applyAlignment="1" applyProtection="1">
      <alignment horizontal="center" vertical="center"/>
      <protection hidden="1"/>
    </xf>
    <xf numFmtId="0" fontId="24" fillId="0" borderId="13" xfId="1" applyNumberFormat="1" applyFont="1" applyFill="1" applyBorder="1" applyAlignment="1" applyProtection="1">
      <alignment horizontal="center" vertical="center" wrapText="1"/>
      <protection hidden="1"/>
    </xf>
    <xf numFmtId="0" fontId="24" fillId="0" borderId="11" xfId="1" applyNumberFormat="1" applyFont="1" applyFill="1" applyBorder="1" applyAlignment="1" applyProtection="1">
      <alignment horizontal="center" vertical="center" wrapText="1"/>
      <protection hidden="1"/>
    </xf>
    <xf numFmtId="0" fontId="22" fillId="7" borderId="13" xfId="0" applyFont="1" applyFill="1" applyBorder="1" applyAlignment="1" applyProtection="1">
      <alignment horizontal="center" vertical="center" textRotation="255" wrapText="1"/>
      <protection hidden="1"/>
    </xf>
    <xf numFmtId="0" fontId="22" fillId="7" borderId="14" xfId="0" applyFont="1" applyFill="1" applyBorder="1" applyAlignment="1" applyProtection="1">
      <alignment horizontal="center" vertical="center" textRotation="255" wrapText="1"/>
      <protection hidden="1"/>
    </xf>
    <xf numFmtId="0" fontId="22" fillId="7" borderId="11" xfId="0" applyFont="1" applyFill="1" applyBorder="1" applyAlignment="1" applyProtection="1">
      <alignment horizontal="center" vertical="center" textRotation="255" wrapText="1"/>
      <protection hidden="1"/>
    </xf>
    <xf numFmtId="0" fontId="4" fillId="0" borderId="13" xfId="3" applyNumberFormat="1" applyFont="1" applyFill="1" applyBorder="1" applyAlignment="1" applyProtection="1">
      <alignment horizontal="center" vertical="center" wrapText="1"/>
      <protection hidden="1"/>
    </xf>
    <xf numFmtId="0" fontId="4" fillId="0" borderId="14" xfId="3" applyNumberFormat="1" applyFont="1" applyFill="1" applyBorder="1" applyAlignment="1" applyProtection="1">
      <alignment horizontal="center" vertical="center" wrapText="1"/>
      <protection hidden="1"/>
    </xf>
    <xf numFmtId="0" fontId="4" fillId="0" borderId="11" xfId="3" applyNumberFormat="1" applyFont="1" applyFill="1" applyBorder="1" applyAlignment="1" applyProtection="1">
      <alignment horizontal="center" vertical="center" wrapText="1"/>
      <protection hidden="1"/>
    </xf>
    <xf numFmtId="4" fontId="6" fillId="0" borderId="13" xfId="3" applyNumberFormat="1" applyFont="1" applyFill="1" applyBorder="1" applyAlignment="1" applyProtection="1">
      <alignment horizontal="center" vertical="center" wrapText="1"/>
      <protection hidden="1"/>
    </xf>
    <xf numFmtId="4" fontId="6" fillId="0" borderId="14" xfId="3" applyNumberFormat="1" applyFont="1" applyFill="1" applyBorder="1" applyAlignment="1" applyProtection="1">
      <alignment horizontal="center" vertical="center" wrapText="1"/>
      <protection hidden="1"/>
    </xf>
    <xf numFmtId="4" fontId="6" fillId="0" borderId="11" xfId="3" applyNumberFormat="1" applyFont="1" applyFill="1" applyBorder="1" applyAlignment="1" applyProtection="1">
      <alignment horizontal="center" vertical="center" wrapText="1"/>
      <protection hidden="1"/>
    </xf>
    <xf numFmtId="0" fontId="4" fillId="5" borderId="13" xfId="3" applyNumberFormat="1" applyFont="1" applyFill="1" applyBorder="1" applyAlignment="1" applyProtection="1">
      <alignment horizontal="center" vertical="center" wrapText="1"/>
      <protection hidden="1"/>
    </xf>
    <xf numFmtId="0" fontId="4" fillId="5" borderId="14" xfId="3" applyNumberFormat="1" applyFont="1" applyFill="1" applyBorder="1" applyAlignment="1" applyProtection="1">
      <alignment horizontal="center" vertical="center" wrapText="1"/>
      <protection hidden="1"/>
    </xf>
    <xf numFmtId="0" fontId="4" fillId="5" borderId="11" xfId="3" applyNumberFormat="1" applyFont="1" applyFill="1" applyBorder="1" applyAlignment="1" applyProtection="1">
      <alignment horizontal="center" vertical="center" wrapText="1"/>
      <protection hidden="1"/>
    </xf>
    <xf numFmtId="9" fontId="4" fillId="0" borderId="13" xfId="3" applyNumberFormat="1" applyFont="1" applyFill="1" applyBorder="1" applyAlignment="1" applyProtection="1">
      <alignment horizontal="center" vertical="center" wrapText="1"/>
      <protection hidden="1"/>
    </xf>
    <xf numFmtId="9" fontId="4" fillId="0" borderId="14" xfId="3" applyNumberFormat="1" applyFont="1" applyFill="1" applyBorder="1" applyAlignment="1" applyProtection="1">
      <alignment horizontal="center" vertical="center" wrapText="1"/>
      <protection hidden="1"/>
    </xf>
    <xf numFmtId="9" fontId="4" fillId="0" borderId="11" xfId="3" applyNumberFormat="1" applyFont="1" applyFill="1" applyBorder="1" applyAlignment="1" applyProtection="1">
      <alignment horizontal="center" vertical="center" wrapText="1"/>
      <protection hidden="1"/>
    </xf>
    <xf numFmtId="0" fontId="6" fillId="5" borderId="13" xfId="3" applyFont="1" applyFill="1" applyBorder="1" applyAlignment="1" applyProtection="1">
      <alignment horizontal="center" vertical="center" wrapText="1"/>
      <protection hidden="1"/>
    </xf>
    <xf numFmtId="0" fontId="6" fillId="5" borderId="14" xfId="3" applyFont="1" applyFill="1" applyBorder="1" applyAlignment="1" applyProtection="1">
      <alignment horizontal="center" vertical="center" wrapText="1"/>
      <protection hidden="1"/>
    </xf>
    <xf numFmtId="0" fontId="6" fillId="5" borderId="11" xfId="3" applyFont="1" applyFill="1" applyBorder="1" applyAlignment="1" applyProtection="1">
      <alignment horizontal="center" vertical="center" wrapText="1"/>
      <protection hidden="1"/>
    </xf>
    <xf numFmtId="0" fontId="4" fillId="0" borderId="13" xfId="3" quotePrefix="1" applyFont="1" applyFill="1" applyBorder="1" applyAlignment="1" applyProtection="1">
      <alignment horizontal="center" vertical="center" wrapText="1"/>
      <protection hidden="1"/>
    </xf>
    <xf numFmtId="0" fontId="4" fillId="0" borderId="14" xfId="3" applyFont="1" applyFill="1" applyBorder="1" applyAlignment="1" applyProtection="1">
      <alignment horizontal="center" vertical="center" wrapText="1"/>
      <protection hidden="1"/>
    </xf>
    <xf numFmtId="0" fontId="4" fillId="0" borderId="11" xfId="3" applyFont="1" applyFill="1" applyBorder="1" applyAlignment="1" applyProtection="1">
      <alignment horizontal="center" vertical="center" wrapText="1"/>
      <protection hidden="1"/>
    </xf>
    <xf numFmtId="0" fontId="5" fillId="0" borderId="13" xfId="8" applyNumberFormat="1" applyFont="1" applyFill="1" applyBorder="1" applyAlignment="1" applyProtection="1">
      <alignment horizontal="center" vertical="center" wrapText="1"/>
      <protection hidden="1"/>
    </xf>
    <xf numFmtId="0" fontId="5" fillId="0" borderId="14" xfId="8" applyNumberFormat="1" applyFont="1" applyFill="1" applyBorder="1" applyAlignment="1" applyProtection="1">
      <alignment horizontal="center" vertical="center" wrapText="1"/>
      <protection hidden="1"/>
    </xf>
    <xf numFmtId="0" fontId="5" fillId="0" borderId="11" xfId="8" applyNumberFormat="1" applyFont="1" applyFill="1" applyBorder="1" applyAlignment="1" applyProtection="1">
      <alignment horizontal="center" vertical="center" wrapText="1"/>
      <protection hidden="1"/>
    </xf>
    <xf numFmtId="4" fontId="3" fillId="10" borderId="13" xfId="3" applyNumberFormat="1" applyFont="1" applyFill="1" applyBorder="1" applyAlignment="1" applyProtection="1">
      <alignment horizontal="center" vertical="center" wrapText="1"/>
      <protection hidden="1"/>
    </xf>
    <xf numFmtId="4" fontId="3" fillId="10" borderId="14" xfId="3" applyNumberFormat="1" applyFont="1" applyFill="1" applyBorder="1" applyAlignment="1" applyProtection="1">
      <alignment horizontal="center" vertical="center" wrapText="1"/>
      <protection hidden="1"/>
    </xf>
    <xf numFmtId="4" fontId="3" fillId="10" borderId="11" xfId="3" applyNumberFormat="1" applyFont="1" applyFill="1" applyBorder="1" applyAlignment="1" applyProtection="1">
      <alignment horizontal="center" vertical="center" wrapText="1"/>
      <protection hidden="1"/>
    </xf>
    <xf numFmtId="0" fontId="24" fillId="0" borderId="8" xfId="8" applyNumberFormat="1" applyFont="1" applyFill="1" applyBorder="1" applyAlignment="1" applyProtection="1">
      <alignment horizontal="center" vertical="center" wrapText="1"/>
      <protection hidden="1"/>
    </xf>
    <xf numFmtId="9" fontId="6" fillId="5" borderId="13" xfId="3" applyNumberFormat="1" applyFont="1" applyFill="1" applyBorder="1" applyAlignment="1" applyProtection="1">
      <alignment horizontal="center" vertical="center" wrapText="1"/>
      <protection hidden="1"/>
    </xf>
    <xf numFmtId="9" fontId="6" fillId="5" borderId="11" xfId="3" applyNumberFormat="1" applyFont="1" applyFill="1" applyBorder="1" applyAlignment="1" applyProtection="1">
      <alignment horizontal="center" vertical="center" wrapText="1"/>
      <protection hidden="1"/>
    </xf>
    <xf numFmtId="0" fontId="6" fillId="0" borderId="13" xfId="8" applyNumberFormat="1" applyFont="1" applyFill="1" applyBorder="1" applyAlignment="1" applyProtection="1">
      <alignment horizontal="center" vertical="center" wrapText="1"/>
      <protection hidden="1"/>
    </xf>
    <xf numFmtId="0" fontId="6" fillId="0" borderId="11" xfId="8" applyNumberFormat="1" applyFont="1" applyFill="1" applyBorder="1" applyAlignment="1" applyProtection="1">
      <alignment horizontal="center" vertical="center" wrapText="1"/>
      <protection hidden="1"/>
    </xf>
    <xf numFmtId="0" fontId="4" fillId="2" borderId="13" xfId="3" applyNumberFormat="1" applyFont="1" applyFill="1" applyBorder="1" applyAlignment="1" applyProtection="1">
      <alignment horizontal="center" vertical="center" wrapText="1"/>
      <protection hidden="1"/>
    </xf>
    <xf numFmtId="0" fontId="4" fillId="2" borderId="14" xfId="3" applyNumberFormat="1" applyFont="1" applyFill="1" applyBorder="1" applyAlignment="1" applyProtection="1">
      <alignment horizontal="center" vertical="center" wrapText="1"/>
      <protection hidden="1"/>
    </xf>
    <xf numFmtId="0" fontId="4" fillId="2" borderId="11" xfId="3" applyNumberFormat="1" applyFont="1" applyFill="1" applyBorder="1" applyAlignment="1" applyProtection="1">
      <alignment horizontal="center" vertical="center" wrapText="1"/>
      <protection hidden="1"/>
    </xf>
    <xf numFmtId="4" fontId="6" fillId="2" borderId="13" xfId="3" applyNumberFormat="1" applyFont="1" applyFill="1" applyBorder="1" applyAlignment="1" applyProtection="1">
      <alignment horizontal="center" vertical="center" wrapText="1"/>
      <protection hidden="1"/>
    </xf>
    <xf numFmtId="4" fontId="6" fillId="2" borderId="14" xfId="3" applyNumberFormat="1" applyFont="1" applyFill="1" applyBorder="1" applyAlignment="1" applyProtection="1">
      <alignment horizontal="center" vertical="center" wrapText="1"/>
      <protection hidden="1"/>
    </xf>
    <xf numFmtId="4" fontId="6" fillId="2" borderId="11" xfId="3" applyNumberFormat="1" applyFont="1" applyFill="1" applyBorder="1" applyAlignment="1" applyProtection="1">
      <alignment horizontal="center" vertical="center" wrapText="1"/>
      <protection hidden="1"/>
    </xf>
    <xf numFmtId="9" fontId="4" fillId="2" borderId="13" xfId="3" applyNumberFormat="1" applyFont="1" applyFill="1" applyBorder="1" applyAlignment="1" applyProtection="1">
      <alignment horizontal="center" vertical="center" wrapText="1"/>
      <protection hidden="1"/>
    </xf>
    <xf numFmtId="9" fontId="4" fillId="2" borderId="14" xfId="3" applyNumberFormat="1" applyFont="1" applyFill="1" applyBorder="1" applyAlignment="1" applyProtection="1">
      <alignment horizontal="center" vertical="center" wrapText="1"/>
      <protection hidden="1"/>
    </xf>
    <xf numFmtId="9" fontId="4" fillId="2" borderId="11" xfId="3" applyNumberFormat="1" applyFont="1" applyFill="1" applyBorder="1" applyAlignment="1" applyProtection="1">
      <alignment horizontal="center" vertical="center" wrapText="1"/>
      <protection hidden="1"/>
    </xf>
    <xf numFmtId="0" fontId="6" fillId="7" borderId="13" xfId="3" applyNumberFormat="1" applyFont="1" applyFill="1" applyBorder="1" applyAlignment="1" applyProtection="1">
      <alignment horizontal="center" vertical="center" wrapText="1"/>
      <protection hidden="1"/>
    </xf>
    <xf numFmtId="0" fontId="6" fillId="7" borderId="11" xfId="3" applyNumberFormat="1" applyFont="1" applyFill="1" applyBorder="1" applyAlignment="1" applyProtection="1">
      <alignment horizontal="center" vertical="center" wrapText="1"/>
      <protection hidden="1"/>
    </xf>
    <xf numFmtId="9" fontId="6" fillId="7" borderId="15" xfId="3" applyNumberFormat="1" applyFont="1" applyFill="1" applyBorder="1" applyAlignment="1" applyProtection="1">
      <alignment horizontal="center" vertical="center" wrapText="1"/>
      <protection hidden="1"/>
    </xf>
    <xf numFmtId="9" fontId="6" fillId="7" borderId="7" xfId="3" applyNumberFormat="1" applyFont="1" applyFill="1" applyBorder="1" applyAlignment="1" applyProtection="1">
      <alignment horizontal="center" vertical="center" wrapText="1"/>
      <protection hidden="1"/>
    </xf>
    <xf numFmtId="9" fontId="6" fillId="7" borderId="16" xfId="3" applyNumberFormat="1" applyFont="1" applyFill="1" applyBorder="1" applyAlignment="1" applyProtection="1">
      <alignment horizontal="center" vertical="center" wrapText="1"/>
      <protection hidden="1"/>
    </xf>
    <xf numFmtId="167" fontId="23" fillId="0" borderId="13" xfId="8" applyFont="1" applyFill="1" applyBorder="1" applyAlignment="1" applyProtection="1">
      <alignment horizontal="center" vertical="center" wrapText="1"/>
      <protection hidden="1"/>
    </xf>
    <xf numFmtId="167" fontId="23" fillId="0" borderId="14" xfId="8" applyFont="1" applyFill="1" applyBorder="1" applyAlignment="1" applyProtection="1">
      <alignment horizontal="center" vertical="center" wrapText="1"/>
      <protection hidden="1"/>
    </xf>
    <xf numFmtId="167" fontId="23" fillId="0" borderId="11" xfId="8" applyFont="1" applyFill="1" applyBorder="1" applyAlignment="1" applyProtection="1">
      <alignment horizontal="center" vertical="center" wrapText="1"/>
      <protection hidden="1"/>
    </xf>
    <xf numFmtId="0" fontId="20" fillId="7" borderId="15" xfId="0" applyFont="1" applyFill="1" applyBorder="1" applyAlignment="1" applyProtection="1">
      <alignment horizontal="center" vertical="center" wrapText="1"/>
      <protection hidden="1"/>
    </xf>
    <xf numFmtId="0" fontId="20" fillId="7" borderId="7" xfId="0" applyFont="1" applyFill="1" applyBorder="1" applyAlignment="1" applyProtection="1">
      <alignment horizontal="center" vertical="center" wrapText="1"/>
      <protection hidden="1"/>
    </xf>
    <xf numFmtId="0" fontId="20" fillId="7" borderId="16" xfId="0" applyFont="1" applyFill="1" applyBorder="1" applyAlignment="1" applyProtection="1">
      <alignment horizontal="center" vertical="center" wrapText="1"/>
      <protection hidden="1"/>
    </xf>
    <xf numFmtId="0" fontId="20" fillId="9" borderId="15" xfId="0" applyNumberFormat="1" applyFont="1" applyFill="1" applyBorder="1" applyAlignment="1" applyProtection="1">
      <alignment horizontal="center" vertical="center" wrapText="1"/>
      <protection hidden="1"/>
    </xf>
    <xf numFmtId="0" fontId="20" fillId="9" borderId="7" xfId="0" applyNumberFormat="1" applyFont="1" applyFill="1" applyBorder="1" applyAlignment="1" applyProtection="1">
      <alignment horizontal="center" vertical="center" wrapText="1"/>
      <protection hidden="1"/>
    </xf>
    <xf numFmtId="0" fontId="20" fillId="9" borderId="16" xfId="0" applyNumberFormat="1" applyFont="1" applyFill="1" applyBorder="1" applyAlignment="1" applyProtection="1">
      <alignment horizontal="center" vertical="center" wrapText="1"/>
      <protection hidden="1"/>
    </xf>
    <xf numFmtId="0" fontId="20" fillId="6" borderId="15" xfId="0" applyNumberFormat="1" applyFont="1" applyFill="1" applyBorder="1" applyAlignment="1" applyProtection="1">
      <alignment horizontal="center" vertical="center" wrapText="1"/>
      <protection hidden="1"/>
    </xf>
    <xf numFmtId="0" fontId="20" fillId="6" borderId="7" xfId="0" applyNumberFormat="1" applyFont="1" applyFill="1" applyBorder="1" applyAlignment="1" applyProtection="1">
      <alignment horizontal="center" vertical="center" wrapText="1"/>
      <protection hidden="1"/>
    </xf>
    <xf numFmtId="0" fontId="20" fillId="6" borderId="16" xfId="0" applyNumberFormat="1" applyFont="1" applyFill="1" applyBorder="1" applyAlignment="1" applyProtection="1">
      <alignment horizontal="center" vertical="center" wrapText="1"/>
      <protection hidden="1"/>
    </xf>
    <xf numFmtId="0" fontId="21" fillId="7" borderId="13" xfId="0" applyFont="1" applyFill="1" applyBorder="1" applyAlignment="1" applyProtection="1">
      <alignment horizontal="center" vertical="center" textRotation="255" wrapText="1"/>
      <protection hidden="1"/>
    </xf>
    <xf numFmtId="0" fontId="21" fillId="7" borderId="11" xfId="0" applyFont="1" applyFill="1" applyBorder="1" applyAlignment="1" applyProtection="1">
      <alignment horizontal="center" vertical="center" textRotation="255" wrapText="1"/>
      <protection hidden="1"/>
    </xf>
    <xf numFmtId="0" fontId="6" fillId="7" borderId="15" xfId="3" applyNumberFormat="1" applyFont="1" applyFill="1" applyBorder="1" applyAlignment="1" applyProtection="1">
      <alignment horizontal="center" vertical="center" wrapText="1"/>
      <protection hidden="1"/>
    </xf>
    <xf numFmtId="0" fontId="6" fillId="7" borderId="7" xfId="3" applyNumberFormat="1" applyFont="1" applyFill="1" applyBorder="1" applyAlignment="1" applyProtection="1">
      <alignment horizontal="center" vertical="center" wrapText="1"/>
      <protection hidden="1"/>
    </xf>
    <xf numFmtId="0" fontId="6" fillId="7" borderId="16" xfId="3" applyNumberFormat="1" applyFont="1" applyFill="1" applyBorder="1" applyAlignment="1" applyProtection="1">
      <alignment horizontal="center" vertical="center" wrapText="1"/>
      <protection hidden="1"/>
    </xf>
    <xf numFmtId="0" fontId="17" fillId="2" borderId="15" xfId="3" applyNumberFormat="1" applyFont="1" applyFill="1" applyBorder="1" applyAlignment="1" applyProtection="1">
      <alignment horizontal="center" vertical="center" wrapText="1"/>
      <protection hidden="1"/>
    </xf>
    <xf numFmtId="0" fontId="17" fillId="2" borderId="7" xfId="3" applyNumberFormat="1" applyFont="1" applyFill="1" applyBorder="1" applyAlignment="1" applyProtection="1">
      <alignment horizontal="center" vertical="center" wrapText="1"/>
      <protection hidden="1"/>
    </xf>
    <xf numFmtId="0" fontId="17" fillId="2" borderId="16" xfId="3" applyNumberFormat="1" applyFont="1" applyFill="1" applyBorder="1" applyAlignment="1" applyProtection="1">
      <alignment horizontal="center" vertical="center" wrapText="1"/>
      <protection hidden="1"/>
    </xf>
    <xf numFmtId="0" fontId="18" fillId="9" borderId="15" xfId="3" applyFont="1" applyFill="1" applyBorder="1" applyAlignment="1" applyProtection="1">
      <alignment horizontal="center" vertical="center" wrapText="1"/>
      <protection hidden="1"/>
    </xf>
    <xf numFmtId="0" fontId="18" fillId="9" borderId="7" xfId="3" applyFont="1" applyFill="1" applyBorder="1" applyAlignment="1" applyProtection="1">
      <alignment horizontal="center" vertical="center" wrapText="1"/>
      <protection hidden="1"/>
    </xf>
    <xf numFmtId="0" fontId="18" fillId="9" borderId="16" xfId="3" applyFont="1" applyFill="1" applyBorder="1" applyAlignment="1" applyProtection="1">
      <alignment horizontal="center" vertical="center" wrapText="1"/>
      <protection hidden="1"/>
    </xf>
    <xf numFmtId="0" fontId="13" fillId="0" borderId="0" xfId="3" applyFont="1" applyFill="1" applyAlignment="1" applyProtection="1">
      <alignment horizontal="left" vertical="center" wrapText="1"/>
      <protection hidden="1"/>
    </xf>
    <xf numFmtId="167" fontId="5" fillId="7" borderId="15" xfId="8" applyFont="1" applyFill="1" applyBorder="1" applyAlignment="1" applyProtection="1">
      <alignment horizontal="center" vertical="center" wrapText="1"/>
      <protection hidden="1"/>
    </xf>
    <xf numFmtId="167" fontId="5" fillId="7" borderId="16" xfId="8" applyFont="1" applyFill="1" applyBorder="1" applyAlignment="1" applyProtection="1">
      <alignment horizontal="center" vertical="center" wrapText="1"/>
      <protection hidden="1"/>
    </xf>
    <xf numFmtId="168" fontId="3" fillId="7" borderId="8" xfId="8" applyNumberFormat="1" applyFont="1" applyFill="1" applyBorder="1" applyAlignment="1" applyProtection="1">
      <alignment horizontal="center" vertical="center" wrapText="1"/>
      <protection hidden="1"/>
    </xf>
    <xf numFmtId="167" fontId="3" fillId="7" borderId="8" xfId="8" applyFont="1" applyFill="1" applyBorder="1" applyAlignment="1" applyProtection="1">
      <alignment horizontal="center" vertical="center" wrapText="1"/>
      <protection hidden="1"/>
    </xf>
    <xf numFmtId="165" fontId="3" fillId="9" borderId="15" xfId="8" applyNumberFormat="1" applyFont="1" applyFill="1" applyBorder="1" applyAlignment="1" applyProtection="1">
      <alignment horizontal="center" vertical="center" wrapText="1"/>
      <protection hidden="1"/>
    </xf>
    <xf numFmtId="165" fontId="3" fillId="9" borderId="16" xfId="8" applyNumberFormat="1" applyFont="1" applyFill="1" applyBorder="1" applyAlignment="1" applyProtection="1">
      <alignment horizontal="center" vertical="center" wrapText="1"/>
      <protection hidden="1"/>
    </xf>
    <xf numFmtId="166" fontId="3" fillId="9" borderId="8" xfId="8" applyNumberFormat="1" applyFont="1" applyFill="1" applyBorder="1" applyAlignment="1" applyProtection="1">
      <alignment horizontal="center" vertical="center" wrapText="1"/>
      <protection hidden="1"/>
    </xf>
    <xf numFmtId="0" fontId="3" fillId="9" borderId="15" xfId="9" applyFont="1" applyFill="1" applyBorder="1" applyAlignment="1" applyProtection="1">
      <alignment horizontal="center" vertical="center"/>
      <protection hidden="1"/>
    </xf>
    <xf numFmtId="0" fontId="3" fillId="9" borderId="7" xfId="9" applyFont="1" applyFill="1" applyBorder="1" applyAlignment="1" applyProtection="1">
      <alignment horizontal="center" vertical="center"/>
      <protection hidden="1"/>
    </xf>
    <xf numFmtId="0" fontId="3" fillId="9" borderId="16" xfId="9" applyFont="1" applyFill="1" applyBorder="1" applyAlignment="1" applyProtection="1">
      <alignment horizontal="center" vertical="center"/>
      <protection hidden="1"/>
    </xf>
    <xf numFmtId="0" fontId="7" fillId="2" borderId="13" xfId="3" applyNumberFormat="1" applyFont="1" applyFill="1" applyBorder="1" applyAlignment="1" applyProtection="1">
      <alignment horizontal="center" vertical="center" wrapText="1"/>
      <protection hidden="1"/>
    </xf>
    <xf numFmtId="0" fontId="7" fillId="2" borderId="14" xfId="3" applyNumberFormat="1" applyFont="1" applyFill="1" applyBorder="1" applyAlignment="1" applyProtection="1">
      <alignment horizontal="center" vertical="center" wrapText="1"/>
      <protection hidden="1"/>
    </xf>
    <xf numFmtId="0" fontId="7" fillId="2" borderId="11" xfId="3" applyNumberFormat="1" applyFont="1" applyFill="1" applyBorder="1" applyAlignment="1" applyProtection="1">
      <alignment horizontal="center" vertical="center" wrapText="1"/>
      <protection hidden="1"/>
    </xf>
    <xf numFmtId="0" fontId="6" fillId="0" borderId="14" xfId="8" applyNumberFormat="1" applyFont="1" applyFill="1" applyBorder="1" applyAlignment="1" applyProtection="1">
      <alignment horizontal="center" vertical="center" wrapText="1"/>
      <protection hidden="1"/>
    </xf>
    <xf numFmtId="0" fontId="6" fillId="7" borderId="8" xfId="3" applyNumberFormat="1" applyFont="1" applyFill="1" applyBorder="1" applyAlignment="1" applyProtection="1">
      <alignment horizontal="center" vertical="center" wrapText="1"/>
      <protection hidden="1"/>
    </xf>
    <xf numFmtId="167" fontId="69" fillId="0" borderId="8" xfId="8" applyFont="1" applyFill="1" applyBorder="1" applyAlignment="1" applyProtection="1">
      <alignment horizontal="center" vertical="center" wrapText="1"/>
      <protection hidden="1"/>
    </xf>
    <xf numFmtId="167" fontId="72" fillId="0" borderId="8" xfId="3" applyNumberFormat="1" applyFont="1" applyFill="1" applyBorder="1" applyAlignment="1" applyProtection="1">
      <alignment horizontal="center" vertical="center" wrapText="1"/>
      <protection hidden="1"/>
    </xf>
    <xf numFmtId="0" fontId="72" fillId="0" borderId="8" xfId="3" applyFont="1" applyFill="1" applyBorder="1" applyAlignment="1" applyProtection="1">
      <alignment horizontal="center" vertical="center" wrapText="1"/>
      <protection hidden="1"/>
    </xf>
    <xf numFmtId="171" fontId="69" fillId="0" borderId="8" xfId="8" applyNumberFormat="1" applyFont="1" applyFill="1" applyBorder="1" applyAlignment="1" applyProtection="1">
      <alignment horizontal="center" vertical="center" wrapText="1"/>
      <protection hidden="1"/>
    </xf>
    <xf numFmtId="167" fontId="23" fillId="0" borderId="8" xfId="8" applyFont="1" applyFill="1" applyBorder="1" applyAlignment="1" applyProtection="1">
      <alignment horizontal="center" vertical="center" wrapText="1"/>
      <protection hidden="1"/>
    </xf>
    <xf numFmtId="167" fontId="71" fillId="0" borderId="8" xfId="3" applyNumberFormat="1" applyFont="1" applyFill="1" applyBorder="1" applyAlignment="1" applyProtection="1">
      <alignment horizontal="center" vertical="center" wrapText="1"/>
      <protection hidden="1"/>
    </xf>
    <xf numFmtId="0" fontId="71" fillId="0" borderId="8" xfId="3" applyFont="1" applyFill="1" applyBorder="1" applyAlignment="1" applyProtection="1">
      <alignment horizontal="center" vertical="center" wrapText="1"/>
      <protection hidden="1"/>
    </xf>
    <xf numFmtId="167" fontId="70" fillId="0" borderId="8" xfId="3" applyNumberFormat="1" applyFont="1" applyFill="1" applyBorder="1" applyAlignment="1" applyProtection="1">
      <alignment horizontal="center" vertical="center" wrapText="1"/>
      <protection hidden="1"/>
    </xf>
    <xf numFmtId="0" fontId="70" fillId="0" borderId="8" xfId="3" applyFont="1" applyFill="1" applyBorder="1" applyAlignment="1" applyProtection="1">
      <alignment horizontal="center" vertical="center" wrapText="1"/>
      <protection hidden="1"/>
    </xf>
    <xf numFmtId="167" fontId="70" fillId="0" borderId="8" xfId="8" applyFont="1" applyFill="1" applyBorder="1" applyAlignment="1" applyProtection="1">
      <alignment horizontal="center" vertical="center" wrapText="1"/>
      <protection hidden="1"/>
    </xf>
    <xf numFmtId="167" fontId="4" fillId="0" borderId="8" xfId="3" applyNumberFormat="1" applyFont="1" applyFill="1" applyBorder="1" applyAlignment="1" applyProtection="1">
      <alignment horizontal="center" vertical="center" wrapText="1"/>
      <protection hidden="1"/>
    </xf>
    <xf numFmtId="0" fontId="4" fillId="0" borderId="8" xfId="3" applyFont="1" applyFill="1" applyBorder="1" applyAlignment="1" applyProtection="1">
      <alignment horizontal="center" vertical="center" wrapText="1"/>
      <protection hidden="1"/>
    </xf>
    <xf numFmtId="167" fontId="68" fillId="0" borderId="8" xfId="8" applyFont="1" applyFill="1" applyBorder="1" applyAlignment="1" applyProtection="1">
      <alignment horizontal="center" vertical="center" wrapText="1"/>
      <protection hidden="1"/>
    </xf>
    <xf numFmtId="0" fontId="5" fillId="9" borderId="55" xfId="8" applyNumberFormat="1" applyFont="1" applyFill="1" applyBorder="1" applyAlignment="1" applyProtection="1">
      <alignment horizontal="center" vertical="center" wrapText="1"/>
      <protection hidden="1"/>
    </xf>
    <xf numFmtId="0" fontId="5" fillId="9" borderId="59" xfId="8" applyNumberFormat="1" applyFont="1" applyFill="1" applyBorder="1" applyAlignment="1" applyProtection="1">
      <alignment horizontal="center" vertical="center" wrapText="1"/>
      <protection hidden="1"/>
    </xf>
    <xf numFmtId="0" fontId="28" fillId="2" borderId="8" xfId="3" applyFont="1" applyFill="1" applyBorder="1" applyAlignment="1" applyProtection="1">
      <alignment horizontal="center" vertical="center" wrapText="1"/>
      <protection hidden="1"/>
    </xf>
    <xf numFmtId="0" fontId="5" fillId="0" borderId="31" xfId="3" applyFont="1" applyFill="1" applyBorder="1" applyAlignment="1" applyProtection="1">
      <alignment horizontal="center" vertical="center" wrapText="1"/>
      <protection hidden="1"/>
    </xf>
    <xf numFmtId="0" fontId="5" fillId="0" borderId="52" xfId="3" applyFont="1" applyFill="1" applyBorder="1" applyAlignment="1" applyProtection="1">
      <alignment horizontal="center" vertical="center" wrapText="1"/>
      <protection hidden="1"/>
    </xf>
    <xf numFmtId="0" fontId="5" fillId="0" borderId="33" xfId="3" applyFont="1" applyFill="1" applyBorder="1" applyAlignment="1" applyProtection="1">
      <alignment horizontal="center" vertical="center" wrapText="1"/>
      <protection hidden="1"/>
    </xf>
    <xf numFmtId="0" fontId="5" fillId="0" borderId="60" xfId="3" applyFont="1" applyFill="1" applyBorder="1" applyAlignment="1" applyProtection="1">
      <alignment horizontal="center" vertical="center" wrapText="1"/>
      <protection hidden="1"/>
    </xf>
    <xf numFmtId="0" fontId="5" fillId="0" borderId="8" xfId="3" applyFont="1" applyFill="1" applyBorder="1" applyAlignment="1" applyProtection="1">
      <alignment horizontal="center" vertical="center" wrapText="1"/>
      <protection hidden="1"/>
    </xf>
    <xf numFmtId="0" fontId="5" fillId="0" borderId="63" xfId="3" applyFont="1" applyFill="1" applyBorder="1" applyAlignment="1" applyProtection="1">
      <alignment horizontal="center" vertical="center" wrapText="1"/>
      <protection hidden="1"/>
    </xf>
    <xf numFmtId="0" fontId="5" fillId="7" borderId="60" xfId="3" applyNumberFormat="1" applyFont="1" applyFill="1" applyBorder="1" applyAlignment="1" applyProtection="1">
      <alignment horizontal="center" vertical="center" wrapText="1"/>
      <protection hidden="1"/>
    </xf>
    <xf numFmtId="0" fontId="5" fillId="7" borderId="72" xfId="3" applyNumberFormat="1" applyFont="1" applyFill="1" applyBorder="1" applyAlignment="1" applyProtection="1">
      <alignment horizontal="center" vertical="center" wrapText="1"/>
      <protection hidden="1"/>
    </xf>
    <xf numFmtId="0" fontId="5" fillId="13" borderId="31" xfId="3" applyNumberFormat="1" applyFont="1" applyFill="1" applyBorder="1" applyAlignment="1" applyProtection="1">
      <alignment horizontal="center" vertical="center" wrapText="1"/>
      <protection hidden="1"/>
    </xf>
    <xf numFmtId="0" fontId="5" fillId="13" borderId="60" xfId="3" applyNumberFormat="1" applyFont="1" applyFill="1" applyBorder="1" applyAlignment="1" applyProtection="1">
      <alignment horizontal="center" vertical="center" wrapText="1"/>
      <protection hidden="1"/>
    </xf>
    <xf numFmtId="0" fontId="5" fillId="13" borderId="32" xfId="3" applyNumberFormat="1" applyFont="1" applyFill="1" applyBorder="1" applyAlignment="1" applyProtection="1">
      <alignment horizontal="center" vertical="center" wrapText="1"/>
      <protection hidden="1"/>
    </xf>
    <xf numFmtId="0" fontId="30" fillId="7" borderId="15" xfId="3" applyFont="1" applyFill="1" applyBorder="1" applyAlignment="1" applyProtection="1">
      <alignment horizontal="center" vertical="center" wrapText="1"/>
      <protection hidden="1"/>
    </xf>
    <xf numFmtId="0" fontId="30" fillId="7" borderId="16" xfId="3" applyFont="1" applyFill="1" applyBorder="1" applyAlignment="1" applyProtection="1">
      <alignment horizontal="center" vertical="center" wrapText="1"/>
      <protection hidden="1"/>
    </xf>
    <xf numFmtId="0" fontId="30" fillId="13" borderId="15" xfId="3" applyFont="1" applyFill="1" applyBorder="1" applyAlignment="1" applyProtection="1">
      <alignment horizontal="center" vertical="center" wrapText="1"/>
      <protection hidden="1"/>
    </xf>
    <xf numFmtId="0" fontId="30" fillId="13" borderId="16" xfId="3" applyFont="1" applyFill="1" applyBorder="1" applyAlignment="1" applyProtection="1">
      <alignment horizontal="center" vertical="center" wrapText="1"/>
      <protection hidden="1"/>
    </xf>
    <xf numFmtId="0" fontId="13" fillId="0" borderId="74" xfId="3" applyFont="1" applyFill="1" applyBorder="1" applyAlignment="1" applyProtection="1">
      <alignment horizontal="center" vertical="center" wrapText="1"/>
      <protection hidden="1"/>
    </xf>
    <xf numFmtId="0" fontId="13" fillId="0" borderId="75" xfId="3" applyFont="1" applyFill="1" applyBorder="1" applyAlignment="1" applyProtection="1">
      <alignment horizontal="center" vertical="center" wrapText="1"/>
      <protection hidden="1"/>
    </xf>
    <xf numFmtId="0" fontId="28" fillId="2" borderId="3" xfId="3" applyFont="1" applyFill="1" applyBorder="1" applyAlignment="1" applyProtection="1">
      <alignment horizontal="center" vertical="center" wrapText="1"/>
      <protection hidden="1"/>
    </xf>
    <xf numFmtId="0" fontId="28" fillId="2" borderId="0" xfId="3" applyFont="1" applyFill="1" applyBorder="1" applyAlignment="1" applyProtection="1">
      <alignment horizontal="center" vertical="center" wrapText="1"/>
      <protection hidden="1"/>
    </xf>
    <xf numFmtId="0" fontId="5" fillId="9" borderId="8" xfId="8" applyNumberFormat="1" applyFont="1" applyFill="1" applyBorder="1" applyAlignment="1" applyProtection="1">
      <alignment horizontal="center" vertical="center" wrapText="1"/>
      <protection hidden="1"/>
    </xf>
    <xf numFmtId="0" fontId="24" fillId="6" borderId="24" xfId="0" applyFont="1" applyFill="1" applyBorder="1" applyAlignment="1" applyProtection="1">
      <alignment horizontal="center" vertical="center"/>
      <protection hidden="1"/>
    </xf>
    <xf numFmtId="0" fontId="24" fillId="6" borderId="25" xfId="0" applyFont="1" applyFill="1" applyBorder="1" applyAlignment="1" applyProtection="1">
      <alignment horizontal="center" vertical="center"/>
      <protection hidden="1"/>
    </xf>
    <xf numFmtId="0" fontId="24" fillId="6" borderId="26" xfId="0" applyFont="1" applyFill="1" applyBorder="1" applyAlignment="1" applyProtection="1">
      <alignment horizontal="center" vertical="center"/>
      <protection hidden="1"/>
    </xf>
    <xf numFmtId="0" fontId="23" fillId="0" borderId="24" xfId="0" applyFont="1" applyBorder="1" applyAlignment="1" applyProtection="1">
      <alignment horizontal="center" vertical="center"/>
      <protection hidden="1"/>
    </xf>
    <xf numFmtId="0" fontId="23" fillId="0" borderId="25" xfId="0" applyFont="1" applyBorder="1" applyAlignment="1" applyProtection="1">
      <alignment horizontal="center" vertical="center"/>
      <protection hidden="1"/>
    </xf>
    <xf numFmtId="0" fontId="23" fillId="0" borderId="26" xfId="0" applyFont="1" applyBorder="1" applyAlignment="1" applyProtection="1">
      <alignment horizontal="center" vertical="center"/>
      <protection hidden="1"/>
    </xf>
    <xf numFmtId="0" fontId="7" fillId="4" borderId="15" xfId="9" applyFill="1" applyBorder="1" applyAlignment="1" applyProtection="1">
      <alignment horizontal="center" vertical="center"/>
      <protection hidden="1"/>
    </xf>
    <xf numFmtId="0" fontId="7" fillId="4" borderId="7" xfId="9" applyFill="1" applyBorder="1" applyAlignment="1" applyProtection="1">
      <alignment horizontal="center" vertical="center"/>
      <protection hidden="1"/>
    </xf>
    <xf numFmtId="0" fontId="7" fillId="4" borderId="16" xfId="9" applyFill="1" applyBorder="1" applyAlignment="1" applyProtection="1">
      <alignment horizontal="center" vertical="center"/>
      <protection hidden="1"/>
    </xf>
    <xf numFmtId="0" fontId="34" fillId="7" borderId="43" xfId="10" applyFont="1" applyFill="1" applyBorder="1" applyAlignment="1" applyProtection="1">
      <alignment horizontal="center" vertical="center"/>
      <protection hidden="1"/>
    </xf>
    <xf numFmtId="0" fontId="34" fillId="7" borderId="44" xfId="10" applyFont="1" applyFill="1" applyBorder="1" applyAlignment="1" applyProtection="1">
      <alignment horizontal="center" vertical="center"/>
      <protection hidden="1"/>
    </xf>
    <xf numFmtId="0" fontId="34" fillId="7" borderId="45" xfId="10" applyFont="1" applyFill="1" applyBorder="1" applyAlignment="1" applyProtection="1">
      <alignment horizontal="center" vertical="center"/>
      <protection hidden="1"/>
    </xf>
    <xf numFmtId="173" fontId="5" fillId="9" borderId="43" xfId="0" applyNumberFormat="1" applyFont="1" applyFill="1" applyBorder="1" applyAlignment="1" applyProtection="1">
      <alignment horizontal="center" vertical="center"/>
      <protection hidden="1"/>
    </xf>
    <xf numFmtId="0" fontId="5" fillId="9" borderId="44" xfId="0" applyFont="1" applyFill="1" applyBorder="1" applyAlignment="1" applyProtection="1">
      <alignment horizontal="center" vertical="center"/>
      <protection hidden="1"/>
    </xf>
    <xf numFmtId="0" fontId="5" fillId="9" borderId="45" xfId="0" applyFont="1" applyFill="1" applyBorder="1" applyAlignment="1" applyProtection="1">
      <alignment horizontal="center" vertical="center"/>
      <protection hidden="1"/>
    </xf>
    <xf numFmtId="0" fontId="5" fillId="9" borderId="48" xfId="0" applyFont="1" applyFill="1" applyBorder="1" applyAlignment="1" applyProtection="1">
      <alignment horizontal="center" wrapText="1"/>
      <protection hidden="1"/>
    </xf>
    <xf numFmtId="0" fontId="5" fillId="9" borderId="47" xfId="0" applyFont="1" applyFill="1" applyBorder="1" applyAlignment="1" applyProtection="1">
      <alignment horizontal="center" wrapText="1"/>
      <protection hidden="1"/>
    </xf>
    <xf numFmtId="0" fontId="5" fillId="9" borderId="49" xfId="0" applyFont="1" applyFill="1" applyBorder="1" applyAlignment="1" applyProtection="1">
      <alignment horizontal="center" wrapText="1"/>
      <protection hidden="1"/>
    </xf>
    <xf numFmtId="0" fontId="5" fillId="9" borderId="50" xfId="0" applyFont="1" applyFill="1" applyBorder="1" applyAlignment="1" applyProtection="1">
      <alignment horizontal="center" wrapText="1"/>
      <protection hidden="1"/>
    </xf>
    <xf numFmtId="0" fontId="5" fillId="9" borderId="46" xfId="0" applyFont="1" applyFill="1" applyBorder="1" applyAlignment="1" applyProtection="1">
      <alignment horizontal="center" wrapText="1"/>
      <protection hidden="1"/>
    </xf>
    <xf numFmtId="0" fontId="5" fillId="9" borderId="51" xfId="0" applyFont="1" applyFill="1" applyBorder="1" applyAlignment="1" applyProtection="1">
      <alignment horizontal="center" wrapText="1"/>
      <protection hidden="1"/>
    </xf>
    <xf numFmtId="0" fontId="53" fillId="0" borderId="55" xfId="10" applyFont="1" applyBorder="1" applyAlignment="1" applyProtection="1">
      <alignment horizontal="center" vertical="center"/>
      <protection hidden="1"/>
    </xf>
    <xf numFmtId="0" fontId="53" fillId="0" borderId="56" xfId="10" applyFont="1" applyBorder="1" applyAlignment="1" applyProtection="1">
      <alignment horizontal="center" vertical="center"/>
      <protection hidden="1"/>
    </xf>
    <xf numFmtId="0" fontId="35" fillId="14" borderId="17" xfId="9" applyFont="1" applyFill="1" applyBorder="1" applyAlignment="1" applyProtection="1">
      <alignment horizontal="center" vertical="center" textRotation="90" wrapText="1"/>
      <protection hidden="1"/>
    </xf>
    <xf numFmtId="0" fontId="35" fillId="14" borderId="27" xfId="9" applyFont="1" applyFill="1" applyBorder="1" applyAlignment="1" applyProtection="1">
      <alignment horizontal="center" vertical="center" textRotation="90" wrapText="1"/>
      <protection hidden="1"/>
    </xf>
    <xf numFmtId="0" fontId="35" fillId="14" borderId="20" xfId="9" applyFont="1" applyFill="1" applyBorder="1" applyAlignment="1" applyProtection="1">
      <alignment horizontal="center" vertical="center" textRotation="90" wrapText="1"/>
      <protection hidden="1"/>
    </xf>
    <xf numFmtId="0" fontId="36" fillId="9" borderId="18" xfId="10" applyFont="1" applyFill="1" applyBorder="1" applyAlignment="1" applyProtection="1">
      <alignment horizontal="center" vertical="center" wrapText="1"/>
      <protection hidden="1"/>
    </xf>
    <xf numFmtId="0" fontId="36" fillId="9" borderId="36" xfId="10" applyFont="1" applyFill="1" applyBorder="1" applyAlignment="1" applyProtection="1">
      <alignment horizontal="center" vertical="center" wrapText="1"/>
      <protection hidden="1"/>
    </xf>
    <xf numFmtId="0" fontId="36" fillId="9" borderId="19" xfId="10" applyFont="1" applyFill="1" applyBorder="1" applyAlignment="1" applyProtection="1">
      <alignment horizontal="center" vertical="center" wrapText="1"/>
      <protection hidden="1"/>
    </xf>
    <xf numFmtId="0" fontId="36" fillId="9" borderId="28" xfId="10" applyFont="1" applyFill="1" applyBorder="1" applyAlignment="1" applyProtection="1">
      <alignment horizontal="center" vertical="center" wrapText="1"/>
      <protection hidden="1"/>
    </xf>
    <xf numFmtId="0" fontId="36" fillId="9" borderId="0" xfId="10" applyFont="1" applyFill="1" applyBorder="1" applyAlignment="1" applyProtection="1">
      <alignment horizontal="center" vertical="center" wrapText="1"/>
      <protection hidden="1"/>
    </xf>
    <xf numFmtId="0" fontId="36" fillId="9" borderId="29" xfId="10" applyFont="1" applyFill="1" applyBorder="1" applyAlignment="1" applyProtection="1">
      <alignment horizontal="center" vertical="center" wrapText="1"/>
      <protection hidden="1"/>
    </xf>
    <xf numFmtId="0" fontId="36" fillId="9" borderId="21" xfId="10" applyFont="1" applyFill="1" applyBorder="1" applyAlignment="1" applyProtection="1">
      <alignment horizontal="center" vertical="center" wrapText="1"/>
      <protection hidden="1"/>
    </xf>
    <xf numFmtId="0" fontId="36" fillId="9" borderId="35" xfId="10" applyFont="1" applyFill="1" applyBorder="1" applyAlignment="1" applyProtection="1">
      <alignment horizontal="center" vertical="center" wrapText="1"/>
      <protection hidden="1"/>
    </xf>
    <xf numFmtId="0" fontId="36" fillId="9" borderId="22" xfId="10" applyFont="1" applyFill="1" applyBorder="1" applyAlignment="1" applyProtection="1">
      <alignment horizontal="center" vertical="center" wrapText="1"/>
      <protection hidden="1"/>
    </xf>
    <xf numFmtId="0" fontId="34" fillId="7" borderId="24" xfId="10" quotePrefix="1" applyFont="1" applyFill="1" applyBorder="1" applyAlignment="1" applyProtection="1">
      <alignment horizontal="center" vertical="center" wrapText="1"/>
      <protection hidden="1"/>
    </xf>
    <xf numFmtId="0" fontId="34" fillId="7" borderId="25" xfId="10" quotePrefix="1" applyFont="1" applyFill="1" applyBorder="1" applyAlignment="1" applyProtection="1">
      <alignment horizontal="center" vertical="center" wrapText="1"/>
      <protection hidden="1"/>
    </xf>
    <xf numFmtId="0" fontId="34" fillId="7" borderId="26" xfId="10" quotePrefix="1" applyFont="1" applyFill="1" applyBorder="1" applyAlignment="1" applyProtection="1">
      <alignment horizontal="center" vertical="center" wrapText="1"/>
      <protection hidden="1"/>
    </xf>
    <xf numFmtId="0" fontId="34" fillId="7" borderId="18" xfId="10" applyFont="1" applyFill="1" applyBorder="1" applyAlignment="1" applyProtection="1">
      <alignment horizontal="center" vertical="center" wrapText="1"/>
      <protection hidden="1"/>
    </xf>
    <xf numFmtId="0" fontId="34" fillId="7" borderId="36" xfId="10" applyFont="1" applyFill="1" applyBorder="1" applyAlignment="1" applyProtection="1">
      <alignment horizontal="center" vertical="center" wrapText="1"/>
      <protection hidden="1"/>
    </xf>
    <xf numFmtId="0" fontId="34" fillId="7" borderId="19" xfId="10" applyFont="1" applyFill="1" applyBorder="1" applyAlignment="1" applyProtection="1">
      <alignment horizontal="center" vertical="center" wrapText="1"/>
      <protection hidden="1"/>
    </xf>
    <xf numFmtId="0" fontId="34" fillId="7" borderId="21" xfId="10" applyFont="1" applyFill="1" applyBorder="1" applyAlignment="1" applyProtection="1">
      <alignment horizontal="center" vertical="center" wrapText="1"/>
      <protection hidden="1"/>
    </xf>
    <xf numFmtId="0" fontId="34" fillId="7" borderId="35" xfId="10" applyFont="1" applyFill="1" applyBorder="1" applyAlignment="1" applyProtection="1">
      <alignment horizontal="center" vertical="center" wrapText="1"/>
      <protection hidden="1"/>
    </xf>
    <xf numFmtId="0" fontId="34" fillId="7" borderId="22" xfId="10" applyFont="1" applyFill="1" applyBorder="1" applyAlignment="1" applyProtection="1">
      <alignment horizontal="center" vertical="center" wrapText="1"/>
      <protection hidden="1"/>
    </xf>
    <xf numFmtId="0" fontId="34" fillId="7" borderId="18" xfId="10" applyFont="1" applyFill="1" applyBorder="1" applyAlignment="1" applyProtection="1">
      <alignment horizontal="left" vertical="center" wrapText="1"/>
      <protection hidden="1"/>
    </xf>
    <xf numFmtId="0" fontId="34" fillId="7" borderId="36" xfId="10" applyFont="1" applyFill="1" applyBorder="1" applyAlignment="1" applyProtection="1">
      <alignment horizontal="left" vertical="center" wrapText="1"/>
      <protection hidden="1"/>
    </xf>
    <xf numFmtId="0" fontId="34" fillId="7" borderId="19" xfId="10" applyFont="1" applyFill="1" applyBorder="1" applyAlignment="1" applyProtection="1">
      <alignment horizontal="left" vertical="center" wrapText="1"/>
      <protection hidden="1"/>
    </xf>
    <xf numFmtId="0" fontId="34" fillId="7" borderId="21" xfId="10" applyFont="1" applyFill="1" applyBorder="1" applyAlignment="1" applyProtection="1">
      <alignment horizontal="left" vertical="center" wrapText="1"/>
      <protection hidden="1"/>
    </xf>
    <xf numFmtId="0" fontId="34" fillId="7" borderId="35" xfId="10" applyFont="1" applyFill="1" applyBorder="1" applyAlignment="1" applyProtection="1">
      <alignment horizontal="left" vertical="center" wrapText="1"/>
      <protection hidden="1"/>
    </xf>
    <xf numFmtId="0" fontId="34" fillId="7" borderId="22" xfId="10" applyFont="1" applyFill="1" applyBorder="1" applyAlignment="1" applyProtection="1">
      <alignment horizontal="left" vertical="center" wrapText="1"/>
      <protection hidden="1"/>
    </xf>
    <xf numFmtId="0" fontId="48" fillId="3" borderId="8" xfId="0" applyFont="1" applyFill="1" applyBorder="1" applyAlignment="1" applyProtection="1">
      <alignment horizontal="center" vertical="center"/>
      <protection locked="0"/>
    </xf>
    <xf numFmtId="0" fontId="3" fillId="9" borderId="17" xfId="0" applyFont="1" applyFill="1" applyBorder="1" applyAlignment="1" applyProtection="1">
      <alignment horizontal="center" vertical="center" wrapText="1"/>
      <protection hidden="1"/>
    </xf>
    <xf numFmtId="0" fontId="3" fillId="9" borderId="20" xfId="0" applyFont="1" applyFill="1" applyBorder="1" applyAlignment="1" applyProtection="1">
      <alignment horizontal="center" vertical="center" wrapText="1"/>
      <protection hidden="1"/>
    </xf>
    <xf numFmtId="0" fontId="3" fillId="9" borderId="18" xfId="0" applyFont="1" applyFill="1" applyBorder="1" applyAlignment="1" applyProtection="1">
      <alignment horizontal="center" vertical="center" wrapText="1"/>
      <protection hidden="1"/>
    </xf>
    <xf numFmtId="0" fontId="3" fillId="9" borderId="19" xfId="0" applyFont="1" applyFill="1" applyBorder="1" applyAlignment="1" applyProtection="1">
      <alignment horizontal="center" vertical="center" wrapText="1"/>
      <protection hidden="1"/>
    </xf>
    <xf numFmtId="0" fontId="3" fillId="9" borderId="21" xfId="0" applyFont="1" applyFill="1" applyBorder="1" applyAlignment="1" applyProtection="1">
      <alignment horizontal="center" vertical="center" wrapText="1"/>
      <protection hidden="1"/>
    </xf>
    <xf numFmtId="0" fontId="3" fillId="9" borderId="22" xfId="0" applyFont="1" applyFill="1" applyBorder="1" applyAlignment="1" applyProtection="1">
      <alignment horizontal="center" vertical="center" wrapText="1"/>
      <protection hidden="1"/>
    </xf>
    <xf numFmtId="0" fontId="3" fillId="9" borderId="36" xfId="0" applyFont="1" applyFill="1" applyBorder="1" applyAlignment="1" applyProtection="1">
      <alignment horizontal="center" vertical="center" wrapText="1"/>
      <protection hidden="1"/>
    </xf>
    <xf numFmtId="0" fontId="3" fillId="9" borderId="35" xfId="0" applyFont="1" applyFill="1" applyBorder="1" applyAlignment="1" applyProtection="1">
      <alignment horizontal="center" vertical="center" wrapText="1"/>
      <protection hidden="1"/>
    </xf>
    <xf numFmtId="0" fontId="35" fillId="5" borderId="17" xfId="9" applyFont="1" applyFill="1" applyBorder="1" applyAlignment="1" applyProtection="1">
      <alignment horizontal="center" vertical="center" textRotation="90" wrapText="1"/>
      <protection hidden="1"/>
    </xf>
    <xf numFmtId="0" fontId="35" fillId="5" borderId="27" xfId="9" applyFont="1" applyFill="1" applyBorder="1" applyAlignment="1" applyProtection="1">
      <alignment horizontal="center" vertical="center" textRotation="90" wrapText="1"/>
      <protection hidden="1"/>
    </xf>
    <xf numFmtId="0" fontId="35" fillId="5" borderId="20" xfId="9" applyFont="1" applyFill="1" applyBorder="1" applyAlignment="1" applyProtection="1">
      <alignment horizontal="center" vertical="center" textRotation="90" wrapText="1"/>
      <protection hidden="1"/>
    </xf>
    <xf numFmtId="0" fontId="65" fillId="9" borderId="18" xfId="10" applyFont="1" applyFill="1" applyBorder="1" applyAlignment="1" applyProtection="1">
      <alignment horizontal="center" vertical="center" wrapText="1"/>
      <protection hidden="1"/>
    </xf>
    <xf numFmtId="0" fontId="65" fillId="9" borderId="36" xfId="10" applyFont="1" applyFill="1" applyBorder="1" applyAlignment="1" applyProtection="1">
      <alignment horizontal="center" vertical="center" wrapText="1"/>
      <protection hidden="1"/>
    </xf>
    <xf numFmtId="0" fontId="65" fillId="9" borderId="19" xfId="10" applyFont="1" applyFill="1" applyBorder="1" applyAlignment="1" applyProtection="1">
      <alignment horizontal="center" vertical="center" wrapText="1"/>
      <protection hidden="1"/>
    </xf>
    <xf numFmtId="0" fontId="65" fillId="9" borderId="28" xfId="10" applyFont="1" applyFill="1" applyBorder="1" applyAlignment="1" applyProtection="1">
      <alignment horizontal="center" vertical="center" wrapText="1"/>
      <protection hidden="1"/>
    </xf>
    <xf numFmtId="0" fontId="65" fillId="9" borderId="0" xfId="10" applyFont="1" applyFill="1" applyBorder="1" applyAlignment="1" applyProtection="1">
      <alignment horizontal="center" vertical="center" wrapText="1"/>
      <protection hidden="1"/>
    </xf>
    <xf numFmtId="0" fontId="65" fillId="9" borderId="29" xfId="10" applyFont="1" applyFill="1" applyBorder="1" applyAlignment="1" applyProtection="1">
      <alignment horizontal="center" vertical="center" wrapText="1"/>
      <protection hidden="1"/>
    </xf>
    <xf numFmtId="0" fontId="65" fillId="9" borderId="21" xfId="10" applyFont="1" applyFill="1" applyBorder="1" applyAlignment="1" applyProtection="1">
      <alignment horizontal="center" vertical="center" wrapText="1"/>
      <protection hidden="1"/>
    </xf>
    <xf numFmtId="0" fontId="65" fillId="9" borderId="35" xfId="10" applyFont="1" applyFill="1" applyBorder="1" applyAlignment="1" applyProtection="1">
      <alignment horizontal="center" vertical="center" wrapText="1"/>
      <protection hidden="1"/>
    </xf>
    <xf numFmtId="0" fontId="65" fillId="9" borderId="22" xfId="10" applyFont="1" applyFill="1" applyBorder="1" applyAlignment="1" applyProtection="1">
      <alignment horizontal="center" vertical="center" wrapText="1"/>
      <protection hidden="1"/>
    </xf>
    <xf numFmtId="0" fontId="66" fillId="9" borderId="18" xfId="10" applyFont="1" applyFill="1" applyBorder="1" applyAlignment="1" applyProtection="1">
      <alignment horizontal="center" vertical="center" wrapText="1"/>
      <protection hidden="1"/>
    </xf>
    <xf numFmtId="0" fontId="66" fillId="9" borderId="36" xfId="10" applyFont="1" applyFill="1" applyBorder="1" applyAlignment="1" applyProtection="1">
      <alignment horizontal="center" vertical="center" wrapText="1"/>
      <protection hidden="1"/>
    </xf>
    <xf numFmtId="0" fontId="66" fillId="9" borderId="19" xfId="10" applyFont="1" applyFill="1" applyBorder="1" applyAlignment="1" applyProtection="1">
      <alignment horizontal="center" vertical="center" wrapText="1"/>
      <protection hidden="1"/>
    </xf>
    <xf numFmtId="0" fontId="66" fillId="9" borderId="28" xfId="10" applyFont="1" applyFill="1" applyBorder="1" applyAlignment="1" applyProtection="1">
      <alignment horizontal="center" vertical="center" wrapText="1"/>
      <protection hidden="1"/>
    </xf>
    <xf numFmtId="0" fontId="66" fillId="9" borderId="0" xfId="10" applyFont="1" applyFill="1" applyBorder="1" applyAlignment="1" applyProtection="1">
      <alignment horizontal="center" vertical="center" wrapText="1"/>
      <protection hidden="1"/>
    </xf>
    <xf numFmtId="0" fontId="66" fillId="9" borderId="29" xfId="10" applyFont="1" applyFill="1" applyBorder="1" applyAlignment="1" applyProtection="1">
      <alignment horizontal="center" vertical="center" wrapText="1"/>
      <protection hidden="1"/>
    </xf>
    <xf numFmtId="0" fontId="66" fillId="9" borderId="21" xfId="10" applyFont="1" applyFill="1" applyBorder="1" applyAlignment="1" applyProtection="1">
      <alignment horizontal="center" vertical="center" wrapText="1"/>
      <protection hidden="1"/>
    </xf>
    <xf numFmtId="0" fontId="66" fillId="9" borderId="35" xfId="10" applyFont="1" applyFill="1" applyBorder="1" applyAlignment="1" applyProtection="1">
      <alignment horizontal="center" vertical="center" wrapText="1"/>
      <protection hidden="1"/>
    </xf>
    <xf numFmtId="0" fontId="66" fillId="9" borderId="22" xfId="10" applyFont="1" applyFill="1" applyBorder="1" applyAlignment="1" applyProtection="1">
      <alignment horizontal="center" vertical="center" wrapText="1"/>
      <protection hidden="1"/>
    </xf>
    <xf numFmtId="0" fontId="64" fillId="9" borderId="18" xfId="10" applyFont="1" applyFill="1" applyBorder="1" applyAlignment="1" applyProtection="1">
      <alignment horizontal="center" vertical="center" wrapText="1"/>
      <protection hidden="1"/>
    </xf>
    <xf numFmtId="0" fontId="64" fillId="9" borderId="36" xfId="10" applyFont="1" applyFill="1" applyBorder="1" applyAlignment="1" applyProtection="1">
      <alignment horizontal="center" vertical="center" wrapText="1"/>
      <protection hidden="1"/>
    </xf>
    <xf numFmtId="0" fontId="64" fillId="9" borderId="19" xfId="10" applyFont="1" applyFill="1" applyBorder="1" applyAlignment="1" applyProtection="1">
      <alignment horizontal="center" vertical="center" wrapText="1"/>
      <protection hidden="1"/>
    </xf>
    <xf numFmtId="0" fontId="64" fillId="9" borderId="28" xfId="10" applyFont="1" applyFill="1" applyBorder="1" applyAlignment="1" applyProtection="1">
      <alignment horizontal="center" vertical="center" wrapText="1"/>
      <protection hidden="1"/>
    </xf>
    <xf numFmtId="0" fontId="64" fillId="9" borderId="0" xfId="10" applyFont="1" applyFill="1" applyBorder="1" applyAlignment="1" applyProtection="1">
      <alignment horizontal="center" vertical="center" wrapText="1"/>
      <protection hidden="1"/>
    </xf>
    <xf numFmtId="0" fontId="64" fillId="9" borderId="29" xfId="10" applyFont="1" applyFill="1" applyBorder="1" applyAlignment="1" applyProtection="1">
      <alignment horizontal="center" vertical="center" wrapText="1"/>
      <protection hidden="1"/>
    </xf>
    <xf numFmtId="0" fontId="64" fillId="9" borderId="21" xfId="10" applyFont="1" applyFill="1" applyBorder="1" applyAlignment="1" applyProtection="1">
      <alignment horizontal="center" vertical="center" wrapText="1"/>
      <protection hidden="1"/>
    </xf>
    <xf numFmtId="0" fontId="64" fillId="9" borderId="35" xfId="10" applyFont="1" applyFill="1" applyBorder="1" applyAlignment="1" applyProtection="1">
      <alignment horizontal="center" vertical="center" wrapText="1"/>
      <protection hidden="1"/>
    </xf>
    <xf numFmtId="0" fontId="64" fillId="9" borderId="22" xfId="10" applyFont="1" applyFill="1" applyBorder="1" applyAlignment="1" applyProtection="1">
      <alignment horizontal="center" vertical="center" wrapText="1"/>
      <protection hidden="1"/>
    </xf>
    <xf numFmtId="0" fontId="63" fillId="9" borderId="18" xfId="10" applyFont="1" applyFill="1" applyBorder="1" applyAlignment="1" applyProtection="1">
      <alignment horizontal="center" vertical="center" wrapText="1"/>
      <protection hidden="1"/>
    </xf>
    <xf numFmtId="0" fontId="62" fillId="9" borderId="18" xfId="10" applyFont="1" applyFill="1" applyBorder="1" applyAlignment="1" applyProtection="1">
      <alignment horizontal="center" vertical="center" wrapText="1"/>
      <protection hidden="1"/>
    </xf>
    <xf numFmtId="0" fontId="37" fillId="0" borderId="35" xfId="10" applyFont="1" applyBorder="1" applyAlignment="1" applyProtection="1">
      <alignment horizontal="center" vertical="center"/>
      <protection hidden="1"/>
    </xf>
    <xf numFmtId="0" fontId="34" fillId="7" borderId="37" xfId="10" applyFont="1" applyFill="1" applyBorder="1" applyAlignment="1" applyProtection="1">
      <alignment horizontal="center" vertical="center" wrapText="1"/>
      <protection hidden="1"/>
    </xf>
    <xf numFmtId="0" fontId="36" fillId="7" borderId="38" xfId="10" applyFont="1" applyFill="1" applyBorder="1" applyAlignment="1" applyProtection="1">
      <alignment horizontal="center" vertical="center" wrapText="1"/>
      <protection hidden="1"/>
    </xf>
    <xf numFmtId="0" fontId="36" fillId="7" borderId="39" xfId="10" applyFont="1" applyFill="1" applyBorder="1" applyAlignment="1" applyProtection="1">
      <alignment horizontal="center" vertical="center" wrapText="1"/>
      <protection hidden="1"/>
    </xf>
    <xf numFmtId="0" fontId="36" fillId="7" borderId="40" xfId="10" applyFont="1" applyFill="1" applyBorder="1" applyAlignment="1" applyProtection="1">
      <alignment horizontal="center" vertical="center" wrapText="1"/>
      <protection hidden="1"/>
    </xf>
    <xf numFmtId="0" fontId="36" fillId="7" borderId="8" xfId="10" applyFont="1" applyFill="1" applyBorder="1" applyAlignment="1" applyProtection="1">
      <alignment horizontal="center" vertical="center" wrapText="1"/>
      <protection hidden="1"/>
    </xf>
    <xf numFmtId="0" fontId="36" fillId="7" borderId="41" xfId="10" applyFont="1" applyFill="1" applyBorder="1" applyAlignment="1" applyProtection="1">
      <alignment horizontal="center" vertical="center" wrapText="1"/>
      <protection hidden="1"/>
    </xf>
    <xf numFmtId="0" fontId="5" fillId="10" borderId="15" xfId="0" applyFont="1" applyFill="1" applyBorder="1" applyAlignment="1" applyProtection="1">
      <alignment horizontal="center" wrapText="1"/>
      <protection hidden="1"/>
    </xf>
    <xf numFmtId="0" fontId="5" fillId="10" borderId="16" xfId="0" applyFont="1" applyFill="1" applyBorder="1" applyAlignment="1" applyProtection="1">
      <alignment horizontal="center" wrapText="1"/>
      <protection hidden="1"/>
    </xf>
    <xf numFmtId="0" fontId="5" fillId="10" borderId="15" xfId="0" applyFont="1" applyFill="1" applyBorder="1" applyAlignment="1" applyProtection="1">
      <alignment horizontal="center" vertical="center" wrapText="1"/>
      <protection hidden="1"/>
    </xf>
    <xf numFmtId="0" fontId="5" fillId="10" borderId="16" xfId="0" applyFont="1" applyFill="1" applyBorder="1" applyAlignment="1" applyProtection="1">
      <alignment horizontal="center" vertical="center" wrapText="1"/>
      <protection hidden="1"/>
    </xf>
    <xf numFmtId="0" fontId="5" fillId="9" borderId="15" xfId="0" applyFont="1" applyFill="1" applyBorder="1" applyAlignment="1" applyProtection="1">
      <alignment horizontal="center" vertical="center"/>
      <protection hidden="1"/>
    </xf>
    <xf numFmtId="0" fontId="5" fillId="9" borderId="16" xfId="0" applyFont="1" applyFill="1" applyBorder="1" applyAlignment="1" applyProtection="1">
      <alignment horizontal="center" vertical="center"/>
      <protection hidden="1"/>
    </xf>
    <xf numFmtId="182" fontId="8" fillId="7" borderId="8" xfId="0" applyNumberFormat="1" applyFont="1" applyFill="1" applyBorder="1" applyAlignment="1" applyProtection="1">
      <alignment horizontal="center" vertical="center"/>
      <protection hidden="1"/>
    </xf>
    <xf numFmtId="0" fontId="8" fillId="7" borderId="8"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5" fillId="3" borderId="16" xfId="0" applyFont="1" applyFill="1" applyBorder="1" applyAlignment="1" applyProtection="1">
      <alignment horizontal="center" vertical="center"/>
      <protection hidden="1"/>
    </xf>
    <xf numFmtId="0" fontId="8" fillId="3" borderId="8" xfId="0" applyFont="1" applyFill="1" applyBorder="1" applyAlignment="1" applyProtection="1">
      <alignment horizontal="center" vertical="center"/>
      <protection hidden="1"/>
    </xf>
    <xf numFmtId="182" fontId="7" fillId="7" borderId="8" xfId="0" applyNumberFormat="1" applyFont="1" applyFill="1" applyBorder="1" applyAlignment="1" applyProtection="1">
      <alignment horizontal="center" vertical="center"/>
      <protection hidden="1"/>
    </xf>
    <xf numFmtId="0" fontId="7" fillId="7" borderId="8" xfId="0" applyFont="1" applyFill="1" applyBorder="1" applyAlignment="1" applyProtection="1">
      <alignment horizontal="center" vertical="center"/>
      <protection hidden="1"/>
    </xf>
    <xf numFmtId="1" fontId="6" fillId="3" borderId="15" xfId="0" applyNumberFormat="1" applyFont="1" applyFill="1" applyBorder="1" applyAlignment="1" applyProtection="1">
      <alignment horizontal="center" vertical="center"/>
      <protection hidden="1"/>
    </xf>
    <xf numFmtId="1" fontId="6" fillId="3" borderId="16" xfId="0" applyNumberFormat="1" applyFont="1" applyFill="1" applyBorder="1" applyAlignment="1" applyProtection="1">
      <alignment horizontal="center" vertical="center"/>
      <protection hidden="1"/>
    </xf>
    <xf numFmtId="1" fontId="6" fillId="3" borderId="8" xfId="0" applyNumberFormat="1" applyFont="1" applyFill="1" applyBorder="1" applyAlignment="1" applyProtection="1">
      <alignment horizontal="center" vertical="center"/>
      <protection hidden="1"/>
    </xf>
    <xf numFmtId="0" fontId="28" fillId="2" borderId="5" xfId="3" applyFont="1" applyFill="1" applyBorder="1" applyAlignment="1" applyProtection="1">
      <alignment horizontal="left" vertical="center" wrapText="1"/>
      <protection hidden="1"/>
    </xf>
    <xf numFmtId="0" fontId="28" fillId="2" borderId="10" xfId="3" applyFont="1" applyFill="1" applyBorder="1" applyAlignment="1" applyProtection="1">
      <alignment horizontal="left" vertical="center" wrapText="1"/>
      <protection hidden="1"/>
    </xf>
    <xf numFmtId="0" fontId="6" fillId="3" borderId="8" xfId="0" applyFont="1" applyFill="1" applyBorder="1" applyAlignment="1" applyProtection="1">
      <alignment horizontal="center" vertical="center" wrapText="1"/>
      <protection hidden="1"/>
    </xf>
    <xf numFmtId="0" fontId="6" fillId="0" borderId="1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2" fillId="3" borderId="1" xfId="0"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10" xfId="0" applyFont="1" applyFill="1" applyBorder="1" applyAlignment="1" applyProtection="1">
      <alignment horizontal="center" vertical="center"/>
      <protection hidden="1"/>
    </xf>
    <xf numFmtId="0" fontId="2" fillId="3" borderId="6" xfId="0" applyFont="1" applyFill="1" applyBorder="1" applyAlignment="1" applyProtection="1">
      <alignment horizontal="center" vertical="center"/>
      <protection hidden="1"/>
    </xf>
    <xf numFmtId="0" fontId="6" fillId="3" borderId="8" xfId="0" applyFont="1" applyFill="1" applyBorder="1" applyAlignment="1" applyProtection="1">
      <alignment horizontal="center" vertical="center"/>
      <protection hidden="1"/>
    </xf>
    <xf numFmtId="0" fontId="36" fillId="4" borderId="15" xfId="17" applyFont="1" applyFill="1" applyBorder="1" applyAlignment="1" applyProtection="1">
      <alignment horizontal="left" vertical="center" wrapText="1"/>
      <protection hidden="1"/>
    </xf>
    <xf numFmtId="0" fontId="36" fillId="4" borderId="7" xfId="17" applyFont="1" applyFill="1" applyBorder="1" applyAlignment="1" applyProtection="1">
      <alignment horizontal="left" vertical="center" wrapText="1"/>
      <protection hidden="1"/>
    </xf>
    <xf numFmtId="0" fontId="36" fillId="4" borderId="16" xfId="17" applyFont="1" applyFill="1" applyBorder="1" applyAlignment="1" applyProtection="1">
      <alignment horizontal="left" vertical="center" wrapText="1"/>
      <protection hidden="1"/>
    </xf>
    <xf numFmtId="0" fontId="34" fillId="9" borderId="15" xfId="17" applyFont="1" applyFill="1" applyBorder="1" applyAlignment="1" applyProtection="1">
      <alignment horizontal="left" vertical="center" wrapText="1"/>
      <protection hidden="1"/>
    </xf>
    <xf numFmtId="0" fontId="34" fillId="9" borderId="7" xfId="17" applyFont="1" applyFill="1" applyBorder="1" applyAlignment="1" applyProtection="1">
      <alignment horizontal="left" vertical="center" wrapText="1"/>
      <protection hidden="1"/>
    </xf>
    <xf numFmtId="0" fontId="34" fillId="9" borderId="16" xfId="17" applyFont="1" applyFill="1" applyBorder="1" applyAlignment="1" applyProtection="1">
      <alignment horizontal="left" vertical="center" wrapText="1"/>
      <protection hidden="1"/>
    </xf>
    <xf numFmtId="0" fontId="34" fillId="9" borderId="15" xfId="17" applyFont="1" applyFill="1" applyBorder="1" applyAlignment="1" applyProtection="1">
      <alignment horizontal="center" vertical="center" wrapText="1"/>
      <protection hidden="1"/>
    </xf>
    <xf numFmtId="0" fontId="34" fillId="9" borderId="7" xfId="17" applyFont="1" applyFill="1" applyBorder="1" applyAlignment="1" applyProtection="1">
      <alignment horizontal="center" vertical="center" wrapText="1"/>
      <protection hidden="1"/>
    </xf>
    <xf numFmtId="0" fontId="34" fillId="9" borderId="16" xfId="17" applyFont="1" applyFill="1" applyBorder="1" applyAlignment="1" applyProtection="1">
      <alignment horizontal="center" vertical="center" wrapText="1"/>
      <protection hidden="1"/>
    </xf>
    <xf numFmtId="0" fontId="34" fillId="9" borderId="15" xfId="17" applyFont="1" applyFill="1" applyBorder="1" applyAlignment="1" applyProtection="1">
      <alignment vertical="center" wrapText="1"/>
      <protection hidden="1"/>
    </xf>
    <xf numFmtId="0" fontId="34" fillId="9" borderId="7" xfId="17" applyFont="1" applyFill="1" applyBorder="1" applyAlignment="1" applyProtection="1">
      <alignment vertical="center" wrapText="1"/>
      <protection hidden="1"/>
    </xf>
    <xf numFmtId="0" fontId="34" fillId="9" borderId="16" xfId="17" applyFont="1" applyFill="1" applyBorder="1" applyAlignment="1" applyProtection="1">
      <alignment vertical="center" wrapText="1"/>
      <protection hidden="1"/>
    </xf>
    <xf numFmtId="0" fontId="34" fillId="3" borderId="30" xfId="17" applyFont="1" applyFill="1" applyBorder="1" applyAlignment="1" applyProtection="1">
      <alignment horizontal="center" vertical="center" wrapText="1"/>
      <protection hidden="1"/>
    </xf>
    <xf numFmtId="0" fontId="34" fillId="3" borderId="15" xfId="17" applyFont="1" applyFill="1" applyBorder="1" applyAlignment="1" applyProtection="1">
      <alignment horizontal="center" vertical="center" wrapText="1"/>
      <protection hidden="1"/>
    </xf>
    <xf numFmtId="0" fontId="34" fillId="3" borderId="7" xfId="17" applyFont="1" applyFill="1" applyBorder="1" applyAlignment="1" applyProtection="1">
      <alignment horizontal="center" vertical="center" wrapText="1"/>
      <protection hidden="1"/>
    </xf>
    <xf numFmtId="0" fontId="34" fillId="3" borderId="16" xfId="17" applyFont="1" applyFill="1" applyBorder="1" applyAlignment="1" applyProtection="1">
      <alignment horizontal="center" vertical="center" wrapText="1"/>
      <protection hidden="1"/>
    </xf>
    <xf numFmtId="178" fontId="34" fillId="0" borderId="0" xfId="17" applyNumberFormat="1" applyFont="1" applyBorder="1" applyAlignment="1" applyProtection="1">
      <alignment horizontal="center" vertical="center"/>
      <protection hidden="1"/>
    </xf>
    <xf numFmtId="0" fontId="5" fillId="2" borderId="1" xfId="3" applyFont="1" applyFill="1" applyBorder="1" applyAlignment="1" applyProtection="1">
      <alignment horizontal="center" vertical="center" wrapText="1"/>
      <protection hidden="1"/>
    </xf>
    <xf numFmtId="0" fontId="5" fillId="2" borderId="9" xfId="3" applyFont="1" applyFill="1" applyBorder="1" applyAlignment="1" applyProtection="1">
      <alignment horizontal="center" vertical="center" wrapText="1"/>
      <protection hidden="1"/>
    </xf>
    <xf numFmtId="0" fontId="5" fillId="2" borderId="2" xfId="3" applyFont="1" applyFill="1" applyBorder="1" applyAlignment="1" applyProtection="1">
      <alignment horizontal="center" vertical="center" wrapText="1"/>
      <protection hidden="1"/>
    </xf>
    <xf numFmtId="0" fontId="5" fillId="2" borderId="3" xfId="3" applyFont="1" applyFill="1" applyBorder="1" applyAlignment="1" applyProtection="1">
      <alignment horizontal="center" vertical="center" wrapText="1"/>
      <protection hidden="1"/>
    </xf>
    <xf numFmtId="0" fontId="5" fillId="2" borderId="0" xfId="3" applyFont="1" applyFill="1" applyBorder="1" applyAlignment="1" applyProtection="1">
      <alignment horizontal="center" vertical="center" wrapText="1"/>
      <protection hidden="1"/>
    </xf>
    <xf numFmtId="0" fontId="5" fillId="2" borderId="4" xfId="3" applyFont="1" applyFill="1" applyBorder="1" applyAlignment="1" applyProtection="1">
      <alignment horizontal="center" vertical="center" wrapText="1"/>
      <protection hidden="1"/>
    </xf>
    <xf numFmtId="0" fontId="5" fillId="2" borderId="5" xfId="3" applyFont="1" applyFill="1" applyBorder="1" applyAlignment="1" applyProtection="1">
      <alignment horizontal="center" vertical="center" wrapText="1"/>
      <protection hidden="1"/>
    </xf>
    <xf numFmtId="0" fontId="5" fillId="2" borderId="10" xfId="3" applyFont="1" applyFill="1" applyBorder="1" applyAlignment="1" applyProtection="1">
      <alignment horizontal="center" vertical="center" wrapText="1"/>
      <protection hidden="1"/>
    </xf>
    <xf numFmtId="0" fontId="5" fillId="2" borderId="6" xfId="3" applyFont="1" applyFill="1" applyBorder="1" applyAlignment="1" applyProtection="1">
      <alignment horizontal="center" vertical="center" wrapText="1"/>
      <protection hidden="1"/>
    </xf>
    <xf numFmtId="0" fontId="34" fillId="3" borderId="30" xfId="17" applyFont="1" applyFill="1" applyBorder="1" applyAlignment="1" applyProtection="1">
      <alignment horizontal="center" vertical="center"/>
      <protection hidden="1"/>
    </xf>
    <xf numFmtId="0" fontId="34" fillId="3" borderId="30" xfId="17" applyFont="1" applyFill="1" applyBorder="1" applyAlignment="1" applyProtection="1">
      <alignment horizontal="center"/>
      <protection hidden="1"/>
    </xf>
    <xf numFmtId="0" fontId="34" fillId="4" borderId="30" xfId="17" applyFont="1" applyFill="1" applyBorder="1" applyAlignment="1" applyProtection="1">
      <alignment horizontal="left" vertical="center"/>
      <protection hidden="1"/>
    </xf>
    <xf numFmtId="0" fontId="34" fillId="7" borderId="30" xfId="17" applyFont="1" applyFill="1" applyBorder="1" applyAlignment="1" applyProtection="1">
      <alignment horizontal="center" vertical="center" wrapText="1"/>
      <protection hidden="1"/>
    </xf>
    <xf numFmtId="178" fontId="34" fillId="7" borderId="30" xfId="17" applyNumberFormat="1" applyFont="1" applyFill="1" applyBorder="1" applyAlignment="1" applyProtection="1">
      <alignment horizontal="center" vertical="center"/>
      <protection hidden="1"/>
    </xf>
  </cellXfs>
  <cellStyles count="41">
    <cellStyle name="Hipervínculo" xfId="30" builtinId="8"/>
    <cellStyle name="Hipervínculo 3" xfId="26"/>
    <cellStyle name="Millares" xfId="1" builtinId="3"/>
    <cellStyle name="Millares [0]" xfId="24" builtinId="6"/>
    <cellStyle name="Millares [0] 2" xfId="18"/>
    <cellStyle name="Millares [0] 2 2" xfId="34"/>
    <cellStyle name="Millares [0] 3" xfId="36"/>
    <cellStyle name="Millares 2" xfId="28"/>
    <cellStyle name="Millares 2 2" xfId="39"/>
    <cellStyle name="Millares 3" xfId="31"/>
    <cellStyle name="Millares 4" xfId="19"/>
    <cellStyle name="Millares 4 2" xfId="27"/>
    <cellStyle name="Millares 4 2 2" xfId="38"/>
    <cellStyle name="Millares 4 3" xfId="35"/>
    <cellStyle name="Millares_Formato Evaluacion LP No. 41 Biblioteca Belen" xfId="8"/>
    <cellStyle name="Moneda [0]" xfId="25" builtinId="7"/>
    <cellStyle name="Moneda [0] 2" xfId="37"/>
    <cellStyle name="Moneda [0] 6" xfId="13"/>
    <cellStyle name="Moneda [0] 6 2" xfId="32"/>
    <cellStyle name="Moneda 11" xfId="12"/>
    <cellStyle name="Moneda 2" xfId="29"/>
    <cellStyle name="Moneda 2 2" xfId="40"/>
    <cellStyle name="Moneda 9 2" xfId="14"/>
    <cellStyle name="Moneda 9 2 2" xfId="33"/>
    <cellStyle name="Normal" xfId="0" builtinId="0"/>
    <cellStyle name="Normal 10 10 2" xfId="9"/>
    <cellStyle name="Normal 12 2" xfId="5"/>
    <cellStyle name="Normal 12 2 3" xfId="6"/>
    <cellStyle name="Normal 12 4" xfId="7"/>
    <cellStyle name="Normal 14 2 4" xfId="17"/>
    <cellStyle name="Normal 15" xfId="4"/>
    <cellStyle name="Normal 18" xfId="10"/>
    <cellStyle name="Normal 18 2" xfId="23"/>
    <cellStyle name="Normal 2 2" xfId="11"/>
    <cellStyle name="Normal_CONSOLIDADO  EVALUACIÓN LP 53 OBRA ADECUACIÓN Y MANTENIMIENTO DEL TEATRO LIDO" xfId="3"/>
    <cellStyle name="Normal_FORM20_1 2" xfId="20"/>
    <cellStyle name="Normal_SEGUROS FENIX" xfId="21"/>
    <cellStyle name="Porcentaje" xfId="2" builtinId="5"/>
    <cellStyle name="Porcentaje 2" xfId="15"/>
    <cellStyle name="Porcentaje 6" xfId="16"/>
    <cellStyle name="Porcentual 2 2 2" xfId="22"/>
  </cellStyles>
  <dxfs count="5491">
    <dxf>
      <fill>
        <patternFill>
          <bgColor rgb="FFFFFF00"/>
        </patternFill>
      </fill>
    </dxf>
    <dxf>
      <fill>
        <patternFill>
          <bgColor rgb="FFFF0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000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patternType="solid">
          <fgColor auto="1"/>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emf"/><Relationship Id="rId5" Type="http://schemas.openxmlformats.org/officeDocument/2006/relationships/image" Target="../media/image6.jpeg"/><Relationship Id="rId4" Type="http://schemas.openxmlformats.org/officeDocument/2006/relationships/image" Target="../media/image5.png"/><Relationship Id="rId9" Type="http://schemas.openxmlformats.org/officeDocument/2006/relationships/image" Target="../media/image10.png"/></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429629</xdr:colOff>
      <xdr:row>2</xdr:row>
      <xdr:rowOff>133350</xdr:rowOff>
    </xdr:to>
    <xdr:pic>
      <xdr:nvPicPr>
        <xdr:cNvPr id="2" name="3 Imagen" descr="log-udea2.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7344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52916</xdr:colOff>
      <xdr:row>0</xdr:row>
      <xdr:rowOff>66675</xdr:rowOff>
    </xdr:from>
    <xdr:to>
      <xdr:col>1</xdr:col>
      <xdr:colOff>380565</xdr:colOff>
      <xdr:row>2</xdr:row>
      <xdr:rowOff>68550</xdr:rowOff>
    </xdr:to>
    <xdr:pic>
      <xdr:nvPicPr>
        <xdr:cNvPr id="2" name="3 Imagen" descr="log-udea2.GI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6" y="66675"/>
          <a:ext cx="556249" cy="84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398319</xdr:colOff>
      <xdr:row>2</xdr:row>
      <xdr:rowOff>2026227</xdr:rowOff>
    </xdr:from>
    <xdr:to>
      <xdr:col>15</xdr:col>
      <xdr:colOff>2372591</xdr:colOff>
      <xdr:row>2</xdr:row>
      <xdr:rowOff>2112818</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flipV="1">
          <a:off x="5766955" y="2684318"/>
          <a:ext cx="14322136" cy="865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394608</xdr:colOff>
      <xdr:row>2</xdr:row>
      <xdr:rowOff>204108</xdr:rowOff>
    </xdr:from>
    <xdr:to>
      <xdr:col>11</xdr:col>
      <xdr:colOff>3793301</xdr:colOff>
      <xdr:row>7</xdr:row>
      <xdr:rowOff>1689298</xdr:rowOff>
    </xdr:to>
    <xdr:pic>
      <xdr:nvPicPr>
        <xdr:cNvPr id="2" name="Imagen 1" descr="C:\Users\User\AppData\Local\Microsoft\Windows\Temporary Internet Files\Low\Content.IE5\SR7THVJV\logo-conmezclas-sin-fondo[1].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80679" y="612322"/>
          <a:ext cx="3398693" cy="2941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155864</xdr:colOff>
      <xdr:row>3</xdr:row>
      <xdr:rowOff>190500</xdr:rowOff>
    </xdr:from>
    <xdr:to>
      <xdr:col>28</xdr:col>
      <xdr:colOff>3792681</xdr:colOff>
      <xdr:row>7</xdr:row>
      <xdr:rowOff>1584200</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715046" y="848591"/>
          <a:ext cx="4849090" cy="2605973"/>
        </a:xfrm>
        <a:prstGeom prst="rect">
          <a:avLst/>
        </a:prstGeom>
      </xdr:spPr>
    </xdr:pic>
    <xdr:clientData/>
  </xdr:twoCellAnchor>
  <xdr:twoCellAnchor editAs="oneCell">
    <xdr:from>
      <xdr:col>43</xdr:col>
      <xdr:colOff>1281546</xdr:colOff>
      <xdr:row>4</xdr:row>
      <xdr:rowOff>173182</xdr:rowOff>
    </xdr:from>
    <xdr:to>
      <xdr:col>45</xdr:col>
      <xdr:colOff>4646294</xdr:colOff>
      <xdr:row>7</xdr:row>
      <xdr:rowOff>993938</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a:stretch>
          <a:fillRect/>
        </a:stretch>
      </xdr:blipFill>
      <xdr:spPr>
        <a:xfrm>
          <a:off x="61999091" y="1316182"/>
          <a:ext cx="6118339" cy="1548120"/>
        </a:xfrm>
        <a:prstGeom prst="rect">
          <a:avLst/>
        </a:prstGeom>
      </xdr:spPr>
    </xdr:pic>
    <xdr:clientData/>
  </xdr:twoCellAnchor>
  <xdr:twoCellAnchor editAs="oneCell">
    <xdr:from>
      <xdr:col>61</xdr:col>
      <xdr:colOff>225136</xdr:colOff>
      <xdr:row>7</xdr:row>
      <xdr:rowOff>935182</xdr:rowOff>
    </xdr:from>
    <xdr:to>
      <xdr:col>62</xdr:col>
      <xdr:colOff>3914769</xdr:colOff>
      <xdr:row>7</xdr:row>
      <xdr:rowOff>1575954</xdr:rowOff>
    </xdr:to>
    <xdr:pic>
      <xdr:nvPicPr>
        <xdr:cNvPr id="6" name="Imagen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89272" y="2805546"/>
          <a:ext cx="4901906" cy="640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111</xdr:col>
      <xdr:colOff>1229591</xdr:colOff>
      <xdr:row>4</xdr:row>
      <xdr:rowOff>121228</xdr:rowOff>
    </xdr:from>
    <xdr:to>
      <xdr:col>113</xdr:col>
      <xdr:colOff>4349288</xdr:colOff>
      <xdr:row>7</xdr:row>
      <xdr:rowOff>1271270</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7568227" y="1264228"/>
          <a:ext cx="5873288" cy="1877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129</xdr:col>
      <xdr:colOff>1021773</xdr:colOff>
      <xdr:row>3</xdr:row>
      <xdr:rowOff>98795</xdr:rowOff>
    </xdr:from>
    <xdr:to>
      <xdr:col>130</xdr:col>
      <xdr:colOff>3948545</xdr:colOff>
      <xdr:row>7</xdr:row>
      <xdr:rowOff>1777260</xdr:rowOff>
    </xdr:to>
    <xdr:pic>
      <xdr:nvPicPr>
        <xdr:cNvPr id="8" name="Imagen 103">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0307000" y="756886"/>
          <a:ext cx="4139045" cy="2890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146</xdr:col>
      <xdr:colOff>398318</xdr:colOff>
      <xdr:row>3</xdr:row>
      <xdr:rowOff>259773</xdr:rowOff>
    </xdr:from>
    <xdr:to>
      <xdr:col>147</xdr:col>
      <xdr:colOff>3612868</xdr:colOff>
      <xdr:row>7</xdr:row>
      <xdr:rowOff>1333214</xdr:rowOff>
    </xdr:to>
    <xdr:pic>
      <xdr:nvPicPr>
        <xdr:cNvPr id="9" name="Imagen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7"/>
        <a:stretch>
          <a:fillRect/>
        </a:stretch>
      </xdr:blipFill>
      <xdr:spPr>
        <a:xfrm>
          <a:off x="191972045" y="917864"/>
          <a:ext cx="4426822" cy="2285714"/>
        </a:xfrm>
        <a:prstGeom prst="rect">
          <a:avLst/>
        </a:prstGeom>
      </xdr:spPr>
    </xdr:pic>
    <xdr:clientData/>
  </xdr:twoCellAnchor>
  <xdr:twoCellAnchor editAs="oneCell">
    <xdr:from>
      <xdr:col>164</xdr:col>
      <xdr:colOff>242454</xdr:colOff>
      <xdr:row>3</xdr:row>
      <xdr:rowOff>329046</xdr:rowOff>
    </xdr:from>
    <xdr:to>
      <xdr:col>164</xdr:col>
      <xdr:colOff>3082636</xdr:colOff>
      <xdr:row>7</xdr:row>
      <xdr:rowOff>1152896</xdr:rowOff>
    </xdr:to>
    <xdr:pic>
      <xdr:nvPicPr>
        <xdr:cNvPr id="10" name="Imagen 9">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15594045" y="987137"/>
          <a:ext cx="2840182" cy="2036123"/>
        </a:xfrm>
        <a:prstGeom prst="rect">
          <a:avLst/>
        </a:prstGeom>
        <a:noFill/>
        <a:ln>
          <a:noFill/>
        </a:ln>
      </xdr:spPr>
    </xdr:pic>
    <xdr:clientData/>
  </xdr:twoCellAnchor>
  <xdr:twoCellAnchor editAs="oneCell">
    <xdr:from>
      <xdr:col>230</xdr:col>
      <xdr:colOff>1125682</xdr:colOff>
      <xdr:row>3</xdr:row>
      <xdr:rowOff>51955</xdr:rowOff>
    </xdr:from>
    <xdr:to>
      <xdr:col>232</xdr:col>
      <xdr:colOff>4849091</xdr:colOff>
      <xdr:row>7</xdr:row>
      <xdr:rowOff>1870363</xdr:rowOff>
    </xdr:to>
    <xdr:pic>
      <xdr:nvPicPr>
        <xdr:cNvPr id="11" name="Imagen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9"/>
        <a:stretch>
          <a:fillRect/>
        </a:stretch>
      </xdr:blipFill>
      <xdr:spPr>
        <a:xfrm>
          <a:off x="301526864" y="710046"/>
          <a:ext cx="6477000" cy="30306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107749</xdr:colOff>
      <xdr:row>1</xdr:row>
      <xdr:rowOff>31654</xdr:rowOff>
    </xdr:from>
    <xdr:ext cx="664715" cy="819993"/>
    <xdr:pic>
      <xdr:nvPicPr>
        <xdr:cNvPr id="2" name="3 Imagen" descr="log-udea2.GIF">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024" y="231679"/>
          <a:ext cx="664715" cy="81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838200</xdr:colOff>
      <xdr:row>39</xdr:row>
      <xdr:rowOff>171448</xdr:rowOff>
    </xdr:from>
    <xdr:to>
      <xdr:col>10</xdr:col>
      <xdr:colOff>39857</xdr:colOff>
      <xdr:row>49</xdr:row>
      <xdr:rowOff>23575</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2676525" y="14849473"/>
          <a:ext cx="5002382" cy="18523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ELETRABAJO_2020\11_PROCESO%20VA-013-2020\PROPUESTAS\2_Evaluacion%20VA-013-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ELETRABAJO_2020\APOYOS\Evaluaci&#243;n%20VA-119-2019_DEFINITIVO%20Abril%2021%20d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ENTREGA"/>
      <sheetName val="GUIA"/>
      <sheetName val="2_APERTURA DE SOBRES"/>
      <sheetName val="5,1. REQUISITOS JURÍDICOS"/>
      <sheetName val="5.2.1 EXPERIENCIA GRAL"/>
      <sheetName val="5.3 CAP FINANCIERA"/>
      <sheetName val="5.5 REQUISITOS COMERCIALES"/>
      <sheetName val="PRESUPUESTO"/>
      <sheetName val="VALORES UNITARIOS"/>
      <sheetName val="RESUMEN"/>
      <sheetName val="Cálculo Pt2"/>
      <sheetName val="10. EVALUACIÓN"/>
    </sheetNames>
    <sheetDataSet>
      <sheetData sheetId="0" refreshError="1">
        <row r="2">
          <cell r="A2" t="str">
            <v>Invitación Pública N° VA-013-2020</v>
          </cell>
        </row>
        <row r="8">
          <cell r="A8">
            <v>1</v>
          </cell>
        </row>
        <row r="9">
          <cell r="A9">
            <v>2</v>
          </cell>
        </row>
        <row r="10">
          <cell r="A10">
            <v>3</v>
          </cell>
        </row>
        <row r="11">
          <cell r="A11">
            <v>4</v>
          </cell>
        </row>
        <row r="12">
          <cell r="A12">
            <v>5</v>
          </cell>
        </row>
        <row r="13">
          <cell r="A13">
            <v>6</v>
          </cell>
        </row>
        <row r="14">
          <cell r="A14">
            <v>7</v>
          </cell>
        </row>
        <row r="15">
          <cell r="A15">
            <v>8</v>
          </cell>
        </row>
        <row r="16">
          <cell r="A16">
            <v>9</v>
          </cell>
        </row>
        <row r="17">
          <cell r="A17">
            <v>10</v>
          </cell>
        </row>
        <row r="18">
          <cell r="A18">
            <v>11</v>
          </cell>
        </row>
        <row r="19">
          <cell r="A19">
            <v>12</v>
          </cell>
        </row>
        <row r="20">
          <cell r="A20">
            <v>13</v>
          </cell>
        </row>
        <row r="21">
          <cell r="A21">
            <v>14</v>
          </cell>
        </row>
        <row r="22">
          <cell r="A22">
            <v>15</v>
          </cell>
        </row>
        <row r="23">
          <cell r="A23">
            <v>16</v>
          </cell>
        </row>
        <row r="24">
          <cell r="A24">
            <v>17</v>
          </cell>
        </row>
      </sheetData>
      <sheetData sheetId="1" refreshError="1"/>
      <sheetData sheetId="2" refreshError="1"/>
      <sheetData sheetId="3" refreshError="1"/>
      <sheetData sheetId="4" refreshError="1"/>
      <sheetData sheetId="5" refreshError="1"/>
      <sheetData sheetId="6" refreshError="1"/>
      <sheetData sheetId="7" refreshError="1">
        <row r="116">
          <cell r="G116">
            <v>1</v>
          </cell>
          <cell r="H116">
            <v>0</v>
          </cell>
        </row>
        <row r="117">
          <cell r="G117">
            <v>2</v>
          </cell>
          <cell r="H117">
            <v>0</v>
          </cell>
        </row>
        <row r="118">
          <cell r="G118">
            <v>3</v>
          </cell>
          <cell r="H118">
            <v>0</v>
          </cell>
        </row>
        <row r="119">
          <cell r="G119">
            <v>4</v>
          </cell>
          <cell r="H119">
            <v>0</v>
          </cell>
        </row>
        <row r="120">
          <cell r="G120">
            <v>5</v>
          </cell>
          <cell r="H120">
            <v>0</v>
          </cell>
        </row>
        <row r="121">
          <cell r="G121">
            <v>6</v>
          </cell>
          <cell r="H121">
            <v>0</v>
          </cell>
        </row>
        <row r="122">
          <cell r="G122">
            <v>7</v>
          </cell>
          <cell r="H122">
            <v>0</v>
          </cell>
        </row>
        <row r="123">
          <cell r="G123">
            <v>8</v>
          </cell>
          <cell r="H123">
            <v>0</v>
          </cell>
        </row>
        <row r="124">
          <cell r="G124">
            <v>9</v>
          </cell>
          <cell r="H124">
            <v>0</v>
          </cell>
        </row>
        <row r="125">
          <cell r="G125">
            <v>10</v>
          </cell>
          <cell r="H125">
            <v>0</v>
          </cell>
        </row>
        <row r="126">
          <cell r="G126">
            <v>11</v>
          </cell>
          <cell r="H126">
            <v>0</v>
          </cell>
        </row>
        <row r="127">
          <cell r="G127">
            <v>12</v>
          </cell>
          <cell r="H127">
            <v>0</v>
          </cell>
        </row>
        <row r="128">
          <cell r="G128">
            <v>13</v>
          </cell>
          <cell r="H128">
            <v>0</v>
          </cell>
        </row>
        <row r="129">
          <cell r="G129">
            <v>14</v>
          </cell>
          <cell r="H129">
            <v>0</v>
          </cell>
        </row>
        <row r="130">
          <cell r="G130">
            <v>15</v>
          </cell>
          <cell r="H130">
            <v>0</v>
          </cell>
        </row>
        <row r="131">
          <cell r="G131">
            <v>16</v>
          </cell>
          <cell r="H131">
            <v>0</v>
          </cell>
        </row>
        <row r="132">
          <cell r="G132">
            <v>17</v>
          </cell>
          <cell r="H132">
            <v>0</v>
          </cell>
        </row>
        <row r="133">
          <cell r="G133">
            <v>18</v>
          </cell>
          <cell r="H133">
            <v>0</v>
          </cell>
        </row>
        <row r="134">
          <cell r="G134">
            <v>19</v>
          </cell>
          <cell r="H134">
            <v>0</v>
          </cell>
        </row>
        <row r="135">
          <cell r="G135">
            <v>20</v>
          </cell>
          <cell r="H135">
            <v>0</v>
          </cell>
        </row>
        <row r="136">
          <cell r="G136">
            <v>21</v>
          </cell>
          <cell r="H136">
            <v>0</v>
          </cell>
        </row>
        <row r="137">
          <cell r="G137">
            <v>22</v>
          </cell>
          <cell r="H137">
            <v>0</v>
          </cell>
        </row>
        <row r="138">
          <cell r="G138">
            <v>23</v>
          </cell>
          <cell r="H138">
            <v>0</v>
          </cell>
        </row>
        <row r="139">
          <cell r="G139">
            <v>24</v>
          </cell>
          <cell r="H139">
            <v>0</v>
          </cell>
        </row>
        <row r="140">
          <cell r="G140">
            <v>25</v>
          </cell>
          <cell r="H140">
            <v>0</v>
          </cell>
        </row>
        <row r="141">
          <cell r="G141">
            <v>26</v>
          </cell>
          <cell r="H141">
            <v>0</v>
          </cell>
        </row>
        <row r="142">
          <cell r="G142">
            <v>27</v>
          </cell>
          <cell r="H142">
            <v>0</v>
          </cell>
        </row>
        <row r="143">
          <cell r="G143">
            <v>28</v>
          </cell>
          <cell r="H143">
            <v>0</v>
          </cell>
        </row>
        <row r="144">
          <cell r="G144">
            <v>29</v>
          </cell>
          <cell r="H144">
            <v>0</v>
          </cell>
        </row>
        <row r="145">
          <cell r="G145">
            <v>30</v>
          </cell>
          <cell r="H145">
            <v>0</v>
          </cell>
        </row>
      </sheetData>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ENTREGA"/>
      <sheetName val="2_APERTURA DE SOBRES"/>
      <sheetName val="5,1. REQUISITOS JURÍDICOS"/>
      <sheetName val="5.2.1 EXPERIENCIA GRAL"/>
      <sheetName val="5.3 CAP FINANCIERA"/>
      <sheetName val="5.4 REQUISITOS COMERCIALES"/>
      <sheetName val="V_UNITARIOS"/>
      <sheetName val="PRESUPUESTO"/>
      <sheetName val="RESUMEN"/>
      <sheetName val="Cálculo Pt2"/>
      <sheetName val="10. EVALUACIÓN"/>
    </sheetNames>
    <sheetDataSet>
      <sheetData sheetId="0"/>
      <sheetData sheetId="1"/>
      <sheetData sheetId="2"/>
      <sheetData sheetId="3"/>
      <sheetData sheetId="4"/>
      <sheetData sheetId="5"/>
      <sheetData sheetId="6">
        <row r="12">
          <cell r="KM12" t="str">
            <v>1</v>
          </cell>
          <cell r="KN12" t="str">
            <v xml:space="preserve">PINTURAS ACRÍLICAS </v>
          </cell>
          <cell r="KO12">
            <v>0</v>
          </cell>
          <cell r="KP12">
            <v>0</v>
          </cell>
          <cell r="KQ12">
            <v>0</v>
          </cell>
          <cell r="KR12">
            <v>0</v>
          </cell>
          <cell r="LD12" t="str">
            <v>1</v>
          </cell>
          <cell r="LE12" t="str">
            <v xml:space="preserve">PINTURAS ACRÍLICAS </v>
          </cell>
          <cell r="LF12">
            <v>0</v>
          </cell>
          <cell r="LG12">
            <v>0</v>
          </cell>
          <cell r="LH12">
            <v>0</v>
          </cell>
          <cell r="LI12">
            <v>0</v>
          </cell>
        </row>
        <row r="13">
          <cell r="KM13">
            <v>1.1000000000000001</v>
          </cell>
          <cell r="KN13" t="str">
            <v>Aplicación de PINTURA ACRÍLICA tipo KORAZA o equivalente para exteriores (hidrorepelente) de primera calidad que cumpla con la Norma NTC 1335, para ser aplicada sobre muros y techos, en superficies con revoque, estucadas, Drywall, Superboard, incluye: Suministro,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v>
          </cell>
          <cell r="KO13" t="str">
            <v>m2</v>
          </cell>
          <cell r="KP13">
            <v>1</v>
          </cell>
          <cell r="KQ13">
            <v>10786.8</v>
          </cell>
          <cell r="KR13">
            <v>10786.8</v>
          </cell>
          <cell r="LD13">
            <v>1.1000000000000001</v>
          </cell>
          <cell r="LE13" t="str">
            <v>Aplicación de PINTURA ACRÍLICA tipo KORAZA o equivalente para exteriores (hidrorepelente) de primera calidad que cumpla con la Norma NTC 1335, para ser aplicada sobre muros y techos, en superficies con revoque, estucadas, Drywall, Superboard, incluye: Suministro,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v>
          </cell>
          <cell r="LF13" t="str">
            <v>m2</v>
          </cell>
          <cell r="LG13">
            <v>1</v>
          </cell>
          <cell r="LH13">
            <v>18000</v>
          </cell>
          <cell r="LI13">
            <v>18000</v>
          </cell>
        </row>
        <row r="14">
          <cell r="KM14">
            <v>1.2</v>
          </cell>
          <cell r="KN14" t="str">
            <v>Aplicación de PINTURA ACRILICA, tipo Koraza para muros en ladrillo a la vista, incluye: Suministro, mano de obra, transporte horizontal y vertical, preparación de superficie, pintura acrílica sobre el  ladrillo, pintura acrílica color gris basalto para la pega de mortero, resanes, emporada, disolvente,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v>
          </cell>
          <cell r="KO14" t="str">
            <v>m2</v>
          </cell>
          <cell r="KP14">
            <v>1</v>
          </cell>
          <cell r="KQ14">
            <v>11423.1</v>
          </cell>
          <cell r="KR14">
            <v>11423.1</v>
          </cell>
          <cell r="LD14">
            <v>1.2</v>
          </cell>
          <cell r="LE14" t="str">
            <v>Aplicación de PINTURA ACRILICA, tipo Koraza para muros en ladrillo a la vista, incluye: Suministro, mano de obra, transporte horizontal y vertical, preparación de superficie, pintura acrílica sobre el  ladrillo, pintura acrílica color gris basalto para la pega de mortero, resanes, emporada, disolvente,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v>
          </cell>
          <cell r="LF14" t="str">
            <v>m2</v>
          </cell>
          <cell r="LG14">
            <v>1</v>
          </cell>
          <cell r="LH14">
            <v>19000</v>
          </cell>
          <cell r="LI14">
            <v>19000</v>
          </cell>
        </row>
        <row r="15">
          <cell r="KM15">
            <v>1.3</v>
          </cell>
          <cell r="KN15" t="str">
            <v>Aplicación de pintura acrílica para VIGAS Y COLUMNAS, tipo Koraza  incluye: Suministro, mano de obra, transporte horizontal y vertical, preparación de superficie, resanes, emporada,  pintura acrílica color gris basalto,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15" t="str">
            <v>m2</v>
          </cell>
          <cell r="KP15">
            <v>1</v>
          </cell>
          <cell r="KQ15">
            <v>10504</v>
          </cell>
          <cell r="KR15">
            <v>10504</v>
          </cell>
          <cell r="LD15">
            <v>1.3</v>
          </cell>
          <cell r="LE15" t="str">
            <v>Aplicación de pintura acrílica para VIGAS Y COLUMNAS, tipo Koraza  incluye: Suministro, mano de obra, transporte horizontal y vertical, preparación de superficie, resanes, emporada,  pintura acrílica color gris basalto,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15" t="str">
            <v>m2</v>
          </cell>
          <cell r="LG15">
            <v>1</v>
          </cell>
          <cell r="LH15">
            <v>23000</v>
          </cell>
          <cell r="LI15">
            <v>23000</v>
          </cell>
        </row>
        <row r="16">
          <cell r="KM16">
            <v>1.4</v>
          </cell>
          <cell r="KN16" t="str">
            <v>Aplicación de pintura acrílica para CALADOS A LA VISTA, tipo Koraza incluye: Suministro, mano de obra, transporte horizontal y vertical,  preparación de superficie, pintura acrílica color gris basalto,  resanes, emporada,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16" t="str">
            <v>m2</v>
          </cell>
          <cell r="KP16">
            <v>1</v>
          </cell>
          <cell r="KQ16">
            <v>10726.2</v>
          </cell>
          <cell r="KR16">
            <v>10726.2</v>
          </cell>
          <cell r="LD16">
            <v>1.4</v>
          </cell>
          <cell r="LE16" t="str">
            <v>Aplicación de pintura acrílica para CALADOS A LA VISTA, tipo Koraza incluye: Suministro, mano de obra, transporte horizontal y vertical,  preparación de superficie, pintura acrílica color gris basalto,  resanes, emporada,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16" t="str">
            <v>m2</v>
          </cell>
          <cell r="LG16">
            <v>1</v>
          </cell>
          <cell r="LH16">
            <v>18000</v>
          </cell>
          <cell r="LI16">
            <v>18000</v>
          </cell>
        </row>
        <row r="17">
          <cell r="KM17">
            <v>1.5</v>
          </cell>
          <cell r="KN17" t="str">
            <v>Aplicación de Pintura a base de aceite para PASAMANOS REDONDOS con diámetros entre 5cm y 8cm, tipo Pintulux. Incluye: Suministro, mano de obra, transporte horizontal y vertical, preparación de la superficie, pintura acrílica,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17" t="str">
            <v>m</v>
          </cell>
          <cell r="KP17">
            <v>1</v>
          </cell>
          <cell r="KQ17">
            <v>5878.2</v>
          </cell>
          <cell r="KR17">
            <v>5878.2</v>
          </cell>
          <cell r="LD17">
            <v>1.5</v>
          </cell>
          <cell r="LE17" t="str">
            <v>Aplicación de Pintura a base de aceite para PASAMANOS REDONDOS con diámetros entre 5cm y 8cm, tipo Pintulux. Incluye: Suministro, mano de obra, transporte horizontal y vertical, preparación de la superficie, pintura acrílica,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17" t="str">
            <v>m</v>
          </cell>
          <cell r="LG17">
            <v>1</v>
          </cell>
          <cell r="LH17">
            <v>22000</v>
          </cell>
          <cell r="LI17">
            <v>22000</v>
          </cell>
        </row>
        <row r="18">
          <cell r="KM18">
            <v>1.6</v>
          </cell>
          <cell r="KN18" t="str">
            <v>Aplicación de RECUBRIMIENTO PROTECTOR DE POLIURETANO (dos componentes relación A:B= 4:1) tipo Sikauretano o equivalente, sobre muros de bloque de concreto para protección antigrafiti, dos manos o las necesarias para lograr una buena protección a la intemperie a satisfacción de la interventoría, color transparente semi mate.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v>
          </cell>
          <cell r="KO18" t="str">
            <v>m2</v>
          </cell>
          <cell r="KP18">
            <v>1</v>
          </cell>
          <cell r="KQ18">
            <v>12120</v>
          </cell>
          <cell r="KR18">
            <v>12120</v>
          </cell>
          <cell r="LD18">
            <v>1.6</v>
          </cell>
          <cell r="LE18" t="str">
            <v>Aplicación de RECUBRIMIENTO PROTECTOR DE POLIURETANO (dos componentes relación A:B= 4:1) tipo Sikauretano o equivalente, sobre muros de bloque de concreto para protección antigrafiti, dos manos o las necesarias para lograr una buena protección a la intemperie a satisfacción de la interventoría, color transparente semi mate.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v>
          </cell>
          <cell r="LF18" t="str">
            <v>m2</v>
          </cell>
          <cell r="LG18">
            <v>1</v>
          </cell>
          <cell r="LH18">
            <v>30000</v>
          </cell>
          <cell r="LI18">
            <v>30000</v>
          </cell>
        </row>
        <row r="19">
          <cell r="KM19">
            <v>1.7</v>
          </cell>
          <cell r="KN19" t="str">
            <v>Pintura IMPERMEABILIZANTE de corona ref: 407251001, apta para resistir presión negativa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v>
          </cell>
          <cell r="KO19" t="str">
            <v>m2</v>
          </cell>
          <cell r="KP19">
            <v>1</v>
          </cell>
          <cell r="KQ19">
            <v>14443</v>
          </cell>
          <cell r="KR19">
            <v>14443</v>
          </cell>
          <cell r="LD19">
            <v>1.7</v>
          </cell>
          <cell r="LE19" t="str">
            <v>Pintura IMPERMEABILIZANTE de corona ref: 407251001, apta para resistir presión negativa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v>
          </cell>
          <cell r="LF19" t="str">
            <v>m2</v>
          </cell>
          <cell r="LG19">
            <v>1</v>
          </cell>
          <cell r="LH19">
            <v>40000</v>
          </cell>
          <cell r="LI19">
            <v>40000</v>
          </cell>
        </row>
        <row r="20">
          <cell r="KM20" t="str">
            <v>2</v>
          </cell>
          <cell r="KN20" t="str">
            <v>PINTURAS VINÍLICAS</v>
          </cell>
          <cell r="KO20">
            <v>0</v>
          </cell>
          <cell r="KP20">
            <v>0</v>
          </cell>
          <cell r="KQ20">
            <v>0</v>
          </cell>
          <cell r="KR20">
            <v>0</v>
          </cell>
          <cell r="LD20" t="str">
            <v>2</v>
          </cell>
          <cell r="LE20" t="str">
            <v>PINTURAS VINÍLICAS</v>
          </cell>
          <cell r="LF20">
            <v>0</v>
          </cell>
          <cell r="LG20">
            <v>0</v>
          </cell>
          <cell r="LH20">
            <v>0</v>
          </cell>
          <cell r="LI20">
            <v>0</v>
          </cell>
        </row>
        <row r="21">
          <cell r="KM21">
            <v>2.1</v>
          </cell>
          <cell r="KN21" t="str">
            <v>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v>
          </cell>
          <cell r="KO21" t="str">
            <v>m2</v>
          </cell>
          <cell r="KP21">
            <v>1</v>
          </cell>
          <cell r="KQ21">
            <v>10908</v>
          </cell>
          <cell r="KR21">
            <v>10908</v>
          </cell>
          <cell r="LD21">
            <v>2.1</v>
          </cell>
          <cell r="LE21" t="str">
            <v>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v>
          </cell>
          <cell r="LF21" t="str">
            <v>m2</v>
          </cell>
          <cell r="LG21">
            <v>1</v>
          </cell>
          <cell r="LH21">
            <v>17000</v>
          </cell>
          <cell r="LI21">
            <v>17000</v>
          </cell>
        </row>
        <row r="22">
          <cell r="KM22">
            <v>2.2000000000000002</v>
          </cell>
          <cell r="KN22" t="str">
            <v>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v>
          </cell>
          <cell r="KO22" t="str">
            <v>m2</v>
          </cell>
          <cell r="KP22">
            <v>1</v>
          </cell>
          <cell r="KQ22">
            <v>11514</v>
          </cell>
          <cell r="KR22">
            <v>11514</v>
          </cell>
          <cell r="LD22">
            <v>2.2000000000000002</v>
          </cell>
          <cell r="LE22" t="str">
            <v>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v>
          </cell>
          <cell r="LF22" t="str">
            <v>m2</v>
          </cell>
          <cell r="LG22">
            <v>1</v>
          </cell>
          <cell r="LH22">
            <v>16000</v>
          </cell>
          <cell r="LI22">
            <v>16000</v>
          </cell>
        </row>
        <row r="23">
          <cell r="KM23">
            <v>2.2999999999999998</v>
          </cell>
          <cell r="KN23" t="str">
            <v>Aplicación de PINTURA VINILICA tipo 1, para MUROS EN LADRILLO RANURADO A LA VISTA, incluye: Suministro, mano de obra, transporte horizontal y vertical, preparación de superficie, pintura vinílica tipo 1 sobre el  ladrillo, resanes, emporada,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v>
          </cell>
          <cell r="KO23" t="str">
            <v>m2</v>
          </cell>
          <cell r="KP23">
            <v>1</v>
          </cell>
          <cell r="KQ23">
            <v>11312</v>
          </cell>
          <cell r="KR23">
            <v>11312</v>
          </cell>
          <cell r="LD23">
            <v>2.2999999999999998</v>
          </cell>
          <cell r="LE23" t="str">
            <v>Aplicación de PINTURA VINILICA tipo 1, para MUROS EN LADRILLO RANURADO A LA VISTA, incluye: Suministro, mano de obra, transporte horizontal y vertical, preparación de superficie, pintura vinílica tipo 1 sobre el  ladrillo, resanes, emporada,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v>
          </cell>
          <cell r="LF23" t="str">
            <v>m2</v>
          </cell>
          <cell r="LG23">
            <v>1</v>
          </cell>
          <cell r="LH23">
            <v>16000</v>
          </cell>
          <cell r="LI23">
            <v>16000</v>
          </cell>
        </row>
        <row r="24">
          <cell r="KM24">
            <v>2.4</v>
          </cell>
          <cell r="KN24" t="str">
            <v>Aplicación de PINTURA VINILICA tipo 1 color GRIS BASALTO para VIGAS Y COLUMNAS, ancho entre 0.20 - 0.40 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24" t="str">
            <v>m</v>
          </cell>
          <cell r="KP24">
            <v>1</v>
          </cell>
          <cell r="KQ24">
            <v>10302</v>
          </cell>
          <cell r="KR24">
            <v>10302</v>
          </cell>
          <cell r="LD24">
            <v>2.4</v>
          </cell>
          <cell r="LE24" t="str">
            <v>Aplicación de PINTURA VINILICA tipo 1 color GRIS BASALTO para VIGAS Y COLUMNAS, ancho entre 0.20 - 0.40 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24" t="str">
            <v>m</v>
          </cell>
          <cell r="LG24">
            <v>1</v>
          </cell>
          <cell r="LH24">
            <v>8500</v>
          </cell>
          <cell r="LI24">
            <v>8500</v>
          </cell>
        </row>
        <row r="25">
          <cell r="KM25">
            <v>2.5</v>
          </cell>
          <cell r="KN25" t="str">
            <v>Aplicación de PINTURA VINILICA tipo 1 para CALADOS A LA VISTA,  incluye: Suministro, mano de obra, transporte horizontal y vertical,  preparación de superficie, pintura vinílica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25" t="str">
            <v>m2</v>
          </cell>
          <cell r="KP25">
            <v>1</v>
          </cell>
          <cell r="KQ25">
            <v>9292</v>
          </cell>
          <cell r="KR25">
            <v>9292</v>
          </cell>
          <cell r="LD25">
            <v>2.5</v>
          </cell>
          <cell r="LE25" t="str">
            <v>Aplicación de PINTURA VINILICA tipo 1 para CALADOS A LA VISTA,  incluye: Suministro, mano de obra, transporte horizontal y vertical,  preparación de superficie, pintura vinílica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25" t="str">
            <v>m2</v>
          </cell>
          <cell r="LG25">
            <v>1</v>
          </cell>
          <cell r="LH25">
            <v>14000</v>
          </cell>
          <cell r="LI25">
            <v>14000</v>
          </cell>
        </row>
        <row r="26">
          <cell r="KM26">
            <v>2.6</v>
          </cell>
          <cell r="KN26" t="str">
            <v>Pintura a base de CAL APAGADA para ser aplicada en edificios patrimoniales sobre CIELOS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KO26" t="str">
            <v>m2</v>
          </cell>
          <cell r="KP26">
            <v>1</v>
          </cell>
          <cell r="KQ26">
            <v>7575</v>
          </cell>
          <cell r="KR26">
            <v>7575</v>
          </cell>
          <cell r="LD26">
            <v>2.6</v>
          </cell>
          <cell r="LE26" t="str">
            <v>Pintura a base de CAL APAGADA para ser aplicada en edificios patrimoniales sobre CIELOS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LF26" t="str">
            <v>m2</v>
          </cell>
          <cell r="LG26">
            <v>1</v>
          </cell>
          <cell r="LH26">
            <v>12000</v>
          </cell>
          <cell r="LI26">
            <v>12000</v>
          </cell>
        </row>
        <row r="27">
          <cell r="KM27">
            <v>2.7</v>
          </cell>
          <cell r="KN27" t="str">
            <v>Pintura a base de CAL APAGADA para ser aplicada en edificios patrimoniales sobre MUROS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KO27" t="str">
            <v>m2</v>
          </cell>
          <cell r="KP27">
            <v>1</v>
          </cell>
          <cell r="KQ27">
            <v>75770.2</v>
          </cell>
          <cell r="KR27">
            <v>75770.2</v>
          </cell>
          <cell r="LD27">
            <v>2.7</v>
          </cell>
          <cell r="LE27" t="str">
            <v>Pintura a base de CAL APAGADA para ser aplicada en edificios patrimoniales sobre MUROS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LF27" t="str">
            <v>m2</v>
          </cell>
          <cell r="LG27">
            <v>1</v>
          </cell>
          <cell r="LH27">
            <v>11000</v>
          </cell>
          <cell r="LI27">
            <v>11000</v>
          </cell>
        </row>
        <row r="28">
          <cell r="KM28">
            <v>2.8</v>
          </cell>
          <cell r="KN28" t="str">
            <v>Pintura a base de CAL APAGADA para ser aplicada en edificios patrimoniales sobre cielos y muros (CENEFAS ENTRE 10cm y 15cm)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KO28" t="str">
            <v>m</v>
          </cell>
          <cell r="KP28">
            <v>1</v>
          </cell>
          <cell r="KQ28">
            <v>5282.3</v>
          </cell>
          <cell r="KR28">
            <v>5282.3</v>
          </cell>
          <cell r="LD28">
            <v>2.8</v>
          </cell>
          <cell r="LE28" t="str">
            <v>Pintura a base de CAL APAGADA para ser aplicada en edificios patrimoniales sobre cielos y muros (CENEFAS ENTRE 10cm y 15cm)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LF28" t="str">
            <v>m</v>
          </cell>
          <cell r="LG28">
            <v>1</v>
          </cell>
          <cell r="LH28">
            <v>6000</v>
          </cell>
          <cell r="LI28">
            <v>6000</v>
          </cell>
        </row>
        <row r="29">
          <cell r="KM29">
            <v>2.9</v>
          </cell>
          <cell r="KN29" t="str">
            <v>Pintura a base de CAL APAGADA para ser aplicada en edificios patrimoniales sobre cielos y muros (LÍNEAS EN CENEFA)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KO29" t="str">
            <v>m</v>
          </cell>
          <cell r="KP29">
            <v>1</v>
          </cell>
          <cell r="KQ29">
            <v>6363</v>
          </cell>
          <cell r="KR29">
            <v>6363</v>
          </cell>
          <cell r="LD29">
            <v>2.9</v>
          </cell>
          <cell r="LE29" t="str">
            <v>Pintura a base de CAL APAGADA para ser aplicada en edificios patrimoniales sobre cielos y muros (LÍNEAS EN CENEFA)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LF29" t="str">
            <v>m</v>
          </cell>
          <cell r="LG29">
            <v>1</v>
          </cell>
          <cell r="LH29">
            <v>6000</v>
          </cell>
          <cell r="LI29">
            <v>6000</v>
          </cell>
        </row>
        <row r="30">
          <cell r="KM30">
            <v>2.1</v>
          </cell>
          <cell r="KN30" t="str">
            <v>Pintura tipo ESMALTE transparente semi brillante aplicada en edificios patrimoniales sobre muros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v>
          </cell>
          <cell r="KO30" t="str">
            <v>m2</v>
          </cell>
          <cell r="KP30">
            <v>1</v>
          </cell>
          <cell r="KQ30">
            <v>12221</v>
          </cell>
          <cell r="KR30">
            <v>12221</v>
          </cell>
          <cell r="LD30">
            <v>2.1</v>
          </cell>
          <cell r="LE30" t="str">
            <v>Pintura tipo ESMALTE transparente semi brillante aplicada en edificios patrimoniales sobre muros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v>
          </cell>
          <cell r="LF30" t="str">
            <v>m2</v>
          </cell>
          <cell r="LG30">
            <v>1</v>
          </cell>
          <cell r="LH30">
            <v>22000</v>
          </cell>
          <cell r="LI30">
            <v>22000</v>
          </cell>
        </row>
        <row r="31">
          <cell r="KM31">
            <v>2.11</v>
          </cell>
          <cell r="KN31" t="str">
            <v>Aplicación de PINTURA VINÍLICA PARA GUARDAESCOBA e=10cm, incluye: Suministro, mano de obra, transporte horizontal y vertical, peparación de sperficie, pintura vinilica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31" t="str">
            <v>m</v>
          </cell>
          <cell r="KP31">
            <v>1</v>
          </cell>
          <cell r="KQ31">
            <v>3232</v>
          </cell>
          <cell r="KR31">
            <v>3232</v>
          </cell>
          <cell r="LD31">
            <v>2.11</v>
          </cell>
          <cell r="LE31" t="str">
            <v>Aplicación de PINTURA VINÍLICA PARA GUARDAESCOBA e=10cm, incluye: Suministro, mano de obra, transporte horizontal y vertical, peparación de sperficie, pintura vinilica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31" t="str">
            <v>m</v>
          </cell>
          <cell r="LG31">
            <v>1</v>
          </cell>
          <cell r="LH31">
            <v>6000</v>
          </cell>
          <cell r="LI31">
            <v>6000</v>
          </cell>
        </row>
        <row r="32">
          <cell r="KM32">
            <v>2.12</v>
          </cell>
          <cell r="KN32" t="str">
            <v>Aplicación de PINTURA VINÍLICA TIPO 1 para interiores 1 MANO, muros y cielos tipo viniltex o similar aplicada sobre superficies de revoque estucadas y superficies de Drywall y Superboard. Incluye: Suministro, mano de obra, transporte horizontal y vertical, preparación de superficie hasta garantizar un buen puente de adherencia, emporad, resanes, retiro de pintura existente de ser necesario, herramienta, equipo, retiro y reinstalación de cuadros, carteleras, clavos y todos los elementos necesarios para su correcta aplicación.  NO INCLUYE ANDAMIOS</v>
          </cell>
          <cell r="KO32" t="str">
            <v>m2</v>
          </cell>
          <cell r="KP32">
            <v>1</v>
          </cell>
          <cell r="KQ32">
            <v>7676</v>
          </cell>
          <cell r="KR32">
            <v>7676</v>
          </cell>
          <cell r="LD32">
            <v>2.12</v>
          </cell>
          <cell r="LE32" t="str">
            <v>Aplicación de PINTURA VINÍLICA TIPO 1 para interiores 1 MANO, muros y cielos tipo viniltex o similar aplicada sobre superficies de revoque estucadas y superficies de Drywall y Superboard. Incluye: Suministro, mano de obra, transporte horizontal y vertical, preparación de superficie hasta garantizar un buen puente de adherencia, emporad, resanes, retiro de pintura existente de ser necesario, herramienta, equipo, retiro y reinstalación de cuadros, carteleras, clavos y todos los elementos necesarios para su correcta aplicación.  NO INCLUYE ANDAMIOS</v>
          </cell>
          <cell r="LF32" t="str">
            <v>m2</v>
          </cell>
          <cell r="LG32">
            <v>1</v>
          </cell>
          <cell r="LH32">
            <v>13000</v>
          </cell>
          <cell r="LI32">
            <v>13000</v>
          </cell>
        </row>
        <row r="33">
          <cell r="KM33" t="str">
            <v>2.13</v>
          </cell>
          <cell r="KN33" t="str">
            <v>Suministro de MANO DE OBRA para aplicación de Pintura VINÍLICA a 2 manos en MUROS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v>
          </cell>
          <cell r="KO33" t="str">
            <v>m2</v>
          </cell>
          <cell r="KP33">
            <v>1</v>
          </cell>
          <cell r="KQ33">
            <v>5151</v>
          </cell>
          <cell r="KR33">
            <v>5151</v>
          </cell>
          <cell r="LD33" t="str">
            <v>2.13</v>
          </cell>
          <cell r="LE33" t="str">
            <v>Suministro de MANO DE OBRA para aplicación de Pintura VINÍLICA a 2 manos en MUROS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v>
          </cell>
          <cell r="LF33" t="str">
            <v>m2</v>
          </cell>
          <cell r="LG33">
            <v>1</v>
          </cell>
          <cell r="LH33">
            <v>12000</v>
          </cell>
          <cell r="LI33">
            <v>12000</v>
          </cell>
        </row>
        <row r="34">
          <cell r="KM34" t="str">
            <v>3</v>
          </cell>
          <cell r="KN34" t="str">
            <v>PINTURAS TIPO TRÁFICO  Y PINTURA PARA CANCHAS</v>
          </cell>
          <cell r="KO34">
            <v>0</v>
          </cell>
          <cell r="KP34">
            <v>0</v>
          </cell>
          <cell r="KQ34">
            <v>0</v>
          </cell>
          <cell r="KR34">
            <v>0</v>
          </cell>
          <cell r="LD34" t="str">
            <v>3</v>
          </cell>
          <cell r="LE34" t="str">
            <v>PINTURAS TIPO TRÁFICO  Y PINTURA PARA CANCHAS</v>
          </cell>
          <cell r="LF34">
            <v>0</v>
          </cell>
          <cell r="LG34">
            <v>0</v>
          </cell>
          <cell r="LH34">
            <v>0</v>
          </cell>
          <cell r="LI34">
            <v>0</v>
          </cell>
        </row>
        <row r="35">
          <cell r="KM35">
            <v>3.1</v>
          </cell>
          <cell r="KN35" t="str">
            <v>Aplicación de Pintura tipo TRÁFICO ACRÍLICA de pintuco o equivalente aplicada sobre superfices de CONCRETO,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de Pintuco o similar, marcaciónes necesarias según norma o especifiaciones de la interventoría, herramienta, equipo, retiro y reinstalación de cuadros, carteleras, clavos y todos los elementos necesarios para su correcta ejecución y funcionamiento.</v>
          </cell>
          <cell r="KO35" t="str">
            <v>m2</v>
          </cell>
          <cell r="KP35">
            <v>1</v>
          </cell>
          <cell r="KQ35">
            <v>35552</v>
          </cell>
          <cell r="KR35">
            <v>35552</v>
          </cell>
          <cell r="LD35">
            <v>3.1</v>
          </cell>
          <cell r="LE35" t="str">
            <v>Aplicación de Pintura tipo TRÁFICO ACRÍLICA de pintuco o equivalente aplicada sobre superfices de CONCRETO,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de Pintuco o similar, marcaciónes necesarias según norma o especifiaciones de la interventoría, herramienta, equipo, retiro y reinstalación de cuadros, carteleras, clavos y todos los elementos necesarios para su correcta ejecución y funcionamiento.</v>
          </cell>
          <cell r="LF35" t="str">
            <v>m2</v>
          </cell>
          <cell r="LG35">
            <v>1</v>
          </cell>
          <cell r="LH35">
            <v>38000</v>
          </cell>
          <cell r="LI35">
            <v>38000</v>
          </cell>
        </row>
        <row r="36">
          <cell r="KM36">
            <v>3.2</v>
          </cell>
          <cell r="KN36" t="str">
            <v>Aplicación de Pintura tipo TRÁFICO ACRÍLICA aplicada sobre superfices de ASFALTO,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Pintuco o similar, marcaciónes necesarias según norma o especifiaciones de la interventoría, herramienta, equipo y todos los elementos necesarios para su correcta ejecución y funcionamiento.</v>
          </cell>
          <cell r="KO36" t="str">
            <v>m2</v>
          </cell>
          <cell r="KP36">
            <v>1</v>
          </cell>
          <cell r="KQ36">
            <v>17675</v>
          </cell>
          <cell r="KR36">
            <v>17675</v>
          </cell>
          <cell r="LD36">
            <v>3.2</v>
          </cell>
          <cell r="LE36" t="str">
            <v>Aplicación de Pintura tipo TRÁFICO ACRÍLICA aplicada sobre superfices de ASFALTO,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Pintuco o similar, marcaciónes necesarias según norma o especifiaciones de la interventoría, herramienta, equipo y todos los elementos necesarios para su correcta ejecución y funcionamiento.</v>
          </cell>
          <cell r="LF36" t="str">
            <v>m2</v>
          </cell>
          <cell r="LG36">
            <v>1</v>
          </cell>
          <cell r="LH36">
            <v>38000</v>
          </cell>
          <cell r="LI36">
            <v>38000</v>
          </cell>
        </row>
        <row r="37">
          <cell r="KM37">
            <v>3.3</v>
          </cell>
          <cell r="KN37" t="str">
            <v>Aplicación de Pintura tipo TRÁFICO ACRÍLICA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KO37" t="str">
            <v>un</v>
          </cell>
          <cell r="KP37">
            <v>1</v>
          </cell>
          <cell r="KQ37">
            <v>353500</v>
          </cell>
          <cell r="KR37">
            <v>353500</v>
          </cell>
          <cell r="LD37">
            <v>3.3</v>
          </cell>
          <cell r="LE37" t="str">
            <v>Aplicación de Pintura tipo TRÁFICO ACRÍLICA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LF37" t="str">
            <v>un</v>
          </cell>
          <cell r="LG37">
            <v>1</v>
          </cell>
          <cell r="LH37">
            <v>420000</v>
          </cell>
          <cell r="LI37">
            <v>420000</v>
          </cell>
        </row>
        <row r="38">
          <cell r="KM38">
            <v>3.4</v>
          </cell>
          <cell r="KN38" t="str">
            <v>Aplicación de Pintura tipo TRÁFICO ACRÍLICA en elementos de señalización para PERSONAS CON MOVILIDAD REDUCIDA con medidas de 1,00m*1,00m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KO38" t="str">
            <v>un</v>
          </cell>
          <cell r="KP38">
            <v>1</v>
          </cell>
          <cell r="KQ38">
            <v>17372</v>
          </cell>
          <cell r="KR38">
            <v>17372</v>
          </cell>
          <cell r="LD38">
            <v>3.4</v>
          </cell>
          <cell r="LE38" t="str">
            <v>Aplicación de Pintura tipo TRÁFICO ACRÍLICA en elementos de señalización para PERSONAS CON MOVILIDAD REDUCIDA con medidas de 1,00m*1,00m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LF38" t="str">
            <v>un</v>
          </cell>
          <cell r="LG38">
            <v>1</v>
          </cell>
          <cell r="LH38">
            <v>75000</v>
          </cell>
          <cell r="LI38">
            <v>75000</v>
          </cell>
        </row>
        <row r="39">
          <cell r="KM39">
            <v>3.5</v>
          </cell>
          <cell r="KN39" t="str">
            <v>Aplicación de Pintura tipo TRÁFICO ACRÍLICA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KO39" t="str">
            <v>un</v>
          </cell>
          <cell r="KP39">
            <v>1</v>
          </cell>
          <cell r="KQ39">
            <v>454500</v>
          </cell>
          <cell r="KR39">
            <v>454500</v>
          </cell>
          <cell r="LD39">
            <v>3.5</v>
          </cell>
          <cell r="LE39" t="str">
            <v>Aplicación de Pintura tipo TRÁFICO ACRÍLICA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LF39" t="str">
            <v>un</v>
          </cell>
          <cell r="LG39">
            <v>1</v>
          </cell>
          <cell r="LH39">
            <v>650000</v>
          </cell>
          <cell r="LI39">
            <v>650000</v>
          </cell>
        </row>
        <row r="40">
          <cell r="KM40">
            <v>3.6</v>
          </cell>
          <cell r="KN40" t="str">
            <v>Aplicación de Pintura tipo TRÁFICO ACRÍLICA para demarcación de CELDAS DE PARQUEADERO. Incluye: Suministro, mano de obra, transporte horizontal y vertical, base sobre pavimento, Pintura tipo tráfico de referencias 13754 - 13757 Pintuco o similar,  preparación de la superficie hasta lograr un buen  puente de adherencia, herramienta, equipo y todos los elementos necesarios para su correcta ejecución y funcionamiento.</v>
          </cell>
          <cell r="KO40" t="str">
            <v>m</v>
          </cell>
          <cell r="KP40">
            <v>1</v>
          </cell>
          <cell r="KQ40">
            <v>2121</v>
          </cell>
          <cell r="KR40">
            <v>2121</v>
          </cell>
          <cell r="LD40">
            <v>3.6</v>
          </cell>
          <cell r="LE40" t="str">
            <v>Aplicación de Pintura tipo TRÁFICO ACRÍLICA para demarcación de CELDAS DE PARQUEADERO. Incluye: Suministro, mano de obra, transporte horizontal y vertical, base sobre pavimento, Pintura tipo tráfico de referencias 13754 - 13757 Pintuco o similar,  preparación de la superficie hasta lograr un buen  puente de adherencia, herramienta, equipo y todos los elementos necesarios para su correcta ejecución y funcionamiento.</v>
          </cell>
          <cell r="LF40" t="str">
            <v>m</v>
          </cell>
          <cell r="LG40">
            <v>1</v>
          </cell>
          <cell r="LH40">
            <v>5000</v>
          </cell>
          <cell r="LI40">
            <v>5000</v>
          </cell>
        </row>
        <row r="41">
          <cell r="KM41">
            <v>3.7</v>
          </cell>
          <cell r="KN41" t="str">
            <v>Aplicación de Pintura Acrílica para CANCHAS ANTIDESLIZANTE antiderrapante para concreto no esmaltado, incluye: suministro,mano de obra, transporte horizontal y vertical, preparación de la superficie hasta lograr un buen  puente de adherencia, lavada de superficie con jabón neutro o equivalente, Imprimante o base para aplicación de pintura, aplicación de tres manos de pintura para canchas, marcaciónes necesarias según norma o especifiaciones de la interventoría, herramienta, equipo y todos los elementos necesarios para su correcta ejecución y funcionamiento.</v>
          </cell>
          <cell r="KO41" t="str">
            <v>m2</v>
          </cell>
          <cell r="KP41">
            <v>1</v>
          </cell>
          <cell r="KQ41">
            <v>32522</v>
          </cell>
          <cell r="KR41">
            <v>32522</v>
          </cell>
          <cell r="LD41">
            <v>3.7</v>
          </cell>
          <cell r="LE41" t="str">
            <v>Aplicación de Pintura Acrílica para CANCHAS ANTIDESLIZANTE antiderrapante para concreto no esmaltado, incluye: suministro,mano de obra, transporte horizontal y vertical, preparación de la superficie hasta lograr un buen  puente de adherencia, lavada de superficie con jabón neutro o equivalente, Imprimante o base para aplicación de pintura, aplicación de tres manos de pintura para canchas, marcaciónes necesarias según norma o especifiaciones de la interventoría, herramienta, equipo y todos los elementos necesarios para su correcta ejecución y funcionamiento.</v>
          </cell>
          <cell r="LF41" t="str">
            <v>m2</v>
          </cell>
          <cell r="LG41">
            <v>1</v>
          </cell>
          <cell r="LH41">
            <v>45000</v>
          </cell>
          <cell r="LI41">
            <v>45000</v>
          </cell>
        </row>
        <row r="42">
          <cell r="KM42">
            <v>3.8</v>
          </cell>
          <cell r="KN42" t="str">
            <v>Aplicación de Pintura tipo TRÁFICO PLÁSTICO EN FRÍO en elementos de señalización para FLECHAS EN UN SENTIDO de circulación de 5m de lontigud. Incluye: Suministro, mano de obra, transporte horizontal y vertical, base sobre pavimento, preparación de la superficie hasta lograr un buen  puente de adherencia, fondo blanco, logo, líneas de separación, Pintura tipo pintutráfico plástico en frío con llana de referencias 13760 Pintuco o similar, marcaciones necesarias según norma o especifiaciones de la interventoría, herramienta, equipo y todos los elementos necesarios para su correcta ejecución y funcionamiento.</v>
          </cell>
          <cell r="KO42" t="str">
            <v>un</v>
          </cell>
          <cell r="KP42">
            <v>1</v>
          </cell>
          <cell r="KQ42">
            <v>79790</v>
          </cell>
          <cell r="KR42">
            <v>79790</v>
          </cell>
          <cell r="LD42">
            <v>3.8</v>
          </cell>
          <cell r="LE42" t="str">
            <v>Aplicación de Pintura tipo TRÁFICO PLÁSTICO EN FRÍO en elementos de señalización para FLECHAS EN UN SENTIDO de circulación de 5m de lontigud. Incluye: Suministro, mano de obra, transporte horizontal y vertical, base sobre pavimento, preparación de la superficie hasta lograr un buen  puente de adherencia, fondo blanco, logo, líneas de separación, Pintura tipo pintutráfico plástico en frío con llana de referencias 13760 Pintuco o similar, marcaciones necesarias según norma o especifiaciones de la interventoría, herramienta, equipo y todos los elementos necesarios para su correcta ejecución y funcionamiento.</v>
          </cell>
          <cell r="LF42" t="str">
            <v>un</v>
          </cell>
          <cell r="LG42">
            <v>1</v>
          </cell>
          <cell r="LH42">
            <v>45000</v>
          </cell>
          <cell r="LI42">
            <v>45000</v>
          </cell>
        </row>
        <row r="43">
          <cell r="KM43">
            <v>3.9</v>
          </cell>
          <cell r="KN43" t="str">
            <v>Aplicación de Pintura TRÁFICO PLÁSTICO EN FRÍO en llana para demarcación de PASOS PEATONALES a = 0,40m , lineas de pare en porterias . Incluye: Suministro, mano de obra, transporte horizontal y vertical, base sobre pavimento, pintura tipo pintutráfico plástico en frío con llana de referencia 13760 Pintuco o equivalente, preparación de la superficie hasta lograr un buen puente de adherencia, herramienta, equipo y todos los elementos necesarios para su correcta ejecución y funcionamiento.</v>
          </cell>
          <cell r="KO43" t="str">
            <v>m</v>
          </cell>
          <cell r="KP43">
            <v>1</v>
          </cell>
          <cell r="KQ43">
            <v>42420</v>
          </cell>
          <cell r="KR43">
            <v>42420</v>
          </cell>
          <cell r="LD43">
            <v>3.9</v>
          </cell>
          <cell r="LE43" t="str">
            <v>Aplicación de Pintura TRÁFICO PLÁSTICO EN FRÍO en llana para demarcación de PASOS PEATONALES a = 0,40m , lineas de pare en porterias . Incluye: Suministro, mano de obra, transporte horizontal y vertical, base sobre pavimento, pintura tipo pintutráfico plástico en frío con llana de referencia 13760 Pintuco o equivalente, preparación de la superficie hasta lograr un buen puente de adherencia, herramienta, equipo y todos los elementos necesarios para su correcta ejecución y funcionamiento.</v>
          </cell>
          <cell r="LF43" t="str">
            <v>m</v>
          </cell>
          <cell r="LG43">
            <v>1</v>
          </cell>
          <cell r="LH43">
            <v>18000</v>
          </cell>
          <cell r="LI43">
            <v>18000</v>
          </cell>
        </row>
        <row r="44">
          <cell r="KM44">
            <v>3.1</v>
          </cell>
          <cell r="KN44" t="str">
            <v>Aplicacióon de Pintura tipo TRÁFICO PLÁSTICO EN FRÍO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pintutráfico plástico en frío con llana  de referencias 13754-13757-13760 Pintuco o similar, marcaciones necesarias según norma o especifiaciones de la interventoría, herramienta, equipo y todos los elementos necesarios para su correcta ejecución y funcionamiento.</v>
          </cell>
          <cell r="KO44" t="str">
            <v>un</v>
          </cell>
          <cell r="KP44">
            <v>1</v>
          </cell>
          <cell r="KQ44">
            <v>1111000</v>
          </cell>
          <cell r="KR44">
            <v>1111000</v>
          </cell>
          <cell r="LD44">
            <v>3.1</v>
          </cell>
          <cell r="LE44" t="str">
            <v>Aplicacióon de Pintura tipo TRÁFICO PLÁSTICO EN FRÍO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pintutráfico plástico en frío con llana  de referencias 13754-13757-13760 Pintuco o similar, marcaciones necesarias según norma o especifiaciones de la interventoría, herramienta, equipo y todos los elementos necesarios para su correcta ejecución y funcionamiento.</v>
          </cell>
          <cell r="LF44" t="str">
            <v>un</v>
          </cell>
          <cell r="LG44">
            <v>1</v>
          </cell>
          <cell r="LH44">
            <v>650000</v>
          </cell>
          <cell r="LI44">
            <v>650000</v>
          </cell>
        </row>
        <row r="45">
          <cell r="KM45">
            <v>3.11</v>
          </cell>
          <cell r="KN45" t="str">
            <v>Aplicación de Pintura tipo TRÁFICO PLÁSTICO EN FRÍO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Pintutráfico plástica en frío con llana de referencias 13760 Pintuco o similar, marcaciones necesarias según norma o especifiaciones de la interventoría, herramienta, equipo y todos los elementos necesarios para su correcta ejecución y funcionamiento.</v>
          </cell>
          <cell r="KO45" t="str">
            <v>un</v>
          </cell>
          <cell r="KP45">
            <v>1</v>
          </cell>
          <cell r="KQ45">
            <v>911020</v>
          </cell>
          <cell r="KR45">
            <v>911020</v>
          </cell>
          <cell r="LD45">
            <v>3.11</v>
          </cell>
          <cell r="LE45" t="str">
            <v>Aplicación de Pintura tipo TRÁFICO PLÁSTICO EN FRÍO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Pintutráfico plástica en frío con llana de referencias 13760 Pintuco o similar, marcaciones necesarias según norma o especifiaciones de la interventoría, herramienta, equipo y todos los elementos necesarios para su correcta ejecución y funcionamiento.</v>
          </cell>
          <cell r="LF45" t="str">
            <v>un</v>
          </cell>
          <cell r="LG45">
            <v>1</v>
          </cell>
          <cell r="LH45">
            <v>535000</v>
          </cell>
          <cell r="LI45">
            <v>535000</v>
          </cell>
        </row>
        <row r="46">
          <cell r="KM46">
            <v>3.12</v>
          </cell>
          <cell r="KN46" t="str">
            <v>Aplición de Pintura tipo TRÁFICO PLÁSTICO EN FRÍO en elementos de señalización para PERSONAS CON MOVIIDAD REDUCIDA con medidas de 1,00m de largo y entre 1,10 de ancho Incluye: Suministro, mano de obra, transporte horizontal y vertical, base sobre pavimento, preparación de la superficie hasta lograr un buen  puente de adherencia, fondo azul, logo, líneas de separación, Pintura tipo pintutráfico plástico en frío con llana  de referencias 13754-13757-13760 Pintuco o similar, marcaciónes necesarias según norma o especifiaciones de la interventoría, herramienta, equipo y todos los elementos necesarios para su correcta ejecución y funcionamiento.</v>
          </cell>
          <cell r="KO46" t="str">
            <v>und</v>
          </cell>
          <cell r="KP46">
            <v>1</v>
          </cell>
          <cell r="KQ46">
            <v>90122.3</v>
          </cell>
          <cell r="KR46">
            <v>90122.3</v>
          </cell>
          <cell r="LD46">
            <v>3.12</v>
          </cell>
          <cell r="LE46" t="str">
            <v>Aplición de Pintura tipo TRÁFICO PLÁSTICO EN FRÍO en elementos de señalización para PERSONAS CON MOVIIDAD REDUCIDA con medidas de 1,00m de largo y entre 1,10 de ancho Incluye: Suministro, mano de obra, transporte horizontal y vertical, base sobre pavimento, preparación de la superficie hasta lograr un buen  puente de adherencia, fondo azul, logo, líneas de separación, Pintura tipo pintutráfico plástico en frío con llana  de referencias 13754-13757-13760 Pintuco o similar, marcaciónes necesarias según norma o especifiaciones de la interventoría, herramienta, equipo y todos los elementos necesarios para su correcta ejecución y funcionamiento.</v>
          </cell>
          <cell r="LF46" t="str">
            <v>und</v>
          </cell>
          <cell r="LG46">
            <v>1</v>
          </cell>
          <cell r="LH46">
            <v>49500.000000000007</v>
          </cell>
          <cell r="LI46">
            <v>49500.000000000007</v>
          </cell>
        </row>
        <row r="47">
          <cell r="KM47">
            <v>3.13</v>
          </cell>
          <cell r="KN47" t="str">
            <v>Aplicación de Pintura tipo TRÁFICO PLÁSTICO EN FRÍO en elementos de señalización para ZONA DE PARQUEO PROHIBIDA. Incluye: Suministro, mano de obra, transporte horizontal y vertical, base sobre pavimento, preparación de la superficie hasta lograr un buen  puente de adherencia, fondo blanco, logo, líneas de separación, Pintura tipo pintutráfico plástico en frío en llana de referencias 113760 Pintuco o similar, marcaciones necesarias según norma o especifiaciones de la interventoría, herramienta, equipo y todos los elementos necesarios para su correcta ejecución y funcionamiento.</v>
          </cell>
          <cell r="KO47" t="str">
            <v>un</v>
          </cell>
          <cell r="KP47">
            <v>1</v>
          </cell>
          <cell r="KQ47">
            <v>186850</v>
          </cell>
          <cell r="KR47">
            <v>186850</v>
          </cell>
          <cell r="LD47">
            <v>3.13</v>
          </cell>
          <cell r="LE47" t="str">
            <v>Aplicación de Pintura tipo TRÁFICO PLÁSTICO EN FRÍO en elementos de señalización para ZONA DE PARQUEO PROHIBIDA. Incluye: Suministro, mano de obra, transporte horizontal y vertical, base sobre pavimento, preparación de la superficie hasta lograr un buen  puente de adherencia, fondo blanco, logo, líneas de separación, Pintura tipo pintutráfico plástico en frío en llana de referencias 113760 Pintuco o similar, marcaciones necesarias según norma o especifiaciones de la interventoría, herramienta, equipo y todos los elementos necesarios para su correcta ejecución y funcionamiento.</v>
          </cell>
          <cell r="LF47" t="str">
            <v>un</v>
          </cell>
          <cell r="LG47">
            <v>1</v>
          </cell>
          <cell r="LH47">
            <v>560000</v>
          </cell>
          <cell r="LI47">
            <v>560000</v>
          </cell>
        </row>
        <row r="48">
          <cell r="KM48">
            <v>3.14</v>
          </cell>
          <cell r="KN48" t="str">
            <v>Aplicación de Pintura tipo TRÁFICO PLÁSTICO EN FRÍO  para demarcación de CELDAS DE PARQUEADERO Y LÍNEAD DE TROTE, 10 cm de ancho. Incluye: Suministro, mano de obra, transporte horizontal y vertical, base sobre pavimento, pintura tipo pintutráfico plástico en frío en llana de referencia 13760 Pintuco, preparación de la superficie hasta lograr un buen puente de adherencia, herramienta, equipo y todos los elementos necesarios para su correcta ejecución y funcionamiento.</v>
          </cell>
          <cell r="KO48" t="str">
            <v>m</v>
          </cell>
          <cell r="KP48">
            <v>1</v>
          </cell>
          <cell r="KQ48">
            <v>21715</v>
          </cell>
          <cell r="KR48">
            <v>21715</v>
          </cell>
          <cell r="LD48">
            <v>3.14</v>
          </cell>
          <cell r="LE48" t="str">
            <v>Aplicación de Pintura tipo TRÁFICO PLÁSTICO EN FRÍO  para demarcación de CELDAS DE PARQUEADERO Y LÍNEAD DE TROTE, 10 cm de ancho. Incluye: Suministro, mano de obra, transporte horizontal y vertical, base sobre pavimento, pintura tipo pintutráfico plástico en frío en llana de referencia 13760 Pintuco, preparación de la superficie hasta lograr un buen puente de adherencia, herramienta, equipo y todos los elementos necesarios para su correcta ejecución y funcionamiento.</v>
          </cell>
          <cell r="LF48" t="str">
            <v>m</v>
          </cell>
          <cell r="LG48">
            <v>1</v>
          </cell>
          <cell r="LH48">
            <v>7000</v>
          </cell>
          <cell r="LI48">
            <v>7000</v>
          </cell>
        </row>
        <row r="49">
          <cell r="KM49" t="str">
            <v>4</v>
          </cell>
          <cell r="KN49" t="str">
            <v>PINTURAS EPÓXICAS Y ANTIHUMEDAD</v>
          </cell>
          <cell r="KO49">
            <v>0</v>
          </cell>
          <cell r="KP49">
            <v>0</v>
          </cell>
          <cell r="KQ49">
            <v>0</v>
          </cell>
          <cell r="KR49">
            <v>0</v>
          </cell>
          <cell r="LD49" t="str">
            <v>4</v>
          </cell>
          <cell r="LE49" t="str">
            <v>PINTURAS EPÓXICAS Y ANTIHUMEDAD</v>
          </cell>
          <cell r="LF49">
            <v>0</v>
          </cell>
          <cell r="LG49">
            <v>0</v>
          </cell>
          <cell r="LH49">
            <v>0</v>
          </cell>
          <cell r="LI49">
            <v>0</v>
          </cell>
        </row>
        <row r="50">
          <cell r="KM50">
            <v>4.0999999999999996</v>
          </cell>
          <cell r="KN50" t="str">
            <v>Aplicación de PINTURA EPÓXICA EN MUROS (dos componentes proporción 1:3, no tóxica) tipo epoxiconstrucción de pintuco o equivalente, de primera calidad, semimate, sobre estuco plástico, 2 a 3 manos o las necesarias para lograr una superficie pareja a satisfacción de la interventoría, color blanco.</v>
          </cell>
          <cell r="KO50" t="str">
            <v>m2</v>
          </cell>
          <cell r="KP50">
            <v>1</v>
          </cell>
          <cell r="KQ50">
            <v>26260</v>
          </cell>
          <cell r="KR50">
            <v>26260</v>
          </cell>
          <cell r="LD50">
            <v>4.0999999999999996</v>
          </cell>
          <cell r="LE50" t="str">
            <v>Aplicación de PINTURA EPÓXICA EN MUROS (dos componentes proporción 1:3, no tóxica) tipo epoxiconstrucción de pintuco o equivalente, de primera calidad, semimate, sobre estuco plástico, 2 a 3 manos o las necesarias para lograr una superficie pareja a satisfacción de la interventoría, color blanco.</v>
          </cell>
          <cell r="LF50" t="str">
            <v>m2</v>
          </cell>
          <cell r="LG50">
            <v>1</v>
          </cell>
          <cell r="LH50">
            <v>48000</v>
          </cell>
          <cell r="LI50">
            <v>48000</v>
          </cell>
        </row>
        <row r="51">
          <cell r="KM51">
            <v>4.2</v>
          </cell>
          <cell r="KN51" t="str">
            <v>Aplicación de PINTURA EPÓXICA EN CIELOS (dos componentes proporción 1:3, no tóxica) tipo epoxiconstrucción de pintuco o equivalente, semimate, sobre estuco plástico, 2 a 3 manos o las necesarias para lograr una superficie pareja a satisfacción de la interventoría, color blanco.</v>
          </cell>
          <cell r="KO51" t="str">
            <v>m2</v>
          </cell>
          <cell r="KP51">
            <v>1</v>
          </cell>
          <cell r="KQ51">
            <v>28280</v>
          </cell>
          <cell r="KR51">
            <v>28280</v>
          </cell>
          <cell r="LD51">
            <v>4.2</v>
          </cell>
          <cell r="LE51" t="str">
            <v>Aplicación de PINTURA EPÓXICA EN CIELOS (dos componentes proporción 1:3, no tóxica) tipo epoxiconstrucción de pintuco o equivalente, semimate, sobre estuco plástico, 2 a 3 manos o las necesarias para lograr una superficie pareja a satisfacción de la interventoría, color blanco.</v>
          </cell>
          <cell r="LF51" t="str">
            <v>m2</v>
          </cell>
          <cell r="LG51">
            <v>1</v>
          </cell>
          <cell r="LH51">
            <v>53000</v>
          </cell>
          <cell r="LI51">
            <v>53000</v>
          </cell>
        </row>
        <row r="52">
          <cell r="KM52">
            <v>4.3</v>
          </cell>
          <cell r="KN52" t="str">
            <v>Aplicación de Pintura tipo ANTIHUMEDAD, para muros,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v>
          </cell>
          <cell r="KO52" t="str">
            <v>m2</v>
          </cell>
          <cell r="KP52">
            <v>1</v>
          </cell>
          <cell r="KQ52">
            <v>11312</v>
          </cell>
          <cell r="KR52">
            <v>11312</v>
          </cell>
          <cell r="LD52">
            <v>4.3</v>
          </cell>
          <cell r="LE52" t="str">
            <v>Aplicación de Pintura tipo ANTIHUMEDAD, para muros,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v>
          </cell>
          <cell r="LF52" t="str">
            <v>m2</v>
          </cell>
          <cell r="LG52">
            <v>1</v>
          </cell>
          <cell r="LH52">
            <v>20000</v>
          </cell>
          <cell r="LI52">
            <v>20000</v>
          </cell>
        </row>
        <row r="53">
          <cell r="KM53">
            <v>4.4000000000000004</v>
          </cell>
          <cell r="KN53" t="str">
            <v>Aplicación de Pintura tipo ANTIHUMEDAD, para cielos,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v>
          </cell>
          <cell r="KO53" t="str">
            <v>m2</v>
          </cell>
          <cell r="KP53">
            <v>1</v>
          </cell>
          <cell r="KQ53">
            <v>12322</v>
          </cell>
          <cell r="KR53">
            <v>12322</v>
          </cell>
          <cell r="LD53">
            <v>4.4000000000000004</v>
          </cell>
          <cell r="LE53" t="str">
            <v>Aplicación de Pintura tipo ANTIHUMEDAD, para cielos,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v>
          </cell>
          <cell r="LF53" t="str">
            <v>m2</v>
          </cell>
          <cell r="LG53">
            <v>1</v>
          </cell>
          <cell r="LH53">
            <v>22000</v>
          </cell>
          <cell r="LI53">
            <v>22000</v>
          </cell>
        </row>
        <row r="54">
          <cell r="KM54" t="str">
            <v>4.5</v>
          </cell>
          <cell r="KN54" t="str">
            <v>Suministro de MANO DE OBRA para aplicación de Pintura EPÓXICA a 2 manos en MUOS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v>
          </cell>
          <cell r="KO54" t="str">
            <v>m2</v>
          </cell>
          <cell r="KP54">
            <v>1</v>
          </cell>
          <cell r="KQ54">
            <v>9039.5</v>
          </cell>
          <cell r="KR54">
            <v>9039.5</v>
          </cell>
          <cell r="LD54" t="str">
            <v>4.5</v>
          </cell>
          <cell r="LE54" t="str">
            <v>Suministro de MANO DE OBRA para aplicación de Pintura EPÓXICA a 2 manos en MUOS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v>
          </cell>
          <cell r="LF54" t="str">
            <v>m2</v>
          </cell>
          <cell r="LG54">
            <v>1</v>
          </cell>
          <cell r="LH54">
            <v>45000</v>
          </cell>
          <cell r="LI54">
            <v>45000</v>
          </cell>
        </row>
        <row r="55">
          <cell r="KM55" t="str">
            <v>5</v>
          </cell>
          <cell r="KN55" t="str">
            <v>PINTURAS ESMALTE</v>
          </cell>
          <cell r="KO55">
            <v>0</v>
          </cell>
          <cell r="KP55">
            <v>0</v>
          </cell>
          <cell r="KQ55">
            <v>0</v>
          </cell>
          <cell r="KR55">
            <v>0</v>
          </cell>
          <cell r="LD55" t="str">
            <v>5</v>
          </cell>
          <cell r="LE55" t="str">
            <v>PINTURAS ESMALTE</v>
          </cell>
          <cell r="LF55">
            <v>0</v>
          </cell>
          <cell r="LG55">
            <v>0</v>
          </cell>
          <cell r="LH55">
            <v>0</v>
          </cell>
          <cell r="LI55">
            <v>0</v>
          </cell>
        </row>
        <row r="56">
          <cell r="KM56" t="str">
            <v>5,1</v>
          </cell>
          <cell r="KN56" t="str">
            <v>Aplicación de ESMALTE A BASE DE ACEITE, sobre PUERTAS EN MADERA Y MARCOS METÁLICOS,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v>
          </cell>
          <cell r="KO56" t="str">
            <v>m2</v>
          </cell>
          <cell r="KP56">
            <v>1</v>
          </cell>
          <cell r="KQ56">
            <v>8059.8</v>
          </cell>
          <cell r="KR56">
            <v>8059.8</v>
          </cell>
          <cell r="LD56" t="str">
            <v>5,1</v>
          </cell>
          <cell r="LE56" t="str">
            <v>Aplicación de ESMALTE A BASE DE ACEITE, sobre PUERTAS EN MADERA Y MARCOS METÁLICOS,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v>
          </cell>
          <cell r="LF56" t="str">
            <v>m2</v>
          </cell>
          <cell r="LG56">
            <v>1</v>
          </cell>
          <cell r="LH56">
            <v>40000</v>
          </cell>
          <cell r="LI56">
            <v>40000</v>
          </cell>
        </row>
        <row r="57">
          <cell r="KM57">
            <v>5.2</v>
          </cell>
          <cell r="KN57" t="str">
            <v>Aplicación de ESMALTE A BASE DE ACEITE, sobre CORTINAS ENROLLABLES METÁLICASs,  Incluye suministro, mano de obra, transporte horizontal y vertical, acondicionador de superficies metálicas Tipo Wash Primer o equivelente, pistola para la aplicación de la pintura, disolvente para pinturas a base de aceite, herrramienta, equipo, manos necesarias hasta obtener una superficie pareja y homogénea, color a definir según aprobación de la interventoría y todos los demás elementos necesarios para su correcta aplicación.</v>
          </cell>
          <cell r="KO57" t="str">
            <v>m2</v>
          </cell>
          <cell r="KP57">
            <v>1</v>
          </cell>
          <cell r="KQ57">
            <v>10201</v>
          </cell>
          <cell r="KR57">
            <v>10201</v>
          </cell>
          <cell r="LD57">
            <v>5.2</v>
          </cell>
          <cell r="LE57" t="str">
            <v>Aplicación de ESMALTE A BASE DE ACEITE, sobre CORTINAS ENROLLABLES METÁLICASs,  Incluye suministro, mano de obra, transporte horizontal y vertical, acondicionador de superficies metálicas Tipo Wash Primer o equivelente, pistola para la aplicación de la pintura, disolvente para pinturas a base de aceite, herrramienta, equipo, manos necesarias hasta obtener una superficie pareja y homogénea, color a definir según aprobación de la interventoría y todos los demás elementos necesarios para su correcta aplicación.</v>
          </cell>
          <cell r="LF57" t="str">
            <v>m2</v>
          </cell>
          <cell r="LG57">
            <v>1</v>
          </cell>
          <cell r="LH57">
            <v>45000</v>
          </cell>
          <cell r="LI57">
            <v>45000</v>
          </cell>
        </row>
        <row r="58">
          <cell r="KM58">
            <v>5.3</v>
          </cell>
          <cell r="KN58" t="str">
            <v>Aplicación de ESMALTE A BASE DE ACEITE, sobre REJAS METÁLICAS,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v>
          </cell>
          <cell r="KO58" t="str">
            <v>m2</v>
          </cell>
          <cell r="KP58">
            <v>1</v>
          </cell>
          <cell r="KQ58">
            <v>7563.89</v>
          </cell>
          <cell r="KR58">
            <v>7563.89</v>
          </cell>
          <cell r="LD58">
            <v>5.3</v>
          </cell>
          <cell r="LE58" t="str">
            <v>Aplicación de ESMALTE A BASE DE ACEITE, sobre REJAS METÁLICAS,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v>
          </cell>
          <cell r="LF58" t="str">
            <v>m2</v>
          </cell>
          <cell r="LG58">
            <v>1</v>
          </cell>
          <cell r="LH58">
            <v>33000</v>
          </cell>
          <cell r="LI58">
            <v>33000</v>
          </cell>
        </row>
        <row r="59">
          <cell r="KM59">
            <v>5.4</v>
          </cell>
          <cell r="KN59" t="str">
            <v>Aplicación de PINTURA TIPO ESMALTE para bajantes de aguas lluvias Incluye: Suministro, mano de obra, transporte horizontal y vertical, preparación de la superficie, pintura acrílica, disolvente, aplicación de manos encesarias que garanticen cubrimiento total del elemento, elementos de trabajo en alturas y todos los ementos necesarios para su correcta aplicación. Nota: La pintura se debe entonar hasta alcanzar el color existente o el color indicado por la interventoría</v>
          </cell>
          <cell r="KO59" t="str">
            <v>m</v>
          </cell>
          <cell r="KP59">
            <v>1</v>
          </cell>
          <cell r="KQ59">
            <v>7230.59</v>
          </cell>
          <cell r="KR59">
            <v>7230.59</v>
          </cell>
          <cell r="LD59">
            <v>5.4</v>
          </cell>
          <cell r="LE59" t="str">
            <v>Aplicación de PINTURA TIPO ESMALTE para bajantes de aguas lluvias Incluye: Suministro, mano de obra, transporte horizontal y vertical, preparación de la superficie, pintura acrílica, disolvente, aplicación de manos encesarias que garanticen cubrimiento total del elemento, elementos de trabajo en alturas y todos los ementos necesarios para su correcta aplicación. Nota: La pintura se debe entonar hasta alcanzar el color existente o el color indicado por la interventoría</v>
          </cell>
          <cell r="LF59" t="str">
            <v>m</v>
          </cell>
          <cell r="LG59">
            <v>1</v>
          </cell>
          <cell r="LH59">
            <v>5000</v>
          </cell>
          <cell r="LI59">
            <v>5000</v>
          </cell>
        </row>
        <row r="60">
          <cell r="KM60">
            <v>5.5</v>
          </cell>
          <cell r="KN60" t="str">
            <v>Aplicación de ESMALTE A BASE DE ACEITE sobre muros y techos en superficies  de revoque estucadas y superficies de Drywall y Superboard. Incluye: Suministro de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v>
          </cell>
          <cell r="KO60" t="str">
            <v>m2</v>
          </cell>
          <cell r="KP60">
            <v>1</v>
          </cell>
          <cell r="KQ60">
            <v>12423</v>
          </cell>
          <cell r="KR60">
            <v>12423</v>
          </cell>
          <cell r="LD60">
            <v>5.5</v>
          </cell>
          <cell r="LE60" t="str">
            <v>Aplicación de ESMALTE A BASE DE ACEITE sobre muros y techos en superficies  de revoque estucadas y superficies de Drywall y Superboard. Incluye: Suministro de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v>
          </cell>
          <cell r="LF60" t="str">
            <v>m2</v>
          </cell>
          <cell r="LG60">
            <v>1</v>
          </cell>
          <cell r="LH60">
            <v>23000</v>
          </cell>
          <cell r="LI60">
            <v>23000</v>
          </cell>
        </row>
        <row r="61">
          <cell r="KM61" t="str">
            <v>6</v>
          </cell>
          <cell r="KN61" t="str">
            <v>PINTURA PARA PISOS Y TECHOS EN MADERA</v>
          </cell>
          <cell r="KO61">
            <v>0</v>
          </cell>
          <cell r="KP61">
            <v>0</v>
          </cell>
          <cell r="KQ61">
            <v>0</v>
          </cell>
          <cell r="KR61">
            <v>0</v>
          </cell>
          <cell r="LD61" t="str">
            <v>6</v>
          </cell>
          <cell r="LE61" t="str">
            <v>PINTURA PARA PISOS Y TECHOS EN MADERA</v>
          </cell>
          <cell r="LF61">
            <v>0</v>
          </cell>
          <cell r="LG61">
            <v>0</v>
          </cell>
          <cell r="LH61">
            <v>0</v>
          </cell>
          <cell r="LI61">
            <v>0</v>
          </cell>
        </row>
        <row r="62">
          <cell r="KM62" t="str">
            <v>6,1</v>
          </cell>
          <cell r="KN62" t="str">
            <v>Aplicación de Pintura para TECHOS de acabado tipo Impra Profilan Plus o equivalente (color teka nogal o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v>
          </cell>
          <cell r="KO62" t="str">
            <v>m2</v>
          </cell>
          <cell r="KP62">
            <v>1</v>
          </cell>
          <cell r="KQ62">
            <v>14220.8</v>
          </cell>
          <cell r="KR62">
            <v>14220.8</v>
          </cell>
          <cell r="LD62" t="str">
            <v>6,1</v>
          </cell>
          <cell r="LE62" t="str">
            <v>Aplicación de Pintura para TECHOS de acabado tipo Impra Profilan Plus o equivalente (color teka nogal o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v>
          </cell>
          <cell r="LF62" t="str">
            <v>m2</v>
          </cell>
          <cell r="LG62">
            <v>1</v>
          </cell>
          <cell r="LH62">
            <v>40000</v>
          </cell>
          <cell r="LI62">
            <v>40000</v>
          </cell>
        </row>
        <row r="63">
          <cell r="KM63" t="str">
            <v>6,2</v>
          </cell>
          <cell r="KN63" t="str">
            <v>Aplicación de Pintura para PISOS EN MADERA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v>
          </cell>
          <cell r="KO63" t="str">
            <v>m2</v>
          </cell>
          <cell r="KP63">
            <v>1</v>
          </cell>
          <cell r="KQ63">
            <v>9615.2000000000007</v>
          </cell>
          <cell r="KR63">
            <v>9615.2000000000007</v>
          </cell>
          <cell r="LD63" t="str">
            <v>6,2</v>
          </cell>
          <cell r="LE63" t="str">
            <v>Aplicación de Pintura para PISOS EN MADERA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v>
          </cell>
          <cell r="LF63" t="str">
            <v>m2</v>
          </cell>
          <cell r="LG63">
            <v>1</v>
          </cell>
          <cell r="LH63">
            <v>32000</v>
          </cell>
          <cell r="LI63">
            <v>32000</v>
          </cell>
        </row>
        <row r="64">
          <cell r="KM64" t="str">
            <v>7</v>
          </cell>
          <cell r="KN64" t="str">
            <v>OBRAS VARIAS</v>
          </cell>
          <cell r="KO64">
            <v>0</v>
          </cell>
          <cell r="KP64">
            <v>0</v>
          </cell>
          <cell r="KQ64">
            <v>0</v>
          </cell>
          <cell r="KR64">
            <v>0</v>
          </cell>
          <cell r="LD64" t="str">
            <v>7</v>
          </cell>
          <cell r="LE64" t="str">
            <v>OBRAS VARIAS</v>
          </cell>
          <cell r="LF64">
            <v>0</v>
          </cell>
          <cell r="LG64">
            <v>0</v>
          </cell>
          <cell r="LH64">
            <v>0</v>
          </cell>
          <cell r="LI64">
            <v>0</v>
          </cell>
        </row>
        <row r="65">
          <cell r="KM65">
            <v>7.1</v>
          </cell>
          <cell r="KN65" t="str">
            <v>Colocación de ESTUCO PLÁSTICO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v>
          </cell>
          <cell r="KO65" t="str">
            <v>m2</v>
          </cell>
          <cell r="KP65">
            <v>1</v>
          </cell>
          <cell r="KQ65">
            <v>9090</v>
          </cell>
          <cell r="KR65">
            <v>9090</v>
          </cell>
          <cell r="LD65">
            <v>7.1</v>
          </cell>
          <cell r="LE65" t="str">
            <v>Colocación de ESTUCO PLÁSTICO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v>
          </cell>
          <cell r="LF65" t="str">
            <v>m2</v>
          </cell>
          <cell r="LG65">
            <v>1</v>
          </cell>
          <cell r="LH65">
            <v>18000</v>
          </cell>
          <cell r="LI65">
            <v>18000</v>
          </cell>
        </row>
        <row r="66">
          <cell r="KM66">
            <v>7.2</v>
          </cell>
          <cell r="KN66" t="str">
            <v>Adecuacion de superficie con ARGAMASA ( arena estuco y cemento) para muros y cielos  : Suministro, mano de obra, transporte horizontal y vertical,  manos necesarias que garanticen cubrimiento total del elemento, retiro y reinstalación de cuadros, carteleras, clavos y todos los elementos necesarios para su correcta aplicación</v>
          </cell>
          <cell r="KO66" t="str">
            <v>m3</v>
          </cell>
          <cell r="KP66">
            <v>1</v>
          </cell>
          <cell r="KQ66">
            <v>16968</v>
          </cell>
          <cell r="KR66">
            <v>16968</v>
          </cell>
          <cell r="LD66">
            <v>7.2</v>
          </cell>
          <cell r="LE66" t="str">
            <v>Adecuacion de superficie con ARGAMASA ( arena estuco y cemento) para muros y cielos  : Suministro, mano de obra, transporte horizontal y vertical,  manos necesarias que garanticen cubrimiento total del elemento, retiro y reinstalación de cuadros, carteleras, clavos y todos los elementos necesarios para su correcta aplicación</v>
          </cell>
          <cell r="LF66" t="str">
            <v>m3</v>
          </cell>
          <cell r="LG66">
            <v>1</v>
          </cell>
          <cell r="LH66">
            <v>14000</v>
          </cell>
          <cell r="LI66">
            <v>14000</v>
          </cell>
        </row>
        <row r="67">
          <cell r="KM67">
            <v>7.3</v>
          </cell>
          <cell r="KN67" t="str">
            <v>Aplicación de REMOVEDOR PINTUCO 1020 o equivalente de primera calidad para eliminar pinturas o barnices  en cualquier estado en muros, la aplicación debe ser sin dilución, 3 manos o las que sean necesarias para obtener una superficie pareja y homogénea logrando la eliminación total de de residuos, retiro de pintura con espátula, a satisfacción de la interventoría, lavado de la superficie con agua para eliminar residuos. Incluye suministro y transporte de los materiales, preparada y adecuación de la superficie a intervenir.</v>
          </cell>
          <cell r="KO67" t="str">
            <v>m2</v>
          </cell>
          <cell r="KP67">
            <v>1</v>
          </cell>
          <cell r="KQ67">
            <v>7979</v>
          </cell>
          <cell r="KR67">
            <v>7979</v>
          </cell>
          <cell r="LD67">
            <v>7.3</v>
          </cell>
          <cell r="LE67" t="str">
            <v>Aplicación de REMOVEDOR PINTUCO 1020 o equivalente de primera calidad para eliminar pinturas o barnices  en cualquier estado en muros, la aplicación debe ser sin dilución, 3 manos o las que sean necesarias para obtener una superficie pareja y homogénea logrando la eliminación total de de residuos, retiro de pintura con espátula, a satisfacción de la interventoría, lavado de la superficie con agua para eliminar residuos. Incluye suministro y transporte de los materiales, preparada y adecuación de la superficie a intervenir.</v>
          </cell>
          <cell r="LF67" t="str">
            <v>m2</v>
          </cell>
          <cell r="LG67">
            <v>1</v>
          </cell>
          <cell r="LH67">
            <v>35000</v>
          </cell>
          <cell r="LI67">
            <v>35000</v>
          </cell>
        </row>
        <row r="68">
          <cell r="KM68">
            <v>7.4</v>
          </cell>
          <cell r="KN68" t="str">
            <v>RETIRO DE PINTURA en mampostería, muros en concreto, fachadas con acabado en piedra maní empleando HIDROLAVADORA de agua fría o agua caliente a presión necesaria para retirar la pintura (Previa revision y autorización de interventoría). Incluye: Herramienta y equipo necesario para desarrollar la actividad, suministro y transporte del removedor, mano de obra, hidrolavadora, lavado de la superficie intervenida, careta especial para éste tipo de trabajo, guantes y todos los demás elementos necesarios para desarrollar la actividad.</v>
          </cell>
          <cell r="KO68" t="str">
            <v>m2</v>
          </cell>
          <cell r="KP68">
            <v>1</v>
          </cell>
          <cell r="KQ68">
            <v>6565</v>
          </cell>
          <cell r="KR68">
            <v>6565</v>
          </cell>
          <cell r="LD68">
            <v>7.4</v>
          </cell>
          <cell r="LE68" t="str">
            <v>RETIRO DE PINTURA en mampostería, muros en concreto, fachadas con acabado en piedra maní empleando HIDROLAVADORA de agua fría o agua caliente a presión necesaria para retirar la pintura (Previa revision y autorización de interventoría). Incluye: Herramienta y equipo necesario para desarrollar la actividad, suministro y transporte del removedor, mano de obra, hidrolavadora, lavado de la superficie intervenida, careta especial para éste tipo de trabajo, guantes y todos los demás elementos necesarios para desarrollar la actividad.</v>
          </cell>
          <cell r="LF68" t="str">
            <v>m2</v>
          </cell>
          <cell r="LG68">
            <v>1</v>
          </cell>
          <cell r="LH68">
            <v>8000</v>
          </cell>
          <cell r="LI68">
            <v>8000</v>
          </cell>
        </row>
        <row r="69">
          <cell r="KM69">
            <v>7.5</v>
          </cell>
          <cell r="KN69" t="str">
            <v>Suministro, transporte y alquiler de ANDAMIO MULTIDIRECCIONAL (TORRE MULTIDIRECCIONAL) para 2m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69" t="str">
            <v>día</v>
          </cell>
          <cell r="KP69">
            <v>1</v>
          </cell>
          <cell r="KQ69">
            <v>31108</v>
          </cell>
          <cell r="KR69">
            <v>31108</v>
          </cell>
          <cell r="LD69">
            <v>7.5</v>
          </cell>
          <cell r="LE69" t="str">
            <v>Suministro, transporte y alquiler de ANDAMIO MULTIDIRECCIONAL (TORRE MULTIDIRECCIONAL) para 2m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69" t="str">
            <v>día</v>
          </cell>
          <cell r="LG69">
            <v>1</v>
          </cell>
          <cell r="LH69">
            <v>15000</v>
          </cell>
          <cell r="LI69">
            <v>15000</v>
          </cell>
        </row>
        <row r="70">
          <cell r="KM70">
            <v>7.6</v>
          </cell>
          <cell r="KN70" t="str">
            <v>Suministro, transporte y alquiler de ANDAMIO MULTIDIRECCIONAL (TORRE MULTIDIRECCIONAL) para 4m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0" t="str">
            <v>día</v>
          </cell>
          <cell r="KP70">
            <v>1</v>
          </cell>
          <cell r="KQ70">
            <v>70000</v>
          </cell>
          <cell r="KR70">
            <v>70000</v>
          </cell>
          <cell r="LD70">
            <v>7.6</v>
          </cell>
          <cell r="LE70" t="str">
            <v>Suministro, transporte y alquiler de ANDAMIO MULTIDIRECCIONAL (TORRE MULTIDIRECCIONAL) para 4m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0" t="str">
            <v>día</v>
          </cell>
          <cell r="LG70">
            <v>1</v>
          </cell>
          <cell r="LH70">
            <v>30000</v>
          </cell>
          <cell r="LI70">
            <v>30000</v>
          </cell>
        </row>
        <row r="71">
          <cell r="KM71">
            <v>7.7</v>
          </cell>
          <cell r="KN71" t="str">
            <v>Suministro, transporte y alquiler de ANDAMIO MULTIDIRECCIONAL (TORRE MULTIDIRECCIONAL) para 6m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1" t="str">
            <v>día</v>
          </cell>
          <cell r="KP71">
            <v>1</v>
          </cell>
          <cell r="KQ71">
            <v>68680</v>
          </cell>
          <cell r="KR71">
            <v>68680</v>
          </cell>
          <cell r="LD71">
            <v>7.7</v>
          </cell>
          <cell r="LE71" t="str">
            <v>Suministro, transporte y alquiler de ANDAMIO MULTIDIRECCIONAL (TORRE MULTIDIRECCIONAL) para 6m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1" t="str">
            <v>día</v>
          </cell>
          <cell r="LG71">
            <v>1</v>
          </cell>
          <cell r="LH71">
            <v>60000</v>
          </cell>
          <cell r="LI71">
            <v>60000</v>
          </cell>
        </row>
        <row r="72">
          <cell r="KM72">
            <v>7.8</v>
          </cell>
          <cell r="KN72" t="str">
            <v>Suministro, transporte y alquiler de ANDAMIO MULTIDIRECCIONAL (TORRE MULTIDIRECCIONAL) para 8m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2" t="str">
            <v>día</v>
          </cell>
          <cell r="KP72">
            <v>1</v>
          </cell>
          <cell r="KQ72">
            <v>99485</v>
          </cell>
          <cell r="KR72">
            <v>99485</v>
          </cell>
          <cell r="LD72">
            <v>7.8</v>
          </cell>
          <cell r="LE72" t="str">
            <v>Suministro, transporte y alquiler de ANDAMIO MULTIDIRECCIONAL (TORRE MULTIDIRECCIONAL) para 8m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2" t="str">
            <v>día</v>
          </cell>
          <cell r="LG72">
            <v>1</v>
          </cell>
          <cell r="LH72">
            <v>75000</v>
          </cell>
          <cell r="LI72">
            <v>75000</v>
          </cell>
        </row>
        <row r="73">
          <cell r="KM73">
            <v>7.9</v>
          </cell>
          <cell r="KN73" t="str">
            <v>Suministro, transporte y alquiler de ANDAMIO MULTIDIRECCIONAL (TORRE MULTIDIRECCIONAL) para 10m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3" t="str">
            <v>día</v>
          </cell>
          <cell r="KP73">
            <v>1</v>
          </cell>
          <cell r="KQ73">
            <v>11110</v>
          </cell>
          <cell r="KR73">
            <v>11110</v>
          </cell>
          <cell r="LD73">
            <v>7.9</v>
          </cell>
          <cell r="LE73" t="str">
            <v>Suministro, transporte y alquiler de ANDAMIO MULTIDIRECCIONAL (TORRE MULTIDIRECCIONAL) para 10m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3" t="str">
            <v>día</v>
          </cell>
          <cell r="LG73">
            <v>1</v>
          </cell>
          <cell r="LH73">
            <v>90000</v>
          </cell>
          <cell r="LI73">
            <v>90000</v>
          </cell>
        </row>
        <row r="74">
          <cell r="KM74">
            <v>7.1</v>
          </cell>
          <cell r="KN74" t="str">
            <v>Suministro, transporte y alquiler de ANDAMIO MULTIDIRECCIONAL (TORRE MULTIDIRECCIONAL) para 13m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4" t="str">
            <v>día</v>
          </cell>
          <cell r="KP74">
            <v>1</v>
          </cell>
          <cell r="KQ74">
            <v>160000</v>
          </cell>
          <cell r="KR74">
            <v>160000</v>
          </cell>
          <cell r="LD74">
            <v>7.1</v>
          </cell>
          <cell r="LE74" t="str">
            <v>Suministro, transporte y alquiler de ANDAMIO MULTIDIRECCIONAL (TORRE MULTIDIRECCIONAL) para 13m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4" t="str">
            <v>día</v>
          </cell>
          <cell r="LG74">
            <v>1</v>
          </cell>
          <cell r="LH74">
            <v>110000</v>
          </cell>
          <cell r="LI74">
            <v>110000</v>
          </cell>
        </row>
        <row r="75">
          <cell r="KM75">
            <v>7.11</v>
          </cell>
          <cell r="KN75" t="str">
            <v>Suministro, transporte y alquiler de ANDAMIO MULTIDIRECCIONAL (TORRE MULTIDIRECCIONAL) para 15m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5" t="str">
            <v>día</v>
          </cell>
          <cell r="KP75">
            <v>1</v>
          </cell>
          <cell r="KQ75">
            <v>190000</v>
          </cell>
          <cell r="KR75">
            <v>190000</v>
          </cell>
          <cell r="LD75">
            <v>7.11</v>
          </cell>
          <cell r="LE75" t="str">
            <v>Suministro, transporte y alquiler de ANDAMIO MULTIDIRECCIONAL (TORRE MULTIDIRECCIONAL) para 15m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5" t="str">
            <v>día</v>
          </cell>
          <cell r="LG75">
            <v>1</v>
          </cell>
          <cell r="LH75">
            <v>125000</v>
          </cell>
          <cell r="LI75">
            <v>125000</v>
          </cell>
        </row>
        <row r="76">
          <cell r="KM76">
            <v>7.12</v>
          </cell>
          <cell r="KN76" t="str">
            <v>Aplicación de BARNIZ PARA MADERA EN MUROS Y PISOS TIPO BARNEX. Incluye suministro de mano de obra, catalizador, masillado, lijado, tintilla, color que indique la Interventoría, sellado de poros y todo lo necesario para su correcto acabado que indique la Interventoría</v>
          </cell>
          <cell r="KO76" t="str">
            <v>m2</v>
          </cell>
          <cell r="KP76">
            <v>1</v>
          </cell>
          <cell r="KQ76">
            <v>8080</v>
          </cell>
          <cell r="KR76">
            <v>8080</v>
          </cell>
          <cell r="LD76">
            <v>7.12</v>
          </cell>
          <cell r="LE76" t="str">
            <v>Aplicación de BARNIZ PARA MADERA EN MUROS Y PISOS TIPO BARNEX. Incluye suministro de mano de obra, catalizador, masillado, lijado, tintilla, color que indique la Interventoría, sellado de poros y todo lo necesario para su correcto acabado que indique la Interventoría</v>
          </cell>
          <cell r="LF76" t="str">
            <v>m2</v>
          </cell>
          <cell r="LG76">
            <v>1</v>
          </cell>
          <cell r="LH76">
            <v>28000</v>
          </cell>
          <cell r="LI76">
            <v>28000</v>
          </cell>
        </row>
      </sheetData>
      <sheetData sheetId="7"/>
      <sheetData sheetId="8"/>
      <sheetData sheetId="9"/>
      <sheetData sheetId="10">
        <row r="11">
          <cell r="I11">
            <v>120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7" workbookViewId="0">
      <selection activeCell="B9" sqref="B9"/>
    </sheetView>
  </sheetViews>
  <sheetFormatPr baseColWidth="10" defaultColWidth="11.42578125" defaultRowHeight="15" x14ac:dyDescent="0.25"/>
  <cols>
    <col min="1" max="1" width="5.85546875" style="1" bestFit="1" customWidth="1"/>
    <col min="2" max="2" width="83.85546875" style="1" customWidth="1"/>
    <col min="3" max="16384" width="11.42578125" style="1"/>
  </cols>
  <sheetData>
    <row r="1" spans="1:2" ht="37.5" customHeight="1" x14ac:dyDescent="0.25">
      <c r="A1" s="377" t="s">
        <v>0</v>
      </c>
      <c r="B1" s="378"/>
    </row>
    <row r="2" spans="1:2" ht="51" customHeight="1" x14ac:dyDescent="0.25">
      <c r="A2" s="379" t="s">
        <v>205</v>
      </c>
      <c r="B2" s="380"/>
    </row>
    <row r="3" spans="1:2" ht="18" x14ac:dyDescent="0.25">
      <c r="A3" s="379" t="s">
        <v>1</v>
      </c>
      <c r="B3" s="380"/>
    </row>
    <row r="4" spans="1:2" ht="133.5" customHeight="1" x14ac:dyDescent="0.25">
      <c r="A4" s="381" t="s">
        <v>247</v>
      </c>
      <c r="B4" s="382"/>
    </row>
    <row r="5" spans="1:2" ht="27" customHeight="1" x14ac:dyDescent="0.25">
      <c r="A5" s="383"/>
      <c r="B5" s="384"/>
    </row>
    <row r="6" spans="1:2" ht="15.75" x14ac:dyDescent="0.25">
      <c r="A6" s="2"/>
      <c r="B6" s="2"/>
    </row>
    <row r="7" spans="1:2" ht="29.25" customHeight="1" x14ac:dyDescent="0.25">
      <c r="A7" s="3" t="s">
        <v>2</v>
      </c>
      <c r="B7" s="4" t="s">
        <v>3</v>
      </c>
    </row>
    <row r="8" spans="1:2" ht="22.5" customHeight="1" x14ac:dyDescent="0.2">
      <c r="A8" s="5">
        <v>1</v>
      </c>
      <c r="B8" s="233" t="s">
        <v>215</v>
      </c>
    </row>
    <row r="9" spans="1:2" ht="22.5" customHeight="1" x14ac:dyDescent="0.2">
      <c r="A9" s="5">
        <v>2</v>
      </c>
      <c r="B9" s="233" t="s">
        <v>165</v>
      </c>
    </row>
    <row r="10" spans="1:2" ht="22.5" customHeight="1" x14ac:dyDescent="0.2">
      <c r="A10" s="5">
        <v>3</v>
      </c>
      <c r="B10" s="233" t="s">
        <v>216</v>
      </c>
    </row>
    <row r="11" spans="1:2" ht="22.5" customHeight="1" x14ac:dyDescent="0.2">
      <c r="A11" s="5">
        <v>4</v>
      </c>
      <c r="B11" s="233" t="s">
        <v>217</v>
      </c>
    </row>
    <row r="12" spans="1:2" ht="22.5" customHeight="1" x14ac:dyDescent="0.2">
      <c r="A12" s="5">
        <v>5</v>
      </c>
      <c r="B12" s="233" t="s">
        <v>218</v>
      </c>
    </row>
    <row r="13" spans="1:2" ht="22.5" customHeight="1" x14ac:dyDescent="0.2">
      <c r="A13" s="5">
        <v>6</v>
      </c>
      <c r="B13" s="233" t="s">
        <v>219</v>
      </c>
    </row>
    <row r="14" spans="1:2" ht="22.5" customHeight="1" x14ac:dyDescent="0.2">
      <c r="A14" s="5">
        <v>7</v>
      </c>
      <c r="B14" s="233" t="s">
        <v>220</v>
      </c>
    </row>
    <row r="15" spans="1:2" ht="22.5" customHeight="1" x14ac:dyDescent="0.2">
      <c r="A15" s="5">
        <v>8</v>
      </c>
      <c r="B15" s="233" t="s">
        <v>221</v>
      </c>
    </row>
    <row r="16" spans="1:2" ht="22.5" customHeight="1" x14ac:dyDescent="0.2">
      <c r="A16" s="5">
        <v>9</v>
      </c>
      <c r="B16" s="233" t="s">
        <v>166</v>
      </c>
    </row>
    <row r="17" spans="1:2" ht="22.5" customHeight="1" x14ac:dyDescent="0.2">
      <c r="A17" s="5">
        <v>10</v>
      </c>
      <c r="B17" s="233" t="s">
        <v>222</v>
      </c>
    </row>
    <row r="18" spans="1:2" ht="22.5" customHeight="1" x14ac:dyDescent="0.2">
      <c r="A18" s="5">
        <v>11</v>
      </c>
      <c r="B18" s="233" t="s">
        <v>223</v>
      </c>
    </row>
    <row r="19" spans="1:2" ht="22.5" customHeight="1" x14ac:dyDescent="0.2">
      <c r="A19" s="5">
        <v>12</v>
      </c>
      <c r="B19" s="233" t="s">
        <v>224</v>
      </c>
    </row>
    <row r="20" spans="1:2" ht="22.5" customHeight="1" x14ac:dyDescent="0.2">
      <c r="A20" s="5">
        <v>13</v>
      </c>
      <c r="B20" s="233" t="s">
        <v>225</v>
      </c>
    </row>
    <row r="21" spans="1:2" ht="22.5" customHeight="1" x14ac:dyDescent="0.2">
      <c r="A21" s="5">
        <v>14</v>
      </c>
      <c r="B21" s="233" t="s">
        <v>226</v>
      </c>
    </row>
    <row r="22" spans="1:2" ht="22.5" hidden="1" customHeight="1" x14ac:dyDescent="0.2">
      <c r="A22" s="5">
        <v>15</v>
      </c>
      <c r="B22" s="166"/>
    </row>
    <row r="23" spans="1:2" ht="22.5" hidden="1" customHeight="1" x14ac:dyDescent="0.2">
      <c r="A23" s="5">
        <v>16</v>
      </c>
      <c r="B23" s="165"/>
    </row>
    <row r="24" spans="1:2" ht="22.5" hidden="1" customHeight="1" x14ac:dyDescent="0.2">
      <c r="A24" s="5">
        <v>17</v>
      </c>
      <c r="B24" s="165"/>
    </row>
    <row r="25" spans="1:2" ht="22.5" customHeight="1" x14ac:dyDescent="0.25">
      <c r="A25" s="6"/>
      <c r="B25" s="7"/>
    </row>
    <row r="26" spans="1:2" ht="12.75" customHeight="1" x14ac:dyDescent="0.25">
      <c r="A26" s="376" t="s">
        <v>4</v>
      </c>
      <c r="B26" s="376"/>
    </row>
    <row r="27" spans="1:2" ht="70.5" customHeight="1" x14ac:dyDescent="0.25">
      <c r="A27" s="376" t="s">
        <v>206</v>
      </c>
      <c r="B27" s="376"/>
    </row>
  </sheetData>
  <sheetProtection algorithmName="SHA-512" hashValue="EuCF6EdlhXlv2lAC903fg0+TQYXB1gswkF5Es93q/TeDyorfsg68nIu4mjDT3w0ACvrlhL8oSb7K6Rp4/PWcxw==" saltValue="JU6UXXZ0E0Q7JzLggg2OlA==" spinCount="100000" sheet="1" objects="1" scenarios="1"/>
  <mergeCells count="7">
    <mergeCell ref="A27:B27"/>
    <mergeCell ref="A1:B1"/>
    <mergeCell ref="A2:B2"/>
    <mergeCell ref="A3:B3"/>
    <mergeCell ref="A4:B4"/>
    <mergeCell ref="A5:B5"/>
    <mergeCell ref="A26:B26"/>
  </mergeCells>
  <pageMargins left="0.7" right="0.7" top="0.75" bottom="0.75" header="0.3" footer="0.3"/>
  <pageSetup paperSize="9" orientation="portrait" horizontalDpi="4294967292"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41"/>
  <sheetViews>
    <sheetView showGridLines="0" tabSelected="1" topLeftCell="A21" zoomScaleNormal="100" workbookViewId="0">
      <selection activeCell="A34" sqref="A34:XFD37"/>
    </sheetView>
  </sheetViews>
  <sheetFormatPr baseColWidth="10" defaultColWidth="11.42578125" defaultRowHeight="15.75" x14ac:dyDescent="0.25"/>
  <cols>
    <col min="1" max="1" width="4.42578125" style="81" customWidth="1"/>
    <col min="2" max="2" width="6.140625" style="81" customWidth="1"/>
    <col min="3" max="3" width="17" style="81" customWidth="1"/>
    <col min="4" max="4" width="16" style="81" customWidth="1"/>
    <col min="5" max="5" width="5.42578125" style="81" customWidth="1"/>
    <col min="6" max="6" width="10" style="81" customWidth="1"/>
    <col min="7" max="7" width="17" style="81" customWidth="1"/>
    <col min="8" max="8" width="14.140625" style="81" bestFit="1" customWidth="1"/>
    <col min="9" max="9" width="11.28515625" style="81" bestFit="1" customWidth="1"/>
    <col min="10" max="10" width="13.140625" style="81" bestFit="1" customWidth="1"/>
    <col min="11" max="11" width="20.42578125" style="81" customWidth="1"/>
    <col min="12" max="12" width="10" style="81" customWidth="1"/>
    <col min="13" max="13" width="10.140625" style="81" customWidth="1"/>
    <col min="14" max="14" width="13.85546875" style="81" customWidth="1"/>
    <col min="15" max="15" width="18.85546875" style="81" customWidth="1"/>
    <col min="16" max="16" width="18.42578125" style="81" customWidth="1"/>
    <col min="17" max="17" width="35" style="81" customWidth="1"/>
    <col min="18" max="18" width="13.7109375" style="80" customWidth="1"/>
    <col min="19" max="19" width="8.28515625" style="80" customWidth="1"/>
    <col min="20" max="21" width="13.7109375" style="81" hidden="1" customWidth="1"/>
    <col min="22" max="16384" width="11.42578125" style="81"/>
  </cols>
  <sheetData>
    <row r="2" spans="2:21" ht="25.5" customHeight="1" x14ac:dyDescent="0.25">
      <c r="B2" s="685" t="str">
        <f>+'1_ENTREGA'!A1</f>
        <v>UNIVERSIDAD DE ANTIOQUIA</v>
      </c>
      <c r="C2" s="686"/>
      <c r="D2" s="686"/>
      <c r="E2" s="686"/>
      <c r="F2" s="686"/>
      <c r="G2" s="686"/>
      <c r="H2" s="686"/>
      <c r="I2" s="686"/>
      <c r="J2" s="686"/>
      <c r="K2" s="686"/>
      <c r="L2" s="686"/>
      <c r="M2" s="686"/>
      <c r="N2" s="686"/>
      <c r="O2" s="686"/>
      <c r="P2" s="686"/>
      <c r="Q2" s="687"/>
    </row>
    <row r="3" spans="2:21" ht="48" customHeight="1" x14ac:dyDescent="0.25">
      <c r="B3" s="688" t="str">
        <f>+'1_ENTREGA'!A2</f>
        <v>Invitación Pública N° VA-017-2021</v>
      </c>
      <c r="C3" s="689"/>
      <c r="D3" s="689"/>
      <c r="E3" s="689"/>
      <c r="F3" s="689"/>
      <c r="G3" s="689"/>
      <c r="H3" s="689"/>
      <c r="I3" s="689"/>
      <c r="J3" s="689"/>
      <c r="K3" s="689"/>
      <c r="L3" s="689"/>
      <c r="M3" s="689"/>
      <c r="N3" s="689"/>
      <c r="O3" s="689"/>
      <c r="P3" s="689"/>
      <c r="Q3" s="690"/>
    </row>
    <row r="4" spans="2:21" ht="69" customHeight="1" x14ac:dyDescent="0.25">
      <c r="B4" s="688"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C4" s="689"/>
      <c r="D4" s="689"/>
      <c r="E4" s="689"/>
      <c r="F4" s="689"/>
      <c r="G4" s="689"/>
      <c r="H4" s="689"/>
      <c r="I4" s="689"/>
      <c r="J4" s="689"/>
      <c r="K4" s="689"/>
      <c r="L4" s="689"/>
      <c r="M4" s="689"/>
      <c r="N4" s="689"/>
      <c r="O4" s="689"/>
      <c r="P4" s="689"/>
      <c r="Q4" s="690"/>
    </row>
    <row r="5" spans="2:21" ht="26.25" customHeight="1" x14ac:dyDescent="0.25">
      <c r="B5" s="691" t="s">
        <v>76</v>
      </c>
      <c r="C5" s="692"/>
      <c r="D5" s="692"/>
      <c r="E5" s="692"/>
      <c r="F5" s="692"/>
      <c r="G5" s="692"/>
      <c r="H5" s="692"/>
      <c r="I5" s="692"/>
      <c r="J5" s="692"/>
      <c r="K5" s="692"/>
      <c r="L5" s="692"/>
      <c r="M5" s="692"/>
      <c r="N5" s="692"/>
      <c r="O5" s="692"/>
      <c r="P5" s="692"/>
      <c r="Q5" s="693"/>
    </row>
    <row r="6" spans="2:21" ht="16.5" thickBot="1" x14ac:dyDescent="0.3">
      <c r="B6" s="82"/>
      <c r="C6" s="82"/>
      <c r="D6" s="82"/>
      <c r="E6" s="82"/>
      <c r="F6" s="82"/>
      <c r="G6" s="82"/>
      <c r="H6" s="82"/>
      <c r="I6" s="82"/>
      <c r="J6" s="82"/>
      <c r="K6" s="82"/>
      <c r="L6" s="82"/>
      <c r="M6" s="82"/>
      <c r="N6" s="82"/>
      <c r="O6" s="82"/>
      <c r="P6" s="82"/>
    </row>
    <row r="7" spans="2:21" ht="18" customHeight="1" thickBot="1" x14ac:dyDescent="0.3">
      <c r="B7" s="694" t="s">
        <v>77</v>
      </c>
      <c r="C7" s="694"/>
      <c r="D7" s="222">
        <v>3861.88</v>
      </c>
      <c r="E7" s="694" t="s">
        <v>78</v>
      </c>
      <c r="F7" s="694"/>
      <c r="G7" s="694"/>
      <c r="H7" s="695" t="s">
        <v>79</v>
      </c>
      <c r="I7" s="695"/>
      <c r="J7" s="695"/>
      <c r="K7" s="695"/>
      <c r="L7" s="695"/>
      <c r="M7" s="82"/>
      <c r="N7" s="82"/>
      <c r="O7" s="83" t="s">
        <v>80</v>
      </c>
      <c r="P7" s="84">
        <f>'5.2. EXPERIENCIA GRAL Y ESP'!N6</f>
        <v>734538900</v>
      </c>
      <c r="Q7" s="158"/>
      <c r="R7" s="159"/>
    </row>
    <row r="8" spans="2:21" ht="20.25" customHeight="1" thickBot="1" x14ac:dyDescent="0.3">
      <c r="B8" s="680" t="s">
        <v>81</v>
      </c>
      <c r="C8" s="680"/>
      <c r="D8" s="223">
        <v>44433</v>
      </c>
      <c r="E8" s="224">
        <v>1</v>
      </c>
      <c r="F8" s="696" t="s">
        <v>82</v>
      </c>
      <c r="G8" s="696"/>
      <c r="H8" s="85">
        <f>IF(($D$7-TRUNC($D$7))&lt;=0.5,1,2)</f>
        <v>2</v>
      </c>
      <c r="I8" s="697" t="str">
        <f>IF(H8=3,VLOOKUP(H8,$E$8:$F$9,2,FALSE),IF(H8=2,VLOOKUP(H8,$E$8:$F$9,2,FALSE),IF(H8=1,VLOOKUP(H8,$E$8:$F$9,2,FALSE),"NINGUNO")))</f>
        <v>Desviación estándar</v>
      </c>
      <c r="J8" s="697"/>
      <c r="K8" s="698">
        <f ca="1">IFERROR(IF($I$8="Media aritmética",ROUND(SUM(G14:G27)/P8,2),ROUND(_xlfn.STDEV.P(G14:G27),2)),"")</f>
        <v>5889614.3300000001</v>
      </c>
      <c r="L8" s="698"/>
      <c r="M8" s="157" t="str">
        <f ca="1">IFERROR(IF($I$8="Media aritmética",ROUND(SUM(H14:H30)/P8,4),ROUND(_xlfn.STDEV.P(H14:H30),4)),"")</f>
        <v/>
      </c>
      <c r="N8" s="82"/>
      <c r="O8" s="86" t="s">
        <v>83</v>
      </c>
      <c r="P8" s="87">
        <f ca="1">IFERROR(COUNTIF(F14:F30,"H"),0)</f>
        <v>10</v>
      </c>
      <c r="Q8" s="158"/>
    </row>
    <row r="9" spans="2:21" ht="54" customHeight="1" thickBot="1" x14ac:dyDescent="0.3">
      <c r="B9" s="680" t="s">
        <v>84</v>
      </c>
      <c r="C9" s="680"/>
      <c r="D9" s="225">
        <v>500210356</v>
      </c>
      <c r="E9" s="224">
        <v>2</v>
      </c>
      <c r="F9" s="696" t="s">
        <v>85</v>
      </c>
      <c r="G9" s="696"/>
      <c r="H9" s="82"/>
      <c r="I9" s="82"/>
      <c r="J9" s="82"/>
      <c r="K9" s="82"/>
      <c r="L9" s="82"/>
      <c r="M9" s="82"/>
      <c r="N9" s="88"/>
      <c r="O9" s="82"/>
      <c r="P9" s="82"/>
    </row>
    <row r="10" spans="2:21" ht="21" customHeight="1" thickBot="1" x14ac:dyDescent="0.3">
      <c r="B10" s="680" t="s">
        <v>86</v>
      </c>
      <c r="C10" s="680"/>
      <c r="D10" s="226">
        <v>0.23400000000000001</v>
      </c>
      <c r="E10" s="82"/>
      <c r="F10" s="82"/>
      <c r="G10" s="82"/>
      <c r="H10" s="82"/>
      <c r="I10" s="82"/>
      <c r="J10" s="82"/>
      <c r="K10" s="82"/>
      <c r="L10" s="82"/>
      <c r="M10" s="82"/>
      <c r="N10" s="82"/>
      <c r="O10" s="82"/>
      <c r="P10" s="82"/>
    </row>
    <row r="11" spans="2:21" ht="28.5" customHeight="1" x14ac:dyDescent="0.25">
      <c r="B11" s="82"/>
      <c r="C11" s="82"/>
      <c r="D11" s="89"/>
      <c r="E11" s="82"/>
      <c r="F11" s="82"/>
      <c r="G11" s="82"/>
      <c r="I11" s="681" t="s">
        <v>87</v>
      </c>
      <c r="J11" s="682"/>
      <c r="K11" s="682"/>
      <c r="L11" s="683"/>
      <c r="M11" s="90" t="s">
        <v>64</v>
      </c>
      <c r="N11" s="82"/>
    </row>
    <row r="12" spans="2:21" ht="18" customHeight="1" x14ac:dyDescent="0.25">
      <c r="B12" s="91"/>
      <c r="C12" s="88"/>
      <c r="D12" s="91"/>
      <c r="E12" s="88"/>
      <c r="F12" s="92" t="s">
        <v>88</v>
      </c>
      <c r="G12" s="88"/>
      <c r="I12" s="227">
        <v>100</v>
      </c>
      <c r="J12" s="227">
        <v>140</v>
      </c>
      <c r="K12" s="227">
        <v>60</v>
      </c>
      <c r="L12" s="227">
        <v>100</v>
      </c>
      <c r="M12" s="90">
        <f>+SUM(I12:L12)</f>
        <v>400</v>
      </c>
      <c r="N12" s="82"/>
    </row>
    <row r="13" spans="2:21" ht="47.25" customHeight="1" x14ac:dyDescent="0.25">
      <c r="B13" s="93" t="s">
        <v>89</v>
      </c>
      <c r="C13" s="681" t="s">
        <v>90</v>
      </c>
      <c r="D13" s="682"/>
      <c r="E13" s="683"/>
      <c r="F13" s="94" t="s">
        <v>91</v>
      </c>
      <c r="G13" s="93" t="s">
        <v>92</v>
      </c>
      <c r="H13" s="93" t="s">
        <v>93</v>
      </c>
      <c r="I13" s="95" t="s">
        <v>94</v>
      </c>
      <c r="J13" s="95" t="s">
        <v>95</v>
      </c>
      <c r="K13" s="95" t="s">
        <v>96</v>
      </c>
      <c r="L13" s="95" t="s">
        <v>97</v>
      </c>
      <c r="M13" s="96" t="s">
        <v>98</v>
      </c>
      <c r="N13" s="96" t="s">
        <v>99</v>
      </c>
      <c r="O13" s="681" t="s">
        <v>100</v>
      </c>
      <c r="P13" s="682"/>
      <c r="Q13" s="683"/>
      <c r="T13" s="684" t="s">
        <v>101</v>
      </c>
      <c r="U13" s="684"/>
    </row>
    <row r="14" spans="2:21" s="104" customFormat="1" ht="97.5" customHeight="1" x14ac:dyDescent="0.25">
      <c r="B14" s="97">
        <f>+IF('[1]1_ENTREGA'!A8="","",'[1]1_ENTREGA'!A8)</f>
        <v>1</v>
      </c>
      <c r="C14" s="668" t="str">
        <f>IF(B14="","",VLOOKUP(B14,LISTA_OFERENTES,2,FALSE))</f>
        <v>CONCRETOS Y MEZCLAS S.A</v>
      </c>
      <c r="D14" s="669"/>
      <c r="E14" s="670"/>
      <c r="F14" s="98" t="str">
        <f t="shared" ref="F14:F30" si="0">IFERROR(IF(VLOOKUP(B14,ESTATUS,8,FALSE)=0, " ",VLOOKUP(B14,ESTATUS,8,FALSE))," ")</f>
        <v>NH</v>
      </c>
      <c r="G14" s="99" t="str">
        <f t="shared" ref="G14:G30" si="1">IF(OR(F14="NH",F14=""),"",IF(VLOOKUP(B14,V_UNITARIOS,3,FALSE)&gt;$D$9,"REVISAR",ROUND(VLOOKUP(B14,V_UNITARIOS,3,FALSE),0)))</f>
        <v/>
      </c>
      <c r="H14" s="100" t="str">
        <f t="shared" ref="H14:H30" si="2">IF(OR(F14="NH",F14=""),"",IF(VLOOKUP(B14,AU,2,FALSE)&gt;$D$10,"REVISAR",VLOOKUP(B14,AU,2,FALSE)))</f>
        <v/>
      </c>
      <c r="I14" s="101" t="str">
        <f>IF(G14="","",IF($I$8="Media aritmética",(G14&lt;=$K$8)*100+(G14&gt;$K$8)*0,IF(AND((AVERAGE($G$14:$G$27)-$K$8/2&lt;=G14),(G14&lt;=(AVERAGE($G$14:$G$27)+$K$8/2))),100,0)))</f>
        <v/>
      </c>
      <c r="J14" s="101" t="str">
        <f t="shared" ref="J14:J30" si="3">+IF(F14="H",HLOOKUP(B14,PT_2,3,FALSE),"")</f>
        <v/>
      </c>
      <c r="K14" s="101" t="str">
        <f t="shared" ref="K14:K30" si="4">+IF(F14="H",HLOOKUP(B14,PT_2,4,FALSE),"")</f>
        <v/>
      </c>
      <c r="L14" s="101" t="str">
        <f>IF(F14="H",($L$12*(MIN($H$14:$H$27)/H14))," ")</f>
        <v xml:space="preserve"> </v>
      </c>
      <c r="M14" s="102" t="str">
        <f>IF(OR(F14="",F14="NH"),"",SUM(I14:L14))</f>
        <v/>
      </c>
      <c r="N14" s="103" t="str">
        <f>IFERROR(IF(OR(F14=" ",F14="NH")," ",VLOOKUP(M14,ORDEN,2,FALSE))," ")</f>
        <v xml:space="preserve"> </v>
      </c>
      <c r="O14" s="671" t="str">
        <f>+RESUMEN!I5</f>
        <v>Se inhabilita la propuesta ya que entrego la propuesta en un horario diferente al establecido en los Términos de Referencia, según la causal de rechazo: 14.3. Se presente de forma extemporánea o luego de la fecha y hora fijadas para la entrega y el cierre o en lugar diferente al indicado.</v>
      </c>
      <c r="P14" s="672"/>
      <c r="Q14" s="673"/>
      <c r="T14" s="105">
        <f t="shared" ref="T14:T30" ca="1" si="5">IFERROR(LARGE($M$14:$M$30,U14)," ")</f>
        <v>270.48510048510047</v>
      </c>
      <c r="U14" s="106">
        <v>1</v>
      </c>
    </row>
    <row r="15" spans="2:21" s="104" customFormat="1" x14ac:dyDescent="0.25">
      <c r="B15" s="97">
        <f>+IF('[1]1_ENTREGA'!A9="","",'[1]1_ENTREGA'!A9)</f>
        <v>2</v>
      </c>
      <c r="C15" s="668" t="str">
        <f t="shared" ref="C15:C29" si="6">IF(B15="","",VLOOKUP(B15,LISTA_OFERENTES,2,FALSE))</f>
        <v>INGAP S.A.S</v>
      </c>
      <c r="D15" s="669"/>
      <c r="E15" s="670"/>
      <c r="F15" s="98" t="str">
        <f t="shared" ca="1" si="0"/>
        <v>H</v>
      </c>
      <c r="G15" s="99">
        <f t="shared" ca="1" si="1"/>
        <v>491373559</v>
      </c>
      <c r="H15" s="100">
        <f t="shared" ca="1" si="2"/>
        <v>0.15</v>
      </c>
      <c r="I15" s="101">
        <f t="shared" ref="I15:I31" ca="1" si="7">IF(G15="","",IF($I$8="Media aritmética",(G15&lt;=$K$8)*100+(G15&gt;$K$8)*0,IF(AND((AVERAGE($G$14:$G$27)-$K$8/2&lt;=G15),(G15&lt;=(AVERAGE($G$14:$G$27)+$K$8/2))),100,0)))</f>
        <v>100</v>
      </c>
      <c r="J15" s="101">
        <f t="shared" ca="1" si="3"/>
        <v>41.481481481481474</v>
      </c>
      <c r="K15" s="101">
        <f t="shared" ca="1" si="4"/>
        <v>29.189189189189182</v>
      </c>
      <c r="L15" s="101">
        <f t="shared" ref="L15:L30" ca="1" si="8">IF(F15="H",($L$12*(MIN($H$14:$H$27)/H15))," ")</f>
        <v>90.000000000000014</v>
      </c>
      <c r="M15" s="102">
        <f ca="1">IF(OR(F15="",F15="NH"),"",SUM(I15:L15))</f>
        <v>260.67067067067069</v>
      </c>
      <c r="N15" s="103">
        <f t="shared" ref="N15:N30" ca="1" si="9">IFERROR(IF(OR(F15=" ",F15="NH")," ",VLOOKUP(M15,ORDEN,2,FALSE))," ")</f>
        <v>3</v>
      </c>
      <c r="O15" s="671">
        <f>+RESUMEN!I6</f>
        <v>0</v>
      </c>
      <c r="P15" s="672"/>
      <c r="Q15" s="673"/>
      <c r="T15" s="105">
        <f t="shared" ca="1" si="5"/>
        <v>264.18418418418418</v>
      </c>
      <c r="U15" s="106">
        <v>2</v>
      </c>
    </row>
    <row r="16" spans="2:21" s="104" customFormat="1" x14ac:dyDescent="0.25">
      <c r="B16" s="97">
        <f>+IF('[1]1_ENTREGA'!A10="","",'[1]1_ENTREGA'!A10)</f>
        <v>3</v>
      </c>
      <c r="C16" s="668" t="str">
        <f t="shared" si="6"/>
        <v xml:space="preserve">VIACOL INGENIEROS CONTRATISTAS </v>
      </c>
      <c r="D16" s="669"/>
      <c r="E16" s="670"/>
      <c r="F16" s="98" t="str">
        <f t="shared" ca="1" si="0"/>
        <v>H</v>
      </c>
      <c r="G16" s="99">
        <f t="shared" ca="1" si="1"/>
        <v>489082150</v>
      </c>
      <c r="H16" s="100">
        <f t="shared" ca="1" si="2"/>
        <v>0.22</v>
      </c>
      <c r="I16" s="101">
        <f t="shared" ca="1" si="7"/>
        <v>100</v>
      </c>
      <c r="J16" s="101">
        <f t="shared" ca="1" si="3"/>
        <v>62.222222222222207</v>
      </c>
      <c r="K16" s="101">
        <f t="shared" ca="1" si="4"/>
        <v>29.189189189189182</v>
      </c>
      <c r="L16" s="101">
        <f t="shared" ca="1" si="8"/>
        <v>61.363636363636367</v>
      </c>
      <c r="M16" s="102">
        <f t="shared" ref="M16:M30" ca="1" si="10">IF(OR(F16="",F16="NH"),"",SUM(I16:L16))</f>
        <v>252.77504777504777</v>
      </c>
      <c r="N16" s="103">
        <f t="shared" ca="1" si="9"/>
        <v>5</v>
      </c>
      <c r="O16" s="671">
        <f>+RESUMEN!I7</f>
        <v>0</v>
      </c>
      <c r="P16" s="672"/>
      <c r="Q16" s="673"/>
      <c r="T16" s="105">
        <f t="shared" ca="1" si="5"/>
        <v>260.67067067067069</v>
      </c>
      <c r="U16" s="106">
        <v>3</v>
      </c>
    </row>
    <row r="17" spans="2:21" s="104" customFormat="1" ht="95.25" customHeight="1" x14ac:dyDescent="0.25">
      <c r="B17" s="97">
        <f>+IF('[1]1_ENTREGA'!A11="","",'[1]1_ENTREGA'!A11)</f>
        <v>4</v>
      </c>
      <c r="C17" s="668" t="str">
        <f t="shared" si="6"/>
        <v>CÉSAR AUGUSTO GIRALDO ATEHORTÚA</v>
      </c>
      <c r="D17" s="669"/>
      <c r="E17" s="670"/>
      <c r="F17" s="98" t="str">
        <f t="shared" ca="1" si="0"/>
        <v>NH</v>
      </c>
      <c r="G17" s="99" t="str">
        <f t="shared" ca="1" si="1"/>
        <v/>
      </c>
      <c r="H17" s="100" t="str">
        <f t="shared" ca="1" si="2"/>
        <v/>
      </c>
      <c r="I17" s="101" t="str">
        <f t="shared" ca="1" si="7"/>
        <v/>
      </c>
      <c r="J17" s="101" t="str">
        <f t="shared" ca="1" si="3"/>
        <v/>
      </c>
      <c r="K17" s="101" t="str">
        <f t="shared" ca="1" si="4"/>
        <v/>
      </c>
      <c r="L17" s="101" t="str">
        <f t="shared" ca="1" si="8"/>
        <v xml:space="preserve"> </v>
      </c>
      <c r="M17" s="102" t="str">
        <f t="shared" ca="1" si="10"/>
        <v/>
      </c>
      <c r="N17" s="103" t="str">
        <f t="shared" ca="1" si="9"/>
        <v xml:space="preserve"> </v>
      </c>
      <c r="O17" s="671" t="str">
        <f>+RESUMEN!I8</f>
        <v>Los certificados aportados para certificar la experiencia, con los contratos número 4600040622 de 2012 y CN 31072008-338, presentan presuntas irregularidades respecto a lo reportado al RUP, por lo tanto, se inhabilita la propuesta conforme lo dispuesto en los Términos de Referencia causal de rechazo: 14.6. La información o documentación entregada no sea veraz o se observen presuntas falsedades o inconsistencias o contradicciones.</v>
      </c>
      <c r="P17" s="672"/>
      <c r="Q17" s="673"/>
      <c r="T17" s="105">
        <f t="shared" ca="1" si="5"/>
        <v>254.55205205205203</v>
      </c>
      <c r="U17" s="106">
        <v>4</v>
      </c>
    </row>
    <row r="18" spans="2:21" s="104" customFormat="1" x14ac:dyDescent="0.25">
      <c r="B18" s="97">
        <f>+IF('[1]1_ENTREGA'!A12="","",'[1]1_ENTREGA'!A12)</f>
        <v>5</v>
      </c>
      <c r="C18" s="668" t="str">
        <f t="shared" si="6"/>
        <v>JUAN CARLOS RESTREPO GUTIERREZ</v>
      </c>
      <c r="D18" s="669"/>
      <c r="E18" s="670"/>
      <c r="F18" s="98" t="str">
        <f t="shared" ca="1" si="0"/>
        <v>H</v>
      </c>
      <c r="G18" s="99">
        <f t="shared" ca="1" si="1"/>
        <v>492533698</v>
      </c>
      <c r="H18" s="100">
        <f t="shared" ca="1" si="2"/>
        <v>0.23399999999999999</v>
      </c>
      <c r="I18" s="101">
        <f t="shared" ca="1" si="7"/>
        <v>100</v>
      </c>
      <c r="J18" s="101">
        <f t="shared" ca="1" si="3"/>
        <v>93.333333333333343</v>
      </c>
      <c r="K18" s="101">
        <f t="shared" ca="1" si="4"/>
        <v>19.459459459459456</v>
      </c>
      <c r="L18" s="101">
        <f t="shared" ca="1" si="8"/>
        <v>57.692307692307701</v>
      </c>
      <c r="M18" s="102">
        <f t="shared" ca="1" si="10"/>
        <v>270.48510048510047</v>
      </c>
      <c r="N18" s="103">
        <f t="shared" ca="1" si="9"/>
        <v>1</v>
      </c>
      <c r="O18" s="671">
        <f>+RESUMEN!I9</f>
        <v>0</v>
      </c>
      <c r="P18" s="672"/>
      <c r="Q18" s="673"/>
      <c r="T18" s="105">
        <f t="shared" ca="1" si="5"/>
        <v>252.77504777504777</v>
      </c>
      <c r="U18" s="106">
        <v>5</v>
      </c>
    </row>
    <row r="19" spans="2:21" s="104" customFormat="1" x14ac:dyDescent="0.25">
      <c r="B19" s="97">
        <f>+IF('[1]1_ENTREGA'!A13="","",'[1]1_ENTREGA'!A13)</f>
        <v>6</v>
      </c>
      <c r="C19" s="668" t="str">
        <f t="shared" si="6"/>
        <v>ANGELA MARÍA CÁRDENAS ZAPATA</v>
      </c>
      <c r="D19" s="669"/>
      <c r="E19" s="670"/>
      <c r="F19" s="98" t="str">
        <f t="shared" ca="1" si="0"/>
        <v>H</v>
      </c>
      <c r="G19" s="99">
        <f t="shared" ca="1" si="1"/>
        <v>493698540</v>
      </c>
      <c r="H19" s="100">
        <f t="shared" ca="1" si="2"/>
        <v>0.23299999999999998</v>
      </c>
      <c r="I19" s="101">
        <f t="shared" ca="1" si="7"/>
        <v>0</v>
      </c>
      <c r="J19" s="101">
        <f t="shared" ca="1" si="3"/>
        <v>108.88888888888891</v>
      </c>
      <c r="K19" s="101">
        <f t="shared" ca="1" si="4"/>
        <v>24.324324324324319</v>
      </c>
      <c r="L19" s="101">
        <f t="shared" ca="1" si="8"/>
        <v>57.939914163090137</v>
      </c>
      <c r="M19" s="102">
        <f t="shared" ca="1" si="10"/>
        <v>191.15312737630336</v>
      </c>
      <c r="N19" s="103">
        <f t="shared" ca="1" si="9"/>
        <v>6</v>
      </c>
      <c r="O19" s="671">
        <f>+RESUMEN!I10</f>
        <v>0</v>
      </c>
      <c r="P19" s="672"/>
      <c r="Q19" s="673"/>
      <c r="T19" s="105">
        <f t="shared" ca="1" si="5"/>
        <v>191.15312737630336</v>
      </c>
      <c r="U19" s="106">
        <v>6</v>
      </c>
    </row>
    <row r="20" spans="2:21" s="104" customFormat="1" ht="109.5" customHeight="1" x14ac:dyDescent="0.25">
      <c r="B20" s="97">
        <f>+IF('[1]1_ENTREGA'!A14="","",'[1]1_ENTREGA'!A14)</f>
        <v>7</v>
      </c>
      <c r="C20" s="668" t="str">
        <f t="shared" si="6"/>
        <v>ASEM S.A.S</v>
      </c>
      <c r="D20" s="669"/>
      <c r="E20" s="670"/>
      <c r="F20" s="98" t="str">
        <f t="shared" ca="1" si="0"/>
        <v>NH</v>
      </c>
      <c r="G20" s="99" t="str">
        <f t="shared" ca="1" si="1"/>
        <v/>
      </c>
      <c r="H20" s="100" t="str">
        <f t="shared" ca="1" si="2"/>
        <v/>
      </c>
      <c r="I20" s="101" t="str">
        <f t="shared" ca="1" si="7"/>
        <v/>
      </c>
      <c r="J20" s="101" t="str">
        <f t="shared" ca="1" si="3"/>
        <v/>
      </c>
      <c r="K20" s="101" t="str">
        <f t="shared" ca="1" si="4"/>
        <v/>
      </c>
      <c r="L20" s="101" t="str">
        <f t="shared" ca="1" si="8"/>
        <v xml:space="preserve"> </v>
      </c>
      <c r="M20" s="102" t="str">
        <f t="shared" ca="1" si="10"/>
        <v/>
      </c>
      <c r="N20" s="103" t="str">
        <f t="shared" ca="1" si="9"/>
        <v xml:space="preserve"> </v>
      </c>
      <c r="O20" s="677" t="str">
        <f>+RESUMEN!I11</f>
        <v>No subsanó los documentos conforme se le solicitó el 8/09/2021, siendo esto causal de rechazo 14.11. Cuando el Proponente, habiendo sido requerido por la UdeA. para aportar documentos, suministrar información o hacer aclaraciones conforme a lo establecido en esta Invitación, no los allegue dentro del término fijado para el efecto en la respectiva comunicación, o que habiéndolos aportado no estén conformes con lo exigido en la comunicación.</v>
      </c>
      <c r="P20" s="678"/>
      <c r="Q20" s="679"/>
      <c r="T20" s="105">
        <f t="shared" ca="1" si="5"/>
        <v>184.75937475937477</v>
      </c>
      <c r="U20" s="106">
        <v>7</v>
      </c>
    </row>
    <row r="21" spans="2:21" s="104" customFormat="1" x14ac:dyDescent="0.25">
      <c r="B21" s="97">
        <f>+IF('[1]1_ENTREGA'!A15="","",'[1]1_ENTREGA'!A15)</f>
        <v>8</v>
      </c>
      <c r="C21" s="668" t="str">
        <f t="shared" si="6"/>
        <v>LUIS CARLOS PARRA VELASQUEZ</v>
      </c>
      <c r="D21" s="669"/>
      <c r="E21" s="670"/>
      <c r="F21" s="98" t="str">
        <f t="shared" ca="1" si="0"/>
        <v>H</v>
      </c>
      <c r="G21" s="99">
        <f t="shared" ca="1" si="1"/>
        <v>484238930</v>
      </c>
      <c r="H21" s="100">
        <f t="shared" ca="1" si="2"/>
        <v>0.15</v>
      </c>
      <c r="I21" s="101">
        <f t="shared" ca="1" si="7"/>
        <v>0</v>
      </c>
      <c r="J21" s="101">
        <f t="shared" ca="1" si="3"/>
        <v>57.037037037037024</v>
      </c>
      <c r="K21" s="101">
        <f t="shared" ca="1" si="4"/>
        <v>12.972972972972972</v>
      </c>
      <c r="L21" s="101">
        <f t="shared" ca="1" si="8"/>
        <v>90.000000000000014</v>
      </c>
      <c r="M21" s="102">
        <f t="shared" ca="1" si="10"/>
        <v>160.01001001001001</v>
      </c>
      <c r="N21" s="103">
        <f t="shared" ca="1" si="9"/>
        <v>8</v>
      </c>
      <c r="O21" s="671">
        <f>+RESUMEN!I12</f>
        <v>0</v>
      </c>
      <c r="P21" s="672"/>
      <c r="Q21" s="673"/>
      <c r="T21" s="105">
        <f t="shared" ca="1" si="5"/>
        <v>160.01001001001001</v>
      </c>
      <c r="U21" s="106">
        <v>8</v>
      </c>
    </row>
    <row r="22" spans="2:21" s="104" customFormat="1" ht="15" customHeight="1" x14ac:dyDescent="0.25">
      <c r="B22" s="97">
        <f>+IF('[1]1_ENTREGA'!A16="","",'[1]1_ENTREGA'!A16)</f>
        <v>9</v>
      </c>
      <c r="C22" s="668" t="str">
        <f t="shared" si="6"/>
        <v>KA S.A.</v>
      </c>
      <c r="D22" s="669"/>
      <c r="E22" s="670"/>
      <c r="F22" s="98" t="str">
        <f t="shared" ca="1" si="0"/>
        <v>H</v>
      </c>
      <c r="G22" s="99">
        <f t="shared" ca="1" si="1"/>
        <v>490529016</v>
      </c>
      <c r="H22" s="100">
        <f t="shared" ca="1" si="2"/>
        <v>0.21600000000000003</v>
      </c>
      <c r="I22" s="101">
        <f t="shared" ca="1" si="7"/>
        <v>100</v>
      </c>
      <c r="J22" s="101">
        <f t="shared" ca="1" si="3"/>
        <v>72.592592592592581</v>
      </c>
      <c r="K22" s="101">
        <f t="shared" ca="1" si="4"/>
        <v>19.459459459459456</v>
      </c>
      <c r="L22" s="101">
        <f t="shared" ca="1" si="8"/>
        <v>62.5</v>
      </c>
      <c r="M22" s="102">
        <f t="shared" ca="1" si="10"/>
        <v>254.55205205205203</v>
      </c>
      <c r="N22" s="103">
        <f t="shared" ca="1" si="9"/>
        <v>4</v>
      </c>
      <c r="O22" s="671">
        <f>+RESUMEN!I13</f>
        <v>0</v>
      </c>
      <c r="P22" s="672"/>
      <c r="Q22" s="673"/>
      <c r="T22" s="105">
        <f t="shared" ca="1" si="5"/>
        <v>156.00663163163162</v>
      </c>
      <c r="U22" s="106">
        <v>9</v>
      </c>
    </row>
    <row r="23" spans="2:21" s="104" customFormat="1" x14ac:dyDescent="0.25">
      <c r="B23" s="97">
        <f>+IF('[1]1_ENTREGA'!A17="","",'[1]1_ENTREGA'!A17)</f>
        <v>10</v>
      </c>
      <c r="C23" s="668" t="str">
        <f t="shared" si="6"/>
        <v xml:space="preserve">DANIEL JOSE NIEVES VERGARA </v>
      </c>
      <c r="D23" s="669"/>
      <c r="E23" s="670"/>
      <c r="F23" s="98" t="str">
        <f t="shared" ca="1" si="0"/>
        <v>H</v>
      </c>
      <c r="G23" s="99">
        <f t="shared" ca="1" si="1"/>
        <v>499810262</v>
      </c>
      <c r="H23" s="100">
        <f t="shared" ca="1" si="2"/>
        <v>0.16</v>
      </c>
      <c r="I23" s="101">
        <f t="shared" ca="1" si="7"/>
        <v>0</v>
      </c>
      <c r="J23" s="101">
        <f t="shared" ca="1" si="3"/>
        <v>57.037037037037024</v>
      </c>
      <c r="K23" s="101">
        <f t="shared" ca="1" si="4"/>
        <v>14.594594594594593</v>
      </c>
      <c r="L23" s="101">
        <f t="shared" ca="1" si="8"/>
        <v>84.375</v>
      </c>
      <c r="M23" s="102">
        <f t="shared" ca="1" si="10"/>
        <v>156.00663163163162</v>
      </c>
      <c r="N23" s="103">
        <f t="shared" ca="1" si="9"/>
        <v>9</v>
      </c>
      <c r="O23" s="671">
        <f>+RESUMEN!I14</f>
        <v>0</v>
      </c>
      <c r="P23" s="672"/>
      <c r="Q23" s="673"/>
      <c r="T23" s="105">
        <f t="shared" ca="1" si="5"/>
        <v>140.9228971460731</v>
      </c>
      <c r="U23" s="106">
        <v>10</v>
      </c>
    </row>
    <row r="24" spans="2:21" s="104" customFormat="1" x14ac:dyDescent="0.25">
      <c r="B24" s="97">
        <f>+IF('[1]1_ENTREGA'!A18="","",'[1]1_ENTREGA'!A18)</f>
        <v>11</v>
      </c>
      <c r="C24" s="668" t="str">
        <f t="shared" si="6"/>
        <v xml:space="preserve">CARLOS ANDRES ACEBEDO ESCOBAR </v>
      </c>
      <c r="D24" s="669"/>
      <c r="E24" s="670"/>
      <c r="F24" s="98" t="str">
        <f t="shared" ca="1" si="0"/>
        <v>H</v>
      </c>
      <c r="G24" s="99">
        <f t="shared" ca="1" si="1"/>
        <v>497389629</v>
      </c>
      <c r="H24" s="100">
        <f t="shared" ca="1" si="2"/>
        <v>0.23299999999999998</v>
      </c>
      <c r="I24" s="101">
        <f t="shared" ca="1" si="7"/>
        <v>0</v>
      </c>
      <c r="J24" s="101">
        <f t="shared" ca="1" si="3"/>
        <v>57.037037037037024</v>
      </c>
      <c r="K24" s="101">
        <f t="shared" ca="1" si="4"/>
        <v>25.94594594594594</v>
      </c>
      <c r="L24" s="101">
        <f t="shared" ca="1" si="8"/>
        <v>57.939914163090137</v>
      </c>
      <c r="M24" s="102">
        <f t="shared" ca="1" si="10"/>
        <v>140.9228971460731</v>
      </c>
      <c r="N24" s="103">
        <f t="shared" ca="1" si="9"/>
        <v>10</v>
      </c>
      <c r="O24" s="671">
        <f>+RESUMEN!I15</f>
        <v>0</v>
      </c>
      <c r="P24" s="672"/>
      <c r="Q24" s="673"/>
      <c r="T24" s="105">
        <f t="shared" ca="1" si="5"/>
        <v>0</v>
      </c>
      <c r="U24" s="106">
        <v>11</v>
      </c>
    </row>
    <row r="25" spans="2:21" s="104" customFormat="1" x14ac:dyDescent="0.25">
      <c r="B25" s="97">
        <f>+IF('[1]1_ENTREGA'!A19="","",'[1]1_ENTREGA'!A19)</f>
        <v>12</v>
      </c>
      <c r="C25" s="668" t="str">
        <f t="shared" si="6"/>
        <v>CONDEIN S.A.S</v>
      </c>
      <c r="D25" s="669"/>
      <c r="E25" s="670"/>
      <c r="F25" s="98" t="str">
        <f t="shared" ca="1" si="0"/>
        <v>H</v>
      </c>
      <c r="G25" s="99">
        <f t="shared" ca="1" si="1"/>
        <v>477981348</v>
      </c>
      <c r="H25" s="100">
        <f t="shared" ca="1" si="2"/>
        <v>0.23399999999999999</v>
      </c>
      <c r="I25" s="101">
        <f t="shared" ca="1" si="7"/>
        <v>0</v>
      </c>
      <c r="J25" s="101">
        <f t="shared" ca="1" si="3"/>
        <v>88.148148148148152</v>
      </c>
      <c r="K25" s="101">
        <f t="shared" ca="1" si="4"/>
        <v>38.918918918918912</v>
      </c>
      <c r="L25" s="101">
        <f t="shared" ca="1" si="8"/>
        <v>57.692307692307701</v>
      </c>
      <c r="M25" s="102">
        <f t="shared" ca="1" si="10"/>
        <v>184.75937475937477</v>
      </c>
      <c r="N25" s="103">
        <f t="shared" ca="1" si="9"/>
        <v>7</v>
      </c>
      <c r="O25" s="671">
        <f>+RESUMEN!I16</f>
        <v>0</v>
      </c>
      <c r="P25" s="672"/>
      <c r="Q25" s="673"/>
      <c r="T25" s="105">
        <f t="shared" ca="1" si="5"/>
        <v>0</v>
      </c>
      <c r="U25" s="106">
        <v>12</v>
      </c>
    </row>
    <row r="26" spans="2:21" s="104" customFormat="1" ht="147" customHeight="1" x14ac:dyDescent="0.25">
      <c r="B26" s="97">
        <f>+IF('[1]1_ENTREGA'!A20="","",'[1]1_ENTREGA'!A20)</f>
        <v>13</v>
      </c>
      <c r="C26" s="668" t="str">
        <f t="shared" si="6"/>
        <v>CONSTRUVALORES S.A.S</v>
      </c>
      <c r="D26" s="669"/>
      <c r="E26" s="670"/>
      <c r="F26" s="98" t="str">
        <f t="shared" ca="1" si="0"/>
        <v>NH</v>
      </c>
      <c r="G26" s="99" t="str">
        <f t="shared" ca="1" si="1"/>
        <v/>
      </c>
      <c r="H26" s="100" t="str">
        <f t="shared" ca="1" si="2"/>
        <v/>
      </c>
      <c r="I26" s="101" t="str">
        <f t="shared" ca="1" si="7"/>
        <v/>
      </c>
      <c r="J26" s="101" t="str">
        <f t="shared" ca="1" si="3"/>
        <v/>
      </c>
      <c r="K26" s="101" t="str">
        <f t="shared" ca="1" si="4"/>
        <v/>
      </c>
      <c r="L26" s="101" t="str">
        <f t="shared" ca="1" si="8"/>
        <v xml:space="preserve"> </v>
      </c>
      <c r="M26" s="102" t="str">
        <f t="shared" ca="1" si="10"/>
        <v/>
      </c>
      <c r="N26" s="103" t="str">
        <f t="shared" ca="1" si="9"/>
        <v xml:space="preserve"> </v>
      </c>
      <c r="O26" s="671" t="str">
        <f>+RESUMEN!I17</f>
        <v xml:space="preserve">
El Anexo 2 fue modificado, y en dicha modificación no se contempla la sumatoria de los valores totales de los ítems 1,1 y 1,2 los cuales ascienden a $ 46,902,117, el proponente presenta propuesta por $ 498,450,845 y al incluir los ítems 1,1 y 1,2 el valor real sería por $ 545,352,963 el cual supera el valor máximo del Pt1 siendo así causal de rechazo de los Términos de Referencia: 5.5.4. No modificar los formatos del Proceso de Contratación, salvo autorización expresa. Y 14.7. Cuando el valor de la propuesta supera el presupuesto oficial o supere los valores límites establecidos en 12.2. Fase 2. Evaluación económica, para Pt1.
</v>
      </c>
      <c r="P26" s="672"/>
      <c r="Q26" s="673"/>
      <c r="T26" s="105">
        <f t="shared" ca="1" si="5"/>
        <v>0</v>
      </c>
      <c r="U26" s="106">
        <v>13</v>
      </c>
    </row>
    <row r="27" spans="2:21" s="104" customFormat="1" x14ac:dyDescent="0.25">
      <c r="B27" s="97">
        <f>+IF('[1]1_ENTREGA'!A21="","",'[1]1_ENTREGA'!A21)</f>
        <v>14</v>
      </c>
      <c r="C27" s="668" t="str">
        <f t="shared" si="6"/>
        <v>WILLIAMS.CO S.A.S</v>
      </c>
      <c r="D27" s="669"/>
      <c r="E27" s="670"/>
      <c r="F27" s="98" t="str">
        <f t="shared" ca="1" si="0"/>
        <v>H</v>
      </c>
      <c r="G27" s="99">
        <f t="shared" ca="1" si="1"/>
        <v>490294479</v>
      </c>
      <c r="H27" s="100">
        <f t="shared" ca="1" si="2"/>
        <v>0.13500000000000001</v>
      </c>
      <c r="I27" s="101">
        <f t="shared" ca="1" si="7"/>
        <v>100</v>
      </c>
      <c r="J27" s="101">
        <f t="shared" ca="1" si="3"/>
        <v>41.481481481481474</v>
      </c>
      <c r="K27" s="101">
        <f t="shared" ca="1" si="4"/>
        <v>22.702702702702698</v>
      </c>
      <c r="L27" s="101">
        <f t="shared" ca="1" si="8"/>
        <v>100</v>
      </c>
      <c r="M27" s="102">
        <f t="shared" ca="1" si="10"/>
        <v>264.18418418418418</v>
      </c>
      <c r="N27" s="103">
        <f t="shared" ca="1" si="9"/>
        <v>2</v>
      </c>
      <c r="O27" s="671">
        <f>+RESUMEN!I18</f>
        <v>0</v>
      </c>
      <c r="P27" s="672"/>
      <c r="Q27" s="673"/>
      <c r="T27" s="105" t="str">
        <f t="shared" ca="1" si="5"/>
        <v xml:space="preserve"> </v>
      </c>
      <c r="U27" s="106">
        <v>14</v>
      </c>
    </row>
    <row r="28" spans="2:21" s="104" customFormat="1" hidden="1" x14ac:dyDescent="0.25">
      <c r="B28" s="97">
        <f>+IF('[1]1_ENTREGA'!A22="","",'[1]1_ENTREGA'!A22)</f>
        <v>15</v>
      </c>
      <c r="C28" s="668">
        <f t="shared" si="6"/>
        <v>0</v>
      </c>
      <c r="D28" s="669"/>
      <c r="E28" s="670"/>
      <c r="F28" s="98" t="str">
        <f t="shared" si="0"/>
        <v xml:space="preserve"> </v>
      </c>
      <c r="G28" s="99">
        <f t="shared" ca="1" si="1"/>
        <v>0</v>
      </c>
      <c r="H28" s="100" t="e">
        <f t="shared" si="2"/>
        <v>#N/A</v>
      </c>
      <c r="I28" s="101">
        <f t="shared" ca="1" si="7"/>
        <v>0</v>
      </c>
      <c r="J28" s="101" t="str">
        <f t="shared" si="3"/>
        <v/>
      </c>
      <c r="K28" s="101" t="str">
        <f t="shared" si="4"/>
        <v/>
      </c>
      <c r="L28" s="101" t="str">
        <f t="shared" si="8"/>
        <v xml:space="preserve"> </v>
      </c>
      <c r="M28" s="102">
        <f t="shared" ca="1" si="10"/>
        <v>0</v>
      </c>
      <c r="N28" s="103" t="str">
        <f t="shared" si="9"/>
        <v xml:space="preserve"> </v>
      </c>
      <c r="O28" s="674"/>
      <c r="P28" s="675"/>
      <c r="Q28" s="676"/>
      <c r="T28" s="105" t="str">
        <f t="shared" ca="1" si="5"/>
        <v xml:space="preserve"> </v>
      </c>
      <c r="U28" s="106">
        <v>15</v>
      </c>
    </row>
    <row r="29" spans="2:21" s="104" customFormat="1" hidden="1" x14ac:dyDescent="0.25">
      <c r="B29" s="97">
        <f>+IF('[1]1_ENTREGA'!A23="","",'[1]1_ENTREGA'!A23)</f>
        <v>16</v>
      </c>
      <c r="C29" s="668">
        <f t="shared" si="6"/>
        <v>0</v>
      </c>
      <c r="D29" s="669"/>
      <c r="E29" s="670"/>
      <c r="F29" s="98" t="str">
        <f t="shared" si="0"/>
        <v xml:space="preserve"> </v>
      </c>
      <c r="G29" s="99">
        <f t="shared" ca="1" si="1"/>
        <v>0</v>
      </c>
      <c r="H29" s="100" t="e">
        <f t="shared" si="2"/>
        <v>#N/A</v>
      </c>
      <c r="I29" s="101">
        <f t="shared" ca="1" si="7"/>
        <v>0</v>
      </c>
      <c r="J29" s="101" t="str">
        <f t="shared" si="3"/>
        <v/>
      </c>
      <c r="K29" s="101" t="str">
        <f t="shared" si="4"/>
        <v/>
      </c>
      <c r="L29" s="101" t="str">
        <f t="shared" si="8"/>
        <v xml:space="preserve"> </v>
      </c>
      <c r="M29" s="102">
        <f t="shared" ca="1" si="10"/>
        <v>0</v>
      </c>
      <c r="N29" s="103" t="str">
        <f t="shared" si="9"/>
        <v xml:space="preserve"> </v>
      </c>
      <c r="O29" s="674"/>
      <c r="P29" s="675"/>
      <c r="Q29" s="676"/>
      <c r="T29" s="105" t="str">
        <f t="shared" ca="1" si="5"/>
        <v xml:space="preserve"> </v>
      </c>
      <c r="U29" s="106">
        <v>16</v>
      </c>
    </row>
    <row r="30" spans="2:21" s="104" customFormat="1" hidden="1" x14ac:dyDescent="0.25">
      <c r="B30" s="97">
        <f>+IF('[1]1_ENTREGA'!A24="","",'[1]1_ENTREGA'!A24)</f>
        <v>17</v>
      </c>
      <c r="C30" s="668">
        <f t="shared" ref="C30" si="11">IF(B30="","",VLOOKUP(B30,LISTA_OFERENTES,2,FALSE))</f>
        <v>0</v>
      </c>
      <c r="D30" s="669"/>
      <c r="E30" s="670"/>
      <c r="F30" s="98" t="str">
        <f t="shared" si="0"/>
        <v xml:space="preserve"> </v>
      </c>
      <c r="G30" s="99">
        <f t="shared" ca="1" si="1"/>
        <v>0</v>
      </c>
      <c r="H30" s="100" t="e">
        <f t="shared" si="2"/>
        <v>#N/A</v>
      </c>
      <c r="I30" s="101">
        <f t="shared" ca="1" si="7"/>
        <v>0</v>
      </c>
      <c r="J30" s="101" t="str">
        <f t="shared" si="3"/>
        <v/>
      </c>
      <c r="K30" s="101" t="str">
        <f t="shared" si="4"/>
        <v/>
      </c>
      <c r="L30" s="101" t="str">
        <f t="shared" si="8"/>
        <v xml:space="preserve"> </v>
      </c>
      <c r="M30" s="102">
        <f t="shared" ca="1" si="10"/>
        <v>0</v>
      </c>
      <c r="N30" s="103" t="str">
        <f t="shared" si="9"/>
        <v xml:space="preserve"> </v>
      </c>
      <c r="O30" s="228"/>
      <c r="P30" s="229"/>
      <c r="Q30" s="230"/>
      <c r="T30" s="105" t="str">
        <f t="shared" ca="1" si="5"/>
        <v xml:space="preserve"> </v>
      </c>
      <c r="U30" s="106">
        <v>17</v>
      </c>
    </row>
    <row r="31" spans="2:21" x14ac:dyDescent="0.25">
      <c r="G31" s="254"/>
      <c r="I31" s="81" t="str">
        <f t="shared" si="7"/>
        <v/>
      </c>
    </row>
    <row r="32" spans="2:21" x14ac:dyDescent="0.25">
      <c r="F32" s="81" t="s">
        <v>102</v>
      </c>
    </row>
    <row r="33" spans="7:12" ht="12" customHeight="1" x14ac:dyDescent="0.25"/>
    <row r="34" spans="7:12" hidden="1" x14ac:dyDescent="0.25">
      <c r="G34" s="81" t="s">
        <v>399</v>
      </c>
      <c r="H34" s="237">
        <f ca="1">AVERAGE(G14:G27)</f>
        <v>490693161.10000002</v>
      </c>
    </row>
    <row r="35" spans="7:12" hidden="1" x14ac:dyDescent="0.25">
      <c r="G35" s="81" t="s">
        <v>400</v>
      </c>
      <c r="H35" s="237">
        <f ca="1">_xlfn.STDEV.P(G14:G27)</f>
        <v>5889614.3341329144</v>
      </c>
      <c r="K35" s="374"/>
      <c r="L35" s="107"/>
    </row>
    <row r="36" spans="7:12" hidden="1" x14ac:dyDescent="0.25">
      <c r="G36" s="81" t="s">
        <v>349</v>
      </c>
      <c r="H36" s="237">
        <f ca="1">+H34+(H35/2)</f>
        <v>493637968.26706648</v>
      </c>
      <c r="I36" s="237"/>
      <c r="J36" s="237"/>
      <c r="K36" s="237"/>
    </row>
    <row r="37" spans="7:12" hidden="1" x14ac:dyDescent="0.25">
      <c r="G37" s="81" t="s">
        <v>350</v>
      </c>
      <c r="H37" s="237">
        <f ca="1">H34-(H35/2)</f>
        <v>487748353.93293357</v>
      </c>
      <c r="K37" s="237"/>
    </row>
    <row r="39" spans="7:12" x14ac:dyDescent="0.25">
      <c r="G39" s="238"/>
    </row>
    <row r="40" spans="7:12" x14ac:dyDescent="0.25">
      <c r="G40" s="238"/>
    </row>
    <row r="41" spans="7:12" x14ac:dyDescent="0.25">
      <c r="G41" s="239"/>
    </row>
  </sheetData>
  <sheetProtection algorithmName="SHA-512" hashValue="QYRE3eq+PjdllD3cw/hRcUnjaDvpkCa2UUJJS/LCXjoeCuZEiyRBwBa3vK8+pSx6WSzxm/LhyliX8QK1GHQ7IA==" saltValue="hlw0sxDa8Btiz9/oTXF6qQ==" spinCount="100000" sheet="1" objects="1" scenarios="1"/>
  <mergeCells count="51">
    <mergeCell ref="B8:C8"/>
    <mergeCell ref="F8:G8"/>
    <mergeCell ref="I8:J8"/>
    <mergeCell ref="K8:L8"/>
    <mergeCell ref="B9:C9"/>
    <mergeCell ref="F9:G9"/>
    <mergeCell ref="B2:Q2"/>
    <mergeCell ref="B3:Q3"/>
    <mergeCell ref="B4:Q4"/>
    <mergeCell ref="B5:Q5"/>
    <mergeCell ref="B7:C7"/>
    <mergeCell ref="E7:G7"/>
    <mergeCell ref="H7:L7"/>
    <mergeCell ref="T13:U13"/>
    <mergeCell ref="C15:E15"/>
    <mergeCell ref="O15:Q15"/>
    <mergeCell ref="C16:E16"/>
    <mergeCell ref="O16:Q16"/>
    <mergeCell ref="C14:E14"/>
    <mergeCell ref="O14:Q14"/>
    <mergeCell ref="B10:C10"/>
    <mergeCell ref="I11:L11"/>
    <mergeCell ref="C13:E13"/>
    <mergeCell ref="O13:Q13"/>
    <mergeCell ref="C17:E17"/>
    <mergeCell ref="O17:Q17"/>
    <mergeCell ref="C18:E18"/>
    <mergeCell ref="O18:Q18"/>
    <mergeCell ref="C19:E19"/>
    <mergeCell ref="O19:Q19"/>
    <mergeCell ref="C20:E20"/>
    <mergeCell ref="O20:Q20"/>
    <mergeCell ref="C21:E21"/>
    <mergeCell ref="O21:Q21"/>
    <mergeCell ref="C22:E22"/>
    <mergeCell ref="O22:Q22"/>
    <mergeCell ref="C23:E23"/>
    <mergeCell ref="O23:Q23"/>
    <mergeCell ref="C24:E24"/>
    <mergeCell ref="O24:Q24"/>
    <mergeCell ref="C25:E25"/>
    <mergeCell ref="O25:Q25"/>
    <mergeCell ref="C26:E26"/>
    <mergeCell ref="O26:Q26"/>
    <mergeCell ref="C30:E30"/>
    <mergeCell ref="C27:E27"/>
    <mergeCell ref="O27:Q27"/>
    <mergeCell ref="C28:E28"/>
    <mergeCell ref="O28:Q28"/>
    <mergeCell ref="C29:E29"/>
    <mergeCell ref="O29:Q29"/>
  </mergeCells>
  <conditionalFormatting sqref="N14:N30">
    <cfRule type="cellIs" dxfId="2" priority="3" operator="equal">
      <formula>1</formula>
    </cfRule>
  </conditionalFormatting>
  <conditionalFormatting sqref="F14:F30">
    <cfRule type="cellIs" dxfId="1" priority="1" operator="equal">
      <formula>"NH"</formula>
    </cfRule>
    <cfRule type="cellIs" dxfId="0" priority="2" operator="equal">
      <formula>"H"</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7" workbookViewId="0">
      <selection activeCell="B8" sqref="B8"/>
    </sheetView>
  </sheetViews>
  <sheetFormatPr baseColWidth="10" defaultColWidth="11.42578125" defaultRowHeight="14.25" x14ac:dyDescent="0.2"/>
  <cols>
    <col min="1" max="1" width="3.42578125" style="8" bestFit="1" customWidth="1"/>
    <col min="2" max="2" width="36.140625" style="8" customWidth="1"/>
    <col min="3" max="3" width="45.42578125" style="8" customWidth="1"/>
    <col min="4" max="4" width="23" style="8" customWidth="1"/>
    <col min="5" max="5" width="22.7109375" style="8" customWidth="1"/>
    <col min="6" max="6" width="24" style="8" customWidth="1"/>
    <col min="7" max="7" width="20.42578125" style="8" customWidth="1"/>
    <col min="8" max="8" width="11.85546875" style="8" customWidth="1"/>
    <col min="9" max="9" width="26.42578125" style="8" customWidth="1"/>
    <col min="10" max="16384" width="11.42578125" style="8"/>
  </cols>
  <sheetData>
    <row r="1" spans="1:10" ht="34.5" customHeight="1" x14ac:dyDescent="0.3">
      <c r="A1" s="389"/>
      <c r="B1" s="391" t="s">
        <v>0</v>
      </c>
      <c r="C1" s="391"/>
      <c r="D1" s="391"/>
      <c r="E1" s="391"/>
      <c r="F1" s="391"/>
      <c r="G1" s="391"/>
      <c r="H1" s="391"/>
      <c r="I1" s="392"/>
    </row>
    <row r="2" spans="1:10" ht="32.25" customHeight="1" x14ac:dyDescent="0.25">
      <c r="A2" s="390"/>
      <c r="B2" s="393" t="str">
        <f>+'1_ENTREGA'!A2</f>
        <v>Invitación Pública N° VA-017-2021</v>
      </c>
      <c r="C2" s="393"/>
      <c r="D2" s="393"/>
      <c r="E2" s="393"/>
      <c r="F2" s="393"/>
      <c r="G2" s="393"/>
      <c r="H2" s="393"/>
      <c r="I2" s="394"/>
    </row>
    <row r="3" spans="1:10" ht="70.5" customHeight="1" x14ac:dyDescent="0.2">
      <c r="A3" s="390"/>
      <c r="B3" s="39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C3" s="395"/>
      <c r="D3" s="395"/>
      <c r="E3" s="395"/>
      <c r="F3" s="395"/>
      <c r="G3" s="395"/>
      <c r="H3" s="395"/>
      <c r="I3" s="396"/>
    </row>
    <row r="4" spans="1:10" ht="18" customHeight="1" x14ac:dyDescent="0.2">
      <c r="A4" s="397" t="s">
        <v>5</v>
      </c>
      <c r="B4" s="398"/>
      <c r="C4" s="398"/>
      <c r="D4" s="398"/>
      <c r="E4" s="398"/>
      <c r="F4" s="398"/>
      <c r="G4" s="398"/>
      <c r="H4" s="398"/>
      <c r="I4" s="399"/>
    </row>
    <row r="5" spans="1:10" ht="33" customHeight="1" x14ac:dyDescent="0.25">
      <c r="A5" s="400" t="s">
        <v>207</v>
      </c>
      <c r="B5" s="401"/>
      <c r="C5" s="402"/>
      <c r="D5" s="168"/>
      <c r="E5" s="9"/>
      <c r="F5" s="9"/>
      <c r="G5" s="9"/>
      <c r="H5" s="9"/>
      <c r="I5" s="10"/>
    </row>
    <row r="6" spans="1:10" ht="33" customHeight="1" thickBot="1" x14ac:dyDescent="0.25">
      <c r="A6" s="403" t="s">
        <v>154</v>
      </c>
      <c r="B6" s="404"/>
      <c r="C6" s="405"/>
      <c r="D6" s="259"/>
      <c r="E6" s="260"/>
      <c r="F6" s="260"/>
      <c r="G6" s="260"/>
      <c r="H6" s="260"/>
      <c r="I6" s="261"/>
    </row>
    <row r="7" spans="1:10" ht="30.75" thickBot="1" x14ac:dyDescent="0.25">
      <c r="A7" s="267" t="s">
        <v>6</v>
      </c>
      <c r="B7" s="273" t="s">
        <v>7</v>
      </c>
      <c r="C7" s="274" t="s">
        <v>8</v>
      </c>
      <c r="D7" s="272" t="s">
        <v>9</v>
      </c>
      <c r="E7" s="272" t="s">
        <v>150</v>
      </c>
      <c r="F7" s="272" t="s">
        <v>151</v>
      </c>
      <c r="G7" s="272" t="s">
        <v>152</v>
      </c>
      <c r="H7" s="272" t="s">
        <v>153</v>
      </c>
      <c r="I7" s="275" t="s">
        <v>10</v>
      </c>
    </row>
    <row r="8" spans="1:10" ht="27" customHeight="1" thickBot="1" x14ac:dyDescent="0.25">
      <c r="A8" s="268">
        <f>IF('[1]1_ENTREGA'!A8="","",'[1]1_ENTREGA'!A8)</f>
        <v>1</v>
      </c>
      <c r="B8" s="276">
        <v>44432.350775462961</v>
      </c>
      <c r="C8" s="277" t="str">
        <f t="shared" ref="C8:C21" si="0">IF(A8="","",VLOOKUP(A8,LISTA_OFERENTES,2,FALSE))</f>
        <v>CONCRETOS Y MEZCLAS S.A</v>
      </c>
      <c r="D8" s="270">
        <v>8110138233</v>
      </c>
      <c r="E8" s="283" t="s">
        <v>227</v>
      </c>
      <c r="F8" s="262">
        <v>470423856</v>
      </c>
      <c r="G8" s="282" t="s">
        <v>240</v>
      </c>
      <c r="H8" s="263">
        <v>0.05</v>
      </c>
      <c r="I8" s="264"/>
    </row>
    <row r="9" spans="1:10" ht="28.5" customHeight="1" thickBot="1" x14ac:dyDescent="0.25">
      <c r="A9" s="268">
        <f>IF('[1]1_ENTREGA'!A9="","",'[1]1_ENTREGA'!A9)</f>
        <v>2</v>
      </c>
      <c r="B9" s="278">
        <v>44432.417858796296</v>
      </c>
      <c r="C9" s="235" t="str">
        <f t="shared" si="0"/>
        <v>INGAP S.A.S</v>
      </c>
      <c r="D9" s="271">
        <v>8110471880</v>
      </c>
      <c r="E9" s="284" t="s">
        <v>228</v>
      </c>
      <c r="F9" s="262">
        <v>491373559</v>
      </c>
      <c r="G9" s="282">
        <v>0.13</v>
      </c>
      <c r="H9" s="263">
        <v>0.02</v>
      </c>
      <c r="I9" s="265"/>
    </row>
    <row r="10" spans="1:10" ht="28.5" customHeight="1" thickBot="1" x14ac:dyDescent="0.25">
      <c r="A10" s="268">
        <f>IF('[1]1_ENTREGA'!A10="","",'[1]1_ENTREGA'!A10)</f>
        <v>3</v>
      </c>
      <c r="B10" s="278">
        <v>44432.421388888892</v>
      </c>
      <c r="C10" s="235" t="str">
        <f t="shared" si="0"/>
        <v xml:space="preserve">VIACOL INGENIEROS CONTRATISTAS </v>
      </c>
      <c r="D10" s="271">
        <v>900034836</v>
      </c>
      <c r="E10" s="284" t="s">
        <v>229</v>
      </c>
      <c r="F10" s="262">
        <v>489082150</v>
      </c>
      <c r="G10" s="282">
        <v>0.18</v>
      </c>
      <c r="H10" s="263">
        <v>0.04</v>
      </c>
      <c r="I10" s="265"/>
    </row>
    <row r="11" spans="1:10" ht="21.75" customHeight="1" thickBot="1" x14ac:dyDescent="0.25">
      <c r="A11" s="268">
        <f>IF('[1]1_ENTREGA'!A11="","",'[1]1_ENTREGA'!A11)</f>
        <v>4</v>
      </c>
      <c r="B11" s="278">
        <v>44432.423136574071</v>
      </c>
      <c r="C11" s="235" t="str">
        <f t="shared" si="0"/>
        <v>CÉSAR AUGUSTO GIRALDO ATEHORTÚA</v>
      </c>
      <c r="D11" s="271">
        <v>7547088</v>
      </c>
      <c r="E11" s="284" t="s">
        <v>230</v>
      </c>
      <c r="F11" s="262">
        <v>496892200</v>
      </c>
      <c r="G11" s="282" t="s">
        <v>241</v>
      </c>
      <c r="H11" s="263">
        <v>0.01</v>
      </c>
      <c r="I11" s="265"/>
      <c r="J11" s="167"/>
    </row>
    <row r="12" spans="1:10" ht="28.5" customHeight="1" thickBot="1" x14ac:dyDescent="0.25">
      <c r="A12" s="268">
        <f>IF('[1]1_ENTREGA'!A12="","",'[1]1_ENTREGA'!A12)</f>
        <v>5</v>
      </c>
      <c r="B12" s="278">
        <v>44432.42523148148</v>
      </c>
      <c r="C12" s="235" t="str">
        <f t="shared" si="0"/>
        <v>JUAN CARLOS RESTREPO GUTIERREZ</v>
      </c>
      <c r="D12" s="271">
        <v>71605284</v>
      </c>
      <c r="E12" s="284" t="s">
        <v>231</v>
      </c>
      <c r="F12" s="262">
        <v>492533698</v>
      </c>
      <c r="G12" s="282" t="s">
        <v>242</v>
      </c>
      <c r="H12" s="263">
        <v>0.05</v>
      </c>
      <c r="I12" s="265"/>
      <c r="J12" s="167"/>
    </row>
    <row r="13" spans="1:10" ht="28.5" customHeight="1" thickBot="1" x14ac:dyDescent="0.25">
      <c r="A13" s="268">
        <f>IF('[1]1_ENTREGA'!A13="","",'[1]1_ENTREGA'!A13)</f>
        <v>6</v>
      </c>
      <c r="B13" s="278">
        <v>44432.427442129629</v>
      </c>
      <c r="C13" s="235" t="str">
        <f t="shared" si="0"/>
        <v>ANGELA MARÍA CÁRDENAS ZAPATA</v>
      </c>
      <c r="D13" s="271">
        <v>43150821</v>
      </c>
      <c r="E13" s="284" t="s">
        <v>232</v>
      </c>
      <c r="F13" s="262">
        <v>493698540</v>
      </c>
      <c r="G13" s="282" t="s">
        <v>243</v>
      </c>
      <c r="H13" s="263">
        <v>0.05</v>
      </c>
      <c r="I13" s="265"/>
    </row>
    <row r="14" spans="1:10" ht="28.5" customHeight="1" thickBot="1" x14ac:dyDescent="0.25">
      <c r="A14" s="268">
        <f>IF('[1]1_ENTREGA'!A14="","",'[1]1_ENTREGA'!A14)</f>
        <v>7</v>
      </c>
      <c r="B14" s="278">
        <v>44432.43310185185</v>
      </c>
      <c r="C14" s="235" t="str">
        <f t="shared" si="0"/>
        <v>ASEM S.A.S</v>
      </c>
      <c r="D14" s="271">
        <v>825002360</v>
      </c>
      <c r="E14" s="284" t="s">
        <v>233</v>
      </c>
      <c r="F14" s="262">
        <v>499520972</v>
      </c>
      <c r="G14" s="282" t="s">
        <v>167</v>
      </c>
      <c r="H14" s="263">
        <v>0.03</v>
      </c>
      <c r="I14" s="265"/>
    </row>
    <row r="15" spans="1:10" ht="28.5" customHeight="1" thickBot="1" x14ac:dyDescent="0.25">
      <c r="A15" s="268">
        <f>IF('[1]1_ENTREGA'!A15="","",'[1]1_ENTREGA'!A15)</f>
        <v>8</v>
      </c>
      <c r="B15" s="278">
        <v>44432.434571759259</v>
      </c>
      <c r="C15" s="235" t="str">
        <f t="shared" si="0"/>
        <v>LUIS CARLOS PARRA VELASQUEZ</v>
      </c>
      <c r="D15" s="271">
        <v>91278390</v>
      </c>
      <c r="E15" s="284" t="s">
        <v>234</v>
      </c>
      <c r="F15" s="262">
        <v>484238930</v>
      </c>
      <c r="G15" s="282">
        <v>0.12</v>
      </c>
      <c r="H15" s="263">
        <v>0.03</v>
      </c>
      <c r="I15" s="265"/>
    </row>
    <row r="16" spans="1:10" ht="28.5" customHeight="1" thickBot="1" x14ac:dyDescent="0.25">
      <c r="A16" s="268">
        <f>IF('[1]1_ENTREGA'!A16="","",'[1]1_ENTREGA'!A16)</f>
        <v>9</v>
      </c>
      <c r="B16" s="278">
        <v>44432.43613425926</v>
      </c>
      <c r="C16" s="235" t="str">
        <f t="shared" si="0"/>
        <v>KA S.A.</v>
      </c>
      <c r="D16" s="271">
        <v>8301418595</v>
      </c>
      <c r="E16" s="284" t="s">
        <v>235</v>
      </c>
      <c r="F16" s="262">
        <v>490529016</v>
      </c>
      <c r="G16" s="282" t="s">
        <v>244</v>
      </c>
      <c r="H16" s="263">
        <v>0.05</v>
      </c>
      <c r="I16" s="265"/>
    </row>
    <row r="17" spans="1:9" ht="28.5" customHeight="1" thickBot="1" x14ac:dyDescent="0.25">
      <c r="A17" s="268">
        <f>IF('[1]1_ENTREGA'!A17="","",'[1]1_ENTREGA'!A17)</f>
        <v>10</v>
      </c>
      <c r="B17" s="278">
        <v>44432.438923611109</v>
      </c>
      <c r="C17" s="235" t="str">
        <f t="shared" si="0"/>
        <v xml:space="preserve">DANIEL JOSE NIEVES VERGARA </v>
      </c>
      <c r="D17" s="271">
        <v>10765872</v>
      </c>
      <c r="E17" s="284" t="s">
        <v>236</v>
      </c>
      <c r="F17" s="262">
        <v>499810202</v>
      </c>
      <c r="G17" s="282">
        <v>0.13</v>
      </c>
      <c r="H17" s="263">
        <v>0.03</v>
      </c>
      <c r="I17" s="265"/>
    </row>
    <row r="18" spans="1:9" ht="28.5" customHeight="1" thickBot="1" x14ac:dyDescent="0.25">
      <c r="A18" s="268">
        <f>IF('[1]1_ENTREGA'!A18="","",'[1]1_ENTREGA'!A18)</f>
        <v>11</v>
      </c>
      <c r="B18" s="278">
        <v>44432.43949074074</v>
      </c>
      <c r="C18" s="235" t="str">
        <f t="shared" si="0"/>
        <v xml:space="preserve">CARLOS ANDRES ACEBEDO ESCOBAR </v>
      </c>
      <c r="D18" s="271">
        <v>71616726</v>
      </c>
      <c r="E18" s="285">
        <v>6544101202033</v>
      </c>
      <c r="F18" s="262">
        <v>497389629</v>
      </c>
      <c r="G18" s="282" t="s">
        <v>245</v>
      </c>
      <c r="H18" s="263">
        <v>0.05</v>
      </c>
      <c r="I18" s="265"/>
    </row>
    <row r="19" spans="1:9" ht="28.5" customHeight="1" thickBot="1" x14ac:dyDescent="0.25">
      <c r="A19" s="268">
        <f>IF('[1]1_ENTREGA'!A19="","",'[1]1_ENTREGA'!A19)</f>
        <v>12</v>
      </c>
      <c r="B19" s="278">
        <v>44432.442407407405</v>
      </c>
      <c r="C19" s="235" t="str">
        <f t="shared" si="0"/>
        <v>CONDEIN S.A.S</v>
      </c>
      <c r="D19" s="271">
        <v>901008002</v>
      </c>
      <c r="E19" s="284" t="s">
        <v>237</v>
      </c>
      <c r="F19" s="262">
        <v>477981348</v>
      </c>
      <c r="G19" s="282" t="s">
        <v>242</v>
      </c>
      <c r="H19" s="263">
        <v>0.05</v>
      </c>
      <c r="I19" s="265"/>
    </row>
    <row r="20" spans="1:9" ht="28.5" customHeight="1" thickBot="1" x14ac:dyDescent="0.25">
      <c r="A20" s="268">
        <f>IF('[1]1_ENTREGA'!A20="","",'[1]1_ENTREGA'!A20)</f>
        <v>13</v>
      </c>
      <c r="B20" s="278">
        <v>44432.443599537037</v>
      </c>
      <c r="C20" s="235" t="str">
        <f t="shared" si="0"/>
        <v>CONSTRUVALORES S.A.S</v>
      </c>
      <c r="D20" s="271">
        <v>900518211</v>
      </c>
      <c r="E20" s="284" t="s">
        <v>238</v>
      </c>
      <c r="F20" s="262">
        <v>498450845</v>
      </c>
      <c r="G20" s="282">
        <v>0.16</v>
      </c>
      <c r="H20" s="263">
        <v>0.05</v>
      </c>
      <c r="I20" s="265"/>
    </row>
    <row r="21" spans="1:9" ht="28.5" customHeight="1" thickBot="1" x14ac:dyDescent="0.25">
      <c r="A21" s="269">
        <f>IF('[1]1_ENTREGA'!A21="","",'[1]1_ENTREGA'!A21)</f>
        <v>14</v>
      </c>
      <c r="B21" s="279">
        <v>44432.444918981484</v>
      </c>
      <c r="C21" s="280" t="str">
        <f t="shared" si="0"/>
        <v>WILLIAMS.CO S.A.S</v>
      </c>
      <c r="D21" s="281">
        <v>9001018344</v>
      </c>
      <c r="E21" s="284" t="s">
        <v>239</v>
      </c>
      <c r="F21" s="262">
        <v>490294479</v>
      </c>
      <c r="G21" s="282" t="s">
        <v>246</v>
      </c>
      <c r="H21" s="263">
        <v>0.01</v>
      </c>
      <c r="I21" s="266"/>
    </row>
    <row r="22" spans="1:9" ht="15" thickBot="1" x14ac:dyDescent="0.25">
      <c r="A22" s="11"/>
      <c r="B22" s="11"/>
      <c r="C22" s="11"/>
      <c r="D22" s="11"/>
      <c r="E22" s="11"/>
      <c r="F22" s="11"/>
      <c r="G22" s="11"/>
      <c r="H22" s="11"/>
      <c r="I22" s="11"/>
    </row>
    <row r="23" spans="1:9" ht="56.25" customHeight="1" thickBot="1" x14ac:dyDescent="0.25">
      <c r="A23" s="385" t="s">
        <v>208</v>
      </c>
      <c r="B23" s="386"/>
      <c r="C23" s="386"/>
      <c r="D23" s="387"/>
      <c r="E23" s="387"/>
      <c r="F23" s="387"/>
      <c r="G23" s="387"/>
      <c r="H23" s="387"/>
      <c r="I23" s="388"/>
    </row>
    <row r="25" spans="1:9" x14ac:dyDescent="0.2">
      <c r="B25" s="234"/>
    </row>
    <row r="26" spans="1:9" x14ac:dyDescent="0.2">
      <c r="B26" s="234"/>
    </row>
    <row r="27" spans="1:9" x14ac:dyDescent="0.2">
      <c r="B27" s="234"/>
    </row>
    <row r="28" spans="1:9" x14ac:dyDescent="0.2">
      <c r="B28" s="234"/>
    </row>
    <row r="29" spans="1:9" x14ac:dyDescent="0.2">
      <c r="B29" s="234"/>
    </row>
    <row r="30" spans="1:9" x14ac:dyDescent="0.2">
      <c r="B30" s="234"/>
    </row>
    <row r="31" spans="1:9" x14ac:dyDescent="0.2">
      <c r="B31" s="234"/>
    </row>
  </sheetData>
  <sheetProtection algorithmName="SHA-512" hashValue="d8+dEaLoWj9LdV1hJ11zX+aXDllBargqy69vqXojNVK+YM0fRrvBCLa+w8ALhLKIizmFXTFWpPsPI180k6Kqwg==" saltValue="h1Bwsy1gGr6ZP5lSKvPHXg==" spinCount="100000" sheet="1" objects="1" scenarios="1"/>
  <mergeCells count="8">
    <mergeCell ref="A23:I23"/>
    <mergeCell ref="A1:A3"/>
    <mergeCell ref="B1:I1"/>
    <mergeCell ref="B2:I2"/>
    <mergeCell ref="B3:I3"/>
    <mergeCell ref="A4:I4"/>
    <mergeCell ref="A5:C5"/>
    <mergeCell ref="A6:C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55" zoomScaleNormal="55" workbookViewId="0">
      <pane xSplit="2" ySplit="5" topLeftCell="C18" activePane="bottomRight" state="frozen"/>
      <selection pane="topRight" activeCell="C1" sqref="C1"/>
      <selection pane="bottomLeft" activeCell="A6" sqref="A6"/>
      <selection pane="bottomRight" activeCell="E29" sqref="E29"/>
    </sheetView>
  </sheetViews>
  <sheetFormatPr baseColWidth="10" defaultColWidth="11.42578125" defaultRowHeight="15" x14ac:dyDescent="0.25"/>
  <cols>
    <col min="1" max="1" width="25.85546875" style="205" bestFit="1" customWidth="1"/>
    <col min="2" max="2" width="87.85546875" style="205" customWidth="1"/>
    <col min="3" max="16" width="66.42578125" style="205" customWidth="1"/>
    <col min="17" max="16384" width="11.42578125" style="171"/>
  </cols>
  <sheetData>
    <row r="1" spans="1:16" ht="41.25" customHeight="1" x14ac:dyDescent="0.25">
      <c r="A1" s="169"/>
      <c r="B1" s="170" t="s">
        <v>11</v>
      </c>
      <c r="C1" s="170"/>
      <c r="D1" s="170"/>
      <c r="E1" s="170"/>
      <c r="F1" s="170"/>
      <c r="G1" s="170"/>
      <c r="H1" s="170"/>
      <c r="I1" s="170"/>
      <c r="J1" s="170"/>
      <c r="K1" s="170"/>
      <c r="L1" s="170"/>
      <c r="M1" s="170"/>
      <c r="N1" s="170"/>
      <c r="O1" s="170"/>
      <c r="P1" s="170"/>
    </row>
    <row r="2" spans="1:16" ht="15.75" x14ac:dyDescent="0.25">
      <c r="A2" s="172"/>
      <c r="B2" s="173"/>
      <c r="C2" s="173"/>
      <c r="D2" s="173"/>
      <c r="E2" s="173"/>
      <c r="F2" s="173"/>
      <c r="G2" s="173"/>
      <c r="H2" s="173"/>
      <c r="I2" s="173"/>
      <c r="J2" s="173"/>
      <c r="K2" s="173"/>
      <c r="L2" s="173"/>
      <c r="M2" s="173"/>
      <c r="N2" s="173"/>
      <c r="O2" s="173"/>
      <c r="P2" s="173"/>
    </row>
    <row r="3" spans="1:16" ht="15.75" x14ac:dyDescent="0.25">
      <c r="A3" s="174"/>
      <c r="B3" s="175" t="s">
        <v>2</v>
      </c>
      <c r="C3" s="176">
        <v>1</v>
      </c>
      <c r="D3" s="176">
        <v>2</v>
      </c>
      <c r="E3" s="176">
        <v>3</v>
      </c>
      <c r="F3" s="176">
        <v>4</v>
      </c>
      <c r="G3" s="176">
        <v>5</v>
      </c>
      <c r="H3" s="176">
        <v>6</v>
      </c>
      <c r="I3" s="176">
        <v>7</v>
      </c>
      <c r="J3" s="176">
        <v>8</v>
      </c>
      <c r="K3" s="176">
        <v>9</v>
      </c>
      <c r="L3" s="176">
        <v>10</v>
      </c>
      <c r="M3" s="176">
        <v>11</v>
      </c>
      <c r="N3" s="176">
        <v>12</v>
      </c>
      <c r="O3" s="176">
        <v>13</v>
      </c>
      <c r="P3" s="176">
        <v>14</v>
      </c>
    </row>
    <row r="4" spans="1:16" ht="15.75" x14ac:dyDescent="0.25">
      <c r="A4" s="174"/>
      <c r="B4" s="175" t="s">
        <v>8</v>
      </c>
      <c r="C4" s="176" t="str">
        <f t="shared" ref="C4:I4" si="0">+VLOOKUP(C3,LISTA_OFERENTES,2,FALSE)</f>
        <v>CONCRETOS Y MEZCLAS S.A</v>
      </c>
      <c r="D4" s="176" t="str">
        <f t="shared" si="0"/>
        <v>INGAP S.A.S</v>
      </c>
      <c r="E4" s="176" t="str">
        <f t="shared" si="0"/>
        <v xml:space="preserve">VIACOL INGENIEROS CONTRATISTAS </v>
      </c>
      <c r="F4" s="176" t="str">
        <f t="shared" si="0"/>
        <v>CÉSAR AUGUSTO GIRALDO ATEHORTÚA</v>
      </c>
      <c r="G4" s="176" t="str">
        <f t="shared" si="0"/>
        <v>JUAN CARLOS RESTREPO GUTIERREZ</v>
      </c>
      <c r="H4" s="176" t="str">
        <f t="shared" si="0"/>
        <v>ANGELA MARÍA CÁRDENAS ZAPATA</v>
      </c>
      <c r="I4" s="176" t="str">
        <f t="shared" si="0"/>
        <v>ASEM S.A.S</v>
      </c>
      <c r="J4" s="176" t="str">
        <f t="shared" ref="J4:L4" si="1">+VLOOKUP(J3,LISTA_OFERENTES,2,FALSE)</f>
        <v>LUIS CARLOS PARRA VELASQUEZ</v>
      </c>
      <c r="K4" s="176" t="str">
        <f t="shared" si="1"/>
        <v>KA S.A.</v>
      </c>
      <c r="L4" s="176" t="str">
        <f t="shared" si="1"/>
        <v xml:space="preserve">DANIEL JOSE NIEVES VERGARA </v>
      </c>
      <c r="M4" s="176" t="str">
        <f t="shared" ref="M4:P4" si="2">+VLOOKUP(M3,LISTA_OFERENTES,2,FALSE)</f>
        <v xml:space="preserve">CARLOS ANDRES ACEBEDO ESCOBAR </v>
      </c>
      <c r="N4" s="176" t="str">
        <f t="shared" si="2"/>
        <v>CONDEIN S.A.S</v>
      </c>
      <c r="O4" s="176" t="str">
        <f t="shared" si="2"/>
        <v>CONSTRUVALORES S.A.S</v>
      </c>
      <c r="P4" s="176" t="str">
        <f t="shared" si="2"/>
        <v>WILLIAMS.CO S.A.S</v>
      </c>
    </row>
    <row r="5" spans="1:16" ht="20.25" customHeight="1" x14ac:dyDescent="0.25">
      <c r="A5" s="174"/>
      <c r="B5" s="175" t="s">
        <v>12</v>
      </c>
      <c r="C5" s="176">
        <f>VLOOKUP(C3,'2_APERTURA DE SOBRES'!$A$7:$H$151,4,)</f>
        <v>8110138233</v>
      </c>
      <c r="D5" s="176">
        <f>VLOOKUP(D3,'2_APERTURA DE SOBRES'!$A$7:$H$151,4,)</f>
        <v>8110471880</v>
      </c>
      <c r="E5" s="176">
        <f>VLOOKUP(E3,'2_APERTURA DE SOBRES'!$A$7:$H$151,4,)</f>
        <v>900034836</v>
      </c>
      <c r="F5" s="176">
        <f>VLOOKUP(F3,'2_APERTURA DE SOBRES'!$A$7:$H$151,4,)</f>
        <v>7547088</v>
      </c>
      <c r="G5" s="176">
        <f>VLOOKUP(G3,'2_APERTURA DE SOBRES'!$A$7:$H$151,4,)</f>
        <v>71605284</v>
      </c>
      <c r="H5" s="176">
        <f>VLOOKUP(H3,'2_APERTURA DE SOBRES'!$A$7:$H$151,4,)</f>
        <v>43150821</v>
      </c>
      <c r="I5" s="176">
        <f>VLOOKUP(I3,'2_APERTURA DE SOBRES'!$A$7:$H$151,4,)</f>
        <v>825002360</v>
      </c>
      <c r="J5" s="176">
        <f>VLOOKUP(J3,'2_APERTURA DE SOBRES'!$A$7:$H$151,4,)</f>
        <v>91278390</v>
      </c>
      <c r="K5" s="176">
        <f>VLOOKUP(K3,'2_APERTURA DE SOBRES'!$A$7:$H$151,4,)</f>
        <v>8301418595</v>
      </c>
      <c r="L5" s="176">
        <f>VLOOKUP(L3,'2_APERTURA DE SOBRES'!$A$7:$H$151,4,)</f>
        <v>10765872</v>
      </c>
      <c r="M5" s="176">
        <f>VLOOKUP(M3,'2_APERTURA DE SOBRES'!$A$7:$H$151,4,)</f>
        <v>71616726</v>
      </c>
      <c r="N5" s="176">
        <f>VLOOKUP(N3,'2_APERTURA DE SOBRES'!$A$7:$H$151,4,)</f>
        <v>901008002</v>
      </c>
      <c r="O5" s="176">
        <f>VLOOKUP(O3,'2_APERTURA DE SOBRES'!$A$7:$H$151,4,)</f>
        <v>900518211</v>
      </c>
      <c r="P5" s="176">
        <f>VLOOKUP(P3,'2_APERTURA DE SOBRES'!$A$7:$H$151,4,)</f>
        <v>9001018344</v>
      </c>
    </row>
    <row r="6" spans="1:16" ht="36.75" customHeight="1" x14ac:dyDescent="0.25">
      <c r="A6" s="177"/>
      <c r="B6" s="178" t="s">
        <v>13</v>
      </c>
      <c r="C6" s="179"/>
      <c r="D6" s="179"/>
      <c r="E6" s="179"/>
      <c r="F6" s="179"/>
      <c r="G6" s="179"/>
      <c r="H6" s="179"/>
      <c r="I6" s="179"/>
      <c r="J6" s="179"/>
      <c r="K6" s="179"/>
      <c r="L6" s="179"/>
      <c r="M6" s="179"/>
      <c r="N6" s="179"/>
      <c r="O6" s="179"/>
      <c r="P6" s="179"/>
    </row>
    <row r="7" spans="1:16" ht="33" customHeight="1" x14ac:dyDescent="0.25">
      <c r="A7" s="180" t="s">
        <v>14</v>
      </c>
      <c r="B7" s="181" t="s">
        <v>15</v>
      </c>
      <c r="C7" s="182"/>
      <c r="D7" s="182"/>
      <c r="E7" s="182"/>
      <c r="F7" s="182"/>
      <c r="G7" s="182"/>
      <c r="H7" s="182"/>
      <c r="I7" s="182"/>
      <c r="J7" s="182"/>
      <c r="K7" s="182"/>
      <c r="L7" s="182"/>
      <c r="M7" s="182"/>
      <c r="N7" s="182"/>
      <c r="O7" s="182"/>
      <c r="P7" s="182"/>
    </row>
    <row r="8" spans="1:16" ht="178.5" customHeight="1" x14ac:dyDescent="0.25">
      <c r="A8" s="183">
        <v>1</v>
      </c>
      <c r="B8" s="184" t="s">
        <v>168</v>
      </c>
      <c r="C8" s="192" t="s">
        <v>454</v>
      </c>
      <c r="D8" s="192" t="s">
        <v>454</v>
      </c>
      <c r="E8" s="192" t="s">
        <v>454</v>
      </c>
      <c r="F8" s="192" t="s">
        <v>346</v>
      </c>
      <c r="G8" s="192" t="s">
        <v>346</v>
      </c>
      <c r="H8" s="192" t="s">
        <v>346</v>
      </c>
      <c r="I8" s="192" t="s">
        <v>454</v>
      </c>
      <c r="J8" s="192" t="s">
        <v>346</v>
      </c>
      <c r="K8" s="192" t="s">
        <v>454</v>
      </c>
      <c r="L8" s="192" t="s">
        <v>346</v>
      </c>
      <c r="M8" s="192" t="s">
        <v>346</v>
      </c>
      <c r="N8" s="192" t="s">
        <v>454</v>
      </c>
      <c r="O8" s="192" t="s">
        <v>454</v>
      </c>
      <c r="P8" s="192" t="s">
        <v>454</v>
      </c>
    </row>
    <row r="9" spans="1:16" ht="107.25" customHeight="1" x14ac:dyDescent="0.25">
      <c r="A9" s="183">
        <v>2</v>
      </c>
      <c r="B9" s="184" t="s">
        <v>209</v>
      </c>
      <c r="C9" s="192" t="s">
        <v>454</v>
      </c>
      <c r="D9" s="192" t="s">
        <v>454</v>
      </c>
      <c r="E9" s="192" t="s">
        <v>454</v>
      </c>
      <c r="F9" s="192" t="s">
        <v>346</v>
      </c>
      <c r="G9" s="192" t="s">
        <v>346</v>
      </c>
      <c r="H9" s="192" t="s">
        <v>346</v>
      </c>
      <c r="I9" s="192" t="s">
        <v>454</v>
      </c>
      <c r="J9" s="192" t="s">
        <v>346</v>
      </c>
      <c r="K9" s="192" t="s">
        <v>454</v>
      </c>
      <c r="L9" s="192" t="s">
        <v>346</v>
      </c>
      <c r="M9" s="192" t="s">
        <v>346</v>
      </c>
      <c r="N9" s="192" t="s">
        <v>454</v>
      </c>
      <c r="O9" s="192" t="s">
        <v>454</v>
      </c>
      <c r="P9" s="192" t="s">
        <v>454</v>
      </c>
    </row>
    <row r="10" spans="1:16" ht="118.5" customHeight="1" x14ac:dyDescent="0.25">
      <c r="A10" s="183">
        <v>3</v>
      </c>
      <c r="B10" s="184" t="s">
        <v>169</v>
      </c>
      <c r="C10" s="192" t="s">
        <v>454</v>
      </c>
      <c r="D10" s="192" t="s">
        <v>454</v>
      </c>
      <c r="E10" s="192" t="s">
        <v>454</v>
      </c>
      <c r="F10" s="192" t="s">
        <v>346</v>
      </c>
      <c r="G10" s="192" t="s">
        <v>346</v>
      </c>
      <c r="H10" s="192" t="s">
        <v>346</v>
      </c>
      <c r="I10" s="192" t="s">
        <v>454</v>
      </c>
      <c r="J10" s="192" t="s">
        <v>346</v>
      </c>
      <c r="K10" s="192" t="s">
        <v>454</v>
      </c>
      <c r="L10" s="192" t="s">
        <v>346</v>
      </c>
      <c r="M10" s="192" t="s">
        <v>346</v>
      </c>
      <c r="N10" s="192" t="s">
        <v>454</v>
      </c>
      <c r="O10" s="192" t="s">
        <v>454</v>
      </c>
      <c r="P10" s="192" t="s">
        <v>454</v>
      </c>
    </row>
    <row r="11" spans="1:16" ht="53.25" customHeight="1" x14ac:dyDescent="0.25">
      <c r="A11" s="183">
        <v>4</v>
      </c>
      <c r="B11" s="184" t="s">
        <v>170</v>
      </c>
      <c r="C11" s="192" t="s">
        <v>454</v>
      </c>
      <c r="D11" s="192" t="s">
        <v>454</v>
      </c>
      <c r="E11" s="192" t="s">
        <v>454</v>
      </c>
      <c r="F11" s="192" t="s">
        <v>346</v>
      </c>
      <c r="G11" s="192" t="s">
        <v>346</v>
      </c>
      <c r="H11" s="192" t="s">
        <v>346</v>
      </c>
      <c r="I11" s="192" t="s">
        <v>454</v>
      </c>
      <c r="J11" s="192" t="s">
        <v>346</v>
      </c>
      <c r="K11" s="192" t="s">
        <v>454</v>
      </c>
      <c r="L11" s="192" t="s">
        <v>346</v>
      </c>
      <c r="M11" s="192" t="s">
        <v>346</v>
      </c>
      <c r="N11" s="192" t="s">
        <v>454</v>
      </c>
      <c r="O11" s="192" t="s">
        <v>454</v>
      </c>
      <c r="P11" s="192" t="s">
        <v>454</v>
      </c>
    </row>
    <row r="12" spans="1:16" ht="36.75" customHeight="1" x14ac:dyDescent="0.25">
      <c r="A12" s="183">
        <v>5</v>
      </c>
      <c r="B12" s="184" t="s">
        <v>171</v>
      </c>
      <c r="C12" s="192" t="s">
        <v>454</v>
      </c>
      <c r="D12" s="192" t="s">
        <v>454</v>
      </c>
      <c r="E12" s="192" t="s">
        <v>454</v>
      </c>
      <c r="F12" s="192" t="s">
        <v>346</v>
      </c>
      <c r="G12" s="192" t="s">
        <v>346</v>
      </c>
      <c r="H12" s="192" t="s">
        <v>346</v>
      </c>
      <c r="I12" s="192" t="s">
        <v>454</v>
      </c>
      <c r="J12" s="192" t="s">
        <v>346</v>
      </c>
      <c r="K12" s="192" t="s">
        <v>454</v>
      </c>
      <c r="L12" s="192" t="s">
        <v>346</v>
      </c>
      <c r="M12" s="192" t="s">
        <v>346</v>
      </c>
      <c r="N12" s="192" t="s">
        <v>454</v>
      </c>
      <c r="O12" s="192" t="s">
        <v>454</v>
      </c>
      <c r="P12" s="192" t="s">
        <v>454</v>
      </c>
    </row>
    <row r="13" spans="1:16" ht="35.25" customHeight="1" x14ac:dyDescent="0.25">
      <c r="A13" s="183">
        <v>6</v>
      </c>
      <c r="B13" s="184" t="s">
        <v>172</v>
      </c>
      <c r="C13" s="192" t="s">
        <v>454</v>
      </c>
      <c r="D13" s="192" t="s">
        <v>454</v>
      </c>
      <c r="E13" s="192" t="s">
        <v>454</v>
      </c>
      <c r="F13" s="192" t="s">
        <v>346</v>
      </c>
      <c r="G13" s="192" t="s">
        <v>346</v>
      </c>
      <c r="H13" s="192" t="s">
        <v>346</v>
      </c>
      <c r="I13" s="192" t="s">
        <v>454</v>
      </c>
      <c r="J13" s="192" t="s">
        <v>346</v>
      </c>
      <c r="K13" s="192" t="s">
        <v>454</v>
      </c>
      <c r="L13" s="192" t="s">
        <v>346</v>
      </c>
      <c r="M13" s="192" t="s">
        <v>346</v>
      </c>
      <c r="N13" s="192" t="s">
        <v>454</v>
      </c>
      <c r="O13" s="192" t="s">
        <v>454</v>
      </c>
      <c r="P13" s="192" t="s">
        <v>454</v>
      </c>
    </row>
    <row r="14" spans="1:16" ht="53.25" customHeight="1" x14ac:dyDescent="0.25">
      <c r="A14" s="183">
        <v>7</v>
      </c>
      <c r="B14" s="184" t="s">
        <v>173</v>
      </c>
      <c r="C14" s="192" t="s">
        <v>454</v>
      </c>
      <c r="D14" s="192" t="s">
        <v>454</v>
      </c>
      <c r="E14" s="192" t="s">
        <v>454</v>
      </c>
      <c r="F14" s="192" t="s">
        <v>346</v>
      </c>
      <c r="G14" s="192" t="s">
        <v>346</v>
      </c>
      <c r="H14" s="192" t="s">
        <v>346</v>
      </c>
      <c r="I14" s="192" t="s">
        <v>454</v>
      </c>
      <c r="J14" s="192" t="s">
        <v>346</v>
      </c>
      <c r="K14" s="192" t="s">
        <v>454</v>
      </c>
      <c r="L14" s="192" t="s">
        <v>346</v>
      </c>
      <c r="M14" s="192" t="s">
        <v>346</v>
      </c>
      <c r="N14" s="192" t="s">
        <v>454</v>
      </c>
      <c r="O14" s="192" t="s">
        <v>454</v>
      </c>
      <c r="P14" s="192" t="s">
        <v>454</v>
      </c>
    </row>
    <row r="15" spans="1:16" ht="30.75" customHeight="1" x14ac:dyDescent="0.25">
      <c r="A15" s="183">
        <v>8</v>
      </c>
      <c r="B15" s="184" t="s">
        <v>210</v>
      </c>
      <c r="C15" s="192" t="s">
        <v>454</v>
      </c>
      <c r="D15" s="192" t="s">
        <v>454</v>
      </c>
      <c r="E15" s="192" t="s">
        <v>454</v>
      </c>
      <c r="F15" s="192" t="s">
        <v>346</v>
      </c>
      <c r="G15" s="192" t="s">
        <v>346</v>
      </c>
      <c r="H15" s="192" t="s">
        <v>346</v>
      </c>
      <c r="I15" s="192" t="s">
        <v>454</v>
      </c>
      <c r="J15" s="192" t="s">
        <v>346</v>
      </c>
      <c r="K15" s="192" t="s">
        <v>454</v>
      </c>
      <c r="L15" s="192" t="s">
        <v>346</v>
      </c>
      <c r="M15" s="192" t="s">
        <v>346</v>
      </c>
      <c r="N15" s="192" t="s">
        <v>454</v>
      </c>
      <c r="O15" s="192" t="s">
        <v>454</v>
      </c>
      <c r="P15" s="192" t="s">
        <v>454</v>
      </c>
    </row>
    <row r="16" spans="1:16" ht="129" customHeight="1" x14ac:dyDescent="0.25">
      <c r="A16" s="183">
        <v>9</v>
      </c>
      <c r="B16" s="184" t="s">
        <v>211</v>
      </c>
      <c r="C16" s="192" t="s">
        <v>454</v>
      </c>
      <c r="D16" s="192" t="s">
        <v>454</v>
      </c>
      <c r="E16" s="192" t="s">
        <v>454</v>
      </c>
      <c r="F16" s="192" t="s">
        <v>346</v>
      </c>
      <c r="G16" s="192" t="s">
        <v>346</v>
      </c>
      <c r="H16" s="192" t="s">
        <v>346</v>
      </c>
      <c r="I16" s="192" t="s">
        <v>454</v>
      </c>
      <c r="J16" s="192" t="s">
        <v>346</v>
      </c>
      <c r="K16" s="192" t="s">
        <v>454</v>
      </c>
      <c r="L16" s="192" t="s">
        <v>346</v>
      </c>
      <c r="M16" s="192" t="s">
        <v>346</v>
      </c>
      <c r="N16" s="192" t="s">
        <v>454</v>
      </c>
      <c r="O16" s="192" t="s">
        <v>454</v>
      </c>
      <c r="P16" s="192" t="s">
        <v>454</v>
      </c>
    </row>
    <row r="17" spans="1:16" ht="68.25" customHeight="1" x14ac:dyDescent="0.25">
      <c r="A17" s="183">
        <v>10</v>
      </c>
      <c r="B17" s="184" t="s">
        <v>155</v>
      </c>
      <c r="C17" s="192" t="s">
        <v>454</v>
      </c>
      <c r="D17" s="192" t="s">
        <v>454</v>
      </c>
      <c r="E17" s="192" t="s">
        <v>454</v>
      </c>
      <c r="F17" s="192" t="s">
        <v>346</v>
      </c>
      <c r="G17" s="192" t="s">
        <v>346</v>
      </c>
      <c r="H17" s="192" t="s">
        <v>346</v>
      </c>
      <c r="I17" s="192" t="s">
        <v>454</v>
      </c>
      <c r="J17" s="192" t="s">
        <v>346</v>
      </c>
      <c r="K17" s="192" t="s">
        <v>454</v>
      </c>
      <c r="L17" s="192" t="s">
        <v>346</v>
      </c>
      <c r="M17" s="192" t="s">
        <v>346</v>
      </c>
      <c r="N17" s="192" t="s">
        <v>454</v>
      </c>
      <c r="O17" s="192" t="s">
        <v>454</v>
      </c>
      <c r="P17" s="192" t="s">
        <v>454</v>
      </c>
    </row>
    <row r="18" spans="1:16" x14ac:dyDescent="0.25">
      <c r="A18" s="183"/>
      <c r="B18" s="184" t="s">
        <v>16</v>
      </c>
      <c r="C18" s="192" t="s">
        <v>454</v>
      </c>
      <c r="D18" s="192" t="s">
        <v>454</v>
      </c>
      <c r="E18" s="192" t="s">
        <v>454</v>
      </c>
      <c r="F18" s="185" t="s">
        <v>455</v>
      </c>
      <c r="G18" s="185" t="s">
        <v>444</v>
      </c>
      <c r="H18" s="186" t="s">
        <v>459</v>
      </c>
      <c r="I18" s="192" t="s">
        <v>454</v>
      </c>
      <c r="J18" s="186" t="s">
        <v>461</v>
      </c>
      <c r="K18" s="192" t="s">
        <v>454</v>
      </c>
      <c r="L18" s="186" t="s">
        <v>444</v>
      </c>
      <c r="M18" s="186" t="s">
        <v>444</v>
      </c>
      <c r="N18" s="192" t="s">
        <v>454</v>
      </c>
      <c r="O18" s="192" t="s">
        <v>454</v>
      </c>
      <c r="P18" s="192" t="s">
        <v>454</v>
      </c>
    </row>
    <row r="19" spans="1:16" x14ac:dyDescent="0.25">
      <c r="A19" s="183"/>
      <c r="B19" s="184" t="s">
        <v>17</v>
      </c>
      <c r="C19" s="192" t="s">
        <v>454</v>
      </c>
      <c r="D19" s="192" t="s">
        <v>454</v>
      </c>
      <c r="E19" s="192" t="s">
        <v>454</v>
      </c>
      <c r="F19" s="185" t="s">
        <v>230</v>
      </c>
      <c r="G19" s="185" t="s">
        <v>231</v>
      </c>
      <c r="H19" s="186" t="s">
        <v>460</v>
      </c>
      <c r="I19" s="192" t="s">
        <v>454</v>
      </c>
      <c r="J19" s="186" t="s">
        <v>234</v>
      </c>
      <c r="K19" s="192" t="s">
        <v>454</v>
      </c>
      <c r="L19" s="186" t="s">
        <v>236</v>
      </c>
      <c r="M19" s="186" t="s">
        <v>463</v>
      </c>
      <c r="N19" s="192" t="s">
        <v>454</v>
      </c>
      <c r="O19" s="192" t="s">
        <v>454</v>
      </c>
      <c r="P19" s="192" t="s">
        <v>454</v>
      </c>
    </row>
    <row r="20" spans="1:16" x14ac:dyDescent="0.25">
      <c r="A20" s="183"/>
      <c r="B20" s="184" t="s">
        <v>18</v>
      </c>
      <c r="C20" s="192" t="s">
        <v>454</v>
      </c>
      <c r="D20" s="192" t="s">
        <v>454</v>
      </c>
      <c r="E20" s="192" t="s">
        <v>454</v>
      </c>
      <c r="F20" s="369">
        <v>73453890</v>
      </c>
      <c r="G20" s="369">
        <v>73453890</v>
      </c>
      <c r="H20" s="369">
        <v>73453890</v>
      </c>
      <c r="I20" s="192" t="s">
        <v>454</v>
      </c>
      <c r="J20" s="188">
        <v>73453890</v>
      </c>
      <c r="K20" s="192" t="s">
        <v>454</v>
      </c>
      <c r="L20" s="188">
        <v>73453890</v>
      </c>
      <c r="M20" s="188">
        <v>73453890</v>
      </c>
      <c r="N20" s="192" t="s">
        <v>454</v>
      </c>
      <c r="O20" s="192" t="s">
        <v>454</v>
      </c>
      <c r="P20" s="192" t="s">
        <v>454</v>
      </c>
    </row>
    <row r="21" spans="1:16" x14ac:dyDescent="0.25">
      <c r="A21" s="183"/>
      <c r="B21" s="184" t="s">
        <v>19</v>
      </c>
      <c r="C21" s="192" t="s">
        <v>454</v>
      </c>
      <c r="D21" s="192" t="s">
        <v>454</v>
      </c>
      <c r="E21" s="192" t="s">
        <v>454</v>
      </c>
      <c r="F21" s="185" t="s">
        <v>456</v>
      </c>
      <c r="G21" s="185" t="s">
        <v>457</v>
      </c>
      <c r="H21" s="186" t="s">
        <v>458</v>
      </c>
      <c r="I21" s="192" t="s">
        <v>454</v>
      </c>
      <c r="J21" s="186" t="s">
        <v>462</v>
      </c>
      <c r="K21" s="192" t="s">
        <v>454</v>
      </c>
      <c r="L21" s="186" t="s">
        <v>456</v>
      </c>
      <c r="M21" s="186" t="s">
        <v>464</v>
      </c>
      <c r="N21" s="192" t="s">
        <v>454</v>
      </c>
      <c r="O21" s="192" t="s">
        <v>454</v>
      </c>
      <c r="P21" s="192" t="s">
        <v>454</v>
      </c>
    </row>
    <row r="22" spans="1:16" ht="15.75" x14ac:dyDescent="0.25">
      <c r="A22" s="190"/>
      <c r="B22" s="191" t="s">
        <v>20</v>
      </c>
      <c r="C22" s="192" t="s">
        <v>454</v>
      </c>
      <c r="D22" s="192" t="s">
        <v>454</v>
      </c>
      <c r="E22" s="192" t="s">
        <v>454</v>
      </c>
      <c r="F22" s="192" t="s">
        <v>346</v>
      </c>
      <c r="G22" s="192" t="s">
        <v>346</v>
      </c>
      <c r="H22" s="192" t="s">
        <v>346</v>
      </c>
      <c r="I22" s="192" t="s">
        <v>454</v>
      </c>
      <c r="J22" s="192" t="s">
        <v>346</v>
      </c>
      <c r="K22" s="192" t="s">
        <v>454</v>
      </c>
      <c r="L22" s="192" t="s">
        <v>346</v>
      </c>
      <c r="M22" s="192" t="s">
        <v>346</v>
      </c>
      <c r="N22" s="192" t="s">
        <v>454</v>
      </c>
      <c r="O22" s="192" t="s">
        <v>454</v>
      </c>
      <c r="P22" s="192" t="s">
        <v>454</v>
      </c>
    </row>
    <row r="23" spans="1:16" s="196" customFormat="1" ht="15.75" x14ac:dyDescent="0.25">
      <c r="A23" s="187"/>
      <c r="B23" s="193"/>
      <c r="C23" s="194"/>
      <c r="D23" s="195"/>
      <c r="E23" s="195"/>
      <c r="F23" s="195"/>
      <c r="G23" s="194"/>
      <c r="H23" s="195"/>
      <c r="I23" s="195"/>
      <c r="J23" s="195"/>
      <c r="K23" s="195"/>
      <c r="L23" s="195"/>
      <c r="M23" s="195"/>
      <c r="N23" s="195"/>
      <c r="O23" s="195"/>
      <c r="P23" s="195"/>
    </row>
    <row r="24" spans="1:16" ht="24.75" customHeight="1" x14ac:dyDescent="0.25">
      <c r="A24" s="197" t="s">
        <v>14</v>
      </c>
      <c r="B24" s="198" t="s">
        <v>21</v>
      </c>
      <c r="C24" s="199"/>
      <c r="D24" s="199"/>
      <c r="E24" s="199"/>
      <c r="F24" s="199"/>
      <c r="G24" s="199"/>
      <c r="H24" s="199"/>
      <c r="I24" s="199"/>
      <c r="J24" s="199"/>
      <c r="K24" s="199"/>
      <c r="L24" s="199"/>
      <c r="M24" s="199"/>
      <c r="N24" s="199"/>
      <c r="O24" s="199"/>
      <c r="P24" s="199"/>
    </row>
    <row r="25" spans="1:16" ht="298.5" customHeight="1" x14ac:dyDescent="0.25">
      <c r="A25" s="200">
        <v>1</v>
      </c>
      <c r="B25" s="236" t="s">
        <v>212</v>
      </c>
      <c r="C25" s="192" t="s">
        <v>346</v>
      </c>
      <c r="D25" s="192" t="s">
        <v>346</v>
      </c>
      <c r="E25" s="192" t="s">
        <v>346</v>
      </c>
      <c r="F25" s="192" t="s">
        <v>454</v>
      </c>
      <c r="G25" s="192" t="s">
        <v>454</v>
      </c>
      <c r="H25" s="192" t="s">
        <v>454</v>
      </c>
      <c r="I25" s="192" t="s">
        <v>346</v>
      </c>
      <c r="J25" s="192" t="s">
        <v>454</v>
      </c>
      <c r="K25" s="192" t="s">
        <v>346</v>
      </c>
      <c r="L25" s="192" t="s">
        <v>454</v>
      </c>
      <c r="M25" s="192" t="s">
        <v>454</v>
      </c>
      <c r="N25" s="192" t="s">
        <v>346</v>
      </c>
      <c r="O25" s="192" t="s">
        <v>346</v>
      </c>
      <c r="P25" s="192" t="s">
        <v>346</v>
      </c>
    </row>
    <row r="26" spans="1:16" ht="154.5" customHeight="1" x14ac:dyDescent="0.25">
      <c r="A26" s="200">
        <v>2</v>
      </c>
      <c r="B26" s="236" t="s">
        <v>213</v>
      </c>
      <c r="C26" s="192" t="s">
        <v>346</v>
      </c>
      <c r="D26" s="192" t="s">
        <v>346</v>
      </c>
      <c r="E26" s="192" t="s">
        <v>346</v>
      </c>
      <c r="F26" s="192" t="s">
        <v>454</v>
      </c>
      <c r="G26" s="192" t="s">
        <v>454</v>
      </c>
      <c r="H26" s="192" t="s">
        <v>454</v>
      </c>
      <c r="I26" s="192" t="s">
        <v>347</v>
      </c>
      <c r="J26" s="192" t="s">
        <v>454</v>
      </c>
      <c r="K26" s="192" t="s">
        <v>346</v>
      </c>
      <c r="L26" s="192" t="s">
        <v>454</v>
      </c>
      <c r="M26" s="192" t="s">
        <v>454</v>
      </c>
      <c r="N26" s="192" t="s">
        <v>346</v>
      </c>
      <c r="O26" s="192" t="s">
        <v>346</v>
      </c>
      <c r="P26" s="192" t="s">
        <v>346</v>
      </c>
    </row>
    <row r="27" spans="1:16" ht="81.75" customHeight="1" x14ac:dyDescent="0.25">
      <c r="A27" s="200">
        <v>3</v>
      </c>
      <c r="B27" s="202" t="s">
        <v>175</v>
      </c>
      <c r="C27" s="192" t="s">
        <v>346</v>
      </c>
      <c r="D27" s="192" t="s">
        <v>346</v>
      </c>
      <c r="E27" s="192" t="s">
        <v>346</v>
      </c>
      <c r="F27" s="192" t="s">
        <v>454</v>
      </c>
      <c r="G27" s="192" t="s">
        <v>454</v>
      </c>
      <c r="H27" s="192" t="s">
        <v>454</v>
      </c>
      <c r="I27" s="192" t="s">
        <v>346</v>
      </c>
      <c r="J27" s="192" t="s">
        <v>454</v>
      </c>
      <c r="K27" s="192" t="s">
        <v>346</v>
      </c>
      <c r="L27" s="192" t="s">
        <v>454</v>
      </c>
      <c r="M27" s="192" t="s">
        <v>454</v>
      </c>
      <c r="N27" s="192" t="s">
        <v>346</v>
      </c>
      <c r="O27" s="192" t="s">
        <v>346</v>
      </c>
      <c r="P27" s="192" t="s">
        <v>346</v>
      </c>
    </row>
    <row r="28" spans="1:16" ht="58.5" customHeight="1" x14ac:dyDescent="0.25">
      <c r="A28" s="200">
        <v>4</v>
      </c>
      <c r="B28" s="202" t="s">
        <v>176</v>
      </c>
      <c r="C28" s="192" t="s">
        <v>346</v>
      </c>
      <c r="D28" s="192" t="s">
        <v>346</v>
      </c>
      <c r="E28" s="192" t="s">
        <v>346</v>
      </c>
      <c r="F28" s="192" t="s">
        <v>454</v>
      </c>
      <c r="G28" s="192" t="s">
        <v>454</v>
      </c>
      <c r="H28" s="192" t="s">
        <v>454</v>
      </c>
      <c r="I28" s="192" t="s">
        <v>346</v>
      </c>
      <c r="J28" s="192" t="s">
        <v>454</v>
      </c>
      <c r="K28" s="192" t="s">
        <v>346</v>
      </c>
      <c r="L28" s="192" t="s">
        <v>454</v>
      </c>
      <c r="M28" s="192" t="s">
        <v>454</v>
      </c>
      <c r="N28" s="192" t="s">
        <v>346</v>
      </c>
      <c r="O28" s="192" t="s">
        <v>346</v>
      </c>
      <c r="P28" s="192" t="s">
        <v>346</v>
      </c>
    </row>
    <row r="29" spans="1:16" ht="250.5" customHeight="1" x14ac:dyDescent="0.25">
      <c r="A29" s="200">
        <v>5</v>
      </c>
      <c r="B29" s="202" t="s">
        <v>173</v>
      </c>
      <c r="C29" s="192" t="s">
        <v>346</v>
      </c>
      <c r="D29" s="192" t="s">
        <v>346</v>
      </c>
      <c r="E29" s="192" t="s">
        <v>346</v>
      </c>
      <c r="F29" s="192" t="s">
        <v>454</v>
      </c>
      <c r="G29" s="192" t="s">
        <v>454</v>
      </c>
      <c r="H29" s="192" t="s">
        <v>454</v>
      </c>
      <c r="I29" s="375" t="s">
        <v>473</v>
      </c>
      <c r="J29" s="192" t="s">
        <v>454</v>
      </c>
      <c r="K29" s="192" t="s">
        <v>346</v>
      </c>
      <c r="L29" s="192" t="s">
        <v>454</v>
      </c>
      <c r="M29" s="192" t="s">
        <v>454</v>
      </c>
      <c r="N29" s="192" t="s">
        <v>346</v>
      </c>
      <c r="O29" s="192" t="s">
        <v>346</v>
      </c>
      <c r="P29" s="192" t="s">
        <v>346</v>
      </c>
    </row>
    <row r="30" spans="1:16" x14ac:dyDescent="0.25">
      <c r="A30" s="200">
        <v>6</v>
      </c>
      <c r="B30" s="202" t="s">
        <v>174</v>
      </c>
      <c r="C30" s="192" t="s">
        <v>346</v>
      </c>
      <c r="D30" s="192" t="s">
        <v>346</v>
      </c>
      <c r="E30" s="192" t="s">
        <v>346</v>
      </c>
      <c r="F30" s="192" t="s">
        <v>454</v>
      </c>
      <c r="G30" s="192" t="s">
        <v>454</v>
      </c>
      <c r="H30" s="192" t="s">
        <v>454</v>
      </c>
      <c r="I30" s="192" t="s">
        <v>346</v>
      </c>
      <c r="J30" s="192" t="s">
        <v>454</v>
      </c>
      <c r="K30" s="192" t="s">
        <v>346</v>
      </c>
      <c r="L30" s="192" t="s">
        <v>454</v>
      </c>
      <c r="M30" s="192" t="s">
        <v>454</v>
      </c>
      <c r="N30" s="192" t="s">
        <v>346</v>
      </c>
      <c r="O30" s="192" t="s">
        <v>346</v>
      </c>
      <c r="P30" s="192" t="s">
        <v>346</v>
      </c>
    </row>
    <row r="31" spans="1:16" ht="115.5" customHeight="1" x14ac:dyDescent="0.25">
      <c r="A31" s="200">
        <v>7</v>
      </c>
      <c r="B31" s="202" t="s">
        <v>214</v>
      </c>
      <c r="C31" s="192" t="s">
        <v>346</v>
      </c>
      <c r="D31" s="192" t="s">
        <v>346</v>
      </c>
      <c r="E31" s="192" t="s">
        <v>346</v>
      </c>
      <c r="F31" s="192" t="s">
        <v>454</v>
      </c>
      <c r="G31" s="192" t="s">
        <v>454</v>
      </c>
      <c r="H31" s="192" t="s">
        <v>454</v>
      </c>
      <c r="I31" s="192" t="s">
        <v>346</v>
      </c>
      <c r="J31" s="192" t="s">
        <v>454</v>
      </c>
      <c r="K31" s="192" t="s">
        <v>346</v>
      </c>
      <c r="L31" s="192" t="s">
        <v>454</v>
      </c>
      <c r="M31" s="192" t="s">
        <v>454</v>
      </c>
      <c r="N31" s="192" t="s">
        <v>346</v>
      </c>
      <c r="O31" s="192" t="s">
        <v>346</v>
      </c>
      <c r="P31" s="192" t="s">
        <v>346</v>
      </c>
    </row>
    <row r="32" spans="1:16" ht="96.75" customHeight="1" x14ac:dyDescent="0.25">
      <c r="A32" s="406">
        <v>8</v>
      </c>
      <c r="B32" s="202" t="s">
        <v>155</v>
      </c>
      <c r="C32" s="192" t="s">
        <v>346</v>
      </c>
      <c r="D32" s="192" t="s">
        <v>346</v>
      </c>
      <c r="E32" s="192" t="s">
        <v>346</v>
      </c>
      <c r="F32" s="192" t="s">
        <v>454</v>
      </c>
      <c r="G32" s="192" t="s">
        <v>454</v>
      </c>
      <c r="H32" s="192" t="s">
        <v>454</v>
      </c>
      <c r="I32" s="192" t="s">
        <v>346</v>
      </c>
      <c r="J32" s="192" t="s">
        <v>454</v>
      </c>
      <c r="K32" s="192" t="s">
        <v>346</v>
      </c>
      <c r="L32" s="192" t="s">
        <v>454</v>
      </c>
      <c r="M32" s="192" t="s">
        <v>454</v>
      </c>
      <c r="N32" s="192" t="s">
        <v>346</v>
      </c>
      <c r="O32" s="192" t="s">
        <v>346</v>
      </c>
      <c r="P32" s="192" t="s">
        <v>346</v>
      </c>
    </row>
    <row r="33" spans="1:16" x14ac:dyDescent="0.25">
      <c r="A33" s="407"/>
      <c r="B33" s="202" t="s">
        <v>16</v>
      </c>
      <c r="C33" s="185" t="s">
        <v>441</v>
      </c>
      <c r="D33" s="185" t="s">
        <v>441</v>
      </c>
      <c r="E33" s="201" t="s">
        <v>444</v>
      </c>
      <c r="F33" s="192" t="s">
        <v>454</v>
      </c>
      <c r="G33" s="192" t="s">
        <v>454</v>
      </c>
      <c r="H33" s="192" t="s">
        <v>454</v>
      </c>
      <c r="I33" s="185" t="s">
        <v>447</v>
      </c>
      <c r="J33" s="192" t="s">
        <v>454</v>
      </c>
      <c r="K33" s="185" t="s">
        <v>447</v>
      </c>
      <c r="L33" s="192" t="s">
        <v>454</v>
      </c>
      <c r="M33" s="192" t="s">
        <v>454</v>
      </c>
      <c r="N33" s="185" t="s">
        <v>447</v>
      </c>
      <c r="O33" s="185" t="s">
        <v>450</v>
      </c>
      <c r="P33" s="185" t="s">
        <v>452</v>
      </c>
    </row>
    <row r="34" spans="1:16" x14ac:dyDescent="0.25">
      <c r="A34" s="407"/>
      <c r="B34" s="202" t="s">
        <v>22</v>
      </c>
      <c r="C34" s="185" t="s">
        <v>227</v>
      </c>
      <c r="D34" s="201" t="s">
        <v>228</v>
      </c>
      <c r="E34" s="185" t="s">
        <v>445</v>
      </c>
      <c r="F34" s="192" t="s">
        <v>454</v>
      </c>
      <c r="G34" s="192" t="s">
        <v>454</v>
      </c>
      <c r="H34" s="192" t="s">
        <v>454</v>
      </c>
      <c r="I34" s="185" t="s">
        <v>233</v>
      </c>
      <c r="J34" s="192" t="s">
        <v>454</v>
      </c>
      <c r="K34" s="185" t="s">
        <v>448</v>
      </c>
      <c r="L34" s="192" t="s">
        <v>454</v>
      </c>
      <c r="M34" s="192" t="s">
        <v>454</v>
      </c>
      <c r="N34" s="185" t="s">
        <v>237</v>
      </c>
      <c r="O34" s="185" t="s">
        <v>238</v>
      </c>
      <c r="P34" s="185" t="s">
        <v>239</v>
      </c>
    </row>
    <row r="35" spans="1:16" x14ac:dyDescent="0.25">
      <c r="A35" s="407"/>
      <c r="B35" s="202" t="s">
        <v>23</v>
      </c>
      <c r="C35" s="367">
        <v>73453890</v>
      </c>
      <c r="D35" s="368">
        <v>73453890</v>
      </c>
      <c r="E35" s="368">
        <v>73453890</v>
      </c>
      <c r="F35" s="192" t="s">
        <v>454</v>
      </c>
      <c r="G35" s="192" t="s">
        <v>454</v>
      </c>
      <c r="H35" s="192" t="s">
        <v>454</v>
      </c>
      <c r="I35" s="369">
        <v>73453890</v>
      </c>
      <c r="J35" s="192" t="s">
        <v>454</v>
      </c>
      <c r="K35" s="369">
        <v>73453890</v>
      </c>
      <c r="L35" s="192" t="s">
        <v>454</v>
      </c>
      <c r="M35" s="192" t="s">
        <v>454</v>
      </c>
      <c r="N35" s="369">
        <v>73453890</v>
      </c>
      <c r="O35" s="369">
        <v>73453891</v>
      </c>
      <c r="P35" s="369">
        <v>73453890</v>
      </c>
    </row>
    <row r="36" spans="1:16" x14ac:dyDescent="0.25">
      <c r="A36" s="408"/>
      <c r="B36" s="202" t="s">
        <v>24</v>
      </c>
      <c r="C36" s="185" t="s">
        <v>442</v>
      </c>
      <c r="D36" s="201" t="s">
        <v>443</v>
      </c>
      <c r="E36" s="189" t="s">
        <v>446</v>
      </c>
      <c r="F36" s="192" t="s">
        <v>454</v>
      </c>
      <c r="G36" s="192" t="s">
        <v>454</v>
      </c>
      <c r="H36" s="192" t="s">
        <v>454</v>
      </c>
      <c r="I36" s="185" t="s">
        <v>446</v>
      </c>
      <c r="J36" s="192" t="s">
        <v>454</v>
      </c>
      <c r="K36" s="185" t="s">
        <v>449</v>
      </c>
      <c r="L36" s="192" t="s">
        <v>454</v>
      </c>
      <c r="M36" s="192" t="s">
        <v>454</v>
      </c>
      <c r="N36" s="185" t="s">
        <v>446</v>
      </c>
      <c r="O36" s="185" t="s">
        <v>451</v>
      </c>
      <c r="P36" s="185" t="s">
        <v>453</v>
      </c>
    </row>
    <row r="37" spans="1:16" s="204" customFormat="1" ht="15.75" x14ac:dyDescent="0.25">
      <c r="A37" s="197"/>
      <c r="B37" s="203" t="s">
        <v>25</v>
      </c>
      <c r="C37" s="192" t="s">
        <v>346</v>
      </c>
      <c r="D37" s="192" t="s">
        <v>346</v>
      </c>
      <c r="E37" s="192" t="s">
        <v>346</v>
      </c>
      <c r="F37" s="192" t="s">
        <v>454</v>
      </c>
      <c r="G37" s="192" t="s">
        <v>454</v>
      </c>
      <c r="H37" s="192" t="s">
        <v>454</v>
      </c>
      <c r="I37" s="192" t="s">
        <v>347</v>
      </c>
      <c r="J37" s="192" t="s">
        <v>454</v>
      </c>
      <c r="K37" s="192" t="s">
        <v>346</v>
      </c>
      <c r="L37" s="192" t="s">
        <v>454</v>
      </c>
      <c r="M37" s="192" t="s">
        <v>454</v>
      </c>
      <c r="N37" s="192" t="s">
        <v>346</v>
      </c>
      <c r="O37" s="192" t="s">
        <v>346</v>
      </c>
      <c r="P37" s="192" t="s">
        <v>346</v>
      </c>
    </row>
    <row r="39" spans="1:16" x14ac:dyDescent="0.25">
      <c r="C39" s="206"/>
    </row>
    <row r="40" spans="1:16" x14ac:dyDescent="0.25">
      <c r="C40" s="206"/>
    </row>
  </sheetData>
  <sheetProtection algorithmName="SHA-512" hashValue="niWKCETqlLgvzqQfHnThu+phiKEpBFsjCztu+p1oNcfB9Mx4Ddr9c2PvO0qYU4xRmAwIhbytdsfzrpFEiEMH+A==" saltValue="P0zCNhUuQEdrVdQDABhJFw==" spinCount="100000" sheet="1" objects="1" scenarios="1"/>
  <mergeCells count="1">
    <mergeCell ref="A32:A36"/>
  </mergeCells>
  <conditionalFormatting sqref="D37">
    <cfRule type="cellIs" dxfId="5490" priority="157" operator="equal">
      <formula>"NO CUMPLE"</formula>
    </cfRule>
    <cfRule type="cellIs" dxfId="5489" priority="158" operator="equal">
      <formula>"CUMPLE"</formula>
    </cfRule>
  </conditionalFormatting>
  <conditionalFormatting sqref="E37">
    <cfRule type="cellIs" dxfId="5488" priority="103" operator="equal">
      <formula>"NO CUMPLE"</formula>
    </cfRule>
    <cfRule type="cellIs" dxfId="5487" priority="104" operator="equal">
      <formula>"CUMPLE"</formula>
    </cfRule>
  </conditionalFormatting>
  <conditionalFormatting sqref="G37">
    <cfRule type="cellIs" dxfId="5486" priority="93" operator="equal">
      <formula>"NO CUMPLE"</formula>
    </cfRule>
    <cfRule type="cellIs" dxfId="5485" priority="94" operator="equal">
      <formula>"CUMPLE"</formula>
    </cfRule>
  </conditionalFormatting>
  <conditionalFormatting sqref="J22">
    <cfRule type="cellIs" dxfId="5484" priority="87" operator="equal">
      <formula>"NO CUMPLE"</formula>
    </cfRule>
    <cfRule type="cellIs" dxfId="5483" priority="88" operator="equal">
      <formula>"CUMPLE"</formula>
    </cfRule>
  </conditionalFormatting>
  <conditionalFormatting sqref="J8:J17">
    <cfRule type="cellIs" dxfId="5482" priority="85" operator="equal">
      <formula>"NO CUMPLE"</formula>
    </cfRule>
    <cfRule type="cellIs" dxfId="5481" priority="86" operator="equal">
      <formula>"CUMPLE"</formula>
    </cfRule>
  </conditionalFormatting>
  <conditionalFormatting sqref="L22">
    <cfRule type="cellIs" dxfId="5480" priority="83" operator="equal">
      <formula>"NO CUMPLE"</formula>
    </cfRule>
    <cfRule type="cellIs" dxfId="5479" priority="84" operator="equal">
      <formula>"CUMPLE"</formula>
    </cfRule>
  </conditionalFormatting>
  <conditionalFormatting sqref="C37">
    <cfRule type="cellIs" dxfId="5478" priority="61" operator="equal">
      <formula>"NO CUMPLE"</formula>
    </cfRule>
    <cfRule type="cellIs" dxfId="5477" priority="62" operator="equal">
      <formula>"CUMPLE"</formula>
    </cfRule>
  </conditionalFormatting>
  <conditionalFormatting sqref="C26:E32 C25:I25 K25:K32 N25:N32 G26:I28 G30:I32 G25:H37">
    <cfRule type="cellIs" dxfId="5476" priority="57" operator="equal">
      <formula>"NO CUMPLE"</formula>
    </cfRule>
    <cfRule type="cellIs" dxfId="5475" priority="58" operator="equal">
      <formula>"CUMPLE"</formula>
    </cfRule>
  </conditionalFormatting>
  <conditionalFormatting sqref="K37">
    <cfRule type="cellIs" dxfId="5474" priority="55" operator="equal">
      <formula>"NO CUMPLE"</formula>
    </cfRule>
    <cfRule type="cellIs" dxfId="5473" priority="56" operator="equal">
      <formula>"CUMPLE"</formula>
    </cfRule>
  </conditionalFormatting>
  <conditionalFormatting sqref="N37">
    <cfRule type="cellIs" dxfId="5472" priority="53" operator="equal">
      <formula>"NO CUMPLE"</formula>
    </cfRule>
    <cfRule type="cellIs" dxfId="5471" priority="54" operator="equal">
      <formula>"CUMPLE"</formula>
    </cfRule>
  </conditionalFormatting>
  <conditionalFormatting sqref="O37">
    <cfRule type="cellIs" dxfId="5470" priority="51" operator="equal">
      <formula>"NO CUMPLE"</formula>
    </cfRule>
    <cfRule type="cellIs" dxfId="5469" priority="52" operator="equal">
      <formula>"CUMPLE"</formula>
    </cfRule>
  </conditionalFormatting>
  <conditionalFormatting sqref="O25:O32">
    <cfRule type="cellIs" dxfId="5468" priority="49" operator="equal">
      <formula>"NO CUMPLE"</formula>
    </cfRule>
    <cfRule type="cellIs" dxfId="5467" priority="50" operator="equal">
      <formula>"CUMPLE"</formula>
    </cfRule>
  </conditionalFormatting>
  <conditionalFormatting sqref="P25:P32">
    <cfRule type="cellIs" dxfId="5466" priority="47" operator="equal">
      <formula>"NO CUMPLE"</formula>
    </cfRule>
    <cfRule type="cellIs" dxfId="5465" priority="48" operator="equal">
      <formula>"CUMPLE"</formula>
    </cfRule>
  </conditionalFormatting>
  <conditionalFormatting sqref="P37">
    <cfRule type="cellIs" dxfId="5464" priority="45" operator="equal">
      <formula>"NO CUMPLE"</formula>
    </cfRule>
    <cfRule type="cellIs" dxfId="5463" priority="46" operator="equal">
      <formula>"CUMPLE"</formula>
    </cfRule>
  </conditionalFormatting>
  <conditionalFormatting sqref="F26:F37">
    <cfRule type="cellIs" dxfId="5462" priority="43" operator="equal">
      <formula>"NO CUMPLE"</formula>
    </cfRule>
    <cfRule type="cellIs" dxfId="5461" priority="44" operator="equal">
      <formula>"CUMPLE"</formula>
    </cfRule>
  </conditionalFormatting>
  <conditionalFormatting sqref="J25:J37">
    <cfRule type="cellIs" dxfId="5460" priority="41" operator="equal">
      <formula>"NO CUMPLE"</formula>
    </cfRule>
    <cfRule type="cellIs" dxfId="5459" priority="42" operator="equal">
      <formula>"CUMPLE"</formula>
    </cfRule>
  </conditionalFormatting>
  <conditionalFormatting sqref="C8:C22">
    <cfRule type="cellIs" dxfId="5458" priority="39" operator="equal">
      <formula>"NO CUMPLE"</formula>
    </cfRule>
    <cfRule type="cellIs" dxfId="5457" priority="40" operator="equal">
      <formula>"CUMPLE"</formula>
    </cfRule>
  </conditionalFormatting>
  <conditionalFormatting sqref="D8:D22">
    <cfRule type="cellIs" dxfId="5456" priority="37" operator="equal">
      <formula>"NO CUMPLE"</formula>
    </cfRule>
    <cfRule type="cellIs" dxfId="5455" priority="38" operator="equal">
      <formula>"CUMPLE"</formula>
    </cfRule>
  </conditionalFormatting>
  <conditionalFormatting sqref="E8:E22">
    <cfRule type="cellIs" dxfId="5454" priority="35" operator="equal">
      <formula>"NO CUMPLE"</formula>
    </cfRule>
    <cfRule type="cellIs" dxfId="5453" priority="36" operator="equal">
      <formula>"CUMPLE"</formula>
    </cfRule>
  </conditionalFormatting>
  <conditionalFormatting sqref="I8:I22">
    <cfRule type="cellIs" dxfId="5452" priority="33" operator="equal">
      <formula>"NO CUMPLE"</formula>
    </cfRule>
    <cfRule type="cellIs" dxfId="5451" priority="34" operator="equal">
      <formula>"CUMPLE"</formula>
    </cfRule>
  </conditionalFormatting>
  <conditionalFormatting sqref="K8:K22">
    <cfRule type="cellIs" dxfId="5450" priority="31" operator="equal">
      <formula>"NO CUMPLE"</formula>
    </cfRule>
    <cfRule type="cellIs" dxfId="5449" priority="32" operator="equal">
      <formula>"CUMPLE"</formula>
    </cfRule>
  </conditionalFormatting>
  <conditionalFormatting sqref="N8:N22">
    <cfRule type="cellIs" dxfId="5448" priority="29" operator="equal">
      <formula>"NO CUMPLE"</formula>
    </cfRule>
    <cfRule type="cellIs" dxfId="5447" priority="30" operator="equal">
      <formula>"CUMPLE"</formula>
    </cfRule>
  </conditionalFormatting>
  <conditionalFormatting sqref="O8:O22">
    <cfRule type="cellIs" dxfId="5446" priority="27" operator="equal">
      <formula>"NO CUMPLE"</formula>
    </cfRule>
    <cfRule type="cellIs" dxfId="5445" priority="28" operator="equal">
      <formula>"CUMPLE"</formula>
    </cfRule>
  </conditionalFormatting>
  <conditionalFormatting sqref="P8:P22">
    <cfRule type="cellIs" dxfId="5444" priority="25" operator="equal">
      <formula>"NO CUMPLE"</formula>
    </cfRule>
    <cfRule type="cellIs" dxfId="5443" priority="26" operator="equal">
      <formula>"CUMPLE"</formula>
    </cfRule>
  </conditionalFormatting>
  <conditionalFormatting sqref="F22">
    <cfRule type="cellIs" dxfId="5442" priority="23" operator="equal">
      <formula>"NO CUMPLE"</formula>
    </cfRule>
    <cfRule type="cellIs" dxfId="5441" priority="24" operator="equal">
      <formula>"CUMPLE"</formula>
    </cfRule>
  </conditionalFormatting>
  <conditionalFormatting sqref="F8:F17">
    <cfRule type="cellIs" dxfId="5440" priority="21" operator="equal">
      <formula>"NO CUMPLE"</formula>
    </cfRule>
    <cfRule type="cellIs" dxfId="5439" priority="22" operator="equal">
      <formula>"CUMPLE"</formula>
    </cfRule>
  </conditionalFormatting>
  <conditionalFormatting sqref="G22">
    <cfRule type="cellIs" dxfId="5438" priority="19" operator="equal">
      <formula>"NO CUMPLE"</formula>
    </cfRule>
    <cfRule type="cellIs" dxfId="5437" priority="20" operator="equal">
      <formula>"CUMPLE"</formula>
    </cfRule>
  </conditionalFormatting>
  <conditionalFormatting sqref="G8:G17">
    <cfRule type="cellIs" dxfId="5436" priority="17" operator="equal">
      <formula>"NO CUMPLE"</formula>
    </cfRule>
    <cfRule type="cellIs" dxfId="5435" priority="18" operator="equal">
      <formula>"CUMPLE"</formula>
    </cfRule>
  </conditionalFormatting>
  <conditionalFormatting sqref="H22">
    <cfRule type="cellIs" dxfId="5434" priority="15" operator="equal">
      <formula>"NO CUMPLE"</formula>
    </cfRule>
    <cfRule type="cellIs" dxfId="5433" priority="16" operator="equal">
      <formula>"CUMPLE"</formula>
    </cfRule>
  </conditionalFormatting>
  <conditionalFormatting sqref="H8:H17">
    <cfRule type="cellIs" dxfId="5432" priority="13" operator="equal">
      <formula>"NO CUMPLE"</formula>
    </cfRule>
    <cfRule type="cellIs" dxfId="5431" priority="14" operator="equal">
      <formula>"CUMPLE"</formula>
    </cfRule>
  </conditionalFormatting>
  <conditionalFormatting sqref="L25:M37">
    <cfRule type="cellIs" dxfId="5430" priority="11" operator="equal">
      <formula>"NO CUMPLE"</formula>
    </cfRule>
    <cfRule type="cellIs" dxfId="5429" priority="12" operator="equal">
      <formula>"CUMPLE"</formula>
    </cfRule>
  </conditionalFormatting>
  <conditionalFormatting sqref="L8:L17">
    <cfRule type="cellIs" dxfId="5428" priority="9" operator="equal">
      <formula>"NO CUMPLE"</formula>
    </cfRule>
    <cfRule type="cellIs" dxfId="5427" priority="10" operator="equal">
      <formula>"CUMPLE"</formula>
    </cfRule>
  </conditionalFormatting>
  <conditionalFormatting sqref="M8">
    <cfRule type="cellIs" dxfId="5426" priority="7" operator="equal">
      <formula>"NO CUMPLE"</formula>
    </cfRule>
    <cfRule type="cellIs" dxfId="5425" priority="8" operator="equal">
      <formula>"CUMPLE"</formula>
    </cfRule>
  </conditionalFormatting>
  <conditionalFormatting sqref="M9:M17">
    <cfRule type="cellIs" dxfId="5424" priority="5" operator="equal">
      <formula>"NO CUMPLE"</formula>
    </cfRule>
    <cfRule type="cellIs" dxfId="5423" priority="6" operator="equal">
      <formula>"CUMPLE"</formula>
    </cfRule>
  </conditionalFormatting>
  <conditionalFormatting sqref="M22">
    <cfRule type="cellIs" dxfId="5422" priority="3" operator="equal">
      <formula>"NO CUMPLE"</formula>
    </cfRule>
    <cfRule type="cellIs" dxfId="5421" priority="4" operator="equal">
      <formula>"CUMPLE"</formula>
    </cfRule>
  </conditionalFormatting>
  <conditionalFormatting sqref="I37">
    <cfRule type="cellIs" dxfId="5420" priority="1" operator="equal">
      <formula>"NO CUMPLE"</formula>
    </cfRule>
    <cfRule type="cellIs" dxfId="5419" priority="2" operator="equal">
      <formula>"CUMPLE"</formula>
    </cfRule>
  </conditionalFormatting>
  <dataValidations count="2">
    <dataValidation type="list" allowBlank="1" showInputMessage="1" showErrorMessage="1" sqref="N25:P32 C25:E32 C37:E37 I37 J8:J17 N37:P37 K37 L8:M17 J22 K25:K32 L22:M22 I25:I28 I30:I32">
      <formula1>"CUMPLE,NO CUMPLE"</formula1>
    </dataValidation>
    <dataValidation type="list" allowBlank="1" showInputMessage="1" showErrorMessage="1" sqref="F25:H37 J25:J37 C8:E22 I8:I22 K8:K22 N8:P22 F22:H22 F8:H17 L25:M37">
      <formula1>"CUMPLE,NO CUMPLE,N/A"</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5"/>
  <sheetViews>
    <sheetView zoomScale="70" zoomScaleNormal="70" workbookViewId="0">
      <selection activeCell="F326" sqref="F326"/>
    </sheetView>
  </sheetViews>
  <sheetFormatPr baseColWidth="10" defaultColWidth="11.42578125" defaultRowHeight="15" x14ac:dyDescent="0.25"/>
  <cols>
    <col min="1" max="1" width="6" style="12" customWidth="1"/>
    <col min="2" max="2" width="6.85546875" style="12" bestFit="1" customWidth="1"/>
    <col min="3" max="3" width="27.85546875" style="13" customWidth="1"/>
    <col min="4" max="4" width="17" style="13" customWidth="1"/>
    <col min="5" max="5" width="23.140625" style="24" customWidth="1"/>
    <col min="6" max="6" width="29.42578125" style="25" customWidth="1"/>
    <col min="7" max="7" width="17.42578125" style="25" customWidth="1"/>
    <col min="8" max="9" width="16.7109375" style="13" customWidth="1"/>
    <col min="10" max="10" width="18.42578125" style="13" bestFit="1" customWidth="1"/>
    <col min="11" max="11" width="11.28515625" style="13" customWidth="1"/>
    <col min="12" max="12" width="18.42578125" style="13" customWidth="1"/>
    <col min="13" max="13" width="12" style="13" customWidth="1"/>
    <col min="14" max="14" width="24.7109375" style="13" customWidth="1"/>
    <col min="15" max="15" width="25.42578125" style="13" customWidth="1"/>
    <col min="16" max="16" width="47.7109375" style="13" customWidth="1"/>
    <col min="17" max="17" width="32.28515625" style="13" customWidth="1"/>
    <col min="18" max="18" width="24.42578125" style="13" customWidth="1"/>
    <col min="19" max="19" width="22.140625" style="13" customWidth="1"/>
    <col min="20" max="20" width="65.140625" style="13" customWidth="1"/>
    <col min="21" max="21" width="19" style="13" customWidth="1"/>
    <col min="22" max="22" width="39.85546875" style="13" customWidth="1"/>
    <col min="23" max="23" width="11.42578125" style="13"/>
    <col min="24" max="24" width="11.42578125" style="29" customWidth="1"/>
    <col min="25" max="25" width="39.42578125" style="29" customWidth="1"/>
    <col min="26" max="26" width="22.85546875" style="29" customWidth="1"/>
    <col min="27" max="27" width="32.42578125" style="29" customWidth="1"/>
    <col min="28" max="30" width="11.42578125" style="13" customWidth="1"/>
    <col min="31" max="31" width="35.140625" style="13" customWidth="1"/>
    <col min="32" max="32" width="23.42578125" style="13" customWidth="1"/>
    <col min="33" max="37" width="11.42578125" style="13" customWidth="1"/>
    <col min="38" max="16384" width="11.42578125" style="13"/>
  </cols>
  <sheetData>
    <row r="1" spans="1:36" ht="39.950000000000003" customHeight="1" x14ac:dyDescent="0.25">
      <c r="B1" s="483" t="s">
        <v>26</v>
      </c>
      <c r="C1" s="484"/>
      <c r="D1" s="484"/>
      <c r="E1" s="484"/>
      <c r="F1" s="484"/>
      <c r="G1" s="484"/>
      <c r="H1" s="484"/>
      <c r="I1" s="484"/>
      <c r="J1" s="484"/>
      <c r="K1" s="484"/>
      <c r="L1" s="484"/>
      <c r="M1" s="484"/>
      <c r="N1" s="484"/>
      <c r="O1" s="484"/>
      <c r="P1" s="484"/>
      <c r="Q1" s="484"/>
      <c r="R1" s="484"/>
      <c r="S1" s="485"/>
      <c r="X1" s="13"/>
      <c r="Y1" s="13"/>
      <c r="Z1" s="13"/>
      <c r="AA1" s="13"/>
    </row>
    <row r="2" spans="1:36" s="16" customFormat="1" ht="12.75" customHeight="1" x14ac:dyDescent="0.25">
      <c r="A2" s="14"/>
      <c r="B2" s="14"/>
      <c r="C2" s="15"/>
      <c r="D2" s="15"/>
      <c r="E2" s="15"/>
      <c r="F2" s="15"/>
      <c r="G2" s="15"/>
      <c r="H2" s="15"/>
      <c r="I2" s="13"/>
      <c r="J2" s="13"/>
      <c r="K2" s="13"/>
      <c r="L2" s="13"/>
      <c r="M2" s="13"/>
    </row>
    <row r="3" spans="1:36" s="16" customFormat="1" ht="279" customHeight="1" x14ac:dyDescent="0.25">
      <c r="B3" s="486" t="s">
        <v>334</v>
      </c>
      <c r="C3" s="487"/>
      <c r="D3" s="487"/>
      <c r="E3" s="487"/>
      <c r="F3" s="487"/>
      <c r="G3" s="487"/>
      <c r="H3" s="487"/>
      <c r="I3" s="487"/>
      <c r="J3" s="487"/>
      <c r="K3" s="487"/>
      <c r="L3" s="487"/>
      <c r="M3" s="487"/>
      <c r="N3" s="487"/>
      <c r="O3" s="487"/>
      <c r="P3" s="487"/>
      <c r="Q3" s="487"/>
      <c r="R3" s="487"/>
      <c r="S3" s="488"/>
    </row>
    <row r="4" spans="1:36" s="16" customFormat="1" ht="12.75" customHeight="1" x14ac:dyDescent="0.25">
      <c r="F4" s="489"/>
      <c r="G4" s="489"/>
      <c r="H4" s="489"/>
      <c r="I4" s="489"/>
      <c r="J4" s="489"/>
      <c r="K4" s="489"/>
      <c r="L4" s="489"/>
      <c r="M4" s="489"/>
      <c r="N4" s="489"/>
      <c r="O4" s="13"/>
      <c r="P4" s="13"/>
    </row>
    <row r="5" spans="1:36" s="16" customFormat="1" ht="30.75" customHeight="1" x14ac:dyDescent="0.25">
      <c r="F5" s="490" t="s">
        <v>156</v>
      </c>
      <c r="G5" s="491"/>
      <c r="H5" s="17" t="s">
        <v>27</v>
      </c>
      <c r="L5" s="492" t="s">
        <v>28</v>
      </c>
      <c r="M5" s="492"/>
      <c r="N5" s="493" t="s">
        <v>29</v>
      </c>
      <c r="O5" s="493"/>
      <c r="P5" s="160" t="s">
        <v>30</v>
      </c>
    </row>
    <row r="6" spans="1:36" s="16" customFormat="1" ht="18" x14ac:dyDescent="0.25">
      <c r="F6" s="494">
        <v>908526</v>
      </c>
      <c r="G6" s="495"/>
      <c r="H6" s="207">
        <v>3</v>
      </c>
      <c r="L6" s="492"/>
      <c r="M6" s="492"/>
      <c r="N6" s="496">
        <v>734538900</v>
      </c>
      <c r="O6" s="496"/>
      <c r="P6" s="18">
        <f>+ROUND(N6/$F$6,0)</f>
        <v>808</v>
      </c>
    </row>
    <row r="7" spans="1:36" s="16" customFormat="1" ht="12.75" customHeight="1" x14ac:dyDescent="0.25">
      <c r="A7" s="19"/>
      <c r="B7" s="19"/>
      <c r="C7" s="20"/>
      <c r="D7" s="21"/>
      <c r="E7" s="22"/>
      <c r="F7" s="370"/>
      <c r="G7" s="13"/>
      <c r="H7" s="13"/>
      <c r="I7" s="23"/>
      <c r="J7" s="13"/>
      <c r="K7" s="13"/>
      <c r="L7" s="13"/>
      <c r="M7" s="13"/>
    </row>
    <row r="8" spans="1:36" x14ac:dyDescent="0.25">
      <c r="X8" s="13"/>
      <c r="Y8" s="13"/>
      <c r="Z8" s="13"/>
      <c r="AA8" s="13"/>
    </row>
    <row r="9" spans="1:36" x14ac:dyDescent="0.25">
      <c r="X9" s="13"/>
      <c r="Y9" s="13"/>
      <c r="Z9" s="13"/>
      <c r="AA9" s="13"/>
    </row>
    <row r="10" spans="1:36" ht="74.25" customHeight="1" x14ac:dyDescent="0.25">
      <c r="B10" s="26">
        <v>1</v>
      </c>
      <c r="C10" s="469" t="s">
        <v>31</v>
      </c>
      <c r="D10" s="470"/>
      <c r="E10" s="471"/>
      <c r="F10" s="472" t="str">
        <f>IFERROR(VLOOKUP(B10,LISTA_OFERENTES,2,FALSE)," ")</f>
        <v>CONCRETOS Y MEZCLAS S.A</v>
      </c>
      <c r="G10" s="473"/>
      <c r="H10" s="473"/>
      <c r="I10" s="473"/>
      <c r="J10" s="473"/>
      <c r="K10" s="473"/>
      <c r="L10" s="473"/>
      <c r="M10" s="473"/>
      <c r="N10" s="473"/>
      <c r="O10" s="474"/>
      <c r="P10" s="475" t="s">
        <v>32</v>
      </c>
      <c r="Q10" s="476"/>
      <c r="R10" s="477"/>
      <c r="S10" s="27">
        <f>5-(INT(COUNTBLANK(C13:C27))-10)</f>
        <v>1</v>
      </c>
      <c r="T10" s="28"/>
    </row>
    <row r="11" spans="1:36" s="30" customFormat="1" ht="33.75" customHeight="1" x14ac:dyDescent="0.25">
      <c r="B11" s="478" t="s">
        <v>33</v>
      </c>
      <c r="C11" s="461" t="s">
        <v>34</v>
      </c>
      <c r="D11" s="461" t="s">
        <v>35</v>
      </c>
      <c r="E11" s="461" t="s">
        <v>36</v>
      </c>
      <c r="F11" s="461" t="s">
        <v>37</v>
      </c>
      <c r="G11" s="461" t="s">
        <v>38</v>
      </c>
      <c r="H11" s="461" t="s">
        <v>39</v>
      </c>
      <c r="I11" s="461" t="s">
        <v>40</v>
      </c>
      <c r="J11" s="480" t="s">
        <v>41</v>
      </c>
      <c r="K11" s="481"/>
      <c r="L11" s="481"/>
      <c r="M11" s="482"/>
      <c r="N11" s="461" t="s">
        <v>42</v>
      </c>
      <c r="O11" s="461" t="s">
        <v>43</v>
      </c>
      <c r="P11" s="480" t="s">
        <v>44</v>
      </c>
      <c r="Q11" s="482"/>
      <c r="R11" s="461" t="s">
        <v>45</v>
      </c>
      <c r="S11" s="461" t="s">
        <v>46</v>
      </c>
      <c r="T11" s="461" t="s">
        <v>249</v>
      </c>
      <c r="U11" s="461" t="s">
        <v>157</v>
      </c>
      <c r="V11" s="504" t="s">
        <v>248</v>
      </c>
      <c r="W11" s="31"/>
      <c r="X11" s="497" t="s">
        <v>47</v>
      </c>
      <c r="Y11" s="498"/>
      <c r="Z11" s="499"/>
      <c r="AA11" s="32" t="s">
        <v>48</v>
      </c>
    </row>
    <row r="12" spans="1:36" s="30" customFormat="1" ht="63" customHeight="1" x14ac:dyDescent="0.25">
      <c r="B12" s="479"/>
      <c r="C12" s="462"/>
      <c r="D12" s="462"/>
      <c r="E12" s="462"/>
      <c r="F12" s="462"/>
      <c r="G12" s="462"/>
      <c r="H12" s="462"/>
      <c r="I12" s="462"/>
      <c r="J12" s="463" t="s">
        <v>49</v>
      </c>
      <c r="K12" s="464"/>
      <c r="L12" s="464"/>
      <c r="M12" s="465"/>
      <c r="N12" s="462"/>
      <c r="O12" s="462"/>
      <c r="P12" s="33" t="s">
        <v>10</v>
      </c>
      <c r="Q12" s="33" t="s">
        <v>50</v>
      </c>
      <c r="R12" s="462"/>
      <c r="S12" s="462"/>
      <c r="T12" s="462"/>
      <c r="U12" s="462"/>
      <c r="V12" s="504"/>
      <c r="W12" s="31"/>
      <c r="X12" s="34">
        <v>1</v>
      </c>
      <c r="Y12" s="35" t="str">
        <f>IFERROR(VLOOKUP(X12,LISTA_OFERENTES,2,FALSE)," ")</f>
        <v>CONCRETOS Y MEZCLAS S.A</v>
      </c>
      <c r="Z12" s="35" t="str">
        <f ca="1">VLOOKUP(Y12,BANDERA,2,FALSE)</f>
        <v>CUMPLE</v>
      </c>
      <c r="AA12" s="36" t="str">
        <f ca="1">IF(Z12="CUMPLE","H","NH")</f>
        <v>H</v>
      </c>
      <c r="AE12" s="35" t="str">
        <f>Y12</f>
        <v>CONCRETOS Y MEZCLAS S.A</v>
      </c>
      <c r="AF12" s="37" t="str">
        <f ca="1">INDIRECT("T"&amp;AI12)</f>
        <v>CUMPLE</v>
      </c>
      <c r="AH12" s="36" t="s">
        <v>51</v>
      </c>
      <c r="AI12" s="38">
        <v>28</v>
      </c>
      <c r="AJ12" s="39"/>
    </row>
    <row r="13" spans="1:36" s="41" customFormat="1" ht="24.95" customHeight="1" x14ac:dyDescent="0.25">
      <c r="A13" s="40"/>
      <c r="B13" s="420">
        <v>1</v>
      </c>
      <c r="C13" s="423">
        <v>62</v>
      </c>
      <c r="D13" s="423">
        <v>350</v>
      </c>
      <c r="E13" s="423" t="s">
        <v>418</v>
      </c>
      <c r="F13" s="423" t="s">
        <v>419</v>
      </c>
      <c r="G13" s="426">
        <v>4147</v>
      </c>
      <c r="H13" s="429" t="s">
        <v>353</v>
      </c>
      <c r="I13" s="432">
        <v>0.98</v>
      </c>
      <c r="J13" s="208" t="s">
        <v>346</v>
      </c>
      <c r="K13" s="38">
        <v>721015</v>
      </c>
      <c r="L13" s="208"/>
      <c r="M13" s="38"/>
      <c r="N13" s="435" t="s">
        <v>361</v>
      </c>
      <c r="O13" s="435" t="s">
        <v>362</v>
      </c>
      <c r="P13" s="438"/>
      <c r="Q13" s="441" t="s">
        <v>363</v>
      </c>
      <c r="R13" s="441" t="s">
        <v>375</v>
      </c>
      <c r="S13" s="444">
        <f>IF(COUNTIF(J13:K15,"CUMPLE")&gt;=1,(G13*I13),0)* (IF(N13="PRESENTÓ CERTIFICADO",1,0))* (IF(O13="ACORDE A ITEM 5.2.2 (T.R.)",1,0) )* ( IF(OR(Q13="SIN OBSERVACIÓN", Q13="REQUERIMIENTOS SUBSANADOS"),1,0)) *(IF(OR(R13="NINGUNO", R13="CUMPLEN CON LO SOLICITADO"),1,0))</f>
        <v>4064.06</v>
      </c>
      <c r="T13" s="466" t="s">
        <v>376</v>
      </c>
      <c r="U13" s="447">
        <f t="shared" ref="U13" si="0">IF(COUNTIF(J13:K15,"CUMPLE")&gt;=1,1,0)</f>
        <v>1</v>
      </c>
      <c r="V13" s="505">
        <v>3328</v>
      </c>
      <c r="X13" s="34">
        <v>2</v>
      </c>
      <c r="Y13" s="35" t="str">
        <f t="shared" ref="Y13:Y25" si="1">IFERROR(VLOOKUP(X13,LISTA_OFERENTES,2,FALSE)," ")</f>
        <v>INGAP S.A.S</v>
      </c>
      <c r="Z13" s="35" t="str">
        <f t="shared" ref="Z13:Z27" ca="1" si="2">VLOOKUP(Y13,BANDERA,2,FALSE)</f>
        <v>CUMPLE</v>
      </c>
      <c r="AA13" s="36" t="str">
        <f t="shared" ref="AA13:AA25" ca="1" si="3">IF(Z13="CUMPLE","H","NH")</f>
        <v>H</v>
      </c>
      <c r="AE13" s="35" t="str">
        <f t="shared" ref="AE13:AE28" si="4">Y13</f>
        <v>INGAP S.A.S</v>
      </c>
      <c r="AF13" s="37" t="str">
        <f ca="1">INDIRECT("T"&amp;AI13)</f>
        <v>CUMPLE</v>
      </c>
      <c r="AG13" s="42"/>
      <c r="AH13" s="36" t="s">
        <v>51</v>
      </c>
      <c r="AI13" s="38">
        <f>AI12+AJ$13</f>
        <v>50</v>
      </c>
      <c r="AJ13" s="450">
        <v>22</v>
      </c>
    </row>
    <row r="14" spans="1:36" s="41" customFormat="1" ht="24.95" customHeight="1" x14ac:dyDescent="0.25">
      <c r="A14" s="40"/>
      <c r="B14" s="421"/>
      <c r="C14" s="424"/>
      <c r="D14" s="424"/>
      <c r="E14" s="424"/>
      <c r="F14" s="424"/>
      <c r="G14" s="427"/>
      <c r="H14" s="430"/>
      <c r="I14" s="433"/>
      <c r="J14" s="208" t="s">
        <v>346</v>
      </c>
      <c r="K14" s="38">
        <v>721033</v>
      </c>
      <c r="L14" s="448"/>
      <c r="M14" s="450"/>
      <c r="N14" s="436"/>
      <c r="O14" s="436"/>
      <c r="P14" s="439"/>
      <c r="Q14" s="442"/>
      <c r="R14" s="442"/>
      <c r="S14" s="445"/>
      <c r="T14" s="467"/>
      <c r="U14" s="447"/>
      <c r="V14" s="505"/>
      <c r="X14" s="34">
        <v>3</v>
      </c>
      <c r="Y14" s="35" t="str">
        <f t="shared" si="1"/>
        <v xml:space="preserve">VIACOL INGENIEROS CONTRATISTAS </v>
      </c>
      <c r="Z14" s="35" t="str">
        <f t="shared" ca="1" si="2"/>
        <v>CUMPLE</v>
      </c>
      <c r="AA14" s="36" t="str">
        <f t="shared" ca="1" si="3"/>
        <v>H</v>
      </c>
      <c r="AE14" s="35" t="str">
        <f t="shared" si="4"/>
        <v xml:space="preserve">VIACOL INGENIEROS CONTRATISTAS </v>
      </c>
      <c r="AF14" s="37" t="str">
        <f t="shared" ref="AF14:AF28" ca="1" si="5">INDIRECT("T"&amp;AI14)</f>
        <v>CUMPLE</v>
      </c>
      <c r="AG14" s="42"/>
      <c r="AH14" s="36" t="s">
        <v>51</v>
      </c>
      <c r="AI14" s="38">
        <f>AI13+AJ$13</f>
        <v>72</v>
      </c>
      <c r="AJ14" s="503"/>
    </row>
    <row r="15" spans="1:36" s="41" customFormat="1" ht="24.95" customHeight="1" x14ac:dyDescent="0.25">
      <c r="A15" s="40"/>
      <c r="B15" s="422"/>
      <c r="C15" s="425"/>
      <c r="D15" s="425"/>
      <c r="E15" s="425"/>
      <c r="F15" s="425"/>
      <c r="G15" s="428"/>
      <c r="H15" s="431"/>
      <c r="I15" s="434"/>
      <c r="J15" s="208" t="s">
        <v>346</v>
      </c>
      <c r="K15" s="38">
        <v>721513</v>
      </c>
      <c r="L15" s="449"/>
      <c r="M15" s="451"/>
      <c r="N15" s="437"/>
      <c r="O15" s="437"/>
      <c r="P15" s="440"/>
      <c r="Q15" s="443"/>
      <c r="R15" s="443"/>
      <c r="S15" s="446"/>
      <c r="T15" s="467"/>
      <c r="U15" s="447"/>
      <c r="V15" s="505"/>
      <c r="X15" s="34">
        <v>4</v>
      </c>
      <c r="Y15" s="35" t="str">
        <f t="shared" si="1"/>
        <v>CÉSAR AUGUSTO GIRALDO ATEHORTÚA</v>
      </c>
      <c r="Z15" s="35" t="str">
        <f t="shared" ca="1" si="2"/>
        <v>NO CUMPLE</v>
      </c>
      <c r="AA15" s="36" t="str">
        <f t="shared" ca="1" si="3"/>
        <v>NH</v>
      </c>
      <c r="AE15" s="35" t="str">
        <f t="shared" si="4"/>
        <v>CÉSAR AUGUSTO GIRALDO ATEHORTÚA</v>
      </c>
      <c r="AF15" s="37" t="str">
        <f t="shared" ca="1" si="5"/>
        <v>NO CUMPLE</v>
      </c>
      <c r="AG15" s="42"/>
      <c r="AH15" s="36" t="s">
        <v>51</v>
      </c>
      <c r="AI15" s="38">
        <f>AI14+AJ$13</f>
        <v>94</v>
      </c>
      <c r="AJ15" s="503"/>
    </row>
    <row r="16" spans="1:36" s="41" customFormat="1" ht="24.95" hidden="1" customHeight="1" x14ac:dyDescent="0.25">
      <c r="A16" s="40"/>
      <c r="B16" s="420">
        <v>2</v>
      </c>
      <c r="C16" s="452"/>
      <c r="D16" s="452"/>
      <c r="E16" s="452"/>
      <c r="F16" s="452"/>
      <c r="G16" s="455"/>
      <c r="H16" s="429"/>
      <c r="I16" s="458"/>
      <c r="J16" s="208"/>
      <c r="K16" s="38">
        <f>+$K$13</f>
        <v>721015</v>
      </c>
      <c r="L16" s="208"/>
      <c r="M16" s="38"/>
      <c r="N16" s="435"/>
      <c r="O16" s="435"/>
      <c r="P16" s="438"/>
      <c r="Q16" s="441"/>
      <c r="R16" s="441"/>
      <c r="S16" s="444">
        <f>IF(COUNTIF(J16:K18,"CUMPLE")&gt;=1,(G16*I16),0)* (IF(N16="PRESENTÓ CERTIFICADO",1,0))* (IF(O16="ACORDE A ITEM 5.2.2 (T.R.)",1,0) )* ( IF(OR(Q16="SIN OBSERVACIÓN", Q16="REQUERIMIENTOS SUBSANADOS"),1,0)) *(IF(OR(R16="NINGUNO", R16="CUMPLEN CON LO SOLICITADO"),1,0))</f>
        <v>0</v>
      </c>
      <c r="T16" s="467"/>
      <c r="U16" s="447">
        <f>IF(COUNTIF(L16:M18,"CUMPLE")&gt;=1,1,0)</f>
        <v>0</v>
      </c>
      <c r="V16" s="505"/>
      <c r="X16" s="34">
        <v>5</v>
      </c>
      <c r="Y16" s="35" t="str">
        <f t="shared" si="1"/>
        <v>JUAN CARLOS RESTREPO GUTIERREZ</v>
      </c>
      <c r="Z16" s="35" t="str">
        <f t="shared" ca="1" si="2"/>
        <v>CUMPLE</v>
      </c>
      <c r="AA16" s="36" t="str">
        <f t="shared" ca="1" si="3"/>
        <v>H</v>
      </c>
      <c r="AE16" s="35" t="str">
        <f t="shared" si="4"/>
        <v>JUAN CARLOS RESTREPO GUTIERREZ</v>
      </c>
      <c r="AF16" s="37" t="str">
        <f t="shared" ca="1" si="5"/>
        <v>CUMPLE</v>
      </c>
      <c r="AG16" s="42"/>
      <c r="AH16" s="36" t="s">
        <v>51</v>
      </c>
      <c r="AI16" s="38">
        <f>AI15+AJ$13</f>
        <v>116</v>
      </c>
      <c r="AJ16" s="503"/>
    </row>
    <row r="17" spans="1:36" s="41" customFormat="1" ht="24.95" hidden="1" customHeight="1" x14ac:dyDescent="0.25">
      <c r="A17" s="40"/>
      <c r="B17" s="421"/>
      <c r="C17" s="453"/>
      <c r="D17" s="453"/>
      <c r="E17" s="453"/>
      <c r="F17" s="453"/>
      <c r="G17" s="456"/>
      <c r="H17" s="430"/>
      <c r="I17" s="459"/>
      <c r="J17" s="208"/>
      <c r="K17" s="38">
        <f>+$K$14</f>
        <v>721033</v>
      </c>
      <c r="L17" s="448"/>
      <c r="M17" s="450"/>
      <c r="N17" s="436"/>
      <c r="O17" s="436"/>
      <c r="P17" s="439"/>
      <c r="Q17" s="442"/>
      <c r="R17" s="442"/>
      <c r="S17" s="445"/>
      <c r="T17" s="467"/>
      <c r="U17" s="447"/>
      <c r="V17" s="505"/>
      <c r="X17" s="34">
        <v>6</v>
      </c>
      <c r="Y17" s="35" t="str">
        <f t="shared" si="1"/>
        <v>ANGELA MARÍA CÁRDENAS ZAPATA</v>
      </c>
      <c r="Z17" s="35" t="str">
        <f t="shared" ca="1" si="2"/>
        <v>CUMPLE</v>
      </c>
      <c r="AA17" s="36" t="str">
        <f t="shared" ca="1" si="3"/>
        <v>H</v>
      </c>
      <c r="AE17" s="35" t="str">
        <f t="shared" si="4"/>
        <v>ANGELA MARÍA CÁRDENAS ZAPATA</v>
      </c>
      <c r="AF17" s="37" t="str">
        <f t="shared" ca="1" si="5"/>
        <v>CUMPLE</v>
      </c>
      <c r="AG17" s="42"/>
      <c r="AH17" s="36" t="s">
        <v>51</v>
      </c>
      <c r="AI17" s="38">
        <f>AI16+AJ$13</f>
        <v>138</v>
      </c>
      <c r="AJ17" s="503"/>
    </row>
    <row r="18" spans="1:36" s="41" customFormat="1" ht="24.95" hidden="1" customHeight="1" x14ac:dyDescent="0.25">
      <c r="A18" s="40"/>
      <c r="B18" s="422"/>
      <c r="C18" s="454"/>
      <c r="D18" s="454"/>
      <c r="E18" s="454"/>
      <c r="F18" s="454"/>
      <c r="G18" s="457"/>
      <c r="H18" s="431"/>
      <c r="I18" s="460"/>
      <c r="J18" s="208"/>
      <c r="K18" s="38">
        <f>+$K$15</f>
        <v>721513</v>
      </c>
      <c r="L18" s="449"/>
      <c r="M18" s="451"/>
      <c r="N18" s="437"/>
      <c r="O18" s="437"/>
      <c r="P18" s="440"/>
      <c r="Q18" s="443"/>
      <c r="R18" s="443"/>
      <c r="S18" s="446"/>
      <c r="T18" s="467"/>
      <c r="U18" s="447"/>
      <c r="V18" s="505"/>
      <c r="X18" s="34">
        <v>7</v>
      </c>
      <c r="Y18" s="35" t="str">
        <f t="shared" si="1"/>
        <v>ASEM S.A.S</v>
      </c>
      <c r="Z18" s="35" t="str">
        <f t="shared" ca="1" si="2"/>
        <v>CUMPLE</v>
      </c>
      <c r="AA18" s="36" t="str">
        <f t="shared" ca="1" si="3"/>
        <v>H</v>
      </c>
      <c r="AE18" s="35" t="str">
        <f t="shared" si="4"/>
        <v>ASEM S.A.S</v>
      </c>
      <c r="AF18" s="37" t="str">
        <f t="shared" ca="1" si="5"/>
        <v>CUMPLE</v>
      </c>
      <c r="AG18" s="43"/>
      <c r="AH18" s="36" t="s">
        <v>51</v>
      </c>
      <c r="AI18" s="38">
        <f t="shared" ref="AI18:AI28" si="6">AI17+AJ$13</f>
        <v>160</v>
      </c>
      <c r="AJ18" s="503"/>
    </row>
    <row r="19" spans="1:36" s="41" customFormat="1" ht="24.95" hidden="1" customHeight="1" x14ac:dyDescent="0.25">
      <c r="A19" s="40"/>
      <c r="B19" s="420">
        <v>3</v>
      </c>
      <c r="C19" s="423"/>
      <c r="D19" s="423"/>
      <c r="E19" s="423"/>
      <c r="F19" s="423"/>
      <c r="G19" s="426"/>
      <c r="H19" s="429"/>
      <c r="I19" s="432"/>
      <c r="J19" s="208"/>
      <c r="K19" s="38">
        <f>+$K$13</f>
        <v>721015</v>
      </c>
      <c r="L19" s="208"/>
      <c r="M19" s="38"/>
      <c r="N19" s="435"/>
      <c r="O19" s="435"/>
      <c r="P19" s="438"/>
      <c r="Q19" s="441"/>
      <c r="R19" s="441"/>
      <c r="S19" s="444">
        <f>IF(COUNTIF(J19:K21,"CUMPLE")&gt;=1,(G19*I19),0)* (IF(N19="PRESENTÓ CERTIFICADO",1,0))* (IF(O19="ACORDE A ITEM 5.2.2 (T.R.)",1,0) )* ( IF(OR(Q19="SIN OBSERVACIÓN", Q19="REQUERIMIENTOS SUBSANADOS"),1,0)) *(IF(OR(R19="NINGUNO", R19="CUMPLEN CON LO SOLICITADO"),1,0))</f>
        <v>0</v>
      </c>
      <c r="T19" s="467"/>
      <c r="U19" s="447">
        <f>IF(COUNTIF(L19:M21,"CUMPLE")&gt;=1,1,0)</f>
        <v>0</v>
      </c>
      <c r="V19" s="505"/>
      <c r="X19" s="34">
        <v>8</v>
      </c>
      <c r="Y19" s="35" t="str">
        <f t="shared" si="1"/>
        <v>LUIS CARLOS PARRA VELASQUEZ</v>
      </c>
      <c r="Z19" s="35" t="str">
        <f t="shared" ca="1" si="2"/>
        <v>CUMPLE</v>
      </c>
      <c r="AA19" s="36" t="str">
        <f t="shared" ca="1" si="3"/>
        <v>H</v>
      </c>
      <c r="AE19" s="35" t="str">
        <f t="shared" si="4"/>
        <v>LUIS CARLOS PARRA VELASQUEZ</v>
      </c>
      <c r="AF19" s="37" t="str">
        <f t="shared" ca="1" si="5"/>
        <v>CUMPLE</v>
      </c>
      <c r="AG19" s="43"/>
      <c r="AH19" s="36" t="s">
        <v>51</v>
      </c>
      <c r="AI19" s="38">
        <f t="shared" si="6"/>
        <v>182</v>
      </c>
      <c r="AJ19" s="503"/>
    </row>
    <row r="20" spans="1:36" s="41" customFormat="1" ht="24.95" hidden="1" customHeight="1" x14ac:dyDescent="0.25">
      <c r="A20" s="40"/>
      <c r="B20" s="421"/>
      <c r="C20" s="424"/>
      <c r="D20" s="424"/>
      <c r="E20" s="424"/>
      <c r="F20" s="424"/>
      <c r="G20" s="427"/>
      <c r="H20" s="430"/>
      <c r="I20" s="433"/>
      <c r="J20" s="208"/>
      <c r="K20" s="38">
        <f>+$K$14</f>
        <v>721033</v>
      </c>
      <c r="L20" s="448"/>
      <c r="M20" s="450"/>
      <c r="N20" s="436"/>
      <c r="O20" s="436"/>
      <c r="P20" s="439"/>
      <c r="Q20" s="442"/>
      <c r="R20" s="442"/>
      <c r="S20" s="445"/>
      <c r="T20" s="467"/>
      <c r="U20" s="447"/>
      <c r="V20" s="505"/>
      <c r="X20" s="34">
        <v>9</v>
      </c>
      <c r="Y20" s="35" t="str">
        <f t="shared" si="1"/>
        <v>KA S.A.</v>
      </c>
      <c r="Z20" s="35" t="str">
        <f t="shared" ca="1" si="2"/>
        <v>CUMPLE</v>
      </c>
      <c r="AA20" s="36" t="str">
        <f t="shared" ca="1" si="3"/>
        <v>H</v>
      </c>
      <c r="AE20" s="35" t="str">
        <f t="shared" si="4"/>
        <v>KA S.A.</v>
      </c>
      <c r="AF20" s="37" t="str">
        <f t="shared" ca="1" si="5"/>
        <v>CUMPLE</v>
      </c>
      <c r="AG20" s="43"/>
      <c r="AH20" s="36" t="s">
        <v>51</v>
      </c>
      <c r="AI20" s="38">
        <f t="shared" si="6"/>
        <v>204</v>
      </c>
      <c r="AJ20" s="503"/>
    </row>
    <row r="21" spans="1:36" s="41" customFormat="1" ht="24.95" hidden="1" customHeight="1" x14ac:dyDescent="0.25">
      <c r="A21" s="40"/>
      <c r="B21" s="422"/>
      <c r="C21" s="425"/>
      <c r="D21" s="425"/>
      <c r="E21" s="425"/>
      <c r="F21" s="425"/>
      <c r="G21" s="428"/>
      <c r="H21" s="431"/>
      <c r="I21" s="434"/>
      <c r="J21" s="208"/>
      <c r="K21" s="38">
        <f>+$K$15</f>
        <v>721513</v>
      </c>
      <c r="L21" s="449"/>
      <c r="M21" s="451"/>
      <c r="N21" s="437"/>
      <c r="O21" s="437"/>
      <c r="P21" s="440"/>
      <c r="Q21" s="443"/>
      <c r="R21" s="443"/>
      <c r="S21" s="446"/>
      <c r="T21" s="467"/>
      <c r="U21" s="447"/>
      <c r="V21" s="505"/>
      <c r="X21" s="34">
        <v>10</v>
      </c>
      <c r="Y21" s="35" t="str">
        <f t="shared" si="1"/>
        <v xml:space="preserve">DANIEL JOSE NIEVES VERGARA </v>
      </c>
      <c r="Z21" s="35" t="str">
        <f t="shared" ca="1" si="2"/>
        <v>CUMPLE</v>
      </c>
      <c r="AA21" s="36" t="str">
        <f t="shared" ca="1" si="3"/>
        <v>H</v>
      </c>
      <c r="AE21" s="35" t="str">
        <f t="shared" si="4"/>
        <v xml:space="preserve">DANIEL JOSE NIEVES VERGARA </v>
      </c>
      <c r="AF21" s="37" t="str">
        <f t="shared" ca="1" si="5"/>
        <v>CUMPLE</v>
      </c>
      <c r="AG21" s="43"/>
      <c r="AH21" s="36" t="s">
        <v>51</v>
      </c>
      <c r="AI21" s="38">
        <f t="shared" si="6"/>
        <v>226</v>
      </c>
      <c r="AJ21" s="503"/>
    </row>
    <row r="22" spans="1:36" s="41" customFormat="1" ht="24.95" hidden="1" customHeight="1" x14ac:dyDescent="0.25">
      <c r="A22" s="40"/>
      <c r="B22" s="420">
        <v>4</v>
      </c>
      <c r="C22" s="452"/>
      <c r="D22" s="452"/>
      <c r="E22" s="452"/>
      <c r="F22" s="452"/>
      <c r="G22" s="455"/>
      <c r="H22" s="429"/>
      <c r="I22" s="458"/>
      <c r="J22" s="208"/>
      <c r="K22" s="38">
        <f>+$K$13</f>
        <v>721015</v>
      </c>
      <c r="L22" s="208"/>
      <c r="M22" s="38"/>
      <c r="N22" s="435"/>
      <c r="O22" s="435"/>
      <c r="P22" s="438"/>
      <c r="Q22" s="441"/>
      <c r="R22" s="441"/>
      <c r="S22" s="444">
        <f>IF(COUNTIF(J22:K24,"CUMPLE")&gt;=1,(G22*I22),0)* (IF(N22="PRESENTÓ CERTIFICADO",1,0))* (IF(O22="ACORDE A ITEM 5.2.2 (T.R.)",1,0) )* ( IF(OR(Q22="SIN OBSERVACIÓN", Q22="REQUERIMIENTOS SUBSANADOS"),1,0)) *(IF(OR(R22="NINGUNO", R22="CUMPLEN CON LO SOLICITADO"),1,0))</f>
        <v>0</v>
      </c>
      <c r="T22" s="467"/>
      <c r="U22" s="447">
        <f>IF(COUNTIF(L22:M24,"CUMPLE")&gt;=1,1,0)</f>
        <v>0</v>
      </c>
      <c r="V22" s="505"/>
      <c r="X22" s="34">
        <v>11</v>
      </c>
      <c r="Y22" s="35" t="str">
        <f t="shared" si="1"/>
        <v xml:space="preserve">CARLOS ANDRES ACEBEDO ESCOBAR </v>
      </c>
      <c r="Z22" s="35" t="str">
        <f t="shared" ca="1" si="2"/>
        <v>CUMPLE</v>
      </c>
      <c r="AA22" s="36" t="str">
        <f t="shared" ca="1" si="3"/>
        <v>H</v>
      </c>
      <c r="AE22" s="35" t="str">
        <f t="shared" si="4"/>
        <v xml:space="preserve">CARLOS ANDRES ACEBEDO ESCOBAR </v>
      </c>
      <c r="AF22" s="37" t="str">
        <f t="shared" ca="1" si="5"/>
        <v>CUMPLE</v>
      </c>
      <c r="AG22" s="43"/>
      <c r="AH22" s="36" t="s">
        <v>51</v>
      </c>
      <c r="AI22" s="38">
        <f t="shared" si="6"/>
        <v>248</v>
      </c>
      <c r="AJ22" s="503"/>
    </row>
    <row r="23" spans="1:36" s="41" customFormat="1" ht="24.95" hidden="1" customHeight="1" x14ac:dyDescent="0.25">
      <c r="A23" s="40"/>
      <c r="B23" s="421"/>
      <c r="C23" s="453"/>
      <c r="D23" s="453"/>
      <c r="E23" s="453"/>
      <c r="F23" s="453"/>
      <c r="G23" s="456"/>
      <c r="H23" s="430"/>
      <c r="I23" s="459"/>
      <c r="J23" s="208"/>
      <c r="K23" s="38">
        <f>+$K$14</f>
        <v>721033</v>
      </c>
      <c r="L23" s="448"/>
      <c r="M23" s="450"/>
      <c r="N23" s="436"/>
      <c r="O23" s="436"/>
      <c r="P23" s="439"/>
      <c r="Q23" s="442"/>
      <c r="R23" s="442"/>
      <c r="S23" s="445"/>
      <c r="T23" s="467"/>
      <c r="U23" s="447"/>
      <c r="V23" s="505"/>
      <c r="X23" s="34">
        <v>12</v>
      </c>
      <c r="Y23" s="35" t="str">
        <f t="shared" si="1"/>
        <v>CONDEIN S.A.S</v>
      </c>
      <c r="Z23" s="35" t="str">
        <f t="shared" ca="1" si="2"/>
        <v>CUMPLE</v>
      </c>
      <c r="AA23" s="36" t="str">
        <f t="shared" ca="1" si="3"/>
        <v>H</v>
      </c>
      <c r="AE23" s="35" t="str">
        <f t="shared" si="4"/>
        <v>CONDEIN S.A.S</v>
      </c>
      <c r="AF23" s="37" t="str">
        <f t="shared" ca="1" si="5"/>
        <v>CUMPLE</v>
      </c>
      <c r="AG23" s="43"/>
      <c r="AH23" s="36" t="s">
        <v>51</v>
      </c>
      <c r="AI23" s="38">
        <f t="shared" si="6"/>
        <v>270</v>
      </c>
      <c r="AJ23" s="503"/>
    </row>
    <row r="24" spans="1:36" s="41" customFormat="1" ht="24.95" hidden="1" customHeight="1" x14ac:dyDescent="0.25">
      <c r="A24" s="40"/>
      <c r="B24" s="422"/>
      <c r="C24" s="454"/>
      <c r="D24" s="454"/>
      <c r="E24" s="454"/>
      <c r="F24" s="454"/>
      <c r="G24" s="457"/>
      <c r="H24" s="431"/>
      <c r="I24" s="460"/>
      <c r="J24" s="208"/>
      <c r="K24" s="38">
        <f>+$K$15</f>
        <v>721513</v>
      </c>
      <c r="L24" s="449"/>
      <c r="M24" s="451"/>
      <c r="N24" s="437"/>
      <c r="O24" s="437"/>
      <c r="P24" s="440"/>
      <c r="Q24" s="443"/>
      <c r="R24" s="443"/>
      <c r="S24" s="446"/>
      <c r="T24" s="467"/>
      <c r="U24" s="447"/>
      <c r="V24" s="505"/>
      <c r="X24" s="34">
        <v>13</v>
      </c>
      <c r="Y24" s="35" t="str">
        <f t="shared" si="1"/>
        <v>CONSTRUVALORES S.A.S</v>
      </c>
      <c r="Z24" s="35" t="str">
        <f t="shared" ca="1" si="2"/>
        <v>CUMPLE</v>
      </c>
      <c r="AA24" s="36" t="str">
        <f t="shared" ca="1" si="3"/>
        <v>H</v>
      </c>
      <c r="AE24" s="35" t="str">
        <f t="shared" si="4"/>
        <v>CONSTRUVALORES S.A.S</v>
      </c>
      <c r="AF24" s="37" t="str">
        <f t="shared" ca="1" si="5"/>
        <v>CUMPLE</v>
      </c>
      <c r="AG24" s="43"/>
      <c r="AH24" s="36" t="s">
        <v>51</v>
      </c>
      <c r="AI24" s="38">
        <f t="shared" si="6"/>
        <v>292</v>
      </c>
      <c r="AJ24" s="503"/>
    </row>
    <row r="25" spans="1:36" s="41" customFormat="1" ht="24.95" hidden="1" customHeight="1" x14ac:dyDescent="0.25">
      <c r="A25" s="40"/>
      <c r="B25" s="420">
        <v>5</v>
      </c>
      <c r="C25" s="423"/>
      <c r="D25" s="423"/>
      <c r="E25" s="423"/>
      <c r="F25" s="423"/>
      <c r="G25" s="426"/>
      <c r="H25" s="429"/>
      <c r="I25" s="432"/>
      <c r="J25" s="208"/>
      <c r="K25" s="38">
        <f>+$K$13</f>
        <v>721015</v>
      </c>
      <c r="L25" s="208"/>
      <c r="M25" s="38"/>
      <c r="N25" s="435"/>
      <c r="O25" s="435"/>
      <c r="P25" s="438"/>
      <c r="Q25" s="441"/>
      <c r="R25" s="441"/>
      <c r="S25" s="444">
        <f>IF(COUNTIF(J25:K27,"CUMPLE")&gt;=1,(G25*I25),0)* (IF(N25="PRESENTÓ CERTIFICADO",1,0))* (IF(O25="ACORDE A ITEM 5.2.2 (T.R.)",1,0) )* ( IF(OR(Q25="SIN OBSERVACIÓN", Q25="REQUERIMIENTOS SUBSANADOS"),1,0)) *(IF(OR(R25="NINGUNO", R25="CUMPLEN CON LO SOLICITADO"),1,0))</f>
        <v>0</v>
      </c>
      <c r="T25" s="467"/>
      <c r="U25" s="447">
        <f>IF(COUNTIF(L25:M27,"CUMPLE")&gt;=1,1,0)</f>
        <v>0</v>
      </c>
      <c r="V25" s="505"/>
      <c r="X25" s="34">
        <v>14</v>
      </c>
      <c r="Y25" s="35" t="str">
        <f t="shared" si="1"/>
        <v>WILLIAMS.CO S.A.S</v>
      </c>
      <c r="Z25" s="35" t="str">
        <f t="shared" ca="1" si="2"/>
        <v>CUMPLE</v>
      </c>
      <c r="AA25" s="36" t="str">
        <f t="shared" ca="1" si="3"/>
        <v>H</v>
      </c>
      <c r="AE25" s="35" t="str">
        <f t="shared" si="4"/>
        <v>WILLIAMS.CO S.A.S</v>
      </c>
      <c r="AF25" s="37" t="str">
        <f t="shared" ca="1" si="5"/>
        <v>CUMPLE</v>
      </c>
      <c r="AG25" s="43"/>
      <c r="AH25" s="36" t="s">
        <v>51</v>
      </c>
      <c r="AI25" s="38">
        <f t="shared" si="6"/>
        <v>314</v>
      </c>
      <c r="AJ25" s="503"/>
    </row>
    <row r="26" spans="1:36" s="41" customFormat="1" ht="24.95" hidden="1" customHeight="1" x14ac:dyDescent="0.25">
      <c r="A26" s="40"/>
      <c r="B26" s="421"/>
      <c r="C26" s="424"/>
      <c r="D26" s="424"/>
      <c r="E26" s="424"/>
      <c r="F26" s="424"/>
      <c r="G26" s="427"/>
      <c r="H26" s="430"/>
      <c r="I26" s="433"/>
      <c r="J26" s="208"/>
      <c r="K26" s="38">
        <f>+$K$14</f>
        <v>721033</v>
      </c>
      <c r="L26" s="448"/>
      <c r="M26" s="450"/>
      <c r="N26" s="436"/>
      <c r="O26" s="436"/>
      <c r="P26" s="439"/>
      <c r="Q26" s="442"/>
      <c r="R26" s="442"/>
      <c r="S26" s="445"/>
      <c r="T26" s="467"/>
      <c r="U26" s="447"/>
      <c r="V26" s="505"/>
      <c r="X26" s="34">
        <v>15</v>
      </c>
      <c r="Y26" s="35">
        <f t="shared" ref="Y26:Y28" si="7">IFERROR(VLOOKUP(X26,LISTA_OFERENTES,2,FALSE)," ")</f>
        <v>0</v>
      </c>
      <c r="Z26" s="35">
        <f t="shared" ca="1" si="2"/>
        <v>0</v>
      </c>
      <c r="AA26" s="36" t="str">
        <f ca="1">IF(Z26="CUMPLE","H","NH")</f>
        <v>NH</v>
      </c>
      <c r="AE26" s="35">
        <f t="shared" si="4"/>
        <v>0</v>
      </c>
      <c r="AF26" s="37">
        <f t="shared" ca="1" si="5"/>
        <v>0</v>
      </c>
      <c r="AG26" s="43"/>
      <c r="AH26" s="36" t="s">
        <v>51</v>
      </c>
      <c r="AI26" s="38">
        <f t="shared" si="6"/>
        <v>336</v>
      </c>
      <c r="AJ26" s="503"/>
    </row>
    <row r="27" spans="1:36" s="41" customFormat="1" ht="24.95" hidden="1" customHeight="1" x14ac:dyDescent="0.25">
      <c r="A27" s="40"/>
      <c r="B27" s="422"/>
      <c r="C27" s="425"/>
      <c r="D27" s="425"/>
      <c r="E27" s="425"/>
      <c r="F27" s="425"/>
      <c r="G27" s="428"/>
      <c r="H27" s="431"/>
      <c r="I27" s="434"/>
      <c r="J27" s="208"/>
      <c r="K27" s="38">
        <f>+$K$15</f>
        <v>721513</v>
      </c>
      <c r="L27" s="449"/>
      <c r="M27" s="451"/>
      <c r="N27" s="437"/>
      <c r="O27" s="437"/>
      <c r="P27" s="440"/>
      <c r="Q27" s="443"/>
      <c r="R27" s="443"/>
      <c r="S27" s="446"/>
      <c r="T27" s="468"/>
      <c r="U27" s="447"/>
      <c r="V27" s="505"/>
      <c r="X27" s="34">
        <v>16</v>
      </c>
      <c r="Y27" s="35">
        <f t="shared" si="7"/>
        <v>0</v>
      </c>
      <c r="Z27" s="35">
        <f t="shared" ca="1" si="2"/>
        <v>0</v>
      </c>
      <c r="AA27" s="36" t="str">
        <f ca="1">IF(Z27="CUMPLE","H","NH")</f>
        <v>NH</v>
      </c>
      <c r="AE27" s="35">
        <f t="shared" si="4"/>
        <v>0</v>
      </c>
      <c r="AF27" s="37">
        <f t="shared" ca="1" si="5"/>
        <v>0</v>
      </c>
      <c r="AH27" s="36" t="s">
        <v>51</v>
      </c>
      <c r="AI27" s="38">
        <f t="shared" si="6"/>
        <v>358</v>
      </c>
      <c r="AJ27" s="503"/>
    </row>
    <row r="28" spans="1:36" s="28" customFormat="1" ht="24.95" customHeight="1" x14ac:dyDescent="0.25">
      <c r="B28" s="409" t="str">
        <f>IF(S29=" "," ",IF(S29&gt;=$H$6,"CUMPLE CON LA EXPERIENCIA REQUERIDA","NO CUMPLE CON LA EXPERIENCIA REQUERIDA"))</f>
        <v>CUMPLE CON LA EXPERIENCIA REQUERIDA</v>
      </c>
      <c r="C28" s="410"/>
      <c r="D28" s="410"/>
      <c r="E28" s="410"/>
      <c r="F28" s="410"/>
      <c r="G28" s="410"/>
      <c r="H28" s="410"/>
      <c r="I28" s="410"/>
      <c r="J28" s="410"/>
      <c r="K28" s="410"/>
      <c r="L28" s="410"/>
      <c r="M28" s="410"/>
      <c r="N28" s="410"/>
      <c r="O28" s="411"/>
      <c r="P28" s="415" t="s">
        <v>52</v>
      </c>
      <c r="Q28" s="416"/>
      <c r="R28" s="417"/>
      <c r="S28" s="44">
        <f>IF(T13="SI",SUM(S13:S27),0)</f>
        <v>4064.06</v>
      </c>
      <c r="T28" s="418" t="str">
        <f>IF(S29=" "," ",IF(S29&gt;=$H$6,"CUMPLE","NO CUMPLE"))</f>
        <v>CUMPLE</v>
      </c>
      <c r="V28" s="506">
        <f>SUM(V13:V27)</f>
        <v>3328</v>
      </c>
      <c r="X28" s="34">
        <v>17</v>
      </c>
      <c r="Y28" s="35">
        <f t="shared" si="7"/>
        <v>0</v>
      </c>
      <c r="Z28" s="35">
        <f t="shared" ref="Z28" ca="1" si="8">VLOOKUP(Y28,BANDERA,2,FALSE)</f>
        <v>0</v>
      </c>
      <c r="AA28" s="36" t="str">
        <f t="shared" ref="AA28" ca="1" si="9">IF(Z28="CUMPLE","H","NH")</f>
        <v>NH</v>
      </c>
      <c r="AB28" s="41"/>
      <c r="AC28" s="41"/>
      <c r="AD28" s="41"/>
      <c r="AE28" s="35">
        <f t="shared" si="4"/>
        <v>0</v>
      </c>
      <c r="AF28" s="37">
        <f t="shared" ca="1" si="5"/>
        <v>0</v>
      </c>
      <c r="AG28" s="41"/>
      <c r="AH28" s="36" t="s">
        <v>51</v>
      </c>
      <c r="AI28" s="38">
        <f t="shared" si="6"/>
        <v>380</v>
      </c>
      <c r="AJ28" s="451"/>
    </row>
    <row r="29" spans="1:36" s="41" customFormat="1" ht="24.95" customHeight="1" x14ac:dyDescent="0.25">
      <c r="B29" s="412"/>
      <c r="C29" s="413"/>
      <c r="D29" s="413"/>
      <c r="E29" s="413"/>
      <c r="F29" s="413"/>
      <c r="G29" s="413"/>
      <c r="H29" s="413"/>
      <c r="I29" s="413"/>
      <c r="J29" s="413"/>
      <c r="K29" s="413"/>
      <c r="L29" s="413"/>
      <c r="M29" s="413"/>
      <c r="N29" s="413"/>
      <c r="O29" s="414"/>
      <c r="P29" s="415" t="s">
        <v>53</v>
      </c>
      <c r="Q29" s="416"/>
      <c r="R29" s="417"/>
      <c r="S29" s="44">
        <f>IFERROR((S28/$P$6)," ")</f>
        <v>5.0297772277227724</v>
      </c>
      <c r="T29" s="419"/>
      <c r="V29" s="507"/>
      <c r="X29" s="29"/>
      <c r="Y29" s="29"/>
      <c r="Z29" s="29"/>
      <c r="AA29" s="29"/>
      <c r="AE29" s="13"/>
      <c r="AF29" s="13"/>
      <c r="AG29" s="13"/>
      <c r="AH29" s="13"/>
      <c r="AI29" s="13"/>
      <c r="AJ29" s="13"/>
    </row>
    <row r="30" spans="1:36" s="41" customFormat="1" ht="30" customHeight="1" x14ac:dyDescent="0.25">
      <c r="X30" s="29"/>
      <c r="Y30" s="29"/>
      <c r="Z30" s="29"/>
      <c r="AA30" s="29"/>
      <c r="AE30" s="13"/>
      <c r="AF30" s="13"/>
      <c r="AG30" s="13"/>
      <c r="AH30" s="13"/>
      <c r="AI30" s="13"/>
      <c r="AJ30" s="13"/>
    </row>
    <row r="31" spans="1:36" ht="30" customHeight="1" x14ac:dyDescent="0.25">
      <c r="AB31" s="41"/>
      <c r="AC31" s="41"/>
      <c r="AD31" s="41"/>
    </row>
    <row r="32" spans="1:36" ht="56.25" customHeight="1" x14ac:dyDescent="0.25">
      <c r="B32" s="26">
        <v>2</v>
      </c>
      <c r="C32" s="469" t="s">
        <v>31</v>
      </c>
      <c r="D32" s="470"/>
      <c r="E32" s="471"/>
      <c r="F32" s="472" t="str">
        <f>IFERROR(VLOOKUP(B32,LISTA_OFERENTES,2,FALSE)," ")</f>
        <v>INGAP S.A.S</v>
      </c>
      <c r="G32" s="473"/>
      <c r="H32" s="473"/>
      <c r="I32" s="473"/>
      <c r="J32" s="473"/>
      <c r="K32" s="473"/>
      <c r="L32" s="473"/>
      <c r="M32" s="473"/>
      <c r="N32" s="473"/>
      <c r="O32" s="474"/>
      <c r="P32" s="475" t="s">
        <v>32</v>
      </c>
      <c r="Q32" s="476"/>
      <c r="R32" s="477"/>
      <c r="S32" s="27">
        <f>5-(INT(COUNTBLANK(C35:C49))-10)</f>
        <v>2</v>
      </c>
      <c r="T32" s="28"/>
      <c r="AB32" s="41"/>
      <c r="AC32" s="41"/>
      <c r="AD32" s="41"/>
    </row>
    <row r="33" spans="1:36" s="42" customFormat="1" ht="38.25" customHeight="1" x14ac:dyDescent="0.25">
      <c r="B33" s="478" t="s">
        <v>33</v>
      </c>
      <c r="C33" s="461" t="s">
        <v>34</v>
      </c>
      <c r="D33" s="461" t="s">
        <v>35</v>
      </c>
      <c r="E33" s="461" t="s">
        <v>36</v>
      </c>
      <c r="F33" s="461" t="s">
        <v>37</v>
      </c>
      <c r="G33" s="461" t="s">
        <v>38</v>
      </c>
      <c r="H33" s="461" t="s">
        <v>39</v>
      </c>
      <c r="I33" s="461" t="s">
        <v>40</v>
      </c>
      <c r="J33" s="480" t="s">
        <v>41</v>
      </c>
      <c r="K33" s="481"/>
      <c r="L33" s="481"/>
      <c r="M33" s="482"/>
      <c r="N33" s="461" t="s">
        <v>42</v>
      </c>
      <c r="O33" s="461" t="s">
        <v>43</v>
      </c>
      <c r="P33" s="480" t="s">
        <v>44</v>
      </c>
      <c r="Q33" s="482"/>
      <c r="R33" s="461" t="s">
        <v>45</v>
      </c>
      <c r="S33" s="461" t="s">
        <v>46</v>
      </c>
      <c r="T33" s="461" t="str">
        <f>+$T$11</f>
        <v>CUMPLE CON EL REQUERIMIENTO DE HABER EJECUTADO MÁS DE 2000M# EN ACTIVIDADES DE PINTURA</v>
      </c>
      <c r="U33" s="461" t="str">
        <f>+$U$11</f>
        <v xml:space="preserve">VERIFICACIÓN CONDICIÓN DE EXPERIENCIA  </v>
      </c>
      <c r="V33" s="504" t="s">
        <v>248</v>
      </c>
      <c r="W33" s="45"/>
      <c r="X33" s="29"/>
      <c r="Y33" s="29"/>
      <c r="Z33" s="29"/>
      <c r="AA33" s="29"/>
      <c r="AB33" s="41"/>
      <c r="AC33" s="41"/>
      <c r="AD33" s="41"/>
      <c r="AE33" s="13"/>
      <c r="AF33" s="13"/>
      <c r="AG33" s="13"/>
      <c r="AH33" s="13"/>
      <c r="AI33" s="13"/>
      <c r="AJ33" s="13"/>
    </row>
    <row r="34" spans="1:36" s="42" customFormat="1" ht="59.25" customHeight="1" x14ac:dyDescent="0.25">
      <c r="B34" s="479"/>
      <c r="C34" s="462"/>
      <c r="D34" s="462"/>
      <c r="E34" s="462"/>
      <c r="F34" s="462"/>
      <c r="G34" s="462"/>
      <c r="H34" s="462"/>
      <c r="I34" s="462"/>
      <c r="J34" s="463" t="s">
        <v>49</v>
      </c>
      <c r="K34" s="464"/>
      <c r="L34" s="464"/>
      <c r="M34" s="465"/>
      <c r="N34" s="462"/>
      <c r="O34" s="462"/>
      <c r="P34" s="33" t="s">
        <v>10</v>
      </c>
      <c r="Q34" s="33" t="s">
        <v>50</v>
      </c>
      <c r="R34" s="462"/>
      <c r="S34" s="462"/>
      <c r="T34" s="462"/>
      <c r="U34" s="462"/>
      <c r="V34" s="504"/>
      <c r="W34" s="45"/>
      <c r="X34" s="29"/>
      <c r="Y34" s="29"/>
      <c r="Z34" s="29"/>
      <c r="AA34" s="29"/>
      <c r="AB34" s="41"/>
      <c r="AC34" s="41"/>
      <c r="AD34" s="41"/>
      <c r="AE34" s="13"/>
      <c r="AF34" s="13"/>
      <c r="AG34" s="13"/>
      <c r="AH34" s="13"/>
      <c r="AI34" s="13"/>
      <c r="AJ34" s="13"/>
    </row>
    <row r="35" spans="1:36" s="41" customFormat="1" ht="30.75" customHeight="1" x14ac:dyDescent="0.25">
      <c r="A35" s="40"/>
      <c r="B35" s="420">
        <v>1</v>
      </c>
      <c r="C35" s="423">
        <v>76</v>
      </c>
      <c r="D35" s="423"/>
      <c r="E35" s="423" t="s">
        <v>420</v>
      </c>
      <c r="F35" s="423" t="s">
        <v>421</v>
      </c>
      <c r="G35" s="426">
        <v>8773.92</v>
      </c>
      <c r="H35" s="429" t="s">
        <v>353</v>
      </c>
      <c r="I35" s="432">
        <v>0.5</v>
      </c>
      <c r="J35" s="208" t="s">
        <v>346</v>
      </c>
      <c r="K35" s="38">
        <f>+$K$13</f>
        <v>721015</v>
      </c>
      <c r="L35" s="208"/>
      <c r="M35" s="38">
        <f t="shared" ref="M35" si="10">+$M$13</f>
        <v>0</v>
      </c>
      <c r="N35" s="435" t="s">
        <v>361</v>
      </c>
      <c r="O35" s="435" t="s">
        <v>362</v>
      </c>
      <c r="P35" s="438"/>
      <c r="Q35" s="441" t="s">
        <v>363</v>
      </c>
      <c r="R35" s="441" t="s">
        <v>375</v>
      </c>
      <c r="S35" s="444">
        <f>IF(COUNTIF(J35:K37,"CUMPLE")&gt;=1,(G35*I35),0)* (IF(N35="PRESENTÓ CERTIFICADO",1,0))* (IF(O35="ACORDE A ITEM 5.2.2 (T.R.)",1,0) )* ( IF(OR(Q35="SIN OBSERVACIÓN", Q35="REQUERIMIENTOS SUBSANADOS"),1,0)) *(IF(OR(R35="NINGUNO", R35="CUMPLEN CON LO SOLICITADO"),1,0))</f>
        <v>4386.96</v>
      </c>
      <c r="T35" s="466" t="s">
        <v>376</v>
      </c>
      <c r="U35" s="447">
        <f t="shared" ref="U35:U47" si="11">IF(COUNTIF(J35:K37,"CUMPLE")&gt;=1,1,0)</f>
        <v>1</v>
      </c>
      <c r="V35" s="505">
        <f>13650+8288</f>
        <v>21938</v>
      </c>
      <c r="X35" s="29"/>
      <c r="Y35" s="29"/>
      <c r="Z35" s="29"/>
      <c r="AA35" s="29"/>
      <c r="AE35" s="13"/>
      <c r="AF35" s="13"/>
      <c r="AG35" s="13"/>
      <c r="AH35" s="13"/>
      <c r="AI35" s="13"/>
      <c r="AJ35" s="13"/>
    </row>
    <row r="36" spans="1:36" s="41" customFormat="1" ht="30.75" customHeight="1" x14ac:dyDescent="0.25">
      <c r="A36" s="40"/>
      <c r="B36" s="421"/>
      <c r="C36" s="424"/>
      <c r="D36" s="424"/>
      <c r="E36" s="424"/>
      <c r="F36" s="424"/>
      <c r="G36" s="427"/>
      <c r="H36" s="430"/>
      <c r="I36" s="433"/>
      <c r="J36" s="208" t="s">
        <v>347</v>
      </c>
      <c r="K36" s="38">
        <f>+$K$14</f>
        <v>721033</v>
      </c>
      <c r="L36" s="448"/>
      <c r="M36" s="450">
        <f t="shared" ref="M36" si="12">+$M$14</f>
        <v>0</v>
      </c>
      <c r="N36" s="436"/>
      <c r="O36" s="436"/>
      <c r="P36" s="439"/>
      <c r="Q36" s="442"/>
      <c r="R36" s="442"/>
      <c r="S36" s="445"/>
      <c r="T36" s="467"/>
      <c r="U36" s="447"/>
      <c r="V36" s="505"/>
      <c r="X36" s="29"/>
      <c r="Y36" s="29"/>
      <c r="Z36" s="29"/>
      <c r="AA36" s="29"/>
      <c r="AE36" s="13"/>
      <c r="AF36" s="13"/>
      <c r="AG36" s="13"/>
      <c r="AH36" s="13"/>
      <c r="AI36" s="13"/>
      <c r="AJ36" s="13"/>
    </row>
    <row r="37" spans="1:36" s="41" customFormat="1" ht="30.75" customHeight="1" x14ac:dyDescent="0.25">
      <c r="A37" s="40"/>
      <c r="B37" s="422"/>
      <c r="C37" s="425"/>
      <c r="D37" s="425"/>
      <c r="E37" s="425"/>
      <c r="F37" s="425"/>
      <c r="G37" s="428"/>
      <c r="H37" s="431"/>
      <c r="I37" s="434"/>
      <c r="J37" s="208" t="s">
        <v>346</v>
      </c>
      <c r="K37" s="38">
        <f>+$K$15</f>
        <v>721513</v>
      </c>
      <c r="L37" s="449"/>
      <c r="M37" s="451"/>
      <c r="N37" s="437"/>
      <c r="O37" s="437"/>
      <c r="P37" s="440"/>
      <c r="Q37" s="443"/>
      <c r="R37" s="443"/>
      <c r="S37" s="446"/>
      <c r="T37" s="467"/>
      <c r="U37" s="447"/>
      <c r="V37" s="505"/>
      <c r="X37" s="29"/>
      <c r="Y37" s="29"/>
      <c r="Z37" s="29"/>
      <c r="AA37" s="29"/>
      <c r="AE37" s="13"/>
      <c r="AF37" s="13"/>
      <c r="AG37" s="13"/>
      <c r="AH37" s="13"/>
      <c r="AI37" s="13"/>
      <c r="AJ37" s="13"/>
    </row>
    <row r="38" spans="1:36" s="41" customFormat="1" ht="25.5" customHeight="1" x14ac:dyDescent="0.25">
      <c r="A38" s="40"/>
      <c r="B38" s="420">
        <v>2</v>
      </c>
      <c r="C38" s="452">
        <v>87</v>
      </c>
      <c r="D38" s="452"/>
      <c r="E38" s="500" t="s">
        <v>422</v>
      </c>
      <c r="F38" s="452" t="s">
        <v>0</v>
      </c>
      <c r="G38" s="455">
        <v>1266.5999999999999</v>
      </c>
      <c r="H38" s="429" t="s">
        <v>360</v>
      </c>
      <c r="I38" s="458">
        <v>1</v>
      </c>
      <c r="J38" s="208" t="s">
        <v>346</v>
      </c>
      <c r="K38" s="38">
        <f>+$K$13</f>
        <v>721015</v>
      </c>
      <c r="L38" s="208"/>
      <c r="M38" s="38">
        <f t="shared" ref="M38" si="13">+$M$13</f>
        <v>0</v>
      </c>
      <c r="N38" s="435" t="s">
        <v>361</v>
      </c>
      <c r="O38" s="435" t="s">
        <v>362</v>
      </c>
      <c r="P38" s="438" t="s">
        <v>102</v>
      </c>
      <c r="Q38" s="441" t="s">
        <v>363</v>
      </c>
      <c r="R38" s="441" t="s">
        <v>375</v>
      </c>
      <c r="S38" s="444">
        <f>IF(COUNTIF(J38:K40,"CUMPLE")&gt;=1,(G38*I38),0)* (IF(N38="PRESENTÓ CERTIFICADO",1,0))* (IF(O38="ACORDE A ITEM 5.2.2 (T.R.)",1,0) )* ( IF(OR(Q38="SIN OBSERVACIÓN", Q38="REQUERIMIENTOS SUBSANADOS"),1,0)) *(IF(OR(R38="NINGUNO", R38="CUMPLEN CON LO SOLICITADO"),1,0))</f>
        <v>1266.5999999999999</v>
      </c>
      <c r="T38" s="467"/>
      <c r="U38" s="447">
        <f t="shared" si="11"/>
        <v>1</v>
      </c>
      <c r="V38" s="505"/>
      <c r="X38" s="29"/>
      <c r="Y38" s="29"/>
      <c r="Z38" s="29"/>
      <c r="AA38" s="29"/>
      <c r="AE38" s="13"/>
      <c r="AF38" s="13"/>
      <c r="AG38" s="13"/>
      <c r="AH38" s="13"/>
      <c r="AI38" s="13"/>
      <c r="AJ38" s="13"/>
    </row>
    <row r="39" spans="1:36" s="41" customFormat="1" ht="25.5" customHeight="1" x14ac:dyDescent="0.25">
      <c r="A39" s="40"/>
      <c r="B39" s="421"/>
      <c r="C39" s="453"/>
      <c r="D39" s="453"/>
      <c r="E39" s="501"/>
      <c r="F39" s="453"/>
      <c r="G39" s="456"/>
      <c r="H39" s="430"/>
      <c r="I39" s="459"/>
      <c r="J39" s="208" t="s">
        <v>347</v>
      </c>
      <c r="K39" s="38">
        <f>+$K$14</f>
        <v>721033</v>
      </c>
      <c r="L39" s="448"/>
      <c r="M39" s="450">
        <f t="shared" ref="M39" si="14">+$M$14</f>
        <v>0</v>
      </c>
      <c r="N39" s="436"/>
      <c r="O39" s="436"/>
      <c r="P39" s="439"/>
      <c r="Q39" s="442"/>
      <c r="R39" s="442"/>
      <c r="S39" s="445"/>
      <c r="T39" s="467"/>
      <c r="U39" s="447"/>
      <c r="V39" s="505"/>
      <c r="X39" s="29"/>
      <c r="Y39" s="29"/>
      <c r="Z39" s="29"/>
      <c r="AA39" s="29"/>
      <c r="AE39" s="13"/>
      <c r="AF39" s="13"/>
      <c r="AG39" s="13"/>
      <c r="AH39" s="13"/>
      <c r="AI39" s="13"/>
      <c r="AJ39" s="13"/>
    </row>
    <row r="40" spans="1:36" s="41" customFormat="1" ht="25.5" customHeight="1" x14ac:dyDescent="0.25">
      <c r="A40" s="40"/>
      <c r="B40" s="422"/>
      <c r="C40" s="454"/>
      <c r="D40" s="454"/>
      <c r="E40" s="502"/>
      <c r="F40" s="454"/>
      <c r="G40" s="457"/>
      <c r="H40" s="431"/>
      <c r="I40" s="460"/>
      <c r="J40" s="208" t="s">
        <v>346</v>
      </c>
      <c r="K40" s="38">
        <f>+$K$15</f>
        <v>721513</v>
      </c>
      <c r="L40" s="449"/>
      <c r="M40" s="451"/>
      <c r="N40" s="437"/>
      <c r="O40" s="437"/>
      <c r="P40" s="440"/>
      <c r="Q40" s="443"/>
      <c r="R40" s="443"/>
      <c r="S40" s="446"/>
      <c r="T40" s="467"/>
      <c r="U40" s="447"/>
      <c r="V40" s="505"/>
      <c r="X40" s="29"/>
      <c r="Y40" s="29"/>
      <c r="Z40" s="29"/>
      <c r="AA40" s="29"/>
      <c r="AE40" s="13"/>
      <c r="AF40" s="13"/>
      <c r="AG40" s="13"/>
      <c r="AH40" s="13"/>
      <c r="AI40" s="13"/>
      <c r="AJ40" s="13"/>
    </row>
    <row r="41" spans="1:36" s="41" customFormat="1" ht="24.95" hidden="1" customHeight="1" x14ac:dyDescent="0.25">
      <c r="A41" s="40"/>
      <c r="B41" s="420">
        <v>3</v>
      </c>
      <c r="C41" s="423"/>
      <c r="D41" s="423"/>
      <c r="E41" s="423"/>
      <c r="F41" s="423"/>
      <c r="G41" s="426"/>
      <c r="H41" s="429"/>
      <c r="I41" s="432"/>
      <c r="J41" s="208"/>
      <c r="K41" s="38">
        <f>+$K$13</f>
        <v>721015</v>
      </c>
      <c r="L41" s="208"/>
      <c r="M41" s="38">
        <f t="shared" ref="M41" si="15">+$M$13</f>
        <v>0</v>
      </c>
      <c r="N41" s="435"/>
      <c r="O41" s="435"/>
      <c r="P41" s="438"/>
      <c r="Q41" s="441"/>
      <c r="R41" s="441"/>
      <c r="S41" s="444">
        <f>IF(COUNTIF(J41:K43,"CUMPLE")&gt;=1,(G41*I41),0)* (IF(N41="PRESENTÓ CERTIFICADO",1,0))* (IF(O41="ACORDE A ITEM 5.2.2 (T.R.)",1,0) )* ( IF(OR(Q41="SIN OBSERVACIÓN", Q41="REQUERIMIENTOS SUBSANADOS"),1,0)) *(IF(OR(R41="NINGUNO", R41="CUMPLEN CON LO SOLICITADO"),1,0))</f>
        <v>0</v>
      </c>
      <c r="T41" s="467"/>
      <c r="U41" s="447">
        <f t="shared" si="11"/>
        <v>0</v>
      </c>
      <c r="V41" s="505"/>
      <c r="X41" s="29"/>
      <c r="Y41" s="29"/>
      <c r="Z41" s="29"/>
      <c r="AA41" s="29"/>
      <c r="AB41" s="28"/>
      <c r="AC41" s="28"/>
      <c r="AD41" s="28"/>
      <c r="AE41" s="13"/>
      <c r="AF41" s="13"/>
      <c r="AG41" s="13"/>
      <c r="AH41" s="13"/>
      <c r="AI41" s="13"/>
      <c r="AJ41" s="13"/>
    </row>
    <row r="42" spans="1:36" s="41" customFormat="1" ht="24.95" hidden="1" customHeight="1" x14ac:dyDescent="0.25">
      <c r="A42" s="40"/>
      <c r="B42" s="421"/>
      <c r="C42" s="424"/>
      <c r="D42" s="424"/>
      <c r="E42" s="424"/>
      <c r="F42" s="424"/>
      <c r="G42" s="427"/>
      <c r="H42" s="430"/>
      <c r="I42" s="433"/>
      <c r="J42" s="208"/>
      <c r="K42" s="38">
        <f>+$K$14</f>
        <v>721033</v>
      </c>
      <c r="L42" s="448"/>
      <c r="M42" s="450">
        <f t="shared" ref="M42" si="16">+$M$14</f>
        <v>0</v>
      </c>
      <c r="N42" s="436"/>
      <c r="O42" s="436"/>
      <c r="P42" s="439"/>
      <c r="Q42" s="442"/>
      <c r="R42" s="442"/>
      <c r="S42" s="445"/>
      <c r="T42" s="467"/>
      <c r="U42" s="447"/>
      <c r="V42" s="505"/>
      <c r="X42" s="29"/>
      <c r="Y42" s="29"/>
      <c r="Z42" s="29"/>
      <c r="AA42" s="29"/>
      <c r="AI42" s="13"/>
      <c r="AJ42" s="13"/>
    </row>
    <row r="43" spans="1:36" s="41" customFormat="1" ht="24.95" hidden="1" customHeight="1" x14ac:dyDescent="0.25">
      <c r="A43" s="40"/>
      <c r="B43" s="422"/>
      <c r="C43" s="425"/>
      <c r="D43" s="425"/>
      <c r="E43" s="425"/>
      <c r="F43" s="425"/>
      <c r="G43" s="428"/>
      <c r="H43" s="431"/>
      <c r="I43" s="434"/>
      <c r="J43" s="208"/>
      <c r="K43" s="38">
        <f>+$K$15</f>
        <v>721513</v>
      </c>
      <c r="L43" s="449"/>
      <c r="M43" s="451"/>
      <c r="N43" s="437"/>
      <c r="O43" s="437"/>
      <c r="P43" s="440"/>
      <c r="Q43" s="443"/>
      <c r="R43" s="443"/>
      <c r="S43" s="446"/>
      <c r="T43" s="467"/>
      <c r="U43" s="447"/>
      <c r="V43" s="505"/>
      <c r="X43" s="29"/>
      <c r="Y43" s="29"/>
      <c r="Z43" s="29"/>
      <c r="AA43" s="29"/>
    </row>
    <row r="44" spans="1:36" s="41" customFormat="1" ht="24.95" hidden="1" customHeight="1" x14ac:dyDescent="0.25">
      <c r="A44" s="40"/>
      <c r="B44" s="420">
        <v>4</v>
      </c>
      <c r="C44" s="452"/>
      <c r="D44" s="452"/>
      <c r="E44" s="452"/>
      <c r="F44" s="452"/>
      <c r="G44" s="455"/>
      <c r="H44" s="429"/>
      <c r="I44" s="458"/>
      <c r="J44" s="208"/>
      <c r="K44" s="38">
        <f>+$K$13</f>
        <v>721015</v>
      </c>
      <c r="L44" s="208"/>
      <c r="M44" s="38">
        <f t="shared" ref="M44" si="17">+$M$13</f>
        <v>0</v>
      </c>
      <c r="N44" s="435"/>
      <c r="O44" s="435"/>
      <c r="P44" s="438"/>
      <c r="Q44" s="441"/>
      <c r="R44" s="441"/>
      <c r="S44" s="444">
        <f>IF(COUNTIF(J44:K46,"CUMPLE")&gt;=1,(G44*I44),0)* (IF(N44="PRESENTÓ CERTIFICADO",1,0))* (IF(O44="ACORDE A ITEM 5.2.2 (T.R.)",1,0) )* ( IF(OR(Q44="SIN OBSERVACIÓN", Q44="REQUERIMIENTOS SUBSANADOS"),1,0)) *(IF(OR(R44="NINGUNO", R44="CUMPLEN CON LO SOLICITADO"),1,0))</f>
        <v>0</v>
      </c>
      <c r="T44" s="467"/>
      <c r="U44" s="447">
        <f t="shared" si="11"/>
        <v>0</v>
      </c>
      <c r="V44" s="505"/>
      <c r="X44" s="29"/>
      <c r="Y44" s="29"/>
      <c r="Z44" s="29"/>
      <c r="AA44" s="29"/>
      <c r="AB44" s="13"/>
      <c r="AC44" s="13"/>
      <c r="AD44" s="13"/>
      <c r="AE44" s="13"/>
      <c r="AF44" s="13"/>
      <c r="AG44" s="13"/>
      <c r="AH44" s="13"/>
    </row>
    <row r="45" spans="1:36" s="41" customFormat="1" ht="24.95" hidden="1" customHeight="1" x14ac:dyDescent="0.25">
      <c r="A45" s="40"/>
      <c r="B45" s="421"/>
      <c r="C45" s="453"/>
      <c r="D45" s="453"/>
      <c r="E45" s="453"/>
      <c r="F45" s="453"/>
      <c r="G45" s="456"/>
      <c r="H45" s="430"/>
      <c r="I45" s="459"/>
      <c r="J45" s="208"/>
      <c r="K45" s="38">
        <f>+$K$14</f>
        <v>721033</v>
      </c>
      <c r="L45" s="448"/>
      <c r="M45" s="450">
        <f t="shared" ref="M45" si="18">+$M$14</f>
        <v>0</v>
      </c>
      <c r="N45" s="436"/>
      <c r="O45" s="436"/>
      <c r="P45" s="439"/>
      <c r="Q45" s="442"/>
      <c r="R45" s="442"/>
      <c r="S45" s="445"/>
      <c r="T45" s="467"/>
      <c r="U45" s="447"/>
      <c r="V45" s="505"/>
      <c r="X45" s="29"/>
      <c r="Y45" s="29"/>
      <c r="Z45" s="29"/>
      <c r="AA45" s="29"/>
      <c r="AB45" s="13"/>
      <c r="AC45" s="13"/>
      <c r="AD45" s="13"/>
      <c r="AE45" s="13"/>
      <c r="AF45" s="13"/>
      <c r="AG45" s="13"/>
      <c r="AH45" s="13"/>
    </row>
    <row r="46" spans="1:36" s="41" customFormat="1" ht="24.95" hidden="1" customHeight="1" x14ac:dyDescent="0.25">
      <c r="A46" s="40"/>
      <c r="B46" s="422"/>
      <c r="C46" s="454"/>
      <c r="D46" s="454"/>
      <c r="E46" s="454"/>
      <c r="F46" s="454"/>
      <c r="G46" s="457"/>
      <c r="H46" s="431"/>
      <c r="I46" s="460"/>
      <c r="J46" s="208"/>
      <c r="K46" s="38">
        <f>+$K$15</f>
        <v>721513</v>
      </c>
      <c r="L46" s="449"/>
      <c r="M46" s="451"/>
      <c r="N46" s="437"/>
      <c r="O46" s="437"/>
      <c r="P46" s="440"/>
      <c r="Q46" s="443"/>
      <c r="R46" s="443"/>
      <c r="S46" s="446"/>
      <c r="T46" s="467"/>
      <c r="U46" s="447"/>
      <c r="V46" s="505"/>
      <c r="X46" s="29"/>
      <c r="Y46" s="29"/>
      <c r="Z46" s="29"/>
      <c r="AA46" s="29"/>
      <c r="AB46" s="29"/>
      <c r="AC46" s="29"/>
      <c r="AD46" s="29"/>
      <c r="AE46" s="42"/>
      <c r="AF46" s="42"/>
      <c r="AG46" s="42"/>
      <c r="AH46" s="42"/>
    </row>
    <row r="47" spans="1:36" s="41" customFormat="1" ht="24.95" hidden="1" customHeight="1" x14ac:dyDescent="0.25">
      <c r="A47" s="40"/>
      <c r="B47" s="420">
        <v>5</v>
      </c>
      <c r="C47" s="423"/>
      <c r="D47" s="423"/>
      <c r="E47" s="423"/>
      <c r="F47" s="423"/>
      <c r="G47" s="426"/>
      <c r="H47" s="429"/>
      <c r="I47" s="432"/>
      <c r="J47" s="208"/>
      <c r="K47" s="38">
        <f>+$K$13</f>
        <v>721015</v>
      </c>
      <c r="L47" s="208"/>
      <c r="M47" s="38">
        <f t="shared" ref="M47" si="19">+$M$13</f>
        <v>0</v>
      </c>
      <c r="N47" s="435"/>
      <c r="O47" s="435"/>
      <c r="P47" s="438"/>
      <c r="Q47" s="441"/>
      <c r="R47" s="441"/>
      <c r="S47" s="444">
        <f>IF(COUNTIF(J47:K49,"CUMPLE")&gt;=1,(G47*I47),0)* (IF(N47="PRESENTÓ CERTIFICADO",1,0))* (IF(O47="ACORDE A ITEM 5.2.2 (T.R.)",1,0) )* ( IF(OR(Q47="SIN OBSERVACIÓN", Q47="REQUERIMIENTOS SUBSANADOS"),1,0)) *(IF(OR(R47="NINGUNO", R47="CUMPLEN CON LO SOLICITADO"),1,0))</f>
        <v>0</v>
      </c>
      <c r="T47" s="467"/>
      <c r="U47" s="447">
        <f t="shared" si="11"/>
        <v>0</v>
      </c>
      <c r="V47" s="505"/>
      <c r="X47" s="29"/>
      <c r="Y47" s="29"/>
      <c r="Z47" s="29"/>
      <c r="AA47" s="29"/>
      <c r="AB47" s="29"/>
      <c r="AC47" s="29"/>
      <c r="AD47" s="29"/>
      <c r="AE47" s="42"/>
      <c r="AF47" s="42"/>
      <c r="AG47" s="42"/>
      <c r="AH47" s="42"/>
    </row>
    <row r="48" spans="1:36" s="41" customFormat="1" ht="24.95" hidden="1" customHeight="1" x14ac:dyDescent="0.25">
      <c r="A48" s="40"/>
      <c r="B48" s="421"/>
      <c r="C48" s="424"/>
      <c r="D48" s="424"/>
      <c r="E48" s="424"/>
      <c r="F48" s="424"/>
      <c r="G48" s="427"/>
      <c r="H48" s="430"/>
      <c r="I48" s="433"/>
      <c r="J48" s="208"/>
      <c r="K48" s="38">
        <f>+$K$14</f>
        <v>721033</v>
      </c>
      <c r="L48" s="448"/>
      <c r="M48" s="450">
        <f t="shared" ref="M48" si="20">+$M$14</f>
        <v>0</v>
      </c>
      <c r="N48" s="436"/>
      <c r="O48" s="436"/>
      <c r="P48" s="439"/>
      <c r="Q48" s="442"/>
      <c r="R48" s="442"/>
      <c r="S48" s="445"/>
      <c r="T48" s="467"/>
      <c r="U48" s="447"/>
      <c r="V48" s="505"/>
      <c r="X48" s="29"/>
      <c r="Y48" s="29"/>
      <c r="Z48" s="29"/>
      <c r="AA48" s="29"/>
      <c r="AB48" s="29"/>
      <c r="AC48" s="29"/>
      <c r="AD48" s="29"/>
    </row>
    <row r="49" spans="1:36" s="41" customFormat="1" ht="24.95" hidden="1" customHeight="1" x14ac:dyDescent="0.25">
      <c r="A49" s="40"/>
      <c r="B49" s="422"/>
      <c r="C49" s="425"/>
      <c r="D49" s="425"/>
      <c r="E49" s="425"/>
      <c r="F49" s="425"/>
      <c r="G49" s="428"/>
      <c r="H49" s="431"/>
      <c r="I49" s="434"/>
      <c r="J49" s="208"/>
      <c r="K49" s="38">
        <f>+$K$15</f>
        <v>721513</v>
      </c>
      <c r="L49" s="449"/>
      <c r="M49" s="451"/>
      <c r="N49" s="437"/>
      <c r="O49" s="437"/>
      <c r="P49" s="440"/>
      <c r="Q49" s="443"/>
      <c r="R49" s="443"/>
      <c r="S49" s="446"/>
      <c r="T49" s="468"/>
      <c r="U49" s="447"/>
      <c r="V49" s="505"/>
      <c r="X49" s="29"/>
      <c r="Y49" s="29"/>
      <c r="Z49" s="29"/>
      <c r="AA49" s="29"/>
      <c r="AB49" s="29"/>
      <c r="AC49" s="29"/>
      <c r="AD49" s="29"/>
    </row>
    <row r="50" spans="1:36" s="28" customFormat="1" ht="24.95" customHeight="1" x14ac:dyDescent="0.25">
      <c r="B50" s="409" t="str">
        <f>IF(S51=" "," ",IF(S51&gt;=$H$6,"CUMPLE CON LA EXPERIENCIA REQUERIDA","NO CUMPLE CON LA EXPERIENCIA REQUERIDA"))</f>
        <v>CUMPLE CON LA EXPERIENCIA REQUERIDA</v>
      </c>
      <c r="C50" s="410"/>
      <c r="D50" s="410"/>
      <c r="E50" s="410"/>
      <c r="F50" s="410"/>
      <c r="G50" s="410"/>
      <c r="H50" s="410"/>
      <c r="I50" s="410"/>
      <c r="J50" s="410"/>
      <c r="K50" s="410"/>
      <c r="L50" s="410"/>
      <c r="M50" s="410"/>
      <c r="N50" s="410"/>
      <c r="O50" s="411"/>
      <c r="P50" s="415" t="s">
        <v>52</v>
      </c>
      <c r="Q50" s="416"/>
      <c r="R50" s="417"/>
      <c r="S50" s="44">
        <f>IF(T35="SI",SUM(S35:S49),0)</f>
        <v>5653.5599999999995</v>
      </c>
      <c r="T50" s="418" t="str">
        <f>IF(S51=" "," ",IF(S51&gt;=$H$6,"CUMPLE","NO CUMPLE"))</f>
        <v>CUMPLE</v>
      </c>
      <c r="V50" s="506">
        <f>SUM(V35:V49)</f>
        <v>21938</v>
      </c>
      <c r="X50" s="29"/>
      <c r="Y50" s="29"/>
      <c r="Z50" s="29"/>
      <c r="AA50" s="29"/>
      <c r="AB50" s="29"/>
      <c r="AC50" s="29"/>
      <c r="AD50" s="29"/>
      <c r="AE50" s="41"/>
      <c r="AF50" s="41"/>
      <c r="AG50" s="41"/>
      <c r="AH50" s="41"/>
      <c r="AI50" s="41"/>
    </row>
    <row r="51" spans="1:36" s="41" customFormat="1" ht="24.95" customHeight="1" x14ac:dyDescent="0.25">
      <c r="B51" s="412"/>
      <c r="C51" s="413"/>
      <c r="D51" s="413"/>
      <c r="E51" s="413"/>
      <c r="F51" s="413"/>
      <c r="G51" s="413"/>
      <c r="H51" s="413"/>
      <c r="I51" s="413"/>
      <c r="J51" s="413"/>
      <c r="K51" s="413"/>
      <c r="L51" s="413"/>
      <c r="M51" s="413"/>
      <c r="N51" s="413"/>
      <c r="O51" s="414"/>
      <c r="P51" s="415" t="s">
        <v>53</v>
      </c>
      <c r="Q51" s="416"/>
      <c r="R51" s="417"/>
      <c r="S51" s="44">
        <f>IFERROR((S50/$P$6)," ")</f>
        <v>6.9969801980198012</v>
      </c>
      <c r="T51" s="419"/>
      <c r="V51" s="507"/>
      <c r="X51" s="29"/>
      <c r="Y51" s="29"/>
      <c r="Z51" s="29"/>
      <c r="AA51" s="29"/>
      <c r="AB51" s="29"/>
      <c r="AC51" s="29"/>
      <c r="AD51" s="29"/>
    </row>
    <row r="52" spans="1:36" ht="30" customHeight="1" x14ac:dyDescent="0.25">
      <c r="AB52" s="29"/>
      <c r="AC52" s="29"/>
      <c r="AD52" s="29"/>
      <c r="AE52" s="41"/>
      <c r="AF52" s="41"/>
      <c r="AG52" s="41"/>
      <c r="AH52" s="41"/>
      <c r="AI52" s="28"/>
    </row>
    <row r="53" spans="1:36" ht="30" customHeight="1" x14ac:dyDescent="0.25">
      <c r="AB53" s="29"/>
      <c r="AC53" s="29"/>
      <c r="AD53" s="29"/>
      <c r="AE53" s="41"/>
      <c r="AF53" s="41"/>
      <c r="AG53" s="41"/>
      <c r="AH53" s="41"/>
      <c r="AI53" s="41"/>
    </row>
    <row r="54" spans="1:36" ht="61.5" customHeight="1" x14ac:dyDescent="0.25">
      <c r="B54" s="26">
        <v>3</v>
      </c>
      <c r="C54" s="469" t="s">
        <v>31</v>
      </c>
      <c r="D54" s="470"/>
      <c r="E54" s="471"/>
      <c r="F54" s="472" t="str">
        <f>IFERROR(VLOOKUP(B54,LISTA_OFERENTES,2,FALSE)," ")</f>
        <v xml:space="preserve">VIACOL INGENIEROS CONTRATISTAS </v>
      </c>
      <c r="G54" s="473"/>
      <c r="H54" s="473"/>
      <c r="I54" s="473"/>
      <c r="J54" s="473"/>
      <c r="K54" s="473"/>
      <c r="L54" s="473"/>
      <c r="M54" s="473"/>
      <c r="N54" s="473"/>
      <c r="O54" s="474"/>
      <c r="P54" s="475" t="s">
        <v>32</v>
      </c>
      <c r="Q54" s="476"/>
      <c r="R54" s="477"/>
      <c r="S54" s="27">
        <f>5-(INT(COUNTBLANK(C57:C71))-10)</f>
        <v>5</v>
      </c>
      <c r="T54" s="28"/>
      <c r="AB54" s="29"/>
      <c r="AC54" s="29"/>
      <c r="AD54" s="29"/>
      <c r="AE54" s="41"/>
      <c r="AF54" s="41"/>
      <c r="AG54" s="41"/>
      <c r="AH54" s="41"/>
    </row>
    <row r="55" spans="1:36" s="42" customFormat="1" ht="30" customHeight="1" x14ac:dyDescent="0.25">
      <c r="B55" s="478" t="s">
        <v>33</v>
      </c>
      <c r="C55" s="461" t="s">
        <v>34</v>
      </c>
      <c r="D55" s="461" t="s">
        <v>35</v>
      </c>
      <c r="E55" s="461" t="s">
        <v>36</v>
      </c>
      <c r="F55" s="461" t="s">
        <v>37</v>
      </c>
      <c r="G55" s="461" t="s">
        <v>38</v>
      </c>
      <c r="H55" s="461" t="s">
        <v>39</v>
      </c>
      <c r="I55" s="461" t="s">
        <v>40</v>
      </c>
      <c r="J55" s="480" t="s">
        <v>41</v>
      </c>
      <c r="K55" s="481"/>
      <c r="L55" s="481"/>
      <c r="M55" s="482"/>
      <c r="N55" s="461" t="s">
        <v>42</v>
      </c>
      <c r="O55" s="461" t="s">
        <v>43</v>
      </c>
      <c r="P55" s="480" t="s">
        <v>44</v>
      </c>
      <c r="Q55" s="482"/>
      <c r="R55" s="461" t="s">
        <v>45</v>
      </c>
      <c r="S55" s="461" t="s">
        <v>46</v>
      </c>
      <c r="T55" s="461" t="str">
        <f>+$T$11</f>
        <v>CUMPLE CON EL REQUERIMIENTO DE HABER EJECUTADO MÁS DE 2000M# EN ACTIVIDADES DE PINTURA</v>
      </c>
      <c r="U55" s="461" t="str">
        <f>+$U$11</f>
        <v xml:space="preserve">VERIFICACIÓN CONDICIÓN DE EXPERIENCIA  </v>
      </c>
      <c r="V55" s="504" t="s">
        <v>248</v>
      </c>
      <c r="W55" s="45"/>
      <c r="X55" s="29"/>
      <c r="Y55" s="29"/>
      <c r="Z55" s="29"/>
      <c r="AA55" s="29"/>
      <c r="AB55" s="29"/>
      <c r="AC55" s="29"/>
      <c r="AD55" s="29"/>
      <c r="AE55" s="41"/>
      <c r="AF55" s="41"/>
      <c r="AG55" s="41"/>
      <c r="AH55" s="41"/>
      <c r="AI55" s="13"/>
    </row>
    <row r="56" spans="1:36" s="42" customFormat="1" ht="59.25" customHeight="1" x14ac:dyDescent="0.25">
      <c r="B56" s="479"/>
      <c r="C56" s="462"/>
      <c r="D56" s="462"/>
      <c r="E56" s="462"/>
      <c r="F56" s="462"/>
      <c r="G56" s="462"/>
      <c r="H56" s="462"/>
      <c r="I56" s="462"/>
      <c r="J56" s="463" t="s">
        <v>49</v>
      </c>
      <c r="K56" s="464"/>
      <c r="L56" s="464"/>
      <c r="M56" s="465"/>
      <c r="N56" s="462"/>
      <c r="O56" s="462"/>
      <c r="P56" s="33" t="s">
        <v>10</v>
      </c>
      <c r="Q56" s="33" t="s">
        <v>50</v>
      </c>
      <c r="R56" s="462"/>
      <c r="S56" s="462"/>
      <c r="T56" s="462"/>
      <c r="U56" s="462"/>
      <c r="V56" s="504"/>
      <c r="W56" s="45"/>
      <c r="X56" s="29"/>
      <c r="Y56" s="29"/>
      <c r="Z56" s="29"/>
      <c r="AA56" s="29"/>
      <c r="AB56" s="29"/>
      <c r="AC56" s="29"/>
      <c r="AD56" s="29"/>
      <c r="AE56" s="41"/>
      <c r="AF56" s="41"/>
      <c r="AG56" s="41"/>
      <c r="AH56" s="41"/>
      <c r="AI56" s="13"/>
    </row>
    <row r="57" spans="1:36" s="41" customFormat="1" ht="24.95" customHeight="1" x14ac:dyDescent="0.25">
      <c r="A57" s="40"/>
      <c r="B57" s="420">
        <v>1</v>
      </c>
      <c r="C57" s="423">
        <v>68</v>
      </c>
      <c r="D57" s="423">
        <v>50</v>
      </c>
      <c r="E57" s="423" t="s">
        <v>423</v>
      </c>
      <c r="F57" s="423" t="s">
        <v>424</v>
      </c>
      <c r="G57" s="426">
        <v>1384.89</v>
      </c>
      <c r="H57" s="429" t="s">
        <v>425</v>
      </c>
      <c r="I57" s="432">
        <v>0.39</v>
      </c>
      <c r="J57" s="208" t="s">
        <v>346</v>
      </c>
      <c r="K57" s="38">
        <f>+$K$13</f>
        <v>721015</v>
      </c>
      <c r="L57" s="208"/>
      <c r="M57" s="38">
        <f>+$M$13</f>
        <v>0</v>
      </c>
      <c r="N57" s="435" t="s">
        <v>361</v>
      </c>
      <c r="O57" s="435" t="s">
        <v>362</v>
      </c>
      <c r="P57" s="438"/>
      <c r="Q57" s="441" t="s">
        <v>363</v>
      </c>
      <c r="R57" s="441" t="s">
        <v>375</v>
      </c>
      <c r="S57" s="444">
        <f>IF(COUNTIF(J57:K59,"CUMPLE")&gt;=1,(G57*I57),0)* (IF(N57="PRESENTÓ CERTIFICADO",1,0))* (IF(O57="ACORDE A ITEM 5.2.2 (T.R.)",1,0) )* ( IF(OR(Q57="SIN OBSERVACIÓN", Q57="REQUERIMIENTOS SUBSANADOS"),1,0)) *(IF(OR(R57="NINGUNO", R57="CUMPLEN CON LO SOLICITADO"),1,0))</f>
        <v>540.10710000000006</v>
      </c>
      <c r="T57" s="466" t="s">
        <v>376</v>
      </c>
      <c r="U57" s="447">
        <f t="shared" ref="U57:U69" si="21">IF(COUNTIF(J57:K59,"CUMPLE")&gt;=1,1,0)</f>
        <v>1</v>
      </c>
      <c r="V57" s="505">
        <f>166.3+607.68+1849.18</f>
        <v>2623.16</v>
      </c>
      <c r="X57" s="29"/>
      <c r="Y57" s="29"/>
      <c r="Z57" s="29"/>
      <c r="AA57" s="29"/>
      <c r="AE57" s="13"/>
      <c r="AF57" s="13"/>
      <c r="AG57" s="13"/>
      <c r="AH57" s="13"/>
      <c r="AI57" s="13"/>
      <c r="AJ57" s="13"/>
    </row>
    <row r="58" spans="1:36" s="41" customFormat="1" ht="24.95" customHeight="1" x14ac:dyDescent="0.25">
      <c r="A58" s="40"/>
      <c r="B58" s="421"/>
      <c r="C58" s="424"/>
      <c r="D58" s="424"/>
      <c r="E58" s="424"/>
      <c r="F58" s="424"/>
      <c r="G58" s="427"/>
      <c r="H58" s="430"/>
      <c r="I58" s="433"/>
      <c r="J58" s="208" t="s">
        <v>346</v>
      </c>
      <c r="K58" s="38">
        <f>+$K$14</f>
        <v>721033</v>
      </c>
      <c r="L58" s="448"/>
      <c r="M58" s="450">
        <f>+$M$14</f>
        <v>0</v>
      </c>
      <c r="N58" s="436"/>
      <c r="O58" s="436"/>
      <c r="P58" s="439"/>
      <c r="Q58" s="442"/>
      <c r="R58" s="442"/>
      <c r="S58" s="445"/>
      <c r="T58" s="467"/>
      <c r="U58" s="447"/>
      <c r="V58" s="505"/>
      <c r="X58" s="29"/>
      <c r="Y58" s="29"/>
      <c r="Z58" s="29"/>
      <c r="AA58" s="29"/>
      <c r="AE58" s="13"/>
      <c r="AF58" s="13"/>
      <c r="AG58" s="13"/>
      <c r="AH58" s="13"/>
      <c r="AI58" s="13"/>
      <c r="AJ58" s="13"/>
    </row>
    <row r="59" spans="1:36" s="41" customFormat="1" ht="24.95" customHeight="1" x14ac:dyDescent="0.25">
      <c r="A59" s="40"/>
      <c r="B59" s="422"/>
      <c r="C59" s="425"/>
      <c r="D59" s="425"/>
      <c r="E59" s="425"/>
      <c r="F59" s="425"/>
      <c r="G59" s="428"/>
      <c r="H59" s="431"/>
      <c r="I59" s="434"/>
      <c r="J59" s="208" t="s">
        <v>346</v>
      </c>
      <c r="K59" s="38">
        <f>+$K$15</f>
        <v>721513</v>
      </c>
      <c r="L59" s="449"/>
      <c r="M59" s="451"/>
      <c r="N59" s="437"/>
      <c r="O59" s="437"/>
      <c r="P59" s="440"/>
      <c r="Q59" s="443"/>
      <c r="R59" s="443"/>
      <c r="S59" s="446"/>
      <c r="T59" s="467"/>
      <c r="U59" s="447"/>
      <c r="V59" s="505"/>
      <c r="X59" s="29"/>
      <c r="Y59" s="29"/>
      <c r="Z59" s="29"/>
      <c r="AA59" s="29"/>
      <c r="AE59" s="13"/>
      <c r="AF59" s="13"/>
      <c r="AG59" s="13"/>
      <c r="AH59" s="13"/>
      <c r="AI59" s="13"/>
      <c r="AJ59" s="13"/>
    </row>
    <row r="60" spans="1:36" s="41" customFormat="1" ht="24.95" customHeight="1" x14ac:dyDescent="0.25">
      <c r="A60" s="40"/>
      <c r="B60" s="420">
        <v>2</v>
      </c>
      <c r="C60" s="452">
        <v>36</v>
      </c>
      <c r="D60" s="452">
        <v>32</v>
      </c>
      <c r="E60" s="452" t="s">
        <v>426</v>
      </c>
      <c r="F60" s="452" t="s">
        <v>427</v>
      </c>
      <c r="G60" s="455">
        <v>306.27999999999997</v>
      </c>
      <c r="H60" s="429" t="s">
        <v>360</v>
      </c>
      <c r="I60" s="458">
        <v>1</v>
      </c>
      <c r="J60" s="208" t="s">
        <v>346</v>
      </c>
      <c r="K60" s="38">
        <f>+$K$13</f>
        <v>721015</v>
      </c>
      <c r="L60" s="208"/>
      <c r="M60" s="38">
        <f>+$M$13</f>
        <v>0</v>
      </c>
      <c r="N60" s="435" t="s">
        <v>361</v>
      </c>
      <c r="O60" s="435" t="s">
        <v>362</v>
      </c>
      <c r="P60" s="438"/>
      <c r="Q60" s="441" t="s">
        <v>363</v>
      </c>
      <c r="R60" s="441" t="s">
        <v>375</v>
      </c>
      <c r="S60" s="444">
        <f>IF(COUNTIF(J60:K62,"CUMPLE")&gt;=1,(G60*I60),0)* (IF(N60="PRESENTÓ CERTIFICADO",1,0))* (IF(O60="ACORDE A ITEM 5.2.2 (T.R.)",1,0) )* ( IF(OR(Q60="SIN OBSERVACIÓN", Q60="REQUERIMIENTOS SUBSANADOS"),1,0)) *(IF(OR(R60="NINGUNO", R60="CUMPLEN CON LO SOLICITADO"),1,0))</f>
        <v>306.27999999999997</v>
      </c>
      <c r="T60" s="467"/>
      <c r="U60" s="447">
        <f t="shared" si="21"/>
        <v>1</v>
      </c>
      <c r="V60" s="505">
        <v>1280</v>
      </c>
      <c r="X60" s="29"/>
      <c r="Y60" s="29"/>
      <c r="Z60" s="29"/>
      <c r="AA60" s="29"/>
      <c r="AE60" s="13"/>
      <c r="AF60" s="13"/>
      <c r="AG60" s="13"/>
      <c r="AH60" s="13"/>
      <c r="AI60" s="13"/>
      <c r="AJ60" s="13"/>
    </row>
    <row r="61" spans="1:36" s="41" customFormat="1" ht="24.95" customHeight="1" x14ac:dyDescent="0.25">
      <c r="A61" s="40"/>
      <c r="B61" s="421"/>
      <c r="C61" s="453"/>
      <c r="D61" s="453"/>
      <c r="E61" s="453"/>
      <c r="F61" s="453"/>
      <c r="G61" s="456"/>
      <c r="H61" s="430"/>
      <c r="I61" s="459"/>
      <c r="J61" s="208" t="s">
        <v>346</v>
      </c>
      <c r="K61" s="38">
        <f>+$K$14</f>
        <v>721033</v>
      </c>
      <c r="L61" s="448"/>
      <c r="M61" s="450">
        <f>+$M$14</f>
        <v>0</v>
      </c>
      <c r="N61" s="436"/>
      <c r="O61" s="436"/>
      <c r="P61" s="439"/>
      <c r="Q61" s="442"/>
      <c r="R61" s="442"/>
      <c r="S61" s="445"/>
      <c r="T61" s="467"/>
      <c r="U61" s="447"/>
      <c r="V61" s="505"/>
      <c r="X61" s="29"/>
      <c r="Y61" s="29"/>
      <c r="Z61" s="29"/>
      <c r="AA61" s="29"/>
      <c r="AE61" s="13"/>
      <c r="AF61" s="13"/>
      <c r="AG61" s="13"/>
      <c r="AH61" s="13"/>
      <c r="AI61" s="13"/>
      <c r="AJ61" s="13"/>
    </row>
    <row r="62" spans="1:36" s="41" customFormat="1" ht="24.95" customHeight="1" x14ac:dyDescent="0.25">
      <c r="A62" s="40"/>
      <c r="B62" s="422"/>
      <c r="C62" s="454"/>
      <c r="D62" s="454"/>
      <c r="E62" s="454"/>
      <c r="F62" s="454"/>
      <c r="G62" s="457"/>
      <c r="H62" s="431"/>
      <c r="I62" s="460"/>
      <c r="J62" s="208" t="s">
        <v>346</v>
      </c>
      <c r="K62" s="38">
        <f>+$K$15</f>
        <v>721513</v>
      </c>
      <c r="L62" s="449"/>
      <c r="M62" s="451"/>
      <c r="N62" s="437"/>
      <c r="O62" s="437"/>
      <c r="P62" s="440"/>
      <c r="Q62" s="443"/>
      <c r="R62" s="443"/>
      <c r="S62" s="446"/>
      <c r="T62" s="467"/>
      <c r="U62" s="447"/>
      <c r="V62" s="505"/>
      <c r="X62" s="29"/>
      <c r="Y62" s="29"/>
      <c r="Z62" s="29"/>
      <c r="AA62" s="29"/>
      <c r="AE62" s="13"/>
      <c r="AF62" s="13"/>
      <c r="AG62" s="13"/>
      <c r="AH62" s="13"/>
      <c r="AI62" s="13"/>
      <c r="AJ62" s="13"/>
    </row>
    <row r="63" spans="1:36" s="41" customFormat="1" ht="24.95" customHeight="1" x14ac:dyDescent="0.25">
      <c r="A63" s="40"/>
      <c r="B63" s="420">
        <v>3</v>
      </c>
      <c r="C63" s="423">
        <v>74</v>
      </c>
      <c r="D63" s="423">
        <v>53</v>
      </c>
      <c r="E63" s="423" t="s">
        <v>428</v>
      </c>
      <c r="F63" s="423" t="s">
        <v>424</v>
      </c>
      <c r="G63" s="426">
        <v>453.25</v>
      </c>
      <c r="H63" s="429" t="s">
        <v>360</v>
      </c>
      <c r="I63" s="432">
        <v>1</v>
      </c>
      <c r="J63" s="208" t="s">
        <v>346</v>
      </c>
      <c r="K63" s="38">
        <f>+$K$13</f>
        <v>721015</v>
      </c>
      <c r="L63" s="208"/>
      <c r="M63" s="38">
        <f>+$M$13</f>
        <v>0</v>
      </c>
      <c r="N63" s="435" t="s">
        <v>361</v>
      </c>
      <c r="O63" s="435" t="s">
        <v>362</v>
      </c>
      <c r="P63" s="438"/>
      <c r="Q63" s="441" t="s">
        <v>363</v>
      </c>
      <c r="R63" s="441" t="s">
        <v>375</v>
      </c>
      <c r="S63" s="444">
        <f>IF(COUNTIF(J63:K65,"CUMPLE")&gt;=1,(G63*I63),0)* (IF(N63="PRESENTÓ CERTIFICADO",1,0))* (IF(O63="ACORDE A ITEM 5.2.2 (T.R.)",1,0) )* ( IF(OR(Q63="SIN OBSERVACIÓN", Q63="REQUERIMIENTOS SUBSANADOS"),1,0)) *(IF(OR(R63="NINGUNO", R63="CUMPLEN CON LO SOLICITADO"),1,0))</f>
        <v>453.25</v>
      </c>
      <c r="T63" s="467"/>
      <c r="U63" s="447">
        <f t="shared" si="21"/>
        <v>1</v>
      </c>
      <c r="V63" s="505">
        <f>200+257</f>
        <v>457</v>
      </c>
      <c r="X63" s="29"/>
      <c r="Y63" s="29"/>
      <c r="Z63" s="29"/>
      <c r="AA63" s="29"/>
      <c r="AB63" s="28"/>
      <c r="AC63" s="28"/>
      <c r="AD63" s="28"/>
      <c r="AE63" s="13"/>
      <c r="AF63" s="13"/>
      <c r="AG63" s="13"/>
      <c r="AH63" s="13"/>
      <c r="AI63" s="13"/>
      <c r="AJ63" s="13"/>
    </row>
    <row r="64" spans="1:36" s="41" customFormat="1" ht="24.95" customHeight="1" x14ac:dyDescent="0.25">
      <c r="A64" s="40"/>
      <c r="B64" s="421"/>
      <c r="C64" s="424"/>
      <c r="D64" s="424"/>
      <c r="E64" s="424"/>
      <c r="F64" s="424"/>
      <c r="G64" s="427"/>
      <c r="H64" s="430"/>
      <c r="I64" s="433"/>
      <c r="J64" s="208" t="s">
        <v>346</v>
      </c>
      <c r="K64" s="38">
        <f>+$K$14</f>
        <v>721033</v>
      </c>
      <c r="L64" s="448"/>
      <c r="M64" s="450">
        <f>+$M$14</f>
        <v>0</v>
      </c>
      <c r="N64" s="436"/>
      <c r="O64" s="436"/>
      <c r="P64" s="439"/>
      <c r="Q64" s="442"/>
      <c r="R64" s="442"/>
      <c r="S64" s="445"/>
      <c r="T64" s="467"/>
      <c r="U64" s="447"/>
      <c r="V64" s="505"/>
      <c r="X64" s="29"/>
      <c r="Y64" s="29"/>
      <c r="Z64" s="29"/>
      <c r="AA64" s="29"/>
      <c r="AI64" s="13"/>
      <c r="AJ64" s="13"/>
    </row>
    <row r="65" spans="1:36" s="41" customFormat="1" ht="37.5" customHeight="1" x14ac:dyDescent="0.25">
      <c r="A65" s="40"/>
      <c r="B65" s="422"/>
      <c r="C65" s="425"/>
      <c r="D65" s="425"/>
      <c r="E65" s="425"/>
      <c r="F65" s="425"/>
      <c r="G65" s="428"/>
      <c r="H65" s="431"/>
      <c r="I65" s="434"/>
      <c r="J65" s="208" t="s">
        <v>346</v>
      </c>
      <c r="K65" s="38">
        <f>+$K$15</f>
        <v>721513</v>
      </c>
      <c r="L65" s="449"/>
      <c r="M65" s="451"/>
      <c r="N65" s="437"/>
      <c r="O65" s="437"/>
      <c r="P65" s="440"/>
      <c r="Q65" s="443"/>
      <c r="R65" s="443"/>
      <c r="S65" s="446"/>
      <c r="T65" s="467"/>
      <c r="U65" s="447"/>
      <c r="V65" s="505"/>
      <c r="X65" s="29"/>
      <c r="Y65" s="29"/>
      <c r="Z65" s="29"/>
      <c r="AA65" s="29"/>
    </row>
    <row r="66" spans="1:36" s="41" customFormat="1" ht="24.95" customHeight="1" x14ac:dyDescent="0.25">
      <c r="A66" s="40"/>
      <c r="B66" s="420">
        <v>4</v>
      </c>
      <c r="C66" s="452">
        <v>37</v>
      </c>
      <c r="D66" s="452">
        <v>33</v>
      </c>
      <c r="E66" s="452" t="s">
        <v>429</v>
      </c>
      <c r="F66" s="452" t="s">
        <v>427</v>
      </c>
      <c r="G66" s="455">
        <v>1280.17</v>
      </c>
      <c r="H66" s="429" t="s">
        <v>353</v>
      </c>
      <c r="I66" s="458">
        <v>0.5</v>
      </c>
      <c r="J66" s="208" t="s">
        <v>346</v>
      </c>
      <c r="K66" s="38">
        <f>+$K$13</f>
        <v>721015</v>
      </c>
      <c r="L66" s="208"/>
      <c r="M66" s="38">
        <f>+$M$13</f>
        <v>0</v>
      </c>
      <c r="N66" s="435" t="s">
        <v>361</v>
      </c>
      <c r="O66" s="435" t="s">
        <v>362</v>
      </c>
      <c r="P66" s="438"/>
      <c r="Q66" s="441" t="s">
        <v>363</v>
      </c>
      <c r="R66" s="441" t="s">
        <v>375</v>
      </c>
      <c r="S66" s="444">
        <f>IF(COUNTIF(J66:K68,"CUMPLE")&gt;=1,(G66*I66),0)* (IF(N66="PRESENTÓ CERTIFICADO",1,0))* (IF(O66="ACORDE A ITEM 5.2.2 (T.R.)",1,0) )* ( IF(OR(Q66="SIN OBSERVACIÓN", Q66="REQUERIMIENTOS SUBSANADOS"),1,0)) *(IF(OR(R66="NINGUNO", R66="CUMPLEN CON LO SOLICITADO"),1,0))</f>
        <v>640.08500000000004</v>
      </c>
      <c r="T66" s="467"/>
      <c r="U66" s="447">
        <f t="shared" si="21"/>
        <v>1</v>
      </c>
      <c r="V66" s="505">
        <f>251.2+15.9+363+15.9</f>
        <v>645.99999999999989</v>
      </c>
      <c r="X66" s="29"/>
      <c r="Y66" s="29"/>
      <c r="Z66" s="29"/>
      <c r="AA66" s="29"/>
      <c r="AB66" s="13"/>
      <c r="AC66" s="13"/>
      <c r="AD66" s="13"/>
      <c r="AE66" s="13"/>
      <c r="AF66" s="13"/>
      <c r="AG66" s="13"/>
      <c r="AH66" s="13"/>
    </row>
    <row r="67" spans="1:36" s="41" customFormat="1" ht="24.95" customHeight="1" x14ac:dyDescent="0.25">
      <c r="A67" s="40"/>
      <c r="B67" s="421"/>
      <c r="C67" s="453"/>
      <c r="D67" s="453"/>
      <c r="E67" s="453"/>
      <c r="F67" s="453"/>
      <c r="G67" s="456"/>
      <c r="H67" s="430"/>
      <c r="I67" s="459"/>
      <c r="J67" s="208" t="s">
        <v>346</v>
      </c>
      <c r="K67" s="38">
        <f>+$K$14</f>
        <v>721033</v>
      </c>
      <c r="L67" s="448"/>
      <c r="M67" s="450">
        <f>+$M$14</f>
        <v>0</v>
      </c>
      <c r="N67" s="436"/>
      <c r="O67" s="436"/>
      <c r="P67" s="439"/>
      <c r="Q67" s="442"/>
      <c r="R67" s="442"/>
      <c r="S67" s="445"/>
      <c r="T67" s="467"/>
      <c r="U67" s="447"/>
      <c r="V67" s="505"/>
      <c r="X67" s="29"/>
      <c r="Y67" s="29"/>
      <c r="Z67" s="29"/>
      <c r="AA67" s="29"/>
      <c r="AB67" s="13"/>
      <c r="AC67" s="13"/>
      <c r="AD67" s="13"/>
      <c r="AE67" s="13"/>
      <c r="AF67" s="13"/>
      <c r="AG67" s="13"/>
      <c r="AH67" s="13"/>
    </row>
    <row r="68" spans="1:36" s="41" customFormat="1" ht="24.95" customHeight="1" x14ac:dyDescent="0.25">
      <c r="A68" s="40"/>
      <c r="B68" s="422"/>
      <c r="C68" s="454"/>
      <c r="D68" s="454"/>
      <c r="E68" s="454"/>
      <c r="F68" s="454"/>
      <c r="G68" s="457"/>
      <c r="H68" s="431"/>
      <c r="I68" s="460"/>
      <c r="J68" s="208" t="s">
        <v>346</v>
      </c>
      <c r="K68" s="38">
        <f>+$K$15</f>
        <v>721513</v>
      </c>
      <c r="L68" s="449"/>
      <c r="M68" s="451"/>
      <c r="N68" s="437"/>
      <c r="O68" s="437"/>
      <c r="P68" s="440"/>
      <c r="Q68" s="443"/>
      <c r="R68" s="443"/>
      <c r="S68" s="446"/>
      <c r="T68" s="467"/>
      <c r="U68" s="447"/>
      <c r="V68" s="505"/>
      <c r="X68" s="29"/>
      <c r="Y68" s="29"/>
      <c r="Z68" s="29"/>
      <c r="AA68" s="29"/>
      <c r="AB68" s="29"/>
      <c r="AC68" s="29"/>
      <c r="AD68" s="29"/>
      <c r="AE68" s="42"/>
      <c r="AF68" s="42"/>
      <c r="AG68" s="42"/>
      <c r="AH68" s="42"/>
    </row>
    <row r="69" spans="1:36" s="41" customFormat="1" ht="24.95" customHeight="1" x14ac:dyDescent="0.25">
      <c r="A69" s="40"/>
      <c r="B69" s="420">
        <v>5</v>
      </c>
      <c r="C69" s="423">
        <v>58</v>
      </c>
      <c r="D69" s="423">
        <v>44</v>
      </c>
      <c r="E69" s="423" t="s">
        <v>430</v>
      </c>
      <c r="F69" s="423" t="s">
        <v>431</v>
      </c>
      <c r="G69" s="426">
        <v>1259.8</v>
      </c>
      <c r="H69" s="429" t="s">
        <v>360</v>
      </c>
      <c r="I69" s="432">
        <v>1</v>
      </c>
      <c r="J69" s="208" t="s">
        <v>346</v>
      </c>
      <c r="K69" s="38">
        <f>+$K$13</f>
        <v>721015</v>
      </c>
      <c r="L69" s="208"/>
      <c r="M69" s="38">
        <f>+$M$13</f>
        <v>0</v>
      </c>
      <c r="N69" s="435" t="s">
        <v>361</v>
      </c>
      <c r="O69" s="435" t="s">
        <v>362</v>
      </c>
      <c r="P69" s="438"/>
      <c r="Q69" s="441" t="s">
        <v>363</v>
      </c>
      <c r="R69" s="441" t="s">
        <v>375</v>
      </c>
      <c r="S69" s="444">
        <f>IF(COUNTIF(J69:K71,"CUMPLE")&gt;=1,(G69*I69),0)* (IF(N69="PRESENTÓ CERTIFICADO",1,0))* (IF(O69="ACORDE A ITEM 5.2.2 (T.R.)",1,0) )* ( IF(OR(Q69="SIN OBSERVACIÓN", Q69="REQUERIMIENTOS SUBSANADOS"),1,0)) *(IF(OR(R69="NINGUNO", R69="CUMPLEN CON LO SOLICITADO"),1,0))</f>
        <v>1259.8</v>
      </c>
      <c r="T69" s="467"/>
      <c r="U69" s="447">
        <f t="shared" si="21"/>
        <v>1</v>
      </c>
      <c r="V69" s="505"/>
      <c r="X69" s="29"/>
      <c r="Y69" s="29"/>
      <c r="Z69" s="29"/>
      <c r="AA69" s="29"/>
      <c r="AB69" s="29"/>
      <c r="AC69" s="29"/>
      <c r="AD69" s="29"/>
      <c r="AE69" s="42"/>
      <c r="AF69" s="42"/>
      <c r="AG69" s="42"/>
      <c r="AH69" s="42"/>
    </row>
    <row r="70" spans="1:36" s="41" customFormat="1" ht="24.95" customHeight="1" x14ac:dyDescent="0.25">
      <c r="A70" s="40"/>
      <c r="B70" s="421"/>
      <c r="C70" s="424"/>
      <c r="D70" s="424"/>
      <c r="E70" s="424"/>
      <c r="F70" s="424"/>
      <c r="G70" s="427"/>
      <c r="H70" s="430"/>
      <c r="I70" s="433"/>
      <c r="J70" s="208" t="s">
        <v>346</v>
      </c>
      <c r="K70" s="38">
        <f>+$K$14</f>
        <v>721033</v>
      </c>
      <c r="L70" s="448"/>
      <c r="M70" s="450">
        <f>+$M$14</f>
        <v>0</v>
      </c>
      <c r="N70" s="436"/>
      <c r="O70" s="436"/>
      <c r="P70" s="439"/>
      <c r="Q70" s="442"/>
      <c r="R70" s="442"/>
      <c r="S70" s="445"/>
      <c r="T70" s="467"/>
      <c r="U70" s="447"/>
      <c r="V70" s="505"/>
      <c r="X70" s="29"/>
      <c r="Y70" s="29"/>
      <c r="Z70" s="29"/>
      <c r="AA70" s="29"/>
      <c r="AB70" s="29"/>
      <c r="AC70" s="29"/>
      <c r="AD70" s="29"/>
    </row>
    <row r="71" spans="1:36" s="41" customFormat="1" ht="24.95" customHeight="1" x14ac:dyDescent="0.25">
      <c r="A71" s="40"/>
      <c r="B71" s="422"/>
      <c r="C71" s="425"/>
      <c r="D71" s="425"/>
      <c r="E71" s="425"/>
      <c r="F71" s="425"/>
      <c r="G71" s="428"/>
      <c r="H71" s="431"/>
      <c r="I71" s="434"/>
      <c r="J71" s="208" t="s">
        <v>346</v>
      </c>
      <c r="K71" s="38">
        <f>+$K$15</f>
        <v>721513</v>
      </c>
      <c r="L71" s="449"/>
      <c r="M71" s="451"/>
      <c r="N71" s="437"/>
      <c r="O71" s="437"/>
      <c r="P71" s="440"/>
      <c r="Q71" s="443"/>
      <c r="R71" s="443"/>
      <c r="S71" s="446"/>
      <c r="T71" s="468"/>
      <c r="U71" s="447"/>
      <c r="V71" s="505"/>
      <c r="X71" s="29"/>
      <c r="Y71" s="29"/>
      <c r="Z71" s="29"/>
      <c r="AA71" s="29"/>
      <c r="AB71" s="29"/>
      <c r="AC71" s="29"/>
      <c r="AD71" s="29"/>
    </row>
    <row r="72" spans="1:36" s="28" customFormat="1" ht="24.95" customHeight="1" x14ac:dyDescent="0.25">
      <c r="B72" s="409" t="str">
        <f>IF(S73=" "," ",IF(S73&gt;=$H$6,"CUMPLE CON LA EXPERIENCIA REQUERIDA","NO CUMPLE CON LA EXPERIENCIA REQUERIDA"))</f>
        <v>CUMPLE CON LA EXPERIENCIA REQUERIDA</v>
      </c>
      <c r="C72" s="410"/>
      <c r="D72" s="410"/>
      <c r="E72" s="410"/>
      <c r="F72" s="410"/>
      <c r="G72" s="410"/>
      <c r="H72" s="410"/>
      <c r="I72" s="410"/>
      <c r="J72" s="410"/>
      <c r="K72" s="410"/>
      <c r="L72" s="410"/>
      <c r="M72" s="410"/>
      <c r="N72" s="410"/>
      <c r="O72" s="411"/>
      <c r="P72" s="415" t="s">
        <v>52</v>
      </c>
      <c r="Q72" s="416"/>
      <c r="R72" s="417"/>
      <c r="S72" s="44">
        <f>IF(T57="SI",SUM(S57:S71),0)</f>
        <v>3199.5221000000001</v>
      </c>
      <c r="T72" s="418" t="str">
        <f>IF(S73=" "," ",IF(S73&gt;=$H$6,"CUMPLE","NO CUMPLE"))</f>
        <v>CUMPLE</v>
      </c>
      <c r="V72" s="506">
        <f>SUM(V57:V71)</f>
        <v>5006.16</v>
      </c>
      <c r="X72" s="29"/>
      <c r="Y72" s="29"/>
      <c r="Z72" s="29"/>
      <c r="AA72" s="29"/>
      <c r="AB72" s="29"/>
      <c r="AC72" s="29"/>
      <c r="AD72" s="29"/>
      <c r="AE72" s="41"/>
      <c r="AF72" s="41"/>
      <c r="AG72" s="41"/>
      <c r="AH72" s="41"/>
      <c r="AI72" s="41"/>
    </row>
    <row r="73" spans="1:36" s="41" customFormat="1" ht="24.95" customHeight="1" x14ac:dyDescent="0.25">
      <c r="B73" s="412"/>
      <c r="C73" s="413"/>
      <c r="D73" s="413"/>
      <c r="E73" s="413"/>
      <c r="F73" s="413"/>
      <c r="G73" s="413"/>
      <c r="H73" s="413"/>
      <c r="I73" s="413"/>
      <c r="J73" s="413"/>
      <c r="K73" s="413"/>
      <c r="L73" s="413"/>
      <c r="M73" s="413"/>
      <c r="N73" s="413"/>
      <c r="O73" s="414"/>
      <c r="P73" s="415" t="s">
        <v>53</v>
      </c>
      <c r="Q73" s="416"/>
      <c r="R73" s="417"/>
      <c r="S73" s="44">
        <f>IFERROR((S72/$P$6)," ")</f>
        <v>3.9598045792079208</v>
      </c>
      <c r="T73" s="419"/>
      <c r="V73" s="507"/>
      <c r="X73" s="29"/>
      <c r="Y73" s="29"/>
      <c r="Z73" s="29"/>
      <c r="AA73" s="29"/>
      <c r="AB73" s="29"/>
      <c r="AC73" s="29"/>
      <c r="AD73" s="29"/>
    </row>
    <row r="74" spans="1:36" ht="30" customHeight="1" x14ac:dyDescent="0.25">
      <c r="AB74" s="29"/>
      <c r="AC74" s="29"/>
      <c r="AD74" s="29"/>
      <c r="AE74" s="41"/>
      <c r="AF74" s="41"/>
      <c r="AG74" s="41"/>
      <c r="AH74" s="41"/>
      <c r="AI74" s="28"/>
    </row>
    <row r="75" spans="1:36" ht="30" customHeight="1" x14ac:dyDescent="0.25">
      <c r="AB75" s="29"/>
      <c r="AC75" s="29"/>
      <c r="AD75" s="29"/>
      <c r="AE75" s="41"/>
      <c r="AF75" s="41"/>
      <c r="AG75" s="41"/>
      <c r="AH75" s="41"/>
      <c r="AI75" s="41"/>
    </row>
    <row r="76" spans="1:36" ht="62.25" customHeight="1" x14ac:dyDescent="0.25">
      <c r="B76" s="26">
        <v>4</v>
      </c>
      <c r="C76" s="469" t="s">
        <v>31</v>
      </c>
      <c r="D76" s="470"/>
      <c r="E76" s="471"/>
      <c r="F76" s="472" t="str">
        <f>IFERROR(VLOOKUP(B76,LISTA_OFERENTES,2,FALSE)," ")</f>
        <v>CÉSAR AUGUSTO GIRALDO ATEHORTÚA</v>
      </c>
      <c r="G76" s="473"/>
      <c r="H76" s="473"/>
      <c r="I76" s="473"/>
      <c r="J76" s="473"/>
      <c r="K76" s="473"/>
      <c r="L76" s="473"/>
      <c r="M76" s="473"/>
      <c r="N76" s="473"/>
      <c r="O76" s="474"/>
      <c r="P76" s="475" t="s">
        <v>32</v>
      </c>
      <c r="Q76" s="476"/>
      <c r="R76" s="477"/>
      <c r="S76" s="27">
        <f>5-(INT(COUNTBLANK(C79:C93))-10)</f>
        <v>3</v>
      </c>
      <c r="T76" s="28"/>
      <c r="AB76" s="29"/>
      <c r="AC76" s="29"/>
      <c r="AD76" s="29"/>
      <c r="AE76" s="41"/>
      <c r="AF76" s="41"/>
      <c r="AG76" s="41"/>
      <c r="AH76" s="41"/>
    </row>
    <row r="77" spans="1:36" s="42" customFormat="1" ht="30" customHeight="1" x14ac:dyDescent="0.25">
      <c r="B77" s="478" t="s">
        <v>33</v>
      </c>
      <c r="C77" s="461" t="s">
        <v>34</v>
      </c>
      <c r="D77" s="461" t="s">
        <v>35</v>
      </c>
      <c r="E77" s="461" t="s">
        <v>36</v>
      </c>
      <c r="F77" s="461" t="s">
        <v>37</v>
      </c>
      <c r="G77" s="461" t="s">
        <v>38</v>
      </c>
      <c r="H77" s="461" t="s">
        <v>39</v>
      </c>
      <c r="I77" s="461" t="s">
        <v>40</v>
      </c>
      <c r="J77" s="480" t="s">
        <v>41</v>
      </c>
      <c r="K77" s="481"/>
      <c r="L77" s="481"/>
      <c r="M77" s="482"/>
      <c r="N77" s="461" t="s">
        <v>42</v>
      </c>
      <c r="O77" s="461" t="s">
        <v>43</v>
      </c>
      <c r="P77" s="480" t="s">
        <v>44</v>
      </c>
      <c r="Q77" s="482"/>
      <c r="R77" s="461" t="s">
        <v>45</v>
      </c>
      <c r="S77" s="461" t="s">
        <v>46</v>
      </c>
      <c r="T77" s="461" t="str">
        <f>+$T$11</f>
        <v>CUMPLE CON EL REQUERIMIENTO DE HABER EJECUTADO MÁS DE 2000M# EN ACTIVIDADES DE PINTURA</v>
      </c>
      <c r="U77" s="461" t="str">
        <f>+$U$11</f>
        <v xml:space="preserve">VERIFICACIÓN CONDICIÓN DE EXPERIENCIA  </v>
      </c>
      <c r="V77" s="504" t="s">
        <v>248</v>
      </c>
      <c r="W77" s="45"/>
      <c r="X77" s="29"/>
      <c r="Y77" s="29"/>
      <c r="Z77" s="29"/>
      <c r="AA77" s="29"/>
      <c r="AB77" s="29"/>
      <c r="AC77" s="29"/>
      <c r="AD77" s="29"/>
      <c r="AE77" s="41"/>
      <c r="AF77" s="41"/>
      <c r="AG77" s="41"/>
      <c r="AH77" s="41"/>
      <c r="AI77" s="13"/>
    </row>
    <row r="78" spans="1:36" s="42" customFormat="1" ht="105.75" customHeight="1" x14ac:dyDescent="0.25">
      <c r="B78" s="479"/>
      <c r="C78" s="462"/>
      <c r="D78" s="462"/>
      <c r="E78" s="462"/>
      <c r="F78" s="462"/>
      <c r="G78" s="462"/>
      <c r="H78" s="462"/>
      <c r="I78" s="462"/>
      <c r="J78" s="463" t="s">
        <v>49</v>
      </c>
      <c r="K78" s="464"/>
      <c r="L78" s="464"/>
      <c r="M78" s="465"/>
      <c r="N78" s="462"/>
      <c r="O78" s="462"/>
      <c r="P78" s="33" t="s">
        <v>10</v>
      </c>
      <c r="Q78" s="33" t="s">
        <v>50</v>
      </c>
      <c r="R78" s="462"/>
      <c r="S78" s="462"/>
      <c r="T78" s="462"/>
      <c r="U78" s="462"/>
      <c r="V78" s="504"/>
      <c r="W78" s="45"/>
      <c r="X78" s="29"/>
      <c r="Y78" s="29"/>
      <c r="Z78" s="29"/>
      <c r="AA78" s="29"/>
      <c r="AB78" s="29"/>
      <c r="AC78" s="29"/>
      <c r="AD78" s="29"/>
      <c r="AE78" s="41"/>
      <c r="AF78" s="41"/>
      <c r="AG78" s="41"/>
      <c r="AH78" s="41"/>
      <c r="AI78" s="13"/>
    </row>
    <row r="79" spans="1:36" s="41" customFormat="1" ht="24.95" customHeight="1" x14ac:dyDescent="0.25">
      <c r="A79" s="40"/>
      <c r="B79" s="420">
        <v>1</v>
      </c>
      <c r="C79" s="423">
        <v>19</v>
      </c>
      <c r="D79" s="423">
        <v>21</v>
      </c>
      <c r="E79" s="423" t="s">
        <v>432</v>
      </c>
      <c r="F79" s="423" t="s">
        <v>433</v>
      </c>
      <c r="G79" s="426">
        <v>4330</v>
      </c>
      <c r="H79" s="429" t="s">
        <v>353</v>
      </c>
      <c r="I79" s="432">
        <v>0.25</v>
      </c>
      <c r="J79" s="208" t="s">
        <v>346</v>
      </c>
      <c r="K79" s="38">
        <f>+$K$13</f>
        <v>721015</v>
      </c>
      <c r="L79" s="208"/>
      <c r="M79" s="38">
        <f>+$M$13</f>
        <v>0</v>
      </c>
      <c r="N79" s="435" t="s">
        <v>361</v>
      </c>
      <c r="O79" s="435" t="s">
        <v>362</v>
      </c>
      <c r="P79" s="438" t="s">
        <v>438</v>
      </c>
      <c r="Q79" s="441" t="s">
        <v>439</v>
      </c>
      <c r="R79" s="441" t="s">
        <v>409</v>
      </c>
      <c r="S79" s="444">
        <f>IF(COUNTIF(J79:K81,"CUMPLE")&gt;=1,(G79*I79),0)* (IF(N79="PRESENTÓ CERTIFICADO",1,0))* (IF(O79="ACORDE A ITEM 5.2.2 (T.R.)",1,0) )* ( IF(OR(Q79="SIN OBSERVACIÓN", Q79="REQUERIMIENTOS SUBSANADOS"),1,0)) *(IF(OR(R79="NINGUNO", R79="CUMPLEN CON LO SOLICITADO"),1,0))</f>
        <v>0</v>
      </c>
      <c r="T79" s="466" t="s">
        <v>347</v>
      </c>
      <c r="U79" s="447">
        <f t="shared" ref="U79:U91" si="22">IF(COUNTIF(J79:K81,"CUMPLE")&gt;=1,1,0)</f>
        <v>1</v>
      </c>
      <c r="V79" s="505"/>
      <c r="X79" s="29"/>
      <c r="Y79" s="29"/>
      <c r="Z79" s="29"/>
      <c r="AA79" s="29"/>
      <c r="AE79" s="13"/>
      <c r="AF79" s="13"/>
      <c r="AG79" s="13"/>
      <c r="AH79" s="13"/>
      <c r="AI79" s="13"/>
      <c r="AJ79" s="13"/>
    </row>
    <row r="80" spans="1:36" s="41" customFormat="1" ht="24.95" customHeight="1" x14ac:dyDescent="0.25">
      <c r="A80" s="40"/>
      <c r="B80" s="421"/>
      <c r="C80" s="424"/>
      <c r="D80" s="424"/>
      <c r="E80" s="424"/>
      <c r="F80" s="424"/>
      <c r="G80" s="427"/>
      <c r="H80" s="430"/>
      <c r="I80" s="433"/>
      <c r="J80" s="208" t="s">
        <v>346</v>
      </c>
      <c r="K80" s="38">
        <f>+$K$14</f>
        <v>721033</v>
      </c>
      <c r="L80" s="448"/>
      <c r="M80" s="450">
        <f>+$M$14</f>
        <v>0</v>
      </c>
      <c r="N80" s="436"/>
      <c r="O80" s="436"/>
      <c r="P80" s="439"/>
      <c r="Q80" s="442"/>
      <c r="R80" s="442"/>
      <c r="S80" s="445"/>
      <c r="T80" s="467"/>
      <c r="U80" s="447"/>
      <c r="V80" s="505"/>
      <c r="X80" s="29"/>
      <c r="Y80" s="29"/>
      <c r="Z80" s="29"/>
      <c r="AA80" s="29"/>
      <c r="AE80" s="13"/>
      <c r="AF80" s="13"/>
      <c r="AG80" s="13"/>
      <c r="AH80" s="13"/>
      <c r="AI80" s="13"/>
      <c r="AJ80" s="13"/>
    </row>
    <row r="81" spans="1:36" s="41" customFormat="1" ht="24.95" customHeight="1" x14ac:dyDescent="0.25">
      <c r="A81" s="40"/>
      <c r="B81" s="422"/>
      <c r="C81" s="425"/>
      <c r="D81" s="425"/>
      <c r="E81" s="425"/>
      <c r="F81" s="425"/>
      <c r="G81" s="428"/>
      <c r="H81" s="431"/>
      <c r="I81" s="434"/>
      <c r="J81" s="208" t="s">
        <v>346</v>
      </c>
      <c r="K81" s="38">
        <f>+$K$15</f>
        <v>721513</v>
      </c>
      <c r="L81" s="449"/>
      <c r="M81" s="451"/>
      <c r="N81" s="437"/>
      <c r="O81" s="437"/>
      <c r="P81" s="440"/>
      <c r="Q81" s="443"/>
      <c r="R81" s="443"/>
      <c r="S81" s="446"/>
      <c r="T81" s="467"/>
      <c r="U81" s="447"/>
      <c r="V81" s="505"/>
      <c r="X81" s="29"/>
      <c r="Y81" s="29"/>
      <c r="Z81" s="29"/>
      <c r="AA81" s="29"/>
      <c r="AE81" s="13"/>
      <c r="AF81" s="13"/>
      <c r="AG81" s="13"/>
      <c r="AH81" s="13"/>
      <c r="AI81" s="13"/>
      <c r="AJ81" s="13"/>
    </row>
    <row r="82" spans="1:36" s="41" customFormat="1" ht="24.95" customHeight="1" x14ac:dyDescent="0.25">
      <c r="A82" s="40"/>
      <c r="B82" s="420">
        <v>2</v>
      </c>
      <c r="C82" s="452">
        <v>22</v>
      </c>
      <c r="D82" s="452">
        <v>28</v>
      </c>
      <c r="E82" s="452" t="s">
        <v>434</v>
      </c>
      <c r="F82" s="452" t="s">
        <v>435</v>
      </c>
      <c r="G82" s="455">
        <v>1124.73</v>
      </c>
      <c r="H82" s="429" t="s">
        <v>360</v>
      </c>
      <c r="I82" s="458">
        <v>1</v>
      </c>
      <c r="J82" s="208" t="s">
        <v>346</v>
      </c>
      <c r="K82" s="38">
        <f>+$K$13</f>
        <v>721015</v>
      </c>
      <c r="L82" s="208"/>
      <c r="M82" s="38">
        <f>+$M$13</f>
        <v>0</v>
      </c>
      <c r="N82" s="435" t="s">
        <v>361</v>
      </c>
      <c r="O82" s="435" t="s">
        <v>362</v>
      </c>
      <c r="P82" s="438" t="s">
        <v>440</v>
      </c>
      <c r="Q82" s="441" t="s">
        <v>439</v>
      </c>
      <c r="R82" s="441" t="s">
        <v>409</v>
      </c>
      <c r="S82" s="444">
        <f>IF(COUNTIF(J82:K84,"CUMPLE")&gt;=1,(G82*I82),0)* (IF(N82="PRESENTÓ CERTIFICADO",1,0))* (IF(O82="ACORDE A ITEM 5.2.2 (T.R.)",1,0) )* ( IF(OR(Q82="SIN OBSERVACIÓN", Q82="REQUERIMIENTOS SUBSANADOS"),1,0)) *(IF(OR(R82="NINGUNO", R82="CUMPLEN CON LO SOLICITADO"),1,0))</f>
        <v>0</v>
      </c>
      <c r="T82" s="467"/>
      <c r="U82" s="447">
        <f t="shared" si="22"/>
        <v>1</v>
      </c>
      <c r="V82" s="505"/>
      <c r="X82" s="29"/>
      <c r="Y82" s="29"/>
      <c r="Z82" s="29"/>
      <c r="AA82" s="29"/>
      <c r="AE82" s="13"/>
      <c r="AF82" s="13"/>
      <c r="AG82" s="13"/>
      <c r="AH82" s="13"/>
      <c r="AI82" s="13"/>
      <c r="AJ82" s="13"/>
    </row>
    <row r="83" spans="1:36" s="41" customFormat="1" ht="24.95" customHeight="1" x14ac:dyDescent="0.25">
      <c r="A83" s="40"/>
      <c r="B83" s="421"/>
      <c r="C83" s="453"/>
      <c r="D83" s="453"/>
      <c r="E83" s="453"/>
      <c r="F83" s="453"/>
      <c r="G83" s="456"/>
      <c r="H83" s="430"/>
      <c r="I83" s="459"/>
      <c r="J83" s="208" t="s">
        <v>346</v>
      </c>
      <c r="K83" s="38">
        <f>+$K$14</f>
        <v>721033</v>
      </c>
      <c r="L83" s="448"/>
      <c r="M83" s="450">
        <f>+$M$14</f>
        <v>0</v>
      </c>
      <c r="N83" s="436"/>
      <c r="O83" s="436"/>
      <c r="P83" s="439"/>
      <c r="Q83" s="442"/>
      <c r="R83" s="442"/>
      <c r="S83" s="445"/>
      <c r="T83" s="467"/>
      <c r="U83" s="447"/>
      <c r="V83" s="505"/>
      <c r="X83" s="29"/>
      <c r="Y83" s="29"/>
      <c r="Z83" s="29"/>
      <c r="AA83" s="29"/>
      <c r="AE83" s="13"/>
      <c r="AF83" s="13"/>
      <c r="AG83" s="13"/>
      <c r="AH83" s="13"/>
      <c r="AI83" s="13"/>
      <c r="AJ83" s="13"/>
    </row>
    <row r="84" spans="1:36" s="41" customFormat="1" ht="24.95" customHeight="1" x14ac:dyDescent="0.25">
      <c r="A84" s="40"/>
      <c r="B84" s="422"/>
      <c r="C84" s="454"/>
      <c r="D84" s="454"/>
      <c r="E84" s="454"/>
      <c r="F84" s="454"/>
      <c r="G84" s="457"/>
      <c r="H84" s="431"/>
      <c r="I84" s="460"/>
      <c r="J84" s="208" t="s">
        <v>346</v>
      </c>
      <c r="K84" s="38">
        <f>+$K$15</f>
        <v>721513</v>
      </c>
      <c r="L84" s="449"/>
      <c r="M84" s="451"/>
      <c r="N84" s="437"/>
      <c r="O84" s="437"/>
      <c r="P84" s="440"/>
      <c r="Q84" s="443"/>
      <c r="R84" s="443"/>
      <c r="S84" s="446"/>
      <c r="T84" s="467"/>
      <c r="U84" s="447"/>
      <c r="V84" s="505"/>
      <c r="X84" s="29"/>
      <c r="Y84" s="29"/>
      <c r="Z84" s="29"/>
      <c r="AA84" s="29"/>
      <c r="AE84" s="13"/>
      <c r="AF84" s="13"/>
      <c r="AG84" s="13"/>
      <c r="AH84" s="13"/>
      <c r="AI84" s="13"/>
      <c r="AJ84" s="13"/>
    </row>
    <row r="85" spans="1:36" s="41" customFormat="1" ht="24.95" customHeight="1" x14ac:dyDescent="0.25">
      <c r="A85" s="40"/>
      <c r="B85" s="420">
        <v>3</v>
      </c>
      <c r="C85" s="423">
        <v>30</v>
      </c>
      <c r="D85" s="423">
        <v>44</v>
      </c>
      <c r="E85" s="423" t="s">
        <v>436</v>
      </c>
      <c r="F85" s="423" t="s">
        <v>437</v>
      </c>
      <c r="G85" s="426">
        <v>448.21</v>
      </c>
      <c r="H85" s="429" t="s">
        <v>360</v>
      </c>
      <c r="I85" s="432">
        <v>1</v>
      </c>
      <c r="J85" s="208" t="s">
        <v>346</v>
      </c>
      <c r="K85" s="38">
        <f>+$K$13</f>
        <v>721015</v>
      </c>
      <c r="L85" s="208"/>
      <c r="M85" s="38">
        <f>+$M$13</f>
        <v>0</v>
      </c>
      <c r="N85" s="435" t="s">
        <v>361</v>
      </c>
      <c r="O85" s="435" t="s">
        <v>362</v>
      </c>
      <c r="P85" s="438" t="s">
        <v>102</v>
      </c>
      <c r="Q85" s="441" t="s">
        <v>363</v>
      </c>
      <c r="R85" s="441" t="s">
        <v>375</v>
      </c>
      <c r="S85" s="444">
        <f>IF(COUNTIF(J85:K87,"CUMPLE")&gt;=1,(G85*I85),0)* (IF(N85="PRESENTÓ CERTIFICADO",1,0))* (IF(O85="ACORDE A ITEM 5.2.2 (T.R.)",1,0) )* ( IF(OR(Q85="SIN OBSERVACIÓN", Q85="REQUERIMIENTOS SUBSANADOS"),1,0)) *(IF(OR(R85="NINGUNO", R85="CUMPLEN CON LO SOLICITADO"),1,0))</f>
        <v>448.21</v>
      </c>
      <c r="T85" s="467"/>
      <c r="U85" s="447">
        <f t="shared" si="22"/>
        <v>1</v>
      </c>
      <c r="V85" s="505"/>
      <c r="X85" s="29"/>
      <c r="Y85" s="29"/>
      <c r="Z85" s="29"/>
      <c r="AA85" s="29"/>
      <c r="AB85" s="28"/>
      <c r="AC85" s="28"/>
      <c r="AD85" s="28"/>
      <c r="AE85" s="13"/>
      <c r="AF85" s="13"/>
      <c r="AG85" s="13"/>
      <c r="AH85" s="13"/>
      <c r="AI85" s="13"/>
      <c r="AJ85" s="13"/>
    </row>
    <row r="86" spans="1:36" s="41" customFormat="1" ht="24.95" customHeight="1" x14ac:dyDescent="0.25">
      <c r="A86" s="40"/>
      <c r="B86" s="421"/>
      <c r="C86" s="424"/>
      <c r="D86" s="424"/>
      <c r="E86" s="424"/>
      <c r="F86" s="424"/>
      <c r="G86" s="427"/>
      <c r="H86" s="430"/>
      <c r="I86" s="433"/>
      <c r="J86" s="208" t="s">
        <v>346</v>
      </c>
      <c r="K86" s="38">
        <f>+$K$14</f>
        <v>721033</v>
      </c>
      <c r="L86" s="448"/>
      <c r="M86" s="450">
        <f>+$M$14</f>
        <v>0</v>
      </c>
      <c r="N86" s="436"/>
      <c r="O86" s="436"/>
      <c r="P86" s="439"/>
      <c r="Q86" s="442"/>
      <c r="R86" s="442"/>
      <c r="S86" s="445"/>
      <c r="T86" s="467"/>
      <c r="U86" s="447"/>
      <c r="V86" s="505"/>
      <c r="X86" s="29"/>
      <c r="Y86" s="29"/>
      <c r="Z86" s="29"/>
      <c r="AA86" s="29"/>
      <c r="AI86" s="13"/>
      <c r="AJ86" s="13"/>
    </row>
    <row r="87" spans="1:36" s="41" customFormat="1" ht="24.95" customHeight="1" x14ac:dyDescent="0.25">
      <c r="A87" s="40"/>
      <c r="B87" s="422"/>
      <c r="C87" s="425"/>
      <c r="D87" s="425"/>
      <c r="E87" s="425"/>
      <c r="F87" s="425"/>
      <c r="G87" s="428"/>
      <c r="H87" s="431"/>
      <c r="I87" s="434"/>
      <c r="J87" s="208" t="s">
        <v>347</v>
      </c>
      <c r="K87" s="38">
        <f>+$K$15</f>
        <v>721513</v>
      </c>
      <c r="L87" s="449"/>
      <c r="M87" s="451"/>
      <c r="N87" s="437"/>
      <c r="O87" s="437"/>
      <c r="P87" s="440"/>
      <c r="Q87" s="443"/>
      <c r="R87" s="443"/>
      <c r="S87" s="446"/>
      <c r="T87" s="467"/>
      <c r="U87" s="447"/>
      <c r="V87" s="505"/>
      <c r="X87" s="29"/>
      <c r="Y87" s="29"/>
      <c r="Z87" s="29"/>
      <c r="AA87" s="29"/>
    </row>
    <row r="88" spans="1:36" s="41" customFormat="1" ht="24.95" hidden="1" customHeight="1" x14ac:dyDescent="0.25">
      <c r="A88" s="40"/>
      <c r="B88" s="420">
        <v>4</v>
      </c>
      <c r="C88" s="452"/>
      <c r="D88" s="452"/>
      <c r="E88" s="452"/>
      <c r="F88" s="452"/>
      <c r="G88" s="455"/>
      <c r="H88" s="429"/>
      <c r="I88" s="458"/>
      <c r="J88" s="208"/>
      <c r="K88" s="38">
        <f>+$K$13</f>
        <v>721015</v>
      </c>
      <c r="L88" s="208"/>
      <c r="M88" s="38">
        <f>+$M$13</f>
        <v>0</v>
      </c>
      <c r="N88" s="435"/>
      <c r="O88" s="435"/>
      <c r="P88" s="438"/>
      <c r="Q88" s="441"/>
      <c r="R88" s="441"/>
      <c r="S88" s="444">
        <f>IF(COUNTIF(J88:K90,"CUMPLE")&gt;=1,(G88*I88),0)* (IF(N88="PRESENTÓ CERTIFICADO",1,0))* (IF(O88="ACORDE A ITEM 5.2.2 (T.R.)",1,0) )* ( IF(OR(Q88="SIN OBSERVACIÓN", Q88="REQUERIMIENTOS SUBSANADOS"),1,0)) *(IF(OR(R88="NINGUNO", R88="CUMPLEN CON LO SOLICITADO"),1,0))</f>
        <v>0</v>
      </c>
      <c r="T88" s="467"/>
      <c r="U88" s="447">
        <f t="shared" si="22"/>
        <v>0</v>
      </c>
      <c r="V88" s="505"/>
      <c r="X88" s="29"/>
      <c r="Y88" s="29"/>
      <c r="Z88" s="29"/>
      <c r="AA88" s="29"/>
      <c r="AB88" s="13"/>
      <c r="AC88" s="13"/>
      <c r="AD88" s="13"/>
      <c r="AE88" s="13"/>
      <c r="AF88" s="13"/>
      <c r="AG88" s="13"/>
      <c r="AH88" s="13"/>
    </row>
    <row r="89" spans="1:36" s="41" customFormat="1" ht="24.95" hidden="1" customHeight="1" x14ac:dyDescent="0.25">
      <c r="A89" s="40"/>
      <c r="B89" s="421"/>
      <c r="C89" s="453"/>
      <c r="D89" s="453"/>
      <c r="E89" s="453"/>
      <c r="F89" s="453"/>
      <c r="G89" s="456"/>
      <c r="H89" s="430"/>
      <c r="I89" s="459"/>
      <c r="J89" s="208"/>
      <c r="K89" s="38">
        <f>+$K$14</f>
        <v>721033</v>
      </c>
      <c r="L89" s="448"/>
      <c r="M89" s="450">
        <f>+$M$14</f>
        <v>0</v>
      </c>
      <c r="N89" s="436"/>
      <c r="O89" s="436"/>
      <c r="P89" s="439"/>
      <c r="Q89" s="442"/>
      <c r="R89" s="442"/>
      <c r="S89" s="445"/>
      <c r="T89" s="467"/>
      <c r="U89" s="447"/>
      <c r="V89" s="505"/>
      <c r="X89" s="29"/>
      <c r="Y89" s="29"/>
      <c r="Z89" s="29"/>
      <c r="AA89" s="29"/>
      <c r="AB89" s="13"/>
      <c r="AC89" s="13"/>
      <c r="AD89" s="13"/>
      <c r="AE89" s="13"/>
      <c r="AF89" s="13"/>
      <c r="AG89" s="13"/>
      <c r="AH89" s="13"/>
    </row>
    <row r="90" spans="1:36" s="41" customFormat="1" ht="24.95" hidden="1" customHeight="1" x14ac:dyDescent="0.25">
      <c r="A90" s="40"/>
      <c r="B90" s="422"/>
      <c r="C90" s="454"/>
      <c r="D90" s="454"/>
      <c r="E90" s="454"/>
      <c r="F90" s="454"/>
      <c r="G90" s="457"/>
      <c r="H90" s="431"/>
      <c r="I90" s="460"/>
      <c r="J90" s="208"/>
      <c r="K90" s="38">
        <f>+$K$15</f>
        <v>721513</v>
      </c>
      <c r="L90" s="449"/>
      <c r="M90" s="451"/>
      <c r="N90" s="437"/>
      <c r="O90" s="437"/>
      <c r="P90" s="440"/>
      <c r="Q90" s="443"/>
      <c r="R90" s="443"/>
      <c r="S90" s="446"/>
      <c r="T90" s="467"/>
      <c r="U90" s="447"/>
      <c r="V90" s="505"/>
      <c r="X90" s="29"/>
      <c r="Y90" s="29"/>
      <c r="Z90" s="29"/>
      <c r="AA90" s="29"/>
      <c r="AB90" s="29"/>
      <c r="AC90" s="29"/>
      <c r="AD90" s="29"/>
      <c r="AE90" s="42"/>
      <c r="AF90" s="42"/>
      <c r="AG90" s="42"/>
      <c r="AH90" s="42"/>
    </row>
    <row r="91" spans="1:36" s="41" customFormat="1" ht="24.95" hidden="1" customHeight="1" x14ac:dyDescent="0.25">
      <c r="A91" s="40"/>
      <c r="B91" s="420">
        <v>5</v>
      </c>
      <c r="C91" s="423"/>
      <c r="D91" s="423"/>
      <c r="E91" s="423"/>
      <c r="F91" s="423"/>
      <c r="G91" s="426"/>
      <c r="H91" s="429"/>
      <c r="I91" s="432"/>
      <c r="J91" s="208"/>
      <c r="K91" s="38">
        <f>+$K$13</f>
        <v>721015</v>
      </c>
      <c r="L91" s="208"/>
      <c r="M91" s="38">
        <f>+$M$13</f>
        <v>0</v>
      </c>
      <c r="N91" s="435"/>
      <c r="O91" s="435"/>
      <c r="P91" s="438"/>
      <c r="Q91" s="441"/>
      <c r="R91" s="441"/>
      <c r="S91" s="444">
        <f>IF(COUNTIF(J91:K93,"CUMPLE")&gt;=1,(G91*I91),0)* (IF(N91="PRESENTÓ CERTIFICADO",1,0))* (IF(O91="ACORDE A ITEM 5.2.2 (T.R.)",1,0) )* ( IF(OR(Q91="SIN OBSERVACIÓN", Q91="REQUERIMIENTOS SUBSANADOS"),1,0)) *(IF(OR(R91="NINGUNO", R91="CUMPLEN CON LO SOLICITADO"),1,0))</f>
        <v>0</v>
      </c>
      <c r="T91" s="467"/>
      <c r="U91" s="447">
        <f t="shared" si="22"/>
        <v>0</v>
      </c>
      <c r="V91" s="505"/>
      <c r="X91" s="29"/>
      <c r="Y91" s="29"/>
      <c r="Z91" s="29"/>
      <c r="AA91" s="29"/>
      <c r="AB91" s="29"/>
      <c r="AC91" s="29"/>
      <c r="AD91" s="29"/>
      <c r="AE91" s="42"/>
      <c r="AF91" s="42"/>
      <c r="AG91" s="42"/>
      <c r="AH91" s="42"/>
    </row>
    <row r="92" spans="1:36" s="41" customFormat="1" ht="24.95" hidden="1" customHeight="1" x14ac:dyDescent="0.25">
      <c r="A92" s="40"/>
      <c r="B92" s="421"/>
      <c r="C92" s="424"/>
      <c r="D92" s="424"/>
      <c r="E92" s="424"/>
      <c r="F92" s="424"/>
      <c r="G92" s="427"/>
      <c r="H92" s="430"/>
      <c r="I92" s="433"/>
      <c r="J92" s="208"/>
      <c r="K92" s="38">
        <f>+$K$14</f>
        <v>721033</v>
      </c>
      <c r="L92" s="448"/>
      <c r="M92" s="450">
        <f>+$M$14</f>
        <v>0</v>
      </c>
      <c r="N92" s="436"/>
      <c r="O92" s="436"/>
      <c r="P92" s="439"/>
      <c r="Q92" s="442"/>
      <c r="R92" s="442"/>
      <c r="S92" s="445"/>
      <c r="T92" s="467"/>
      <c r="U92" s="447"/>
      <c r="V92" s="505"/>
      <c r="X92" s="29"/>
      <c r="Y92" s="29"/>
      <c r="Z92" s="29"/>
      <c r="AA92" s="29"/>
      <c r="AB92" s="29"/>
      <c r="AC92" s="29"/>
      <c r="AD92" s="29"/>
    </row>
    <row r="93" spans="1:36" s="41" customFormat="1" ht="24.95" hidden="1" customHeight="1" x14ac:dyDescent="0.25">
      <c r="A93" s="40"/>
      <c r="B93" s="422"/>
      <c r="C93" s="425"/>
      <c r="D93" s="425"/>
      <c r="E93" s="425"/>
      <c r="F93" s="425"/>
      <c r="G93" s="428"/>
      <c r="H93" s="431"/>
      <c r="I93" s="434"/>
      <c r="J93" s="208"/>
      <c r="K93" s="38">
        <f>+$K$15</f>
        <v>721513</v>
      </c>
      <c r="L93" s="449"/>
      <c r="M93" s="451"/>
      <c r="N93" s="437"/>
      <c r="O93" s="437"/>
      <c r="P93" s="440"/>
      <c r="Q93" s="443"/>
      <c r="R93" s="443"/>
      <c r="S93" s="446"/>
      <c r="T93" s="468"/>
      <c r="U93" s="447"/>
      <c r="V93" s="505"/>
      <c r="X93" s="29"/>
      <c r="Y93" s="29"/>
      <c r="Z93" s="29"/>
      <c r="AA93" s="29"/>
      <c r="AB93" s="29"/>
      <c r="AC93" s="29"/>
      <c r="AD93" s="29"/>
    </row>
    <row r="94" spans="1:36" s="28" customFormat="1" ht="24.95" customHeight="1" x14ac:dyDescent="0.25">
      <c r="B94" s="409" t="str">
        <f>IF(S95=" "," ",IF(S95&gt;=$H$6,"CUMPLE CON LA EXPERIENCIA REQUERIDA","NO CUMPLE CON LA EXPERIENCIA REQUERIDA"))</f>
        <v>NO CUMPLE CON LA EXPERIENCIA REQUERIDA</v>
      </c>
      <c r="C94" s="410"/>
      <c r="D94" s="410"/>
      <c r="E94" s="410"/>
      <c r="F94" s="410"/>
      <c r="G94" s="410"/>
      <c r="H94" s="410"/>
      <c r="I94" s="410"/>
      <c r="J94" s="410"/>
      <c r="K94" s="410"/>
      <c r="L94" s="410"/>
      <c r="M94" s="410"/>
      <c r="N94" s="410"/>
      <c r="O94" s="411"/>
      <c r="P94" s="415" t="s">
        <v>52</v>
      </c>
      <c r="Q94" s="416"/>
      <c r="R94" s="417"/>
      <c r="S94" s="44">
        <f>IF(T79="SI",SUM(S79:S93),0)</f>
        <v>0</v>
      </c>
      <c r="T94" s="418" t="str">
        <f>IF(S95=" "," ",IF(S95&gt;=$H$6,"CUMPLE","NO CUMPLE"))</f>
        <v>NO CUMPLE</v>
      </c>
      <c r="V94" s="506">
        <f>SUM(V79:V93)</f>
        <v>0</v>
      </c>
      <c r="X94" s="29"/>
      <c r="Y94" s="29"/>
      <c r="Z94" s="29"/>
      <c r="AA94" s="29"/>
      <c r="AB94" s="29"/>
      <c r="AC94" s="29"/>
      <c r="AD94" s="29"/>
      <c r="AE94" s="41"/>
      <c r="AF94" s="41"/>
      <c r="AG94" s="41"/>
      <c r="AH94" s="41"/>
      <c r="AI94" s="41"/>
    </row>
    <row r="95" spans="1:36" s="41" customFormat="1" ht="24.95" customHeight="1" x14ac:dyDescent="0.25">
      <c r="B95" s="412"/>
      <c r="C95" s="413"/>
      <c r="D95" s="413"/>
      <c r="E95" s="413"/>
      <c r="F95" s="413"/>
      <c r="G95" s="413"/>
      <c r="H95" s="413"/>
      <c r="I95" s="413"/>
      <c r="J95" s="413"/>
      <c r="K95" s="413"/>
      <c r="L95" s="413"/>
      <c r="M95" s="413"/>
      <c r="N95" s="413"/>
      <c r="O95" s="414"/>
      <c r="P95" s="415" t="s">
        <v>53</v>
      </c>
      <c r="Q95" s="416"/>
      <c r="R95" s="417"/>
      <c r="S95" s="44">
        <f>IFERROR((S94/$P$6)," ")</f>
        <v>0</v>
      </c>
      <c r="T95" s="419"/>
      <c r="V95" s="507"/>
      <c r="X95" s="29"/>
      <c r="Y95" s="29"/>
      <c r="Z95" s="29"/>
      <c r="AA95" s="29"/>
      <c r="AB95" s="29"/>
      <c r="AC95" s="29"/>
      <c r="AD95" s="29"/>
    </row>
    <row r="96" spans="1:36" ht="30" customHeight="1" x14ac:dyDescent="0.25">
      <c r="AB96" s="29"/>
      <c r="AC96" s="29"/>
      <c r="AD96" s="29"/>
      <c r="AE96" s="41"/>
      <c r="AF96" s="41"/>
      <c r="AG96" s="41"/>
      <c r="AH96" s="41"/>
      <c r="AI96" s="28"/>
    </row>
    <row r="97" spans="1:36" ht="30" customHeight="1" x14ac:dyDescent="0.25">
      <c r="AB97" s="29"/>
      <c r="AC97" s="29"/>
      <c r="AD97" s="29"/>
      <c r="AE97" s="41"/>
      <c r="AF97" s="41"/>
      <c r="AG97" s="41"/>
      <c r="AH97" s="41"/>
      <c r="AI97" s="41"/>
    </row>
    <row r="98" spans="1:36" ht="63.75" customHeight="1" x14ac:dyDescent="0.25">
      <c r="B98" s="26">
        <v>5</v>
      </c>
      <c r="C98" s="469" t="s">
        <v>31</v>
      </c>
      <c r="D98" s="470"/>
      <c r="E98" s="471"/>
      <c r="F98" s="472" t="str">
        <f>IFERROR(VLOOKUP(B98,LISTA_OFERENTES,2,FALSE)," ")</f>
        <v>JUAN CARLOS RESTREPO GUTIERREZ</v>
      </c>
      <c r="G98" s="473"/>
      <c r="H98" s="473"/>
      <c r="I98" s="473"/>
      <c r="J98" s="473"/>
      <c r="K98" s="473"/>
      <c r="L98" s="473"/>
      <c r="M98" s="473"/>
      <c r="N98" s="473"/>
      <c r="O98" s="474"/>
      <c r="P98" s="475" t="s">
        <v>32</v>
      </c>
      <c r="Q98" s="476"/>
      <c r="R98" s="477"/>
      <c r="S98" s="27">
        <f>5-(INT(COUNTBLANK(C101:C115))-10)</f>
        <v>5</v>
      </c>
      <c r="T98" s="28"/>
      <c r="AB98" s="29"/>
      <c r="AC98" s="29"/>
      <c r="AD98" s="29"/>
      <c r="AE98" s="41"/>
      <c r="AF98" s="41"/>
      <c r="AG98" s="41"/>
      <c r="AH98" s="41"/>
    </row>
    <row r="99" spans="1:36" s="42" customFormat="1" ht="30" customHeight="1" x14ac:dyDescent="0.25">
      <c r="B99" s="478" t="s">
        <v>33</v>
      </c>
      <c r="C99" s="461" t="s">
        <v>34</v>
      </c>
      <c r="D99" s="461" t="s">
        <v>35</v>
      </c>
      <c r="E99" s="461" t="s">
        <v>36</v>
      </c>
      <c r="F99" s="461" t="s">
        <v>37</v>
      </c>
      <c r="G99" s="461" t="s">
        <v>38</v>
      </c>
      <c r="H99" s="461" t="s">
        <v>39</v>
      </c>
      <c r="I99" s="461" t="s">
        <v>40</v>
      </c>
      <c r="J99" s="480" t="s">
        <v>41</v>
      </c>
      <c r="K99" s="481"/>
      <c r="L99" s="481"/>
      <c r="M99" s="482"/>
      <c r="N99" s="461" t="s">
        <v>42</v>
      </c>
      <c r="O99" s="461" t="s">
        <v>43</v>
      </c>
      <c r="P99" s="480" t="s">
        <v>44</v>
      </c>
      <c r="Q99" s="482"/>
      <c r="R99" s="461" t="s">
        <v>45</v>
      </c>
      <c r="S99" s="461" t="s">
        <v>46</v>
      </c>
      <c r="T99" s="461" t="str">
        <f>+$T$11</f>
        <v>CUMPLE CON EL REQUERIMIENTO DE HABER EJECUTADO MÁS DE 2000M# EN ACTIVIDADES DE PINTURA</v>
      </c>
      <c r="U99" s="461" t="str">
        <f>+$U$11</f>
        <v xml:space="preserve">VERIFICACIÓN CONDICIÓN DE EXPERIENCIA  </v>
      </c>
      <c r="V99" s="504" t="s">
        <v>248</v>
      </c>
      <c r="W99" s="45"/>
      <c r="X99" s="29"/>
      <c r="Y99" s="29"/>
      <c r="Z99" s="29"/>
      <c r="AA99" s="29"/>
      <c r="AB99" s="29"/>
      <c r="AC99" s="29"/>
      <c r="AD99" s="29"/>
      <c r="AE99" s="41"/>
      <c r="AF99" s="41"/>
      <c r="AG99" s="41"/>
      <c r="AH99" s="41"/>
      <c r="AI99" s="13"/>
    </row>
    <row r="100" spans="1:36" s="42" customFormat="1" ht="90.75" customHeight="1" x14ac:dyDescent="0.25">
      <c r="B100" s="479"/>
      <c r="C100" s="462"/>
      <c r="D100" s="462"/>
      <c r="E100" s="462"/>
      <c r="F100" s="462"/>
      <c r="G100" s="462"/>
      <c r="H100" s="462"/>
      <c r="I100" s="462"/>
      <c r="J100" s="463" t="s">
        <v>49</v>
      </c>
      <c r="K100" s="464"/>
      <c r="L100" s="464"/>
      <c r="M100" s="465"/>
      <c r="N100" s="462"/>
      <c r="O100" s="462"/>
      <c r="P100" s="33" t="s">
        <v>10</v>
      </c>
      <c r="Q100" s="33" t="s">
        <v>50</v>
      </c>
      <c r="R100" s="462"/>
      <c r="S100" s="462"/>
      <c r="T100" s="462"/>
      <c r="U100" s="462"/>
      <c r="V100" s="504"/>
      <c r="W100" s="45"/>
      <c r="X100" s="29"/>
      <c r="Y100" s="29"/>
      <c r="Z100" s="29"/>
      <c r="AA100" s="29"/>
      <c r="AB100" s="29"/>
      <c r="AC100" s="29"/>
      <c r="AD100" s="29"/>
      <c r="AE100" s="41"/>
      <c r="AF100" s="41"/>
      <c r="AG100" s="41"/>
      <c r="AH100" s="41"/>
      <c r="AI100" s="13"/>
    </row>
    <row r="101" spans="1:36" s="41" customFormat="1" ht="35.1" customHeight="1" x14ac:dyDescent="0.25">
      <c r="A101" s="40"/>
      <c r="B101" s="420">
        <v>1</v>
      </c>
      <c r="C101" s="423">
        <v>80</v>
      </c>
      <c r="D101" s="423">
        <v>93</v>
      </c>
      <c r="E101" s="423"/>
      <c r="F101" s="423" t="s">
        <v>414</v>
      </c>
      <c r="G101" s="426">
        <v>3824.8</v>
      </c>
      <c r="H101" s="429" t="s">
        <v>360</v>
      </c>
      <c r="I101" s="432">
        <v>1</v>
      </c>
      <c r="J101" s="208" t="s">
        <v>346</v>
      </c>
      <c r="K101" s="38">
        <f>+$K$13</f>
        <v>721015</v>
      </c>
      <c r="L101" s="208"/>
      <c r="M101" s="38">
        <f>+$M$13</f>
        <v>0</v>
      </c>
      <c r="N101" s="435" t="s">
        <v>361</v>
      </c>
      <c r="O101" s="435" t="s">
        <v>362</v>
      </c>
      <c r="P101" s="438"/>
      <c r="Q101" s="441" t="s">
        <v>363</v>
      </c>
      <c r="R101" s="441" t="s">
        <v>375</v>
      </c>
      <c r="S101" s="444">
        <f>IF(COUNTIF(J101:K103,"CUMPLE")&gt;=1,(G101*I101),0)* (IF(N101="PRESENTÓ CERTIFICADO",1,0))* (IF(O101="ACORDE A ITEM 5.2.2 (T.R.)",1,0) )* ( IF(OR(Q101="SIN OBSERVACIÓN", Q101="REQUERIMIENTOS SUBSANADOS"),1,0)) *(IF(OR(R101="NINGUNO", R101="CUMPLEN CON LO SOLICITADO"),1,0))</f>
        <v>3824.8</v>
      </c>
      <c r="T101" s="466" t="s">
        <v>376</v>
      </c>
      <c r="U101" s="447">
        <f t="shared" ref="U101:U113" si="23">IF(COUNTIF(J101:K103,"CUMPLE")&gt;=1,1,0)</f>
        <v>1</v>
      </c>
      <c r="V101" s="505">
        <v>5673.62</v>
      </c>
      <c r="X101" s="29"/>
      <c r="Y101" s="29"/>
      <c r="Z101" s="29"/>
      <c r="AA101" s="29"/>
      <c r="AE101" s="13"/>
      <c r="AF101" s="13"/>
      <c r="AG101" s="13"/>
      <c r="AH101" s="13"/>
      <c r="AI101" s="13"/>
      <c r="AJ101" s="13"/>
    </row>
    <row r="102" spans="1:36" s="41" customFormat="1" ht="35.1" customHeight="1" x14ac:dyDescent="0.25">
      <c r="A102" s="40"/>
      <c r="B102" s="421"/>
      <c r="C102" s="424"/>
      <c r="D102" s="424"/>
      <c r="E102" s="424"/>
      <c r="F102" s="424"/>
      <c r="G102" s="427"/>
      <c r="H102" s="430"/>
      <c r="I102" s="433"/>
      <c r="J102" s="208" t="s">
        <v>346</v>
      </c>
      <c r="K102" s="38">
        <f>+$K$14</f>
        <v>721033</v>
      </c>
      <c r="L102" s="448"/>
      <c r="M102" s="450">
        <f>+$M$14</f>
        <v>0</v>
      </c>
      <c r="N102" s="436"/>
      <c r="O102" s="436"/>
      <c r="P102" s="439"/>
      <c r="Q102" s="442"/>
      <c r="R102" s="442"/>
      <c r="S102" s="445"/>
      <c r="T102" s="467"/>
      <c r="U102" s="447"/>
      <c r="V102" s="505"/>
      <c r="X102" s="29"/>
      <c r="Y102" s="29"/>
      <c r="Z102" s="29"/>
      <c r="AA102" s="29"/>
      <c r="AE102" s="13"/>
      <c r="AF102" s="13"/>
      <c r="AG102" s="13"/>
      <c r="AH102" s="13"/>
      <c r="AI102" s="13"/>
      <c r="AJ102" s="13"/>
    </row>
    <row r="103" spans="1:36" s="41" customFormat="1" ht="35.1" customHeight="1" x14ac:dyDescent="0.25">
      <c r="A103" s="40"/>
      <c r="B103" s="422"/>
      <c r="C103" s="425"/>
      <c r="D103" s="425"/>
      <c r="E103" s="425"/>
      <c r="F103" s="425"/>
      <c r="G103" s="428"/>
      <c r="H103" s="431"/>
      <c r="I103" s="434"/>
      <c r="J103" s="208" t="s">
        <v>346</v>
      </c>
      <c r="K103" s="38">
        <f>+$K$15</f>
        <v>721513</v>
      </c>
      <c r="L103" s="449"/>
      <c r="M103" s="451"/>
      <c r="N103" s="437"/>
      <c r="O103" s="437"/>
      <c r="P103" s="440"/>
      <c r="Q103" s="443"/>
      <c r="R103" s="443"/>
      <c r="S103" s="446"/>
      <c r="T103" s="467"/>
      <c r="U103" s="447"/>
      <c r="V103" s="505"/>
      <c r="X103" s="29"/>
      <c r="Y103" s="29"/>
      <c r="Z103" s="29"/>
      <c r="AA103" s="29"/>
      <c r="AE103" s="13"/>
      <c r="AF103" s="13"/>
      <c r="AG103" s="13"/>
      <c r="AH103" s="13"/>
      <c r="AI103" s="13"/>
      <c r="AJ103" s="13"/>
    </row>
    <row r="104" spans="1:36" s="41" customFormat="1" ht="32.25" customHeight="1" x14ac:dyDescent="0.25">
      <c r="A104" s="40"/>
      <c r="B104" s="420">
        <v>2</v>
      </c>
      <c r="C104" s="452">
        <v>11</v>
      </c>
      <c r="D104" s="452">
        <v>22</v>
      </c>
      <c r="E104" s="452" t="s">
        <v>410</v>
      </c>
      <c r="F104" s="452" t="s">
        <v>415</v>
      </c>
      <c r="G104" s="455">
        <v>2368.87</v>
      </c>
      <c r="H104" s="429" t="s">
        <v>360</v>
      </c>
      <c r="I104" s="432">
        <v>1</v>
      </c>
      <c r="J104" s="208" t="s">
        <v>346</v>
      </c>
      <c r="K104" s="38">
        <f>+$K$13</f>
        <v>721015</v>
      </c>
      <c r="L104" s="208"/>
      <c r="M104" s="38">
        <f>+$M$13</f>
        <v>0</v>
      </c>
      <c r="N104" s="435" t="s">
        <v>361</v>
      </c>
      <c r="O104" s="435" t="s">
        <v>362</v>
      </c>
      <c r="P104" s="438"/>
      <c r="Q104" s="441" t="s">
        <v>363</v>
      </c>
      <c r="R104" s="441" t="s">
        <v>375</v>
      </c>
      <c r="S104" s="444">
        <f>IF(COUNTIF(J104:K106,"CUMPLE")&gt;=1,(G104*I104),0)* (IF(N104="PRESENTÓ CERTIFICADO",1,0))* (IF(O104="ACORDE A ITEM 5.2.2 (T.R.)",1,0) )* ( IF(OR(Q104="SIN OBSERVACIÓN", Q104="REQUERIMIENTOS SUBSANADOS"),1,0)) *(IF(OR(R104="NINGUNO", R104="CUMPLEN CON LO SOLICITADO"),1,0))</f>
        <v>2368.87</v>
      </c>
      <c r="T104" s="467"/>
      <c r="U104" s="447">
        <f t="shared" si="23"/>
        <v>1</v>
      </c>
      <c r="V104" s="505">
        <v>7141</v>
      </c>
      <c r="X104" s="29"/>
      <c r="Y104" s="29"/>
      <c r="Z104" s="29"/>
      <c r="AA104" s="29"/>
      <c r="AE104" s="13"/>
      <c r="AF104" s="13"/>
      <c r="AG104" s="13"/>
      <c r="AH104" s="13"/>
      <c r="AI104" s="13"/>
      <c r="AJ104" s="13"/>
    </row>
    <row r="105" spans="1:36" s="41" customFormat="1" ht="30.75" customHeight="1" x14ac:dyDescent="0.25">
      <c r="A105" s="40"/>
      <c r="B105" s="421"/>
      <c r="C105" s="453"/>
      <c r="D105" s="453"/>
      <c r="E105" s="453"/>
      <c r="F105" s="453"/>
      <c r="G105" s="456"/>
      <c r="H105" s="430"/>
      <c r="I105" s="433"/>
      <c r="J105" s="208" t="s">
        <v>347</v>
      </c>
      <c r="K105" s="38">
        <f>+$K$14</f>
        <v>721033</v>
      </c>
      <c r="L105" s="448"/>
      <c r="M105" s="450">
        <f>+$M$14</f>
        <v>0</v>
      </c>
      <c r="N105" s="436"/>
      <c r="O105" s="436"/>
      <c r="P105" s="439"/>
      <c r="Q105" s="442"/>
      <c r="R105" s="442"/>
      <c r="S105" s="445"/>
      <c r="T105" s="467"/>
      <c r="U105" s="447"/>
      <c r="V105" s="505"/>
      <c r="X105" s="29"/>
      <c r="Y105" s="29"/>
      <c r="Z105" s="29"/>
      <c r="AA105" s="29"/>
      <c r="AE105" s="13"/>
      <c r="AF105" s="13"/>
      <c r="AG105" s="13"/>
      <c r="AH105" s="13"/>
      <c r="AI105" s="13"/>
      <c r="AJ105" s="13"/>
    </row>
    <row r="106" spans="1:36" s="41" customFormat="1" ht="35.1" customHeight="1" x14ac:dyDescent="0.25">
      <c r="A106" s="40"/>
      <c r="B106" s="422"/>
      <c r="C106" s="454"/>
      <c r="D106" s="454"/>
      <c r="E106" s="454"/>
      <c r="F106" s="454"/>
      <c r="G106" s="457"/>
      <c r="H106" s="431"/>
      <c r="I106" s="434"/>
      <c r="J106" s="208" t="s">
        <v>346</v>
      </c>
      <c r="K106" s="38">
        <f>+$K$15</f>
        <v>721513</v>
      </c>
      <c r="L106" s="449"/>
      <c r="M106" s="451"/>
      <c r="N106" s="437"/>
      <c r="O106" s="437"/>
      <c r="P106" s="440"/>
      <c r="Q106" s="443"/>
      <c r="R106" s="443"/>
      <c r="S106" s="446"/>
      <c r="T106" s="467"/>
      <c r="U106" s="447"/>
      <c r="V106" s="505"/>
      <c r="X106" s="29"/>
      <c r="Y106" s="29"/>
      <c r="Z106" s="29"/>
      <c r="AA106" s="29"/>
      <c r="AE106" s="13"/>
      <c r="AF106" s="13"/>
      <c r="AG106" s="13"/>
      <c r="AH106" s="13"/>
      <c r="AI106" s="13"/>
      <c r="AJ106" s="13"/>
    </row>
    <row r="107" spans="1:36" s="41" customFormat="1" ht="24.95" customHeight="1" x14ac:dyDescent="0.25">
      <c r="A107" s="40"/>
      <c r="B107" s="420">
        <v>3</v>
      </c>
      <c r="C107" s="423">
        <v>75</v>
      </c>
      <c r="D107" s="423">
        <v>85</v>
      </c>
      <c r="E107" s="423" t="s">
        <v>411</v>
      </c>
      <c r="F107" s="423" t="s">
        <v>416</v>
      </c>
      <c r="G107" s="426">
        <v>2717.07</v>
      </c>
      <c r="H107" s="429" t="s">
        <v>360</v>
      </c>
      <c r="I107" s="432">
        <v>1</v>
      </c>
      <c r="J107" s="208" t="s">
        <v>346</v>
      </c>
      <c r="K107" s="38">
        <f>+$K$13</f>
        <v>721015</v>
      </c>
      <c r="L107" s="208"/>
      <c r="M107" s="38">
        <f>+$M$13</f>
        <v>0</v>
      </c>
      <c r="N107" s="435" t="s">
        <v>361</v>
      </c>
      <c r="O107" s="435" t="s">
        <v>362</v>
      </c>
      <c r="P107" s="438" t="s">
        <v>417</v>
      </c>
      <c r="Q107" s="441" t="s">
        <v>363</v>
      </c>
      <c r="R107" s="441" t="s">
        <v>375</v>
      </c>
      <c r="S107" s="444">
        <f>IF(COUNTIF(J107:K109,"CUMPLE")&gt;=1,(G107*I107),0)* (IF(N107="PRESENTÓ CERTIFICADO",1,0))* (IF(O107="ACORDE A ITEM 5.2.2 (T.R.)",1,0) )* ( IF(OR(Q107="SIN OBSERVACIÓN", Q107="REQUERIMIENTOS SUBSANADOS"),1,0)) *(IF(OR(R107="NINGUNO", R107="CUMPLEN CON LO SOLICITADO"),1,0))</f>
        <v>2717.07</v>
      </c>
      <c r="T107" s="467"/>
      <c r="U107" s="447">
        <f t="shared" si="23"/>
        <v>1</v>
      </c>
      <c r="V107" s="505"/>
      <c r="X107" s="29"/>
      <c r="Y107" s="29"/>
      <c r="Z107" s="29"/>
      <c r="AA107" s="29"/>
      <c r="AB107" s="28"/>
      <c r="AC107" s="28"/>
      <c r="AD107" s="28"/>
      <c r="AE107" s="13"/>
      <c r="AF107" s="13"/>
      <c r="AG107" s="13"/>
      <c r="AH107" s="13"/>
      <c r="AI107" s="13"/>
      <c r="AJ107" s="13"/>
    </row>
    <row r="108" spans="1:36" s="41" customFormat="1" ht="24.95" customHeight="1" x14ac:dyDescent="0.25">
      <c r="A108" s="40"/>
      <c r="B108" s="421"/>
      <c r="C108" s="424"/>
      <c r="D108" s="424"/>
      <c r="E108" s="424"/>
      <c r="F108" s="424"/>
      <c r="G108" s="427"/>
      <c r="H108" s="430"/>
      <c r="I108" s="433"/>
      <c r="J108" s="208" t="s">
        <v>346</v>
      </c>
      <c r="K108" s="38">
        <f>+$K$14</f>
        <v>721033</v>
      </c>
      <c r="L108" s="448"/>
      <c r="M108" s="450">
        <f>+$M$14</f>
        <v>0</v>
      </c>
      <c r="N108" s="436"/>
      <c r="O108" s="436"/>
      <c r="P108" s="439"/>
      <c r="Q108" s="442"/>
      <c r="R108" s="442"/>
      <c r="S108" s="445"/>
      <c r="T108" s="467"/>
      <c r="U108" s="447"/>
      <c r="V108" s="505"/>
      <c r="X108" s="29"/>
      <c r="Y108" s="29"/>
      <c r="Z108" s="29"/>
      <c r="AA108" s="29"/>
      <c r="AI108" s="13"/>
      <c r="AJ108" s="13"/>
    </row>
    <row r="109" spans="1:36" s="41" customFormat="1" ht="24.95" customHeight="1" x14ac:dyDescent="0.25">
      <c r="A109" s="40"/>
      <c r="B109" s="422"/>
      <c r="C109" s="425"/>
      <c r="D109" s="425"/>
      <c r="E109" s="425"/>
      <c r="F109" s="425"/>
      <c r="G109" s="428"/>
      <c r="H109" s="431"/>
      <c r="I109" s="434"/>
      <c r="J109" s="208" t="s">
        <v>346</v>
      </c>
      <c r="K109" s="38">
        <f>+$K$15</f>
        <v>721513</v>
      </c>
      <c r="L109" s="449"/>
      <c r="M109" s="451"/>
      <c r="N109" s="437"/>
      <c r="O109" s="437"/>
      <c r="P109" s="440"/>
      <c r="Q109" s="443"/>
      <c r="R109" s="443"/>
      <c r="S109" s="446"/>
      <c r="T109" s="467"/>
      <c r="U109" s="447"/>
      <c r="V109" s="505"/>
      <c r="X109" s="29"/>
      <c r="Y109" s="29"/>
      <c r="Z109" s="29"/>
      <c r="AA109" s="29"/>
    </row>
    <row r="110" spans="1:36" s="41" customFormat="1" ht="30" customHeight="1" x14ac:dyDescent="0.25">
      <c r="A110" s="40"/>
      <c r="B110" s="420">
        <v>4</v>
      </c>
      <c r="C110" s="452">
        <v>82</v>
      </c>
      <c r="D110" s="452">
        <v>96</v>
      </c>
      <c r="E110" s="452" t="s">
        <v>412</v>
      </c>
      <c r="F110" s="452" t="s">
        <v>372</v>
      </c>
      <c r="G110" s="455">
        <v>3340.41</v>
      </c>
      <c r="H110" s="429" t="s">
        <v>353</v>
      </c>
      <c r="I110" s="458">
        <v>0.5</v>
      </c>
      <c r="J110" s="208" t="s">
        <v>347</v>
      </c>
      <c r="K110" s="38">
        <f>+$K$13</f>
        <v>721015</v>
      </c>
      <c r="L110" s="208"/>
      <c r="M110" s="38">
        <f>+$M$13</f>
        <v>0</v>
      </c>
      <c r="N110" s="435" t="s">
        <v>361</v>
      </c>
      <c r="O110" s="435" t="s">
        <v>362</v>
      </c>
      <c r="P110" s="438"/>
      <c r="Q110" s="441" t="s">
        <v>363</v>
      </c>
      <c r="R110" s="441" t="s">
        <v>375</v>
      </c>
      <c r="S110" s="444">
        <f>IF(COUNTIF(J110:K112,"CUMPLE")&gt;=1,(G110*I110),0)* (IF(N110="PRESENTÓ CERTIFICADO",1,0))* (IF(O110="ACORDE A ITEM 5.2.2 (T.R.)",1,0) )* ( IF(OR(Q110="SIN OBSERVACIÓN", Q110="REQUERIMIENTOS SUBSANADOS"),1,0)) *(IF(OR(R110="NINGUNO", R110="CUMPLEN CON LO SOLICITADO"),1,0))</f>
        <v>1670.2049999999999</v>
      </c>
      <c r="T110" s="467"/>
      <c r="U110" s="447">
        <f t="shared" si="23"/>
        <v>1</v>
      </c>
      <c r="V110" s="505"/>
      <c r="X110" s="29"/>
      <c r="Y110" s="29"/>
      <c r="Z110" s="29"/>
      <c r="AA110" s="29"/>
      <c r="AB110" s="13"/>
      <c r="AC110" s="13"/>
      <c r="AD110" s="13"/>
      <c r="AE110" s="13"/>
      <c r="AF110" s="13"/>
      <c r="AG110" s="13"/>
      <c r="AH110" s="13"/>
    </row>
    <row r="111" spans="1:36" s="41" customFormat="1" ht="35.1" customHeight="1" x14ac:dyDescent="0.25">
      <c r="A111" s="40"/>
      <c r="B111" s="421"/>
      <c r="C111" s="453"/>
      <c r="D111" s="453"/>
      <c r="E111" s="453"/>
      <c r="F111" s="453"/>
      <c r="G111" s="456"/>
      <c r="H111" s="430"/>
      <c r="I111" s="459"/>
      <c r="J111" s="208" t="s">
        <v>347</v>
      </c>
      <c r="K111" s="38">
        <f>+$K$14</f>
        <v>721033</v>
      </c>
      <c r="L111" s="448"/>
      <c r="M111" s="450">
        <f>+$M$14</f>
        <v>0</v>
      </c>
      <c r="N111" s="436"/>
      <c r="O111" s="436"/>
      <c r="P111" s="439"/>
      <c r="Q111" s="442"/>
      <c r="R111" s="442"/>
      <c r="S111" s="445"/>
      <c r="T111" s="467"/>
      <c r="U111" s="447"/>
      <c r="V111" s="505"/>
      <c r="X111" s="29"/>
      <c r="Y111" s="29"/>
      <c r="Z111" s="29"/>
      <c r="AA111" s="29"/>
      <c r="AB111" s="13"/>
      <c r="AC111" s="13"/>
      <c r="AD111" s="13"/>
      <c r="AE111" s="13"/>
      <c r="AF111" s="13"/>
      <c r="AG111" s="13"/>
      <c r="AH111" s="13"/>
    </row>
    <row r="112" spans="1:36" s="41" customFormat="1" ht="35.1" customHeight="1" x14ac:dyDescent="0.25">
      <c r="A112" s="40"/>
      <c r="B112" s="422"/>
      <c r="C112" s="454"/>
      <c r="D112" s="454"/>
      <c r="E112" s="454"/>
      <c r="F112" s="454"/>
      <c r="G112" s="457"/>
      <c r="H112" s="431"/>
      <c r="I112" s="460"/>
      <c r="J112" s="208" t="s">
        <v>346</v>
      </c>
      <c r="K112" s="38">
        <f>+$K$15</f>
        <v>721513</v>
      </c>
      <c r="L112" s="449"/>
      <c r="M112" s="451"/>
      <c r="N112" s="437"/>
      <c r="O112" s="437"/>
      <c r="P112" s="440"/>
      <c r="Q112" s="443"/>
      <c r="R112" s="443"/>
      <c r="S112" s="446"/>
      <c r="T112" s="467"/>
      <c r="U112" s="447"/>
      <c r="V112" s="505"/>
      <c r="X112" s="29"/>
      <c r="Y112" s="29"/>
      <c r="Z112" s="29"/>
      <c r="AA112" s="29"/>
      <c r="AB112" s="29"/>
      <c r="AC112" s="29"/>
      <c r="AD112" s="29"/>
      <c r="AE112" s="42"/>
      <c r="AF112" s="42"/>
      <c r="AG112" s="42"/>
      <c r="AH112" s="42"/>
    </row>
    <row r="113" spans="1:36" s="41" customFormat="1" ht="24.95" customHeight="1" x14ac:dyDescent="0.25">
      <c r="A113" s="40"/>
      <c r="B113" s="420">
        <v>5</v>
      </c>
      <c r="C113" s="423">
        <v>84</v>
      </c>
      <c r="D113" s="423">
        <v>100</v>
      </c>
      <c r="E113" s="423" t="s">
        <v>413</v>
      </c>
      <c r="F113" s="423" t="s">
        <v>372</v>
      </c>
      <c r="G113" s="426">
        <v>1728.35</v>
      </c>
      <c r="H113" s="429" t="s">
        <v>353</v>
      </c>
      <c r="I113" s="432">
        <v>0.5</v>
      </c>
      <c r="J113" s="208" t="s">
        <v>346</v>
      </c>
      <c r="K113" s="38">
        <f>+$K$13</f>
        <v>721015</v>
      </c>
      <c r="L113" s="208"/>
      <c r="M113" s="38">
        <f>+$M$13</f>
        <v>0</v>
      </c>
      <c r="N113" s="435" t="s">
        <v>361</v>
      </c>
      <c r="O113" s="435" t="s">
        <v>362</v>
      </c>
      <c r="P113" s="438"/>
      <c r="Q113" s="441" t="s">
        <v>363</v>
      </c>
      <c r="R113" s="441" t="s">
        <v>375</v>
      </c>
      <c r="S113" s="444">
        <f>IF(COUNTIF(J113:K115,"CUMPLE")&gt;=1,(G113*I113),0)* (IF(N113="PRESENTÓ CERTIFICADO",1,0))* (IF(O113="ACORDE A ITEM 5.2.2 (T.R.)",1,0) )* ( IF(OR(Q113="SIN OBSERVACIÓN", Q113="REQUERIMIENTOS SUBSANADOS"),1,0)) *(IF(OR(R113="NINGUNO", R113="CUMPLEN CON LO SOLICITADO"),1,0))</f>
        <v>864.17499999999995</v>
      </c>
      <c r="T113" s="467"/>
      <c r="U113" s="447">
        <f t="shared" si="23"/>
        <v>1</v>
      </c>
      <c r="V113" s="505"/>
      <c r="X113" s="29"/>
      <c r="Y113" s="29"/>
      <c r="Z113" s="29"/>
      <c r="AA113" s="29"/>
      <c r="AB113" s="29"/>
      <c r="AC113" s="29"/>
      <c r="AD113" s="29"/>
      <c r="AE113" s="42"/>
      <c r="AF113" s="42"/>
      <c r="AG113" s="42"/>
      <c r="AH113" s="42"/>
    </row>
    <row r="114" spans="1:36" s="41" customFormat="1" ht="24.95" customHeight="1" x14ac:dyDescent="0.25">
      <c r="A114" s="40"/>
      <c r="B114" s="421"/>
      <c r="C114" s="424"/>
      <c r="D114" s="424"/>
      <c r="E114" s="424"/>
      <c r="F114" s="424"/>
      <c r="G114" s="427"/>
      <c r="H114" s="430"/>
      <c r="I114" s="433"/>
      <c r="J114" s="208" t="s">
        <v>346</v>
      </c>
      <c r="K114" s="38">
        <f>+$K$14</f>
        <v>721033</v>
      </c>
      <c r="L114" s="448"/>
      <c r="M114" s="450">
        <f>+$M$14</f>
        <v>0</v>
      </c>
      <c r="N114" s="436"/>
      <c r="O114" s="436"/>
      <c r="P114" s="439"/>
      <c r="Q114" s="442"/>
      <c r="R114" s="442"/>
      <c r="S114" s="445"/>
      <c r="T114" s="467"/>
      <c r="U114" s="447"/>
      <c r="V114" s="505"/>
      <c r="X114" s="29"/>
      <c r="Y114" s="29"/>
      <c r="Z114" s="29"/>
      <c r="AA114" s="29"/>
      <c r="AB114" s="29"/>
      <c r="AC114" s="29"/>
      <c r="AD114" s="29"/>
    </row>
    <row r="115" spans="1:36" s="41" customFormat="1" ht="24.95" customHeight="1" x14ac:dyDescent="0.25">
      <c r="A115" s="40"/>
      <c r="B115" s="422"/>
      <c r="C115" s="425"/>
      <c r="D115" s="425"/>
      <c r="E115" s="425"/>
      <c r="F115" s="425"/>
      <c r="G115" s="428"/>
      <c r="H115" s="431"/>
      <c r="I115" s="434"/>
      <c r="J115" s="208" t="s">
        <v>346</v>
      </c>
      <c r="K115" s="38">
        <f>+$K$15</f>
        <v>721513</v>
      </c>
      <c r="L115" s="449"/>
      <c r="M115" s="451"/>
      <c r="N115" s="437"/>
      <c r="O115" s="437"/>
      <c r="P115" s="440"/>
      <c r="Q115" s="443"/>
      <c r="R115" s="443"/>
      <c r="S115" s="446"/>
      <c r="T115" s="468"/>
      <c r="U115" s="447"/>
      <c r="V115" s="505"/>
      <c r="X115" s="29"/>
      <c r="Y115" s="29"/>
      <c r="Z115" s="29"/>
      <c r="AA115" s="29"/>
      <c r="AB115" s="29"/>
      <c r="AC115" s="29"/>
      <c r="AD115" s="29"/>
    </row>
    <row r="116" spans="1:36" s="28" customFormat="1" ht="24.95" customHeight="1" x14ac:dyDescent="0.25">
      <c r="B116" s="409" t="str">
        <f>IF(S117=" "," ",IF(S117&gt;=$H$6,"CUMPLE CON LA EXPERIENCIA REQUERIDA","NO CUMPLE CON LA EXPERIENCIA REQUERIDA"))</f>
        <v>CUMPLE CON LA EXPERIENCIA REQUERIDA</v>
      </c>
      <c r="C116" s="410"/>
      <c r="D116" s="410"/>
      <c r="E116" s="410"/>
      <c r="F116" s="410"/>
      <c r="G116" s="410"/>
      <c r="H116" s="410"/>
      <c r="I116" s="410"/>
      <c r="J116" s="410"/>
      <c r="K116" s="410"/>
      <c r="L116" s="410"/>
      <c r="M116" s="410"/>
      <c r="N116" s="410"/>
      <c r="O116" s="411"/>
      <c r="P116" s="415" t="s">
        <v>52</v>
      </c>
      <c r="Q116" s="416"/>
      <c r="R116" s="417"/>
      <c r="S116" s="44">
        <f>IF(T101="SI",SUM(S101:S115),0)</f>
        <v>11445.119999999999</v>
      </c>
      <c r="T116" s="418" t="str">
        <f>IF(S117=" "," ",IF(S117&gt;=$H$6,"CUMPLE","NO CUMPLE"))</f>
        <v>CUMPLE</v>
      </c>
      <c r="V116" s="506">
        <f>SUM(V101:V115)</f>
        <v>12814.619999999999</v>
      </c>
      <c r="X116" s="29"/>
      <c r="Y116" s="29"/>
      <c r="Z116" s="29"/>
      <c r="AA116" s="29"/>
      <c r="AB116" s="29"/>
      <c r="AC116" s="29"/>
      <c r="AD116" s="29"/>
      <c r="AE116" s="41"/>
      <c r="AF116" s="41"/>
      <c r="AG116" s="41"/>
      <c r="AH116" s="41"/>
      <c r="AI116" s="41"/>
    </row>
    <row r="117" spans="1:36" s="41" customFormat="1" ht="24.95" customHeight="1" x14ac:dyDescent="0.25">
      <c r="B117" s="412"/>
      <c r="C117" s="413"/>
      <c r="D117" s="413"/>
      <c r="E117" s="413"/>
      <c r="F117" s="413"/>
      <c r="G117" s="413"/>
      <c r="H117" s="413"/>
      <c r="I117" s="413"/>
      <c r="J117" s="413"/>
      <c r="K117" s="413"/>
      <c r="L117" s="413"/>
      <c r="M117" s="413"/>
      <c r="N117" s="413"/>
      <c r="O117" s="414"/>
      <c r="P117" s="415" t="s">
        <v>53</v>
      </c>
      <c r="Q117" s="416"/>
      <c r="R117" s="417"/>
      <c r="S117" s="44">
        <f>IFERROR((S116/$P$6)," ")</f>
        <v>14.164752475247523</v>
      </c>
      <c r="T117" s="419"/>
      <c r="V117" s="507"/>
      <c r="X117" s="29"/>
      <c r="Y117" s="29"/>
      <c r="Z117" s="29"/>
      <c r="AA117" s="29"/>
      <c r="AB117" s="29"/>
      <c r="AC117" s="29"/>
      <c r="AD117" s="29"/>
    </row>
    <row r="118" spans="1:36" ht="30" customHeight="1" x14ac:dyDescent="0.25">
      <c r="AB118" s="29"/>
      <c r="AC118" s="29"/>
      <c r="AD118" s="29"/>
      <c r="AE118" s="41"/>
      <c r="AF118" s="41"/>
      <c r="AG118" s="41"/>
      <c r="AH118" s="41"/>
      <c r="AI118" s="28"/>
    </row>
    <row r="119" spans="1:36" ht="30" customHeight="1" x14ac:dyDescent="0.25">
      <c r="AB119" s="29"/>
      <c r="AC119" s="29"/>
      <c r="AD119" s="29"/>
      <c r="AE119" s="41"/>
      <c r="AF119" s="41"/>
      <c r="AG119" s="41"/>
      <c r="AH119" s="41"/>
      <c r="AI119" s="41"/>
    </row>
    <row r="120" spans="1:36" ht="66" customHeight="1" x14ac:dyDescent="0.25">
      <c r="B120" s="26">
        <v>6</v>
      </c>
      <c r="C120" s="469" t="s">
        <v>31</v>
      </c>
      <c r="D120" s="470"/>
      <c r="E120" s="471"/>
      <c r="F120" s="472" t="str">
        <f>IFERROR(VLOOKUP(B120,LISTA_OFERENTES,2,FALSE)," ")</f>
        <v>ANGELA MARÍA CÁRDENAS ZAPATA</v>
      </c>
      <c r="G120" s="473"/>
      <c r="H120" s="473"/>
      <c r="I120" s="473"/>
      <c r="J120" s="473"/>
      <c r="K120" s="473"/>
      <c r="L120" s="473"/>
      <c r="M120" s="473"/>
      <c r="N120" s="473"/>
      <c r="O120" s="474"/>
      <c r="P120" s="475" t="s">
        <v>32</v>
      </c>
      <c r="Q120" s="476"/>
      <c r="R120" s="477"/>
      <c r="S120" s="27">
        <f>5-(INT(COUNTBLANK(C123:C137))-10)</f>
        <v>4</v>
      </c>
      <c r="T120" s="28"/>
      <c r="AB120" s="29"/>
      <c r="AC120" s="29"/>
      <c r="AD120" s="29"/>
      <c r="AE120" s="41"/>
      <c r="AF120" s="41"/>
      <c r="AG120" s="41"/>
      <c r="AH120" s="41"/>
    </row>
    <row r="121" spans="1:36" s="42" customFormat="1" ht="30" customHeight="1" x14ac:dyDescent="0.25">
      <c r="B121" s="478" t="s">
        <v>33</v>
      </c>
      <c r="C121" s="461" t="s">
        <v>34</v>
      </c>
      <c r="D121" s="461" t="s">
        <v>35</v>
      </c>
      <c r="E121" s="461" t="s">
        <v>36</v>
      </c>
      <c r="F121" s="461" t="s">
        <v>37</v>
      </c>
      <c r="G121" s="461" t="s">
        <v>38</v>
      </c>
      <c r="H121" s="461" t="s">
        <v>39</v>
      </c>
      <c r="I121" s="461" t="s">
        <v>40</v>
      </c>
      <c r="J121" s="480" t="s">
        <v>41</v>
      </c>
      <c r="K121" s="481"/>
      <c r="L121" s="481"/>
      <c r="M121" s="482"/>
      <c r="N121" s="461" t="s">
        <v>42</v>
      </c>
      <c r="O121" s="461" t="s">
        <v>43</v>
      </c>
      <c r="P121" s="480" t="s">
        <v>44</v>
      </c>
      <c r="Q121" s="482"/>
      <c r="R121" s="461" t="s">
        <v>45</v>
      </c>
      <c r="S121" s="461" t="s">
        <v>46</v>
      </c>
      <c r="T121" s="461" t="str">
        <f>+$T$11</f>
        <v>CUMPLE CON EL REQUERIMIENTO DE HABER EJECUTADO MÁS DE 2000M# EN ACTIVIDADES DE PINTURA</v>
      </c>
      <c r="U121" s="461" t="str">
        <f>+$U$11</f>
        <v xml:space="preserve">VERIFICACIÓN CONDICIÓN DE EXPERIENCIA  </v>
      </c>
      <c r="V121" s="504" t="s">
        <v>248</v>
      </c>
      <c r="W121" s="45"/>
      <c r="X121" s="29"/>
      <c r="Y121" s="29"/>
      <c r="Z121" s="29"/>
      <c r="AA121" s="29"/>
      <c r="AB121" s="29"/>
      <c r="AC121" s="29"/>
      <c r="AD121" s="29"/>
      <c r="AE121" s="41"/>
      <c r="AF121" s="41"/>
      <c r="AG121" s="41"/>
      <c r="AH121" s="41"/>
      <c r="AI121" s="13"/>
    </row>
    <row r="122" spans="1:36" s="42" customFormat="1" ht="106.5" customHeight="1" x14ac:dyDescent="0.25">
      <c r="B122" s="479"/>
      <c r="C122" s="462"/>
      <c r="D122" s="462"/>
      <c r="E122" s="462"/>
      <c r="F122" s="462"/>
      <c r="G122" s="462"/>
      <c r="H122" s="462"/>
      <c r="I122" s="462"/>
      <c r="J122" s="463" t="s">
        <v>49</v>
      </c>
      <c r="K122" s="464"/>
      <c r="L122" s="464"/>
      <c r="M122" s="465"/>
      <c r="N122" s="462"/>
      <c r="O122" s="462"/>
      <c r="P122" s="33" t="s">
        <v>10</v>
      </c>
      <c r="Q122" s="33" t="s">
        <v>50</v>
      </c>
      <c r="R122" s="462"/>
      <c r="S122" s="462"/>
      <c r="T122" s="462"/>
      <c r="U122" s="462"/>
      <c r="V122" s="504"/>
      <c r="W122" s="45"/>
      <c r="X122" s="29"/>
      <c r="Y122" s="29"/>
      <c r="Z122" s="29"/>
      <c r="AA122" s="29"/>
      <c r="AB122" s="29"/>
      <c r="AC122" s="29"/>
      <c r="AD122" s="29"/>
      <c r="AE122" s="41"/>
      <c r="AF122" s="41"/>
      <c r="AG122" s="41"/>
      <c r="AH122" s="41"/>
      <c r="AI122" s="13"/>
    </row>
    <row r="123" spans="1:36" s="41" customFormat="1" ht="35.1" customHeight="1" x14ac:dyDescent="0.25">
      <c r="A123" s="40"/>
      <c r="B123" s="420">
        <v>1</v>
      </c>
      <c r="C123" s="423">
        <v>51</v>
      </c>
      <c r="D123" s="423">
        <v>63</v>
      </c>
      <c r="E123" s="423" t="s">
        <v>402</v>
      </c>
      <c r="F123" s="423" t="s">
        <v>406</v>
      </c>
      <c r="G123" s="426">
        <v>232.76</v>
      </c>
      <c r="H123" s="429" t="s">
        <v>360</v>
      </c>
      <c r="I123" s="432">
        <v>1</v>
      </c>
      <c r="J123" s="208" t="s">
        <v>346</v>
      </c>
      <c r="K123" s="38">
        <f>+$K$13</f>
        <v>721015</v>
      </c>
      <c r="L123" s="208"/>
      <c r="M123" s="38">
        <f>+$M$13</f>
        <v>0</v>
      </c>
      <c r="N123" s="435" t="s">
        <v>361</v>
      </c>
      <c r="O123" s="435" t="s">
        <v>362</v>
      </c>
      <c r="P123" s="438"/>
      <c r="Q123" s="441" t="s">
        <v>363</v>
      </c>
      <c r="R123" s="441" t="s">
        <v>375</v>
      </c>
      <c r="S123" s="444">
        <f>IF(COUNTIF(J123:K125,"CUMPLE")&gt;=1,(G123*I123),0)* (IF(N123="PRESENTÓ CERTIFICADO",1,0))* (IF(O123="ACORDE A ITEM 5.2.2 (T.R.)",1,0) )* ( IF(OR(Q123="SIN OBSERVACIÓN", Q123="REQUERIMIENTOS SUBSANADOS"),1,0)) *(IF(OR(R123="NINGUNO", R123="CUMPLEN CON LO SOLICITADO"),1,0))</f>
        <v>232.76</v>
      </c>
      <c r="T123" s="466" t="s">
        <v>376</v>
      </c>
      <c r="U123" s="447">
        <f t="shared" ref="U123" si="24">IF(COUNTIF(J123:K125,"CUMPLE")&gt;=1,1,0)</f>
        <v>1</v>
      </c>
      <c r="V123" s="505">
        <f>7297.93+1484.69</f>
        <v>8782.6200000000008</v>
      </c>
      <c r="X123" s="29"/>
      <c r="Y123" s="29"/>
      <c r="Z123" s="29"/>
      <c r="AA123" s="29"/>
      <c r="AE123" s="13"/>
      <c r="AF123" s="13"/>
      <c r="AG123" s="13"/>
      <c r="AH123" s="13"/>
      <c r="AI123" s="13"/>
      <c r="AJ123" s="13"/>
    </row>
    <row r="124" spans="1:36" s="41" customFormat="1" ht="35.1" customHeight="1" x14ac:dyDescent="0.25">
      <c r="A124" s="40"/>
      <c r="B124" s="421"/>
      <c r="C124" s="424"/>
      <c r="D124" s="424"/>
      <c r="E124" s="424"/>
      <c r="F124" s="424"/>
      <c r="G124" s="427"/>
      <c r="H124" s="430"/>
      <c r="I124" s="433"/>
      <c r="J124" s="208" t="s">
        <v>346</v>
      </c>
      <c r="K124" s="38">
        <f>+$K$14</f>
        <v>721033</v>
      </c>
      <c r="L124" s="448"/>
      <c r="M124" s="450">
        <f>+$M$14</f>
        <v>0</v>
      </c>
      <c r="N124" s="436"/>
      <c r="O124" s="436"/>
      <c r="P124" s="439"/>
      <c r="Q124" s="442"/>
      <c r="R124" s="442"/>
      <c r="S124" s="445"/>
      <c r="T124" s="467"/>
      <c r="U124" s="447"/>
      <c r="V124" s="505"/>
      <c r="X124" s="29"/>
      <c r="Y124" s="29"/>
      <c r="Z124" s="29"/>
      <c r="AA124" s="29"/>
      <c r="AE124" s="13"/>
      <c r="AF124" s="13"/>
      <c r="AG124" s="13"/>
      <c r="AH124" s="13"/>
      <c r="AI124" s="13"/>
      <c r="AJ124" s="13"/>
    </row>
    <row r="125" spans="1:36" s="41" customFormat="1" ht="35.1" customHeight="1" x14ac:dyDescent="0.25">
      <c r="A125" s="40"/>
      <c r="B125" s="422"/>
      <c r="C125" s="425"/>
      <c r="D125" s="425"/>
      <c r="E125" s="425"/>
      <c r="F125" s="425"/>
      <c r="G125" s="428"/>
      <c r="H125" s="431"/>
      <c r="I125" s="434"/>
      <c r="J125" s="208" t="s">
        <v>346</v>
      </c>
      <c r="K125" s="38">
        <f>+$K$15</f>
        <v>721513</v>
      </c>
      <c r="L125" s="449"/>
      <c r="M125" s="451"/>
      <c r="N125" s="437"/>
      <c r="O125" s="437"/>
      <c r="P125" s="440"/>
      <c r="Q125" s="443"/>
      <c r="R125" s="443"/>
      <c r="S125" s="446"/>
      <c r="T125" s="467"/>
      <c r="U125" s="447"/>
      <c r="V125" s="505"/>
      <c r="X125" s="29"/>
      <c r="Y125" s="29"/>
      <c r="Z125" s="29"/>
      <c r="AA125" s="29"/>
      <c r="AE125" s="13"/>
      <c r="AF125" s="13"/>
      <c r="AG125" s="13"/>
      <c r="AH125" s="13"/>
      <c r="AI125" s="13"/>
      <c r="AJ125" s="13"/>
    </row>
    <row r="126" spans="1:36" s="41" customFormat="1" ht="35.1" customHeight="1" x14ac:dyDescent="0.25">
      <c r="A126" s="40"/>
      <c r="B126" s="420">
        <v>2</v>
      </c>
      <c r="C126" s="452">
        <v>58</v>
      </c>
      <c r="D126" s="452">
        <v>70</v>
      </c>
      <c r="E126" s="452" t="s">
        <v>403</v>
      </c>
      <c r="F126" s="452" t="s">
        <v>407</v>
      </c>
      <c r="G126" s="455">
        <v>3648.73</v>
      </c>
      <c r="H126" s="429" t="s">
        <v>360</v>
      </c>
      <c r="I126" s="432">
        <v>1</v>
      </c>
      <c r="J126" s="208" t="s">
        <v>346</v>
      </c>
      <c r="K126" s="38">
        <f>+$K$13</f>
        <v>721015</v>
      </c>
      <c r="L126" s="208"/>
      <c r="M126" s="38">
        <f>+$M$13</f>
        <v>0</v>
      </c>
      <c r="N126" s="435" t="s">
        <v>361</v>
      </c>
      <c r="O126" s="435" t="s">
        <v>362</v>
      </c>
      <c r="P126" s="438"/>
      <c r="Q126" s="441" t="s">
        <v>363</v>
      </c>
      <c r="R126" s="441" t="s">
        <v>375</v>
      </c>
      <c r="S126" s="444">
        <f>IF(COUNTIF(J126:K128,"CUMPLE")&gt;=1,(G126*I126),0)* (IF(N126="PRESENTÓ CERTIFICADO",1,0))* (IF(O126="ACORDE A ITEM 5.2.2 (T.R.)",1,0) )* ( IF(OR(Q126="SIN OBSERVACIÓN", Q126="REQUERIMIENTOS SUBSANADOS"),1,0)) *(IF(OR(R126="NINGUNO", R126="CUMPLEN CON LO SOLICITADO"),1,0))</f>
        <v>3648.73</v>
      </c>
      <c r="T126" s="467"/>
      <c r="U126" s="447">
        <f t="shared" ref="U126" si="25">IF(COUNTIF(J126:K128,"CUMPLE")&gt;=1,1,0)</f>
        <v>1</v>
      </c>
      <c r="V126" s="505">
        <v>112.81</v>
      </c>
      <c r="X126" s="29"/>
      <c r="Y126" s="29"/>
      <c r="Z126" s="29"/>
      <c r="AA126" s="29"/>
      <c r="AE126" s="13"/>
      <c r="AF126" s="13"/>
      <c r="AG126" s="13"/>
      <c r="AH126" s="13"/>
      <c r="AI126" s="13"/>
      <c r="AJ126" s="13"/>
    </row>
    <row r="127" spans="1:36" s="41" customFormat="1" ht="35.1" customHeight="1" x14ac:dyDescent="0.25">
      <c r="A127" s="40"/>
      <c r="B127" s="421"/>
      <c r="C127" s="453"/>
      <c r="D127" s="453"/>
      <c r="E127" s="453"/>
      <c r="F127" s="453"/>
      <c r="G127" s="456"/>
      <c r="H127" s="430"/>
      <c r="I127" s="433"/>
      <c r="J127" s="208" t="s">
        <v>346</v>
      </c>
      <c r="K127" s="38">
        <f>+$K$14</f>
        <v>721033</v>
      </c>
      <c r="L127" s="448"/>
      <c r="M127" s="450">
        <f>+$M$14</f>
        <v>0</v>
      </c>
      <c r="N127" s="436"/>
      <c r="O127" s="436"/>
      <c r="P127" s="439"/>
      <c r="Q127" s="442"/>
      <c r="R127" s="442"/>
      <c r="S127" s="445"/>
      <c r="T127" s="467"/>
      <c r="U127" s="447"/>
      <c r="V127" s="505"/>
      <c r="X127" s="29"/>
      <c r="Y127" s="29"/>
      <c r="Z127" s="29"/>
      <c r="AA127" s="29"/>
      <c r="AE127" s="13"/>
      <c r="AF127" s="13"/>
      <c r="AG127" s="13"/>
      <c r="AH127" s="13"/>
      <c r="AI127" s="13"/>
      <c r="AJ127" s="13"/>
    </row>
    <row r="128" spans="1:36" s="41" customFormat="1" ht="35.1" customHeight="1" x14ac:dyDescent="0.25">
      <c r="A128" s="40"/>
      <c r="B128" s="422"/>
      <c r="C128" s="454"/>
      <c r="D128" s="454"/>
      <c r="E128" s="454"/>
      <c r="F128" s="454"/>
      <c r="G128" s="457"/>
      <c r="H128" s="431"/>
      <c r="I128" s="434"/>
      <c r="J128" s="208" t="s">
        <v>346</v>
      </c>
      <c r="K128" s="38">
        <f>+$K$15</f>
        <v>721513</v>
      </c>
      <c r="L128" s="449"/>
      <c r="M128" s="451"/>
      <c r="N128" s="437"/>
      <c r="O128" s="437"/>
      <c r="P128" s="440"/>
      <c r="Q128" s="443"/>
      <c r="R128" s="443"/>
      <c r="S128" s="446"/>
      <c r="T128" s="467"/>
      <c r="U128" s="447"/>
      <c r="V128" s="505"/>
      <c r="X128" s="29"/>
      <c r="Y128" s="29"/>
      <c r="Z128" s="29"/>
      <c r="AA128" s="29"/>
      <c r="AE128" s="13"/>
      <c r="AF128" s="13"/>
      <c r="AG128" s="13"/>
      <c r="AH128" s="13"/>
      <c r="AI128" s="13"/>
      <c r="AJ128" s="13"/>
    </row>
    <row r="129" spans="1:36" s="41" customFormat="1" ht="35.1" customHeight="1" x14ac:dyDescent="0.25">
      <c r="A129" s="40"/>
      <c r="B129" s="420">
        <v>3</v>
      </c>
      <c r="C129" s="423">
        <v>59</v>
      </c>
      <c r="D129" s="423">
        <v>71</v>
      </c>
      <c r="E129" s="423" t="s">
        <v>404</v>
      </c>
      <c r="F129" s="423" t="s">
        <v>408</v>
      </c>
      <c r="G129" s="426">
        <v>5322.47</v>
      </c>
      <c r="H129" s="429" t="s">
        <v>360</v>
      </c>
      <c r="I129" s="432">
        <v>1</v>
      </c>
      <c r="J129" s="208" t="s">
        <v>346</v>
      </c>
      <c r="K129" s="38">
        <f>+$K$13</f>
        <v>721015</v>
      </c>
      <c r="L129" s="208"/>
      <c r="M129" s="38">
        <f>+$M$13</f>
        <v>0</v>
      </c>
      <c r="N129" s="435" t="s">
        <v>361</v>
      </c>
      <c r="O129" s="435" t="s">
        <v>362</v>
      </c>
      <c r="P129" s="438"/>
      <c r="Q129" s="441" t="s">
        <v>363</v>
      </c>
      <c r="R129" s="441" t="s">
        <v>375</v>
      </c>
      <c r="S129" s="444">
        <f>IF(COUNTIF(J129:K131,"CUMPLE")&gt;=1,(G129*I129),0)* (IF(N129="PRESENTÓ CERTIFICADO",1,0))* (IF(O129="ACORDE A ITEM 5.2.2 (T.R.)",1,0) )* ( IF(OR(Q129="SIN OBSERVACIÓN", Q129="REQUERIMIENTOS SUBSANADOS"),1,0)) *(IF(OR(R129="NINGUNO", R129="CUMPLEN CON LO SOLICITADO"),1,0))</f>
        <v>5322.47</v>
      </c>
      <c r="T129" s="467"/>
      <c r="U129" s="447">
        <f t="shared" ref="U129" si="26">IF(COUNTIF(J129:K131,"CUMPLE")&gt;=1,1,0)</f>
        <v>1</v>
      </c>
      <c r="V129" s="505">
        <f>15000+23000+11000+13000</f>
        <v>62000</v>
      </c>
      <c r="X129" s="29"/>
      <c r="Y129" s="29"/>
      <c r="Z129" s="29"/>
      <c r="AA129" s="29"/>
      <c r="AB129" s="28"/>
      <c r="AC129" s="28"/>
      <c r="AD129" s="28"/>
      <c r="AE129" s="13"/>
      <c r="AF129" s="13"/>
      <c r="AG129" s="13"/>
      <c r="AH129" s="13"/>
      <c r="AI129" s="13"/>
      <c r="AJ129" s="13"/>
    </row>
    <row r="130" spans="1:36" s="41" customFormat="1" ht="35.1" customHeight="1" x14ac:dyDescent="0.25">
      <c r="A130" s="40"/>
      <c r="B130" s="421"/>
      <c r="C130" s="424"/>
      <c r="D130" s="424"/>
      <c r="E130" s="424"/>
      <c r="F130" s="424"/>
      <c r="G130" s="427"/>
      <c r="H130" s="430"/>
      <c r="I130" s="433"/>
      <c r="J130" s="208" t="s">
        <v>346</v>
      </c>
      <c r="K130" s="38">
        <f>+$K$14</f>
        <v>721033</v>
      </c>
      <c r="L130" s="448"/>
      <c r="M130" s="450">
        <f>+$M$14</f>
        <v>0</v>
      </c>
      <c r="N130" s="436"/>
      <c r="O130" s="436"/>
      <c r="P130" s="439"/>
      <c r="Q130" s="442"/>
      <c r="R130" s="442"/>
      <c r="S130" s="445"/>
      <c r="T130" s="467"/>
      <c r="U130" s="447"/>
      <c r="V130" s="505"/>
      <c r="X130" s="29"/>
      <c r="Y130" s="29"/>
      <c r="Z130" s="29"/>
      <c r="AA130" s="29"/>
      <c r="AI130" s="13"/>
      <c r="AJ130" s="13"/>
    </row>
    <row r="131" spans="1:36" s="41" customFormat="1" ht="35.1" customHeight="1" x14ac:dyDescent="0.25">
      <c r="A131" s="40"/>
      <c r="B131" s="422"/>
      <c r="C131" s="425"/>
      <c r="D131" s="425"/>
      <c r="E131" s="425"/>
      <c r="F131" s="425"/>
      <c r="G131" s="428"/>
      <c r="H131" s="431"/>
      <c r="I131" s="434"/>
      <c r="J131" s="208" t="s">
        <v>346</v>
      </c>
      <c r="K131" s="38">
        <f>+$K$15</f>
        <v>721513</v>
      </c>
      <c r="L131" s="449"/>
      <c r="M131" s="451"/>
      <c r="N131" s="437"/>
      <c r="O131" s="437"/>
      <c r="P131" s="440"/>
      <c r="Q131" s="443"/>
      <c r="R131" s="443"/>
      <c r="S131" s="446"/>
      <c r="T131" s="467"/>
      <c r="U131" s="447"/>
      <c r="V131" s="505"/>
      <c r="X131" s="29"/>
      <c r="Y131" s="29"/>
      <c r="Z131" s="29"/>
      <c r="AA131" s="29"/>
    </row>
    <row r="132" spans="1:36" s="41" customFormat="1" ht="35.1" customHeight="1" x14ac:dyDescent="0.25">
      <c r="A132" s="40"/>
      <c r="B132" s="420">
        <v>4</v>
      </c>
      <c r="C132" s="452">
        <v>70</v>
      </c>
      <c r="D132" s="452">
        <v>85</v>
      </c>
      <c r="E132" s="452" t="s">
        <v>405</v>
      </c>
      <c r="F132" s="452" t="s">
        <v>408</v>
      </c>
      <c r="G132" s="455">
        <v>8133.42</v>
      </c>
      <c r="H132" s="429" t="s">
        <v>353</v>
      </c>
      <c r="I132" s="458">
        <v>0.3</v>
      </c>
      <c r="J132" s="208" t="s">
        <v>346</v>
      </c>
      <c r="K132" s="38">
        <f>+$K$13</f>
        <v>721015</v>
      </c>
      <c r="L132" s="208"/>
      <c r="M132" s="38">
        <f>+$M$13</f>
        <v>0</v>
      </c>
      <c r="N132" s="435" t="s">
        <v>361</v>
      </c>
      <c r="O132" s="435" t="s">
        <v>362</v>
      </c>
      <c r="P132" s="438"/>
      <c r="Q132" s="441" t="s">
        <v>363</v>
      </c>
      <c r="R132" s="441" t="s">
        <v>375</v>
      </c>
      <c r="S132" s="444">
        <f>IF(COUNTIF(J132:K134,"CUMPLE")&gt;=1,(G132*I132),0)* (IF(N132="PRESENTÓ CERTIFICADO",1,0))* (IF(O132="ACORDE A ITEM 5.2.2 (T.R.)",1,0) )* ( IF(OR(Q132="SIN OBSERVACIÓN", Q132="REQUERIMIENTOS SUBSANADOS"),1,0)) *(IF(OR(R132="NINGUNO", R132="CUMPLEN CON LO SOLICITADO"),1,0))</f>
        <v>2440.0259999999998</v>
      </c>
      <c r="T132" s="467"/>
      <c r="U132" s="447">
        <f t="shared" ref="U132" si="27">IF(COUNTIF(J132:K134,"CUMPLE")&gt;=1,1,0)</f>
        <v>1</v>
      </c>
      <c r="V132" s="505"/>
      <c r="X132" s="29"/>
      <c r="Y132" s="29"/>
      <c r="Z132" s="29"/>
      <c r="AA132" s="29"/>
      <c r="AB132" s="13"/>
      <c r="AC132" s="13"/>
      <c r="AD132" s="13"/>
      <c r="AE132" s="13"/>
      <c r="AF132" s="13"/>
      <c r="AG132" s="13"/>
      <c r="AH132" s="13"/>
    </row>
    <row r="133" spans="1:36" s="41" customFormat="1" ht="35.1" customHeight="1" x14ac:dyDescent="0.25">
      <c r="A133" s="40"/>
      <c r="B133" s="421"/>
      <c r="C133" s="453"/>
      <c r="D133" s="453"/>
      <c r="E133" s="453"/>
      <c r="F133" s="453"/>
      <c r="G133" s="456"/>
      <c r="H133" s="430"/>
      <c r="I133" s="459"/>
      <c r="J133" s="208" t="s">
        <v>346</v>
      </c>
      <c r="K133" s="38">
        <f>+$K$14</f>
        <v>721033</v>
      </c>
      <c r="L133" s="448"/>
      <c r="M133" s="450">
        <f>+$M$14</f>
        <v>0</v>
      </c>
      <c r="N133" s="436"/>
      <c r="O133" s="436"/>
      <c r="P133" s="439"/>
      <c r="Q133" s="442"/>
      <c r="R133" s="442"/>
      <c r="S133" s="445"/>
      <c r="T133" s="467"/>
      <c r="U133" s="447"/>
      <c r="V133" s="505"/>
      <c r="X133" s="29"/>
      <c r="Y133" s="29"/>
      <c r="Z133" s="29"/>
      <c r="AA133" s="29"/>
      <c r="AB133" s="13"/>
      <c r="AC133" s="13"/>
      <c r="AD133" s="13"/>
      <c r="AE133" s="13"/>
      <c r="AF133" s="13"/>
      <c r="AG133" s="13"/>
      <c r="AH133" s="13"/>
    </row>
    <row r="134" spans="1:36" s="41" customFormat="1" ht="35.1" customHeight="1" x14ac:dyDescent="0.25">
      <c r="A134" s="40"/>
      <c r="B134" s="422"/>
      <c r="C134" s="454"/>
      <c r="D134" s="454"/>
      <c r="E134" s="454"/>
      <c r="F134" s="454"/>
      <c r="G134" s="457"/>
      <c r="H134" s="431"/>
      <c r="I134" s="460"/>
      <c r="J134" s="208" t="s">
        <v>346</v>
      </c>
      <c r="K134" s="38">
        <f>+$K$15</f>
        <v>721513</v>
      </c>
      <c r="L134" s="449"/>
      <c r="M134" s="451"/>
      <c r="N134" s="437"/>
      <c r="O134" s="437"/>
      <c r="P134" s="440"/>
      <c r="Q134" s="443"/>
      <c r="R134" s="443"/>
      <c r="S134" s="446"/>
      <c r="T134" s="467"/>
      <c r="U134" s="447"/>
      <c r="V134" s="505"/>
      <c r="X134" s="29"/>
      <c r="Y134" s="29"/>
      <c r="Z134" s="29"/>
      <c r="AA134" s="29"/>
      <c r="AB134" s="29"/>
      <c r="AC134" s="29"/>
      <c r="AD134" s="29"/>
      <c r="AE134" s="42"/>
      <c r="AF134" s="42"/>
      <c r="AG134" s="42"/>
      <c r="AH134" s="42"/>
    </row>
    <row r="135" spans="1:36" s="41" customFormat="1" ht="24.95" hidden="1" customHeight="1" x14ac:dyDescent="0.25">
      <c r="A135" s="40"/>
      <c r="B135" s="420">
        <v>5</v>
      </c>
      <c r="C135" s="423"/>
      <c r="D135" s="423"/>
      <c r="E135" s="423"/>
      <c r="F135" s="423"/>
      <c r="G135" s="426"/>
      <c r="H135" s="429"/>
      <c r="I135" s="432"/>
      <c r="J135" s="208"/>
      <c r="K135" s="38">
        <f>+$K$13</f>
        <v>721015</v>
      </c>
      <c r="L135" s="208"/>
      <c r="M135" s="38">
        <f>+$M$13</f>
        <v>0</v>
      </c>
      <c r="N135" s="435"/>
      <c r="O135" s="435"/>
      <c r="P135" s="438"/>
      <c r="Q135" s="441"/>
      <c r="R135" s="441"/>
      <c r="S135" s="444">
        <f>IF(COUNTIF(J135:K137,"CUMPLE")&gt;=1,(G135*I135),0)* (IF(N135="PRESENTÓ CERTIFICADO",1,0))* (IF(O135="ACORDE A ITEM 5.2.2 (T.R.)",1,0) )* ( IF(OR(Q135="SIN OBSERVACIÓN", Q135="REQUERIMIENTOS SUBSANADOS"),1,0)) *(IF(OR(R135="NINGUNO", R135="CUMPLEN CON LO SOLICITADO"),1,0))</f>
        <v>0</v>
      </c>
      <c r="T135" s="467"/>
      <c r="U135" s="447">
        <f t="shared" ref="U135" si="28">IF(COUNTIF(J135:K137,"CUMPLE")&gt;=1,1,0)</f>
        <v>0</v>
      </c>
      <c r="V135" s="505"/>
      <c r="X135" s="29"/>
      <c r="Y135" s="29"/>
      <c r="Z135" s="29"/>
      <c r="AA135" s="29"/>
      <c r="AB135" s="29"/>
      <c r="AC135" s="29"/>
      <c r="AD135" s="29"/>
      <c r="AE135" s="42"/>
      <c r="AF135" s="42"/>
      <c r="AG135" s="42"/>
      <c r="AH135" s="42"/>
    </row>
    <row r="136" spans="1:36" s="41" customFormat="1" ht="24.95" hidden="1" customHeight="1" x14ac:dyDescent="0.25">
      <c r="A136" s="40"/>
      <c r="B136" s="421"/>
      <c r="C136" s="424"/>
      <c r="D136" s="424"/>
      <c r="E136" s="424"/>
      <c r="F136" s="424"/>
      <c r="G136" s="427"/>
      <c r="H136" s="430"/>
      <c r="I136" s="433"/>
      <c r="J136" s="208"/>
      <c r="K136" s="38">
        <f>+$K$14</f>
        <v>721033</v>
      </c>
      <c r="L136" s="448"/>
      <c r="M136" s="450">
        <f>+$M$14</f>
        <v>0</v>
      </c>
      <c r="N136" s="436"/>
      <c r="O136" s="436"/>
      <c r="P136" s="439"/>
      <c r="Q136" s="442"/>
      <c r="R136" s="442"/>
      <c r="S136" s="445"/>
      <c r="T136" s="467"/>
      <c r="U136" s="447"/>
      <c r="V136" s="505"/>
      <c r="X136" s="29"/>
      <c r="Y136" s="29"/>
      <c r="Z136" s="29"/>
      <c r="AA136" s="29"/>
      <c r="AB136" s="29"/>
      <c r="AC136" s="29"/>
      <c r="AD136" s="29"/>
    </row>
    <row r="137" spans="1:36" s="41" customFormat="1" ht="24.95" hidden="1" customHeight="1" x14ac:dyDescent="0.25">
      <c r="A137" s="40"/>
      <c r="B137" s="422"/>
      <c r="C137" s="425"/>
      <c r="D137" s="425"/>
      <c r="E137" s="425"/>
      <c r="F137" s="425"/>
      <c r="G137" s="428"/>
      <c r="H137" s="431"/>
      <c r="I137" s="434"/>
      <c r="J137" s="208"/>
      <c r="K137" s="38">
        <f>+$K$15</f>
        <v>721513</v>
      </c>
      <c r="L137" s="449"/>
      <c r="M137" s="451"/>
      <c r="N137" s="437"/>
      <c r="O137" s="437"/>
      <c r="P137" s="440"/>
      <c r="Q137" s="443"/>
      <c r="R137" s="443"/>
      <c r="S137" s="446"/>
      <c r="T137" s="468"/>
      <c r="U137" s="447"/>
      <c r="V137" s="505"/>
      <c r="X137" s="29"/>
      <c r="Y137" s="29"/>
      <c r="Z137" s="29"/>
      <c r="AA137" s="29"/>
      <c r="AB137" s="29"/>
      <c r="AC137" s="29"/>
      <c r="AD137" s="29"/>
    </row>
    <row r="138" spans="1:36" s="28" customFormat="1" ht="24.95" customHeight="1" x14ac:dyDescent="0.25">
      <c r="B138" s="409" t="str">
        <f>IF(S139=" "," ",IF(S139&gt;=$H$6,"CUMPLE CON LA EXPERIENCIA REQUERIDA","NO CUMPLE CON LA EXPERIENCIA REQUERIDA"))</f>
        <v>CUMPLE CON LA EXPERIENCIA REQUERIDA</v>
      </c>
      <c r="C138" s="410"/>
      <c r="D138" s="410"/>
      <c r="E138" s="410"/>
      <c r="F138" s="410"/>
      <c r="G138" s="410"/>
      <c r="H138" s="410"/>
      <c r="I138" s="410"/>
      <c r="J138" s="410"/>
      <c r="K138" s="410"/>
      <c r="L138" s="410"/>
      <c r="M138" s="410"/>
      <c r="N138" s="410"/>
      <c r="O138" s="411"/>
      <c r="P138" s="415" t="s">
        <v>52</v>
      </c>
      <c r="Q138" s="416"/>
      <c r="R138" s="417"/>
      <c r="S138" s="44">
        <f>IF(T123="SI",SUM(S123:S137),0)</f>
        <v>11643.985999999999</v>
      </c>
      <c r="T138" s="418" t="str">
        <f>IF(S139=" "," ",IF(S139&gt;=$H$6,"CUMPLE","NO CUMPLE"))</f>
        <v>CUMPLE</v>
      </c>
      <c r="V138" s="506">
        <f>SUM(V123:V137)</f>
        <v>70895.429999999993</v>
      </c>
      <c r="X138" s="29"/>
      <c r="Y138" s="29"/>
      <c r="Z138" s="29"/>
      <c r="AA138" s="29"/>
      <c r="AB138" s="29"/>
      <c r="AC138" s="29"/>
      <c r="AD138" s="29"/>
      <c r="AE138" s="41"/>
      <c r="AF138" s="41"/>
      <c r="AG138" s="41"/>
      <c r="AH138" s="41"/>
      <c r="AI138" s="41"/>
    </row>
    <row r="139" spans="1:36" s="41" customFormat="1" ht="24.95" customHeight="1" x14ac:dyDescent="0.25">
      <c r="B139" s="412"/>
      <c r="C139" s="413"/>
      <c r="D139" s="413"/>
      <c r="E139" s="413"/>
      <c r="F139" s="413"/>
      <c r="G139" s="413"/>
      <c r="H139" s="413"/>
      <c r="I139" s="413"/>
      <c r="J139" s="413"/>
      <c r="K139" s="413"/>
      <c r="L139" s="413"/>
      <c r="M139" s="413"/>
      <c r="N139" s="413"/>
      <c r="O139" s="414"/>
      <c r="P139" s="415" t="s">
        <v>53</v>
      </c>
      <c r="Q139" s="416"/>
      <c r="R139" s="417"/>
      <c r="S139" s="44">
        <f>IFERROR((S138/$P$6)," ")</f>
        <v>14.410873762376236</v>
      </c>
      <c r="T139" s="419"/>
      <c r="V139" s="507"/>
      <c r="X139" s="29"/>
      <c r="Y139" s="29"/>
      <c r="Z139" s="29"/>
      <c r="AA139" s="29"/>
      <c r="AB139" s="29"/>
      <c r="AC139" s="29"/>
      <c r="AD139" s="29"/>
    </row>
    <row r="140" spans="1:36" ht="30" customHeight="1" x14ac:dyDescent="0.25">
      <c r="AB140" s="29"/>
      <c r="AC140" s="29"/>
      <c r="AD140" s="29"/>
      <c r="AE140" s="41"/>
      <c r="AF140" s="41"/>
      <c r="AG140" s="41"/>
      <c r="AH140" s="41"/>
      <c r="AI140" s="28"/>
    </row>
    <row r="141" spans="1:36" ht="30" customHeight="1" x14ac:dyDescent="0.25">
      <c r="AB141" s="29"/>
      <c r="AC141" s="29"/>
      <c r="AD141" s="29"/>
      <c r="AE141" s="41"/>
      <c r="AF141" s="41"/>
      <c r="AG141" s="41"/>
      <c r="AH141" s="41"/>
      <c r="AI141" s="41"/>
    </row>
    <row r="142" spans="1:36" ht="64.5" customHeight="1" x14ac:dyDescent="0.25">
      <c r="B142" s="26">
        <v>7</v>
      </c>
      <c r="C142" s="469" t="s">
        <v>31</v>
      </c>
      <c r="D142" s="470"/>
      <c r="E142" s="471"/>
      <c r="F142" s="472" t="str">
        <f>IFERROR(VLOOKUP(B142,LISTA_OFERENTES,2,FALSE)," ")</f>
        <v>ASEM S.A.S</v>
      </c>
      <c r="G142" s="473"/>
      <c r="H142" s="473"/>
      <c r="I142" s="473"/>
      <c r="J142" s="473"/>
      <c r="K142" s="473"/>
      <c r="L142" s="473"/>
      <c r="M142" s="473"/>
      <c r="N142" s="473"/>
      <c r="O142" s="474"/>
      <c r="P142" s="475" t="s">
        <v>32</v>
      </c>
      <c r="Q142" s="476"/>
      <c r="R142" s="477"/>
      <c r="S142" s="27">
        <f>5-(INT(COUNTBLANK(C145:C159))-10)</f>
        <v>2</v>
      </c>
      <c r="T142" s="28"/>
      <c r="AB142" s="29"/>
      <c r="AC142" s="29"/>
      <c r="AD142" s="29"/>
      <c r="AE142" s="41"/>
      <c r="AF142" s="41"/>
      <c r="AG142" s="41"/>
      <c r="AH142" s="41"/>
    </row>
    <row r="143" spans="1:36" s="42" customFormat="1" ht="30" customHeight="1" x14ac:dyDescent="0.25">
      <c r="B143" s="478" t="s">
        <v>33</v>
      </c>
      <c r="C143" s="461" t="s">
        <v>34</v>
      </c>
      <c r="D143" s="461" t="s">
        <v>35</v>
      </c>
      <c r="E143" s="461" t="s">
        <v>36</v>
      </c>
      <c r="F143" s="461" t="s">
        <v>37</v>
      </c>
      <c r="G143" s="461" t="s">
        <v>38</v>
      </c>
      <c r="H143" s="461" t="s">
        <v>39</v>
      </c>
      <c r="I143" s="461" t="s">
        <v>40</v>
      </c>
      <c r="J143" s="480" t="s">
        <v>41</v>
      </c>
      <c r="K143" s="481"/>
      <c r="L143" s="481"/>
      <c r="M143" s="482"/>
      <c r="N143" s="461" t="s">
        <v>42</v>
      </c>
      <c r="O143" s="461" t="s">
        <v>43</v>
      </c>
      <c r="P143" s="480" t="s">
        <v>44</v>
      </c>
      <c r="Q143" s="482"/>
      <c r="R143" s="461" t="s">
        <v>45</v>
      </c>
      <c r="S143" s="461" t="s">
        <v>46</v>
      </c>
      <c r="T143" s="461" t="str">
        <f>+$T$11</f>
        <v>CUMPLE CON EL REQUERIMIENTO DE HABER EJECUTADO MÁS DE 2000M# EN ACTIVIDADES DE PINTURA</v>
      </c>
      <c r="U143" s="461" t="str">
        <f>+$U$11</f>
        <v xml:space="preserve">VERIFICACIÓN CONDICIÓN DE EXPERIENCIA  </v>
      </c>
      <c r="V143" s="504" t="s">
        <v>248</v>
      </c>
      <c r="W143" s="45"/>
      <c r="X143" s="29"/>
      <c r="Y143" s="29"/>
      <c r="Z143" s="29"/>
      <c r="AA143" s="29"/>
      <c r="AB143" s="29"/>
      <c r="AC143" s="29"/>
      <c r="AD143" s="29"/>
      <c r="AE143" s="41"/>
      <c r="AF143" s="41"/>
      <c r="AG143" s="41"/>
      <c r="AH143" s="41"/>
      <c r="AI143" s="13"/>
    </row>
    <row r="144" spans="1:36" s="42" customFormat="1" ht="113.25" customHeight="1" x14ac:dyDescent="0.25">
      <c r="B144" s="479"/>
      <c r="C144" s="462"/>
      <c r="D144" s="462"/>
      <c r="E144" s="462"/>
      <c r="F144" s="462"/>
      <c r="G144" s="462"/>
      <c r="H144" s="462"/>
      <c r="I144" s="462"/>
      <c r="J144" s="463" t="s">
        <v>49</v>
      </c>
      <c r="K144" s="464"/>
      <c r="L144" s="464"/>
      <c r="M144" s="465"/>
      <c r="N144" s="462"/>
      <c r="O144" s="462"/>
      <c r="P144" s="33" t="s">
        <v>10</v>
      </c>
      <c r="Q144" s="33" t="s">
        <v>50</v>
      </c>
      <c r="R144" s="462"/>
      <c r="S144" s="462"/>
      <c r="T144" s="462"/>
      <c r="U144" s="462"/>
      <c r="V144" s="504"/>
      <c r="W144" s="45"/>
      <c r="X144" s="29"/>
      <c r="Y144" s="29"/>
      <c r="Z144" s="29"/>
      <c r="AA144" s="29"/>
      <c r="AB144" s="29"/>
      <c r="AC144" s="29"/>
      <c r="AD144" s="29"/>
      <c r="AE144" s="41"/>
      <c r="AF144" s="41"/>
      <c r="AG144" s="41"/>
      <c r="AH144" s="41"/>
      <c r="AI144" s="13"/>
    </row>
    <row r="145" spans="1:36" s="41" customFormat="1" ht="24.95" customHeight="1" x14ac:dyDescent="0.25">
      <c r="A145" s="40"/>
      <c r="B145" s="420">
        <v>1</v>
      </c>
      <c r="C145" s="423">
        <v>7</v>
      </c>
      <c r="D145" s="423">
        <v>10</v>
      </c>
      <c r="E145" s="423" t="s">
        <v>397</v>
      </c>
      <c r="F145" s="423" t="s">
        <v>401</v>
      </c>
      <c r="G145" s="426">
        <v>1668.29</v>
      </c>
      <c r="H145" s="429" t="s">
        <v>360</v>
      </c>
      <c r="I145" s="432">
        <v>1</v>
      </c>
      <c r="J145" s="208" t="s">
        <v>346</v>
      </c>
      <c r="K145" s="38">
        <f>+$K$13</f>
        <v>721015</v>
      </c>
      <c r="L145" s="208"/>
      <c r="M145" s="38">
        <f>+$M$13</f>
        <v>0</v>
      </c>
      <c r="N145" s="435" t="s">
        <v>361</v>
      </c>
      <c r="O145" s="435" t="s">
        <v>362</v>
      </c>
      <c r="P145" s="438"/>
      <c r="Q145" s="441" t="s">
        <v>363</v>
      </c>
      <c r="R145" s="441" t="s">
        <v>375</v>
      </c>
      <c r="S145" s="444">
        <f>IF(COUNTIF(J145:K147,"CUMPLE")&gt;=1,(G145*I145),0)* (IF(N145="PRESENTÓ CERTIFICADO",1,0))* (IF(O145="ACORDE A ITEM 5.2.2 (T.R.)",1,0) )* ( IF(OR(Q145="SIN OBSERVACIÓN", Q145="REQUERIMIENTOS SUBSANADOS"),1,0)) *(IF(OR(R145="NINGUNO", R145="CUMPLEN CON LO SOLICITADO"),1,0))</f>
        <v>1668.29</v>
      </c>
      <c r="T145" s="466" t="s">
        <v>376</v>
      </c>
      <c r="U145" s="447">
        <f>IF(COUNTIF(J145:K147,"CUMPLE")&gt;=1,1,0)</f>
        <v>1</v>
      </c>
      <c r="V145" s="505">
        <v>633.79999999999995</v>
      </c>
      <c r="X145" s="29"/>
      <c r="Y145" s="29"/>
      <c r="Z145" s="29"/>
      <c r="AA145" s="29"/>
      <c r="AE145" s="13"/>
      <c r="AF145" s="13"/>
      <c r="AG145" s="13"/>
      <c r="AH145" s="13"/>
      <c r="AI145" s="13"/>
      <c r="AJ145" s="13"/>
    </row>
    <row r="146" spans="1:36" s="41" customFormat="1" ht="24.95" customHeight="1" x14ac:dyDescent="0.25">
      <c r="A146" s="40"/>
      <c r="B146" s="421"/>
      <c r="C146" s="424"/>
      <c r="D146" s="424"/>
      <c r="E146" s="424"/>
      <c r="F146" s="424"/>
      <c r="G146" s="427"/>
      <c r="H146" s="430"/>
      <c r="I146" s="433"/>
      <c r="J146" s="208" t="s">
        <v>347</v>
      </c>
      <c r="K146" s="38">
        <f>+$K$14</f>
        <v>721033</v>
      </c>
      <c r="L146" s="448"/>
      <c r="M146" s="450">
        <f>+$M$14</f>
        <v>0</v>
      </c>
      <c r="N146" s="436"/>
      <c r="O146" s="436"/>
      <c r="P146" s="439"/>
      <c r="Q146" s="442"/>
      <c r="R146" s="442"/>
      <c r="S146" s="445"/>
      <c r="T146" s="467"/>
      <c r="U146" s="447"/>
      <c r="V146" s="505"/>
      <c r="X146" s="29"/>
      <c r="Y146" s="29"/>
      <c r="Z146" s="29"/>
      <c r="AA146" s="29"/>
      <c r="AE146" s="13"/>
      <c r="AF146" s="13"/>
      <c r="AG146" s="13"/>
      <c r="AH146" s="13"/>
      <c r="AI146" s="13"/>
      <c r="AJ146" s="13"/>
    </row>
    <row r="147" spans="1:36" s="41" customFormat="1" ht="36" customHeight="1" x14ac:dyDescent="0.25">
      <c r="A147" s="40"/>
      <c r="B147" s="422"/>
      <c r="C147" s="425"/>
      <c r="D147" s="425"/>
      <c r="E147" s="425"/>
      <c r="F147" s="425"/>
      <c r="G147" s="428"/>
      <c r="H147" s="431"/>
      <c r="I147" s="434"/>
      <c r="J147" s="208" t="s">
        <v>347</v>
      </c>
      <c r="K147" s="38">
        <f>+$K$15</f>
        <v>721513</v>
      </c>
      <c r="L147" s="449"/>
      <c r="M147" s="451"/>
      <c r="N147" s="437"/>
      <c r="O147" s="437"/>
      <c r="P147" s="440"/>
      <c r="Q147" s="443"/>
      <c r="R147" s="443"/>
      <c r="S147" s="446"/>
      <c r="T147" s="467"/>
      <c r="U147" s="447"/>
      <c r="V147" s="505"/>
      <c r="X147" s="29"/>
      <c r="Y147" s="29"/>
      <c r="Z147" s="29"/>
      <c r="AA147" s="29"/>
      <c r="AE147" s="13"/>
      <c r="AF147" s="13"/>
      <c r="AG147" s="13"/>
      <c r="AH147" s="13"/>
      <c r="AI147" s="13"/>
      <c r="AJ147" s="13"/>
    </row>
    <row r="148" spans="1:36" s="41" customFormat="1" ht="24.95" customHeight="1" x14ac:dyDescent="0.25">
      <c r="A148" s="40"/>
      <c r="B148" s="420">
        <v>2</v>
      </c>
      <c r="C148" s="452">
        <v>1</v>
      </c>
      <c r="D148" s="452">
        <v>15</v>
      </c>
      <c r="E148" s="452" t="s">
        <v>398</v>
      </c>
      <c r="F148" s="423" t="s">
        <v>401</v>
      </c>
      <c r="G148" s="455">
        <v>4045.78</v>
      </c>
      <c r="H148" s="429" t="s">
        <v>353</v>
      </c>
      <c r="I148" s="458">
        <v>0.8</v>
      </c>
      <c r="J148" s="208" t="s">
        <v>346</v>
      </c>
      <c r="K148" s="38">
        <f>+$K$13</f>
        <v>721015</v>
      </c>
      <c r="L148" s="208"/>
      <c r="M148" s="38">
        <f>+$M$13</f>
        <v>0</v>
      </c>
      <c r="N148" s="435" t="s">
        <v>361</v>
      </c>
      <c r="O148" s="435" t="s">
        <v>362</v>
      </c>
      <c r="P148" s="438"/>
      <c r="Q148" s="441" t="s">
        <v>363</v>
      </c>
      <c r="R148" s="441" t="s">
        <v>375</v>
      </c>
      <c r="S148" s="444">
        <f>IF(COUNTIF(J148:K150,"CUMPLE")&gt;=1,(G148*I148),0)* (IF(N148="PRESENTÓ CERTIFICADO",1,0))* (IF(O148="ACORDE A ITEM 5.2.2 (T.R.)",1,0) )* ( IF(OR(Q148="SIN OBSERVACIÓN", Q148="REQUERIMIENTOS SUBSANADOS"),1,0)) *(IF(OR(R148="NINGUNO", R148="CUMPLEN CON LO SOLICITADO"),1,0))</f>
        <v>3236.6240000000003</v>
      </c>
      <c r="T148" s="467"/>
      <c r="U148" s="447">
        <f>IF(COUNTIF(J148:K150,"CUMPLE")&gt;=1,1,0)</f>
        <v>1</v>
      </c>
      <c r="V148" s="508">
        <f>2500*0.8</f>
        <v>2000</v>
      </c>
      <c r="X148" s="29"/>
      <c r="Y148" s="29"/>
      <c r="Z148" s="29"/>
      <c r="AA148" s="29"/>
      <c r="AE148" s="13"/>
      <c r="AF148" s="13"/>
      <c r="AG148" s="13"/>
      <c r="AH148" s="13"/>
      <c r="AI148" s="13"/>
      <c r="AJ148" s="13"/>
    </row>
    <row r="149" spans="1:36" s="41" customFormat="1" ht="24.95" customHeight="1" x14ac:dyDescent="0.25">
      <c r="A149" s="40"/>
      <c r="B149" s="421"/>
      <c r="C149" s="453"/>
      <c r="D149" s="453"/>
      <c r="E149" s="453"/>
      <c r="F149" s="424"/>
      <c r="G149" s="456"/>
      <c r="H149" s="430"/>
      <c r="I149" s="459"/>
      <c r="J149" s="208" t="s">
        <v>347</v>
      </c>
      <c r="K149" s="38">
        <f>+$K$14</f>
        <v>721033</v>
      </c>
      <c r="L149" s="448"/>
      <c r="M149" s="450">
        <f>+$M$14</f>
        <v>0</v>
      </c>
      <c r="N149" s="436"/>
      <c r="O149" s="436"/>
      <c r="P149" s="439"/>
      <c r="Q149" s="442"/>
      <c r="R149" s="442"/>
      <c r="S149" s="445"/>
      <c r="T149" s="467"/>
      <c r="U149" s="447"/>
      <c r="V149" s="508"/>
      <c r="X149" s="29"/>
      <c r="Y149" s="29"/>
      <c r="Z149" s="29"/>
      <c r="AA149" s="29"/>
      <c r="AE149" s="13"/>
      <c r="AF149" s="13"/>
      <c r="AG149" s="13"/>
      <c r="AH149" s="13"/>
      <c r="AI149" s="13"/>
      <c r="AJ149" s="13"/>
    </row>
    <row r="150" spans="1:36" s="41" customFormat="1" ht="40.5" customHeight="1" x14ac:dyDescent="0.25">
      <c r="A150" s="40"/>
      <c r="B150" s="422"/>
      <c r="C150" s="454"/>
      <c r="D150" s="454"/>
      <c r="E150" s="454"/>
      <c r="F150" s="425"/>
      <c r="G150" s="457"/>
      <c r="H150" s="431"/>
      <c r="I150" s="460"/>
      <c r="J150" s="208" t="s">
        <v>347</v>
      </c>
      <c r="K150" s="38">
        <f>+$K$15</f>
        <v>721513</v>
      </c>
      <c r="L150" s="449"/>
      <c r="M150" s="451"/>
      <c r="N150" s="437"/>
      <c r="O150" s="437"/>
      <c r="P150" s="440"/>
      <c r="Q150" s="443"/>
      <c r="R150" s="443"/>
      <c r="S150" s="446"/>
      <c r="T150" s="467"/>
      <c r="U150" s="447"/>
      <c r="V150" s="508"/>
      <c r="X150" s="29"/>
      <c r="Y150" s="29"/>
      <c r="Z150" s="29"/>
      <c r="AA150" s="29"/>
      <c r="AE150" s="13"/>
      <c r="AF150" s="13"/>
      <c r="AG150" s="13"/>
      <c r="AH150" s="13"/>
      <c r="AI150" s="13"/>
      <c r="AJ150" s="13"/>
    </row>
    <row r="151" spans="1:36" s="41" customFormat="1" ht="24.95" hidden="1" customHeight="1" x14ac:dyDescent="0.25">
      <c r="A151" s="40"/>
      <c r="B151" s="420">
        <v>3</v>
      </c>
      <c r="C151" s="423"/>
      <c r="D151" s="423"/>
      <c r="E151" s="423"/>
      <c r="F151" s="423"/>
      <c r="G151" s="426"/>
      <c r="H151" s="429"/>
      <c r="I151" s="432"/>
      <c r="J151" s="208"/>
      <c r="K151" s="38">
        <f>+$K$13</f>
        <v>721015</v>
      </c>
      <c r="L151" s="208"/>
      <c r="M151" s="38">
        <f>+$M$13</f>
        <v>0</v>
      </c>
      <c r="N151" s="435"/>
      <c r="O151" s="435"/>
      <c r="P151" s="438"/>
      <c r="Q151" s="441"/>
      <c r="R151" s="441"/>
      <c r="S151" s="444">
        <f>IF(COUNTIF(J151:K153,"CUMPLE")&gt;=1,(G151*I151),0)* (IF(N151="PRESENTÓ CERTIFICADO",1,0))* (IF(O151="ACORDE A ITEM 5.2.2 (T.R.)",1,0) )* ( IF(OR(Q151="SIN OBSERVACIÓN", Q151="REQUERIMIENTOS SUBSANADOS"),1,0)) *(IF(OR(R151="NINGUNO", R151="CUMPLEN CON LO SOLICITADO"),1,0))</f>
        <v>0</v>
      </c>
      <c r="T151" s="467"/>
      <c r="U151" s="447">
        <f>IF(COUNTIF(L151:M153,"CUMPLE")&gt;=1,1,0)</f>
        <v>0</v>
      </c>
      <c r="V151" s="509"/>
      <c r="X151" s="29"/>
      <c r="Y151" s="29"/>
      <c r="Z151" s="29"/>
      <c r="AA151" s="29"/>
      <c r="AB151" s="28"/>
      <c r="AC151" s="28"/>
      <c r="AD151" s="28"/>
      <c r="AE151" s="13"/>
      <c r="AF151" s="13"/>
      <c r="AG151" s="13"/>
      <c r="AH151" s="13"/>
      <c r="AI151" s="13"/>
      <c r="AJ151" s="13"/>
    </row>
    <row r="152" spans="1:36" s="41" customFormat="1" ht="24.95" hidden="1" customHeight="1" x14ac:dyDescent="0.25">
      <c r="A152" s="40"/>
      <c r="B152" s="421"/>
      <c r="C152" s="424"/>
      <c r="D152" s="424"/>
      <c r="E152" s="424"/>
      <c r="F152" s="424"/>
      <c r="G152" s="427"/>
      <c r="H152" s="430"/>
      <c r="I152" s="433"/>
      <c r="J152" s="208"/>
      <c r="K152" s="38">
        <f>+$K$14</f>
        <v>721033</v>
      </c>
      <c r="L152" s="448"/>
      <c r="M152" s="450">
        <f>+$M$14</f>
        <v>0</v>
      </c>
      <c r="N152" s="436"/>
      <c r="O152" s="436"/>
      <c r="P152" s="439"/>
      <c r="Q152" s="442"/>
      <c r="R152" s="442"/>
      <c r="S152" s="445"/>
      <c r="T152" s="467"/>
      <c r="U152" s="447"/>
      <c r="V152" s="509"/>
      <c r="X152" s="29"/>
      <c r="Y152" s="29"/>
      <c r="Z152" s="29"/>
      <c r="AA152" s="29"/>
      <c r="AI152" s="13"/>
      <c r="AJ152" s="13"/>
    </row>
    <row r="153" spans="1:36" s="41" customFormat="1" ht="35.25" hidden="1" customHeight="1" x14ac:dyDescent="0.25">
      <c r="A153" s="40"/>
      <c r="B153" s="422"/>
      <c r="C153" s="425"/>
      <c r="D153" s="425"/>
      <c r="E153" s="425"/>
      <c r="F153" s="425"/>
      <c r="G153" s="428"/>
      <c r="H153" s="431"/>
      <c r="I153" s="434"/>
      <c r="J153" s="208"/>
      <c r="K153" s="38">
        <f>+$K$15</f>
        <v>721513</v>
      </c>
      <c r="L153" s="449"/>
      <c r="M153" s="451"/>
      <c r="N153" s="437"/>
      <c r="O153" s="437"/>
      <c r="P153" s="440"/>
      <c r="Q153" s="443"/>
      <c r="R153" s="443"/>
      <c r="S153" s="446"/>
      <c r="T153" s="467"/>
      <c r="U153" s="447"/>
      <c r="V153" s="509"/>
      <c r="X153" s="29"/>
      <c r="Y153" s="29"/>
      <c r="Z153" s="29"/>
      <c r="AA153" s="29"/>
    </row>
    <row r="154" spans="1:36" s="41" customFormat="1" ht="24.95" hidden="1" customHeight="1" x14ac:dyDescent="0.25">
      <c r="A154" s="40"/>
      <c r="B154" s="420">
        <v>4</v>
      </c>
      <c r="C154" s="452"/>
      <c r="D154" s="452"/>
      <c r="E154" s="452"/>
      <c r="F154" s="452"/>
      <c r="G154" s="455"/>
      <c r="H154" s="429"/>
      <c r="I154" s="458"/>
      <c r="J154" s="208"/>
      <c r="K154" s="38">
        <f>+$K$13</f>
        <v>721015</v>
      </c>
      <c r="L154" s="208"/>
      <c r="M154" s="38">
        <f>+$M$13</f>
        <v>0</v>
      </c>
      <c r="N154" s="435"/>
      <c r="O154" s="435"/>
      <c r="P154" s="438"/>
      <c r="Q154" s="441"/>
      <c r="R154" s="441"/>
      <c r="S154" s="444">
        <f>IF(COUNTIF(J154:K156,"CUMPLE")&gt;=1,(G154*I154),0)* (IF(N154="PRESENTÓ CERTIFICADO",1,0))* (IF(O154="ACORDE A ITEM 5.2.2 (T.R.)",1,0) )* ( IF(OR(Q154="SIN OBSERVACIÓN", Q154="REQUERIMIENTOS SUBSANADOS"),1,0)) *(IF(OR(R154="NINGUNO", R154="CUMPLEN CON LO SOLICITADO"),1,0))</f>
        <v>0</v>
      </c>
      <c r="T154" s="467"/>
      <c r="U154" s="447">
        <f>IF(COUNTIF(L154:M156,"CUMPLE")&gt;=1,1,0)</f>
        <v>0</v>
      </c>
      <c r="V154" s="509"/>
      <c r="X154" s="29"/>
      <c r="Y154" s="29"/>
      <c r="Z154" s="29"/>
      <c r="AA154" s="29"/>
      <c r="AB154" s="13"/>
      <c r="AC154" s="13"/>
      <c r="AD154" s="13"/>
      <c r="AE154" s="13"/>
      <c r="AF154" s="13"/>
      <c r="AG154" s="13"/>
      <c r="AH154" s="13"/>
    </row>
    <row r="155" spans="1:36" s="41" customFormat="1" ht="24.95" hidden="1" customHeight="1" x14ac:dyDescent="0.25">
      <c r="A155" s="40"/>
      <c r="B155" s="421"/>
      <c r="C155" s="453"/>
      <c r="D155" s="453"/>
      <c r="E155" s="453"/>
      <c r="F155" s="453"/>
      <c r="G155" s="456"/>
      <c r="H155" s="430"/>
      <c r="I155" s="459"/>
      <c r="J155" s="208"/>
      <c r="K155" s="38">
        <f>+$K$14</f>
        <v>721033</v>
      </c>
      <c r="L155" s="448"/>
      <c r="M155" s="450">
        <f>+$M$14</f>
        <v>0</v>
      </c>
      <c r="N155" s="436"/>
      <c r="O155" s="436"/>
      <c r="P155" s="439"/>
      <c r="Q155" s="442"/>
      <c r="R155" s="442"/>
      <c r="S155" s="445"/>
      <c r="T155" s="467"/>
      <c r="U155" s="447"/>
      <c r="V155" s="509"/>
      <c r="X155" s="29"/>
      <c r="Y155" s="29"/>
      <c r="Z155" s="29"/>
      <c r="AA155" s="29"/>
      <c r="AB155" s="13"/>
      <c r="AC155" s="13"/>
      <c r="AD155" s="13"/>
      <c r="AE155" s="13"/>
      <c r="AF155" s="13"/>
      <c r="AG155" s="13"/>
      <c r="AH155" s="13"/>
    </row>
    <row r="156" spans="1:36" s="41" customFormat="1" ht="24.95" hidden="1" customHeight="1" x14ac:dyDescent="0.25">
      <c r="A156" s="40"/>
      <c r="B156" s="422"/>
      <c r="C156" s="454"/>
      <c r="D156" s="454"/>
      <c r="E156" s="454"/>
      <c r="F156" s="454"/>
      <c r="G156" s="457"/>
      <c r="H156" s="431"/>
      <c r="I156" s="460"/>
      <c r="J156" s="208"/>
      <c r="K156" s="38">
        <f>+$K$15</f>
        <v>721513</v>
      </c>
      <c r="L156" s="449"/>
      <c r="M156" s="451"/>
      <c r="N156" s="437"/>
      <c r="O156" s="437"/>
      <c r="P156" s="440"/>
      <c r="Q156" s="443"/>
      <c r="R156" s="443"/>
      <c r="S156" s="446"/>
      <c r="T156" s="467"/>
      <c r="U156" s="447"/>
      <c r="V156" s="509"/>
      <c r="X156" s="29"/>
      <c r="Y156" s="29"/>
      <c r="Z156" s="29"/>
      <c r="AA156" s="29"/>
      <c r="AB156" s="29"/>
      <c r="AC156" s="29"/>
      <c r="AD156" s="29"/>
      <c r="AE156" s="42"/>
      <c r="AF156" s="42"/>
      <c r="AG156" s="42"/>
      <c r="AH156" s="42"/>
    </row>
    <row r="157" spans="1:36" s="41" customFormat="1" ht="24.95" hidden="1" customHeight="1" x14ac:dyDescent="0.25">
      <c r="A157" s="40"/>
      <c r="B157" s="420">
        <v>5</v>
      </c>
      <c r="C157" s="423"/>
      <c r="D157" s="423"/>
      <c r="E157" s="423"/>
      <c r="F157" s="423"/>
      <c r="G157" s="426"/>
      <c r="H157" s="429"/>
      <c r="I157" s="432"/>
      <c r="J157" s="208"/>
      <c r="K157" s="38">
        <f>+$K$13</f>
        <v>721015</v>
      </c>
      <c r="L157" s="208"/>
      <c r="M157" s="38">
        <f>+$M$13</f>
        <v>0</v>
      </c>
      <c r="N157" s="435"/>
      <c r="O157" s="435"/>
      <c r="P157" s="438"/>
      <c r="Q157" s="441"/>
      <c r="R157" s="441"/>
      <c r="S157" s="444">
        <f>IF(COUNTIF(J157:K159,"CUMPLE")&gt;=1,(G157*I157),0)* (IF(N157="PRESENTÓ CERTIFICADO",1,0))* (IF(O157="ACORDE A ITEM 5.2.2 (T.R.)",1,0) )* ( IF(OR(Q157="SIN OBSERVACIÓN", Q157="REQUERIMIENTOS SUBSANADOS"),1,0)) *(IF(OR(R157="NINGUNO", R157="CUMPLEN CON LO SOLICITADO"),1,0))</f>
        <v>0</v>
      </c>
      <c r="T157" s="467"/>
      <c r="U157" s="447">
        <f>IF(COUNTIF(L157:M159,"CUMPLE")&gt;=1,1,0)</f>
        <v>0</v>
      </c>
      <c r="V157" s="505"/>
      <c r="X157" s="29"/>
      <c r="Y157" s="29"/>
      <c r="Z157" s="29"/>
      <c r="AA157" s="29"/>
      <c r="AB157" s="29"/>
      <c r="AC157" s="29"/>
      <c r="AD157" s="29"/>
      <c r="AE157" s="42"/>
      <c r="AF157" s="42"/>
      <c r="AG157" s="42"/>
      <c r="AH157" s="42"/>
    </row>
    <row r="158" spans="1:36" s="41" customFormat="1" ht="24.95" hidden="1" customHeight="1" x14ac:dyDescent="0.25">
      <c r="A158" s="40"/>
      <c r="B158" s="421"/>
      <c r="C158" s="424"/>
      <c r="D158" s="424"/>
      <c r="E158" s="424"/>
      <c r="F158" s="424"/>
      <c r="G158" s="427"/>
      <c r="H158" s="430"/>
      <c r="I158" s="433"/>
      <c r="J158" s="208"/>
      <c r="K158" s="38">
        <f>+$K$14</f>
        <v>721033</v>
      </c>
      <c r="L158" s="448"/>
      <c r="M158" s="450">
        <f>+$M$14</f>
        <v>0</v>
      </c>
      <c r="N158" s="436"/>
      <c r="O158" s="436"/>
      <c r="P158" s="439"/>
      <c r="Q158" s="442"/>
      <c r="R158" s="442"/>
      <c r="S158" s="445"/>
      <c r="T158" s="467"/>
      <c r="U158" s="447"/>
      <c r="V158" s="505"/>
      <c r="X158" s="29"/>
      <c r="Y158" s="29"/>
      <c r="Z158" s="29"/>
      <c r="AA158" s="29"/>
      <c r="AB158" s="29"/>
      <c r="AC158" s="29"/>
      <c r="AD158" s="29"/>
    </row>
    <row r="159" spans="1:36" s="41" customFormat="1" ht="24.95" hidden="1" customHeight="1" x14ac:dyDescent="0.25">
      <c r="A159" s="40"/>
      <c r="B159" s="422"/>
      <c r="C159" s="425"/>
      <c r="D159" s="425"/>
      <c r="E159" s="425"/>
      <c r="F159" s="425"/>
      <c r="G159" s="428"/>
      <c r="H159" s="431"/>
      <c r="I159" s="434"/>
      <c r="J159" s="208"/>
      <c r="K159" s="38">
        <f>+$K$15</f>
        <v>721513</v>
      </c>
      <c r="L159" s="449"/>
      <c r="M159" s="451"/>
      <c r="N159" s="437"/>
      <c r="O159" s="437"/>
      <c r="P159" s="440"/>
      <c r="Q159" s="443"/>
      <c r="R159" s="443"/>
      <c r="S159" s="446"/>
      <c r="T159" s="468"/>
      <c r="U159" s="447"/>
      <c r="V159" s="505"/>
      <c r="X159" s="29"/>
      <c r="Y159" s="29"/>
      <c r="Z159" s="29"/>
      <c r="AA159" s="29"/>
      <c r="AB159" s="29"/>
      <c r="AC159" s="29"/>
      <c r="AD159" s="29"/>
    </row>
    <row r="160" spans="1:36" s="28" customFormat="1" ht="24.95" customHeight="1" x14ac:dyDescent="0.25">
      <c r="B160" s="409" t="str">
        <f>IF(S161=" "," ",IF(S161&gt;=$H$6,"CUMPLE CON LA EXPERIENCIA REQUERIDA","NO CUMPLE CON LA EXPERIENCIA REQUERIDA"))</f>
        <v>CUMPLE CON LA EXPERIENCIA REQUERIDA</v>
      </c>
      <c r="C160" s="410"/>
      <c r="D160" s="410"/>
      <c r="E160" s="410"/>
      <c r="F160" s="410"/>
      <c r="G160" s="410"/>
      <c r="H160" s="410"/>
      <c r="I160" s="410"/>
      <c r="J160" s="410"/>
      <c r="K160" s="410"/>
      <c r="L160" s="410"/>
      <c r="M160" s="410"/>
      <c r="N160" s="410"/>
      <c r="O160" s="411"/>
      <c r="P160" s="415" t="s">
        <v>52</v>
      </c>
      <c r="Q160" s="416"/>
      <c r="R160" s="417"/>
      <c r="S160" s="44">
        <f>IF(T145="SI",SUM(S145:S159),0)</f>
        <v>4904.9140000000007</v>
      </c>
      <c r="T160" s="418" t="str">
        <f>IF(S161=" "," ",IF(S161&gt;=$H$6,"CUMPLE","NO CUMPLE"))</f>
        <v>CUMPLE</v>
      </c>
      <c r="V160" s="506">
        <f>SUM(V145:V159)</f>
        <v>2633.8</v>
      </c>
      <c r="X160" s="29"/>
      <c r="Y160" s="29"/>
      <c r="Z160" s="29"/>
      <c r="AA160" s="29"/>
      <c r="AB160" s="29"/>
      <c r="AC160" s="29"/>
      <c r="AD160" s="29"/>
      <c r="AE160" s="41"/>
      <c r="AF160" s="41"/>
      <c r="AG160" s="41"/>
      <c r="AH160" s="41"/>
      <c r="AI160" s="41"/>
    </row>
    <row r="161" spans="1:36" s="41" customFormat="1" ht="24.95" customHeight="1" x14ac:dyDescent="0.25">
      <c r="B161" s="412"/>
      <c r="C161" s="413"/>
      <c r="D161" s="413"/>
      <c r="E161" s="413"/>
      <c r="F161" s="413"/>
      <c r="G161" s="413"/>
      <c r="H161" s="413"/>
      <c r="I161" s="413"/>
      <c r="J161" s="413"/>
      <c r="K161" s="413"/>
      <c r="L161" s="413"/>
      <c r="M161" s="413"/>
      <c r="N161" s="413"/>
      <c r="O161" s="414"/>
      <c r="P161" s="415" t="s">
        <v>53</v>
      </c>
      <c r="Q161" s="416"/>
      <c r="R161" s="417"/>
      <c r="S161" s="44">
        <f>IFERROR((S160/$P$6)," ")</f>
        <v>6.0704381188118823</v>
      </c>
      <c r="T161" s="419"/>
      <c r="V161" s="507"/>
      <c r="X161" s="29"/>
      <c r="Y161" s="29"/>
      <c r="Z161" s="29"/>
      <c r="AA161" s="29"/>
      <c r="AB161" s="29"/>
      <c r="AC161" s="29"/>
      <c r="AD161" s="29"/>
    </row>
    <row r="162" spans="1:36" ht="30" customHeight="1" x14ac:dyDescent="0.25">
      <c r="AB162" s="29"/>
      <c r="AC162" s="29"/>
      <c r="AD162" s="29"/>
      <c r="AE162" s="41"/>
      <c r="AF162" s="41"/>
      <c r="AG162" s="41"/>
      <c r="AH162" s="41"/>
      <c r="AI162" s="28"/>
    </row>
    <row r="163" spans="1:36" ht="30" customHeight="1" x14ac:dyDescent="0.25">
      <c r="AB163" s="29"/>
      <c r="AC163" s="29"/>
      <c r="AD163" s="29"/>
      <c r="AE163" s="41"/>
      <c r="AF163" s="41"/>
      <c r="AG163" s="41"/>
      <c r="AH163" s="41"/>
      <c r="AI163" s="41"/>
    </row>
    <row r="164" spans="1:36" ht="64.5" customHeight="1" x14ac:dyDescent="0.25">
      <c r="B164" s="26">
        <v>8</v>
      </c>
      <c r="C164" s="469" t="s">
        <v>31</v>
      </c>
      <c r="D164" s="470"/>
      <c r="E164" s="471"/>
      <c r="F164" s="472" t="str">
        <f>IFERROR(VLOOKUP(B164,LISTA_OFERENTES,2,FALSE)," ")</f>
        <v>LUIS CARLOS PARRA VELASQUEZ</v>
      </c>
      <c r="G164" s="473"/>
      <c r="H164" s="473"/>
      <c r="I164" s="473"/>
      <c r="J164" s="473"/>
      <c r="K164" s="473"/>
      <c r="L164" s="473"/>
      <c r="M164" s="473"/>
      <c r="N164" s="473"/>
      <c r="O164" s="474"/>
      <c r="P164" s="475" t="s">
        <v>32</v>
      </c>
      <c r="Q164" s="476"/>
      <c r="R164" s="477"/>
      <c r="S164" s="27">
        <f>5-(INT(COUNTBLANK(C167:C181))-10)</f>
        <v>5</v>
      </c>
      <c r="T164" s="28"/>
      <c r="AB164" s="29"/>
      <c r="AC164" s="29"/>
      <c r="AD164" s="29"/>
      <c r="AE164" s="41"/>
      <c r="AF164" s="41"/>
      <c r="AG164" s="41"/>
      <c r="AH164" s="41"/>
    </row>
    <row r="165" spans="1:36" s="42" customFormat="1" ht="30" customHeight="1" x14ac:dyDescent="0.25">
      <c r="B165" s="478" t="s">
        <v>33</v>
      </c>
      <c r="C165" s="461" t="s">
        <v>34</v>
      </c>
      <c r="D165" s="461" t="s">
        <v>35</v>
      </c>
      <c r="E165" s="461" t="s">
        <v>36</v>
      </c>
      <c r="F165" s="461" t="s">
        <v>37</v>
      </c>
      <c r="G165" s="461" t="s">
        <v>38</v>
      </c>
      <c r="H165" s="461" t="s">
        <v>39</v>
      </c>
      <c r="I165" s="461" t="s">
        <v>40</v>
      </c>
      <c r="J165" s="480" t="s">
        <v>41</v>
      </c>
      <c r="K165" s="481"/>
      <c r="L165" s="481"/>
      <c r="M165" s="482"/>
      <c r="N165" s="461" t="s">
        <v>42</v>
      </c>
      <c r="O165" s="461" t="s">
        <v>43</v>
      </c>
      <c r="P165" s="480" t="s">
        <v>44</v>
      </c>
      <c r="Q165" s="482"/>
      <c r="R165" s="461" t="s">
        <v>45</v>
      </c>
      <c r="S165" s="461" t="s">
        <v>46</v>
      </c>
      <c r="T165" s="461" t="str">
        <f>+$T$11</f>
        <v>CUMPLE CON EL REQUERIMIENTO DE HABER EJECUTADO MÁS DE 2000M# EN ACTIVIDADES DE PINTURA</v>
      </c>
      <c r="U165" s="461" t="str">
        <f>+$U$11</f>
        <v xml:space="preserve">VERIFICACIÓN CONDICIÓN DE EXPERIENCIA  </v>
      </c>
      <c r="V165" s="504" t="s">
        <v>248</v>
      </c>
      <c r="W165" s="45"/>
      <c r="X165" s="29"/>
      <c r="Y165" s="29"/>
      <c r="Z165" s="29"/>
      <c r="AA165" s="29"/>
      <c r="AB165" s="29"/>
      <c r="AC165" s="29"/>
      <c r="AD165" s="29"/>
      <c r="AE165" s="41"/>
      <c r="AF165" s="41"/>
      <c r="AG165" s="41"/>
      <c r="AH165" s="41"/>
      <c r="AI165" s="13"/>
    </row>
    <row r="166" spans="1:36" s="42" customFormat="1" ht="63" customHeight="1" x14ac:dyDescent="0.25">
      <c r="B166" s="479"/>
      <c r="C166" s="462"/>
      <c r="D166" s="462"/>
      <c r="E166" s="462"/>
      <c r="F166" s="462"/>
      <c r="G166" s="462"/>
      <c r="H166" s="462"/>
      <c r="I166" s="462"/>
      <c r="J166" s="463" t="s">
        <v>49</v>
      </c>
      <c r="K166" s="464"/>
      <c r="L166" s="464"/>
      <c r="M166" s="465"/>
      <c r="N166" s="462"/>
      <c r="O166" s="462"/>
      <c r="P166" s="33" t="s">
        <v>10</v>
      </c>
      <c r="Q166" s="33" t="s">
        <v>50</v>
      </c>
      <c r="R166" s="462"/>
      <c r="S166" s="462"/>
      <c r="T166" s="462"/>
      <c r="U166" s="462"/>
      <c r="V166" s="504"/>
      <c r="W166" s="45"/>
      <c r="X166" s="29"/>
      <c r="Y166" s="29"/>
      <c r="Z166" s="29"/>
      <c r="AA166" s="29"/>
      <c r="AB166" s="29"/>
      <c r="AC166" s="29"/>
      <c r="AD166" s="29"/>
      <c r="AE166" s="41"/>
      <c r="AF166" s="41"/>
      <c r="AG166" s="41"/>
      <c r="AH166" s="41"/>
      <c r="AI166" s="13"/>
    </row>
    <row r="167" spans="1:36" s="41" customFormat="1" ht="24.95" customHeight="1" x14ac:dyDescent="0.25">
      <c r="A167" s="40"/>
      <c r="B167" s="420">
        <v>1</v>
      </c>
      <c r="C167" s="423">
        <v>21</v>
      </c>
      <c r="D167" s="423">
        <v>27</v>
      </c>
      <c r="E167" s="423" t="s">
        <v>387</v>
      </c>
      <c r="F167" s="423" t="s">
        <v>392</v>
      </c>
      <c r="G167" s="426">
        <v>854.82</v>
      </c>
      <c r="H167" s="429" t="s">
        <v>353</v>
      </c>
      <c r="I167" s="432">
        <v>0.5</v>
      </c>
      <c r="J167" s="208" t="s">
        <v>346</v>
      </c>
      <c r="K167" s="38">
        <f>+$K$13</f>
        <v>721015</v>
      </c>
      <c r="L167" s="208"/>
      <c r="M167" s="38">
        <f>+$M$13</f>
        <v>0</v>
      </c>
      <c r="N167" s="435" t="s">
        <v>361</v>
      </c>
      <c r="O167" s="435" t="s">
        <v>362</v>
      </c>
      <c r="P167" s="438"/>
      <c r="Q167" s="441" t="s">
        <v>363</v>
      </c>
      <c r="R167" s="441" t="s">
        <v>375</v>
      </c>
      <c r="S167" s="444">
        <f>IF(COUNTIF(J167:K169,"CUMPLE")&gt;=1,(G167*I167),0)* (IF(N167="PRESENTÓ CERTIFICADO",1,0))* (IF(O167="ACORDE A ITEM 5.2.2 (T.R.)",1,0) )* ( IF(OR(Q167="SIN OBSERVACIÓN", Q167="REQUERIMIENTOS SUBSANADOS"),1,0)) *(IF(OR(R167="NINGUNO", R167="CUMPLEN CON LO SOLICITADO"),1,0))</f>
        <v>427.41</v>
      </c>
      <c r="T167" s="466" t="s">
        <v>376</v>
      </c>
      <c r="U167" s="447">
        <f>IF(COUNTIF(J167:K169,"CUMPLE")&gt;=1,1,0)</f>
        <v>1</v>
      </c>
      <c r="V167" s="505">
        <f>(900+1273.97+12.2)/2</f>
        <v>1093.085</v>
      </c>
      <c r="X167" s="29"/>
      <c r="Y167" s="29"/>
      <c r="Z167" s="29"/>
      <c r="AA167" s="29"/>
      <c r="AE167" s="13"/>
      <c r="AF167" s="13"/>
      <c r="AG167" s="13"/>
      <c r="AH167" s="13"/>
      <c r="AI167" s="13"/>
      <c r="AJ167" s="13"/>
    </row>
    <row r="168" spans="1:36" s="41" customFormat="1" ht="24.95" customHeight="1" x14ac:dyDescent="0.25">
      <c r="A168" s="40"/>
      <c r="B168" s="421"/>
      <c r="C168" s="424"/>
      <c r="D168" s="424"/>
      <c r="E168" s="424"/>
      <c r="F168" s="424"/>
      <c r="G168" s="427"/>
      <c r="H168" s="430"/>
      <c r="I168" s="433"/>
      <c r="J168" s="208" t="s">
        <v>346</v>
      </c>
      <c r="K168" s="38">
        <f>+$K$14</f>
        <v>721033</v>
      </c>
      <c r="L168" s="448"/>
      <c r="M168" s="450">
        <f>+$M$14</f>
        <v>0</v>
      </c>
      <c r="N168" s="436"/>
      <c r="O168" s="436"/>
      <c r="P168" s="439"/>
      <c r="Q168" s="442"/>
      <c r="R168" s="442"/>
      <c r="S168" s="445"/>
      <c r="T168" s="467"/>
      <c r="U168" s="447"/>
      <c r="V168" s="505"/>
      <c r="X168" s="29"/>
      <c r="Y168" s="29"/>
      <c r="Z168" s="29"/>
      <c r="AA168" s="29"/>
      <c r="AE168" s="13"/>
      <c r="AF168" s="13"/>
      <c r="AG168" s="13"/>
      <c r="AH168" s="13"/>
      <c r="AI168" s="13"/>
      <c r="AJ168" s="13"/>
    </row>
    <row r="169" spans="1:36" s="41" customFormat="1" ht="24.95" customHeight="1" x14ac:dyDescent="0.25">
      <c r="A169" s="40"/>
      <c r="B169" s="422"/>
      <c r="C169" s="425"/>
      <c r="D169" s="425"/>
      <c r="E169" s="425"/>
      <c r="F169" s="425"/>
      <c r="G169" s="428"/>
      <c r="H169" s="431"/>
      <c r="I169" s="434"/>
      <c r="J169" s="208" t="s">
        <v>346</v>
      </c>
      <c r="K169" s="38">
        <f>+$K$15</f>
        <v>721513</v>
      </c>
      <c r="L169" s="449"/>
      <c r="M169" s="451"/>
      <c r="N169" s="437"/>
      <c r="O169" s="437"/>
      <c r="P169" s="440"/>
      <c r="Q169" s="443"/>
      <c r="R169" s="443"/>
      <c r="S169" s="446"/>
      <c r="T169" s="467"/>
      <c r="U169" s="447"/>
      <c r="V169" s="505"/>
      <c r="X169" s="29"/>
      <c r="Y169" s="29"/>
      <c r="Z169" s="29"/>
      <c r="AA169" s="29"/>
      <c r="AE169" s="13"/>
      <c r="AF169" s="13"/>
      <c r="AG169" s="13"/>
      <c r="AH169" s="13"/>
      <c r="AI169" s="13"/>
      <c r="AJ169" s="13"/>
    </row>
    <row r="170" spans="1:36" s="41" customFormat="1" ht="24.95" customHeight="1" x14ac:dyDescent="0.25">
      <c r="A170" s="40"/>
      <c r="B170" s="420">
        <v>2</v>
      </c>
      <c r="C170" s="452">
        <v>25</v>
      </c>
      <c r="D170" s="452">
        <v>30</v>
      </c>
      <c r="E170" s="452" t="s">
        <v>388</v>
      </c>
      <c r="F170" s="452" t="s">
        <v>393</v>
      </c>
      <c r="G170" s="455">
        <v>878.18</v>
      </c>
      <c r="H170" s="429" t="s">
        <v>353</v>
      </c>
      <c r="I170" s="458">
        <v>0.97</v>
      </c>
      <c r="J170" s="208" t="s">
        <v>346</v>
      </c>
      <c r="K170" s="38">
        <f>+$K$13</f>
        <v>721015</v>
      </c>
      <c r="L170" s="208"/>
      <c r="M170" s="38">
        <f>+$M$13</f>
        <v>0</v>
      </c>
      <c r="N170" s="435" t="s">
        <v>361</v>
      </c>
      <c r="O170" s="435" t="s">
        <v>362</v>
      </c>
      <c r="P170" s="438"/>
      <c r="Q170" s="441" t="s">
        <v>363</v>
      </c>
      <c r="R170" s="441" t="s">
        <v>375</v>
      </c>
      <c r="S170" s="444">
        <f>IF(COUNTIF(J170:K172,"CUMPLE")&gt;=1,(G170*I170),0)* (IF(N170="PRESENTÓ CERTIFICADO",1,0))* (IF(O170="ACORDE A ITEM 5.2.2 (T.R.)",1,0) )* ( IF(OR(Q170="SIN OBSERVACIÓN", Q170="REQUERIMIENTOS SUBSANADOS"),1,0)) *(IF(OR(R170="NINGUNO", R170="CUMPLEN CON LO SOLICITADO"),1,0))</f>
        <v>851.83459999999991</v>
      </c>
      <c r="T170" s="467"/>
      <c r="U170" s="447">
        <f t="shared" ref="U170" si="29">IF(COUNTIF(J170:K172,"CUMPLE")&gt;=1,1,0)</f>
        <v>1</v>
      </c>
      <c r="V170" s="509"/>
      <c r="X170" s="29"/>
      <c r="Y170" s="29"/>
      <c r="Z170" s="29"/>
      <c r="AA170" s="29"/>
      <c r="AE170" s="13"/>
      <c r="AF170" s="13"/>
      <c r="AG170" s="13"/>
      <c r="AH170" s="13"/>
      <c r="AI170" s="13"/>
      <c r="AJ170" s="13"/>
    </row>
    <row r="171" spans="1:36" s="41" customFormat="1" ht="24.95" customHeight="1" x14ac:dyDescent="0.25">
      <c r="A171" s="40"/>
      <c r="B171" s="421"/>
      <c r="C171" s="453"/>
      <c r="D171" s="453"/>
      <c r="E171" s="453"/>
      <c r="F171" s="453"/>
      <c r="G171" s="456"/>
      <c r="H171" s="430"/>
      <c r="I171" s="459"/>
      <c r="J171" s="208" t="s">
        <v>346</v>
      </c>
      <c r="K171" s="38">
        <f>+$K$14</f>
        <v>721033</v>
      </c>
      <c r="L171" s="448"/>
      <c r="M171" s="450">
        <f>+$M$14</f>
        <v>0</v>
      </c>
      <c r="N171" s="436"/>
      <c r="O171" s="436"/>
      <c r="P171" s="439"/>
      <c r="Q171" s="442"/>
      <c r="R171" s="442"/>
      <c r="S171" s="445"/>
      <c r="T171" s="467"/>
      <c r="U171" s="447"/>
      <c r="V171" s="509"/>
      <c r="X171" s="29"/>
      <c r="Y171" s="29"/>
      <c r="Z171" s="29"/>
      <c r="AA171" s="29"/>
      <c r="AE171" s="13"/>
      <c r="AF171" s="13"/>
      <c r="AG171" s="13"/>
      <c r="AH171" s="13"/>
      <c r="AI171" s="13"/>
      <c r="AJ171" s="13"/>
    </row>
    <row r="172" spans="1:36" s="41" customFormat="1" ht="24.95" customHeight="1" x14ac:dyDescent="0.25">
      <c r="A172" s="40"/>
      <c r="B172" s="422"/>
      <c r="C172" s="454"/>
      <c r="D172" s="454"/>
      <c r="E172" s="454"/>
      <c r="F172" s="454"/>
      <c r="G172" s="457"/>
      <c r="H172" s="431"/>
      <c r="I172" s="460"/>
      <c r="J172" s="208" t="s">
        <v>346</v>
      </c>
      <c r="K172" s="38">
        <f>+$K$15</f>
        <v>721513</v>
      </c>
      <c r="L172" s="449"/>
      <c r="M172" s="451"/>
      <c r="N172" s="437"/>
      <c r="O172" s="437"/>
      <c r="P172" s="440"/>
      <c r="Q172" s="443"/>
      <c r="R172" s="443"/>
      <c r="S172" s="446"/>
      <c r="T172" s="467"/>
      <c r="U172" s="447"/>
      <c r="V172" s="509"/>
      <c r="X172" s="29"/>
      <c r="Y172" s="29"/>
      <c r="Z172" s="29"/>
      <c r="AA172" s="29"/>
      <c r="AE172" s="13"/>
      <c r="AF172" s="13"/>
      <c r="AG172" s="13"/>
      <c r="AH172" s="13"/>
      <c r="AI172" s="13"/>
      <c r="AJ172" s="13"/>
    </row>
    <row r="173" spans="1:36" s="41" customFormat="1" ht="24.95" customHeight="1" x14ac:dyDescent="0.25">
      <c r="A173" s="40"/>
      <c r="B173" s="420">
        <v>3</v>
      </c>
      <c r="C173" s="423">
        <v>26</v>
      </c>
      <c r="D173" s="423">
        <v>32</v>
      </c>
      <c r="E173" s="423" t="s">
        <v>389</v>
      </c>
      <c r="F173" s="423" t="s">
        <v>394</v>
      </c>
      <c r="G173" s="426">
        <v>707.43</v>
      </c>
      <c r="H173" s="429" t="s">
        <v>353</v>
      </c>
      <c r="I173" s="432">
        <v>0.9</v>
      </c>
      <c r="J173" s="208" t="s">
        <v>346</v>
      </c>
      <c r="K173" s="38">
        <f>+$K$13</f>
        <v>721015</v>
      </c>
      <c r="L173" s="208"/>
      <c r="M173" s="38">
        <f>+$M$13</f>
        <v>0</v>
      </c>
      <c r="N173" s="435" t="s">
        <v>361</v>
      </c>
      <c r="O173" s="435" t="s">
        <v>362</v>
      </c>
      <c r="P173" s="438" t="s">
        <v>396</v>
      </c>
      <c r="Q173" s="441" t="s">
        <v>363</v>
      </c>
      <c r="R173" s="441" t="s">
        <v>375</v>
      </c>
      <c r="S173" s="444">
        <f>IF(COUNTIF(J173:K175,"CUMPLE")&gt;=1,(G173*I173),0)* (IF(N173="PRESENTÓ CERTIFICADO",1,0))* (IF(O173="ACORDE A ITEM 5.2.2 (T.R.)",1,0) )* ( IF(OR(Q173="SIN OBSERVACIÓN", Q173="REQUERIMIENTOS SUBSANADOS"),1,0)) *(IF(OR(R173="NINGUNO", R173="CUMPLEN CON LO SOLICITADO"),1,0))</f>
        <v>636.68700000000001</v>
      </c>
      <c r="T173" s="467"/>
      <c r="U173" s="447">
        <f t="shared" ref="U173" si="30">IF(COUNTIF(J173:K175,"CUMPLE")&gt;=1,1,0)</f>
        <v>1</v>
      </c>
      <c r="V173" s="509"/>
      <c r="X173" s="29"/>
      <c r="Y173" s="29"/>
      <c r="Z173" s="29"/>
      <c r="AA173" s="29"/>
      <c r="AB173" s="28"/>
      <c r="AC173" s="28"/>
      <c r="AD173" s="28"/>
      <c r="AE173" s="13"/>
      <c r="AF173" s="13"/>
      <c r="AG173" s="13"/>
      <c r="AH173" s="13"/>
      <c r="AI173" s="13"/>
      <c r="AJ173" s="13"/>
    </row>
    <row r="174" spans="1:36" s="41" customFormat="1" ht="24.95" customHeight="1" x14ac:dyDescent="0.25">
      <c r="A174" s="40"/>
      <c r="B174" s="421"/>
      <c r="C174" s="424"/>
      <c r="D174" s="424"/>
      <c r="E174" s="424"/>
      <c r="F174" s="424"/>
      <c r="G174" s="427"/>
      <c r="H174" s="430"/>
      <c r="I174" s="433"/>
      <c r="J174" s="208" t="s">
        <v>346</v>
      </c>
      <c r="K174" s="38">
        <f>+$K$14</f>
        <v>721033</v>
      </c>
      <c r="L174" s="448"/>
      <c r="M174" s="450">
        <f>+$M$14</f>
        <v>0</v>
      </c>
      <c r="N174" s="436"/>
      <c r="O174" s="436"/>
      <c r="P174" s="439"/>
      <c r="Q174" s="442"/>
      <c r="R174" s="442"/>
      <c r="S174" s="445"/>
      <c r="T174" s="467"/>
      <c r="U174" s="447"/>
      <c r="V174" s="509"/>
      <c r="X174" s="29"/>
      <c r="Y174" s="29"/>
      <c r="Z174" s="29"/>
      <c r="AA174" s="29"/>
      <c r="AI174" s="13"/>
      <c r="AJ174" s="13"/>
    </row>
    <row r="175" spans="1:36" s="41" customFormat="1" ht="24.95" customHeight="1" x14ac:dyDescent="0.25">
      <c r="A175" s="40"/>
      <c r="B175" s="422"/>
      <c r="C175" s="425"/>
      <c r="D175" s="425"/>
      <c r="E175" s="425"/>
      <c r="F175" s="425"/>
      <c r="G175" s="428"/>
      <c r="H175" s="431"/>
      <c r="I175" s="434"/>
      <c r="J175" s="208" t="s">
        <v>346</v>
      </c>
      <c r="K175" s="38">
        <f>+$K$15</f>
        <v>721513</v>
      </c>
      <c r="L175" s="449"/>
      <c r="M175" s="451"/>
      <c r="N175" s="437"/>
      <c r="O175" s="437"/>
      <c r="P175" s="440"/>
      <c r="Q175" s="443"/>
      <c r="R175" s="443"/>
      <c r="S175" s="446"/>
      <c r="T175" s="467"/>
      <c r="U175" s="447"/>
      <c r="V175" s="509"/>
      <c r="X175" s="29"/>
      <c r="Y175" s="29"/>
      <c r="Z175" s="29"/>
      <c r="AA175" s="29"/>
    </row>
    <row r="176" spans="1:36" s="41" customFormat="1" ht="24.95" customHeight="1" x14ac:dyDescent="0.25">
      <c r="A176" s="40"/>
      <c r="B176" s="420">
        <v>4</v>
      </c>
      <c r="C176" s="452">
        <v>59</v>
      </c>
      <c r="D176" s="452">
        <v>49</v>
      </c>
      <c r="E176" s="452" t="s">
        <v>390</v>
      </c>
      <c r="F176" s="452" t="s">
        <v>392</v>
      </c>
      <c r="G176" s="455">
        <v>426.71</v>
      </c>
      <c r="H176" s="429" t="s">
        <v>360</v>
      </c>
      <c r="I176" s="458">
        <v>1</v>
      </c>
      <c r="J176" s="208" t="s">
        <v>346</v>
      </c>
      <c r="K176" s="38">
        <f>+$K$13</f>
        <v>721015</v>
      </c>
      <c r="L176" s="208"/>
      <c r="M176" s="38">
        <f>+$M$13</f>
        <v>0</v>
      </c>
      <c r="N176" s="435" t="s">
        <v>361</v>
      </c>
      <c r="O176" s="435" t="s">
        <v>362</v>
      </c>
      <c r="P176" s="438" t="s">
        <v>396</v>
      </c>
      <c r="Q176" s="441" t="s">
        <v>363</v>
      </c>
      <c r="R176" s="441" t="s">
        <v>375</v>
      </c>
      <c r="S176" s="444">
        <f>IF(COUNTIF(J176:K178,"CUMPLE")&gt;=1,(G176*I176),0)* (IF(N176="PRESENTÓ CERTIFICADO",1,0))* (IF(O176="ACORDE A ITEM 5.2.2 (T.R.)",1,0) )* ( IF(OR(Q176="SIN OBSERVACIÓN", Q176="REQUERIMIENTOS SUBSANADOS"),1,0)) *(IF(OR(R176="NINGUNO", R176="CUMPLEN CON LO SOLICITADO"),1,0))</f>
        <v>426.71</v>
      </c>
      <c r="T176" s="467"/>
      <c r="U176" s="447">
        <f t="shared" ref="U176" si="31">IF(COUNTIF(J176:K178,"CUMPLE")&gt;=1,1,0)</f>
        <v>1</v>
      </c>
      <c r="V176" s="509"/>
      <c r="X176" s="29"/>
      <c r="Y176" s="29"/>
      <c r="Z176" s="29"/>
      <c r="AA176" s="29"/>
      <c r="AB176" s="13"/>
      <c r="AC176" s="13"/>
      <c r="AD176" s="13"/>
      <c r="AE176" s="13"/>
      <c r="AF176" s="13"/>
      <c r="AG176" s="13"/>
      <c r="AH176" s="13"/>
    </row>
    <row r="177" spans="1:36" s="41" customFormat="1" ht="24.95" customHeight="1" x14ac:dyDescent="0.25">
      <c r="A177" s="40"/>
      <c r="B177" s="421"/>
      <c r="C177" s="453"/>
      <c r="D177" s="453"/>
      <c r="E177" s="453"/>
      <c r="F177" s="453"/>
      <c r="G177" s="456"/>
      <c r="H177" s="430"/>
      <c r="I177" s="459"/>
      <c r="J177" s="208" t="s">
        <v>346</v>
      </c>
      <c r="K177" s="38">
        <f>+$K$14</f>
        <v>721033</v>
      </c>
      <c r="L177" s="448"/>
      <c r="M177" s="450">
        <f>+$M$14</f>
        <v>0</v>
      </c>
      <c r="N177" s="436"/>
      <c r="O177" s="436"/>
      <c r="P177" s="439"/>
      <c r="Q177" s="442"/>
      <c r="R177" s="442"/>
      <c r="S177" s="445"/>
      <c r="T177" s="467"/>
      <c r="U177" s="447"/>
      <c r="V177" s="509"/>
      <c r="X177" s="29"/>
      <c r="Y177" s="29"/>
      <c r="Z177" s="29"/>
      <c r="AA177" s="29"/>
      <c r="AB177" s="13"/>
      <c r="AC177" s="13"/>
      <c r="AD177" s="13"/>
      <c r="AE177" s="13"/>
      <c r="AF177" s="13"/>
      <c r="AG177" s="13"/>
      <c r="AH177" s="13"/>
    </row>
    <row r="178" spans="1:36" s="41" customFormat="1" ht="24.95" customHeight="1" x14ac:dyDescent="0.25">
      <c r="A178" s="40"/>
      <c r="B178" s="422"/>
      <c r="C178" s="454"/>
      <c r="D178" s="454"/>
      <c r="E178" s="454"/>
      <c r="F178" s="454"/>
      <c r="G178" s="457"/>
      <c r="H178" s="431"/>
      <c r="I178" s="460"/>
      <c r="J178" s="208" t="s">
        <v>346</v>
      </c>
      <c r="K178" s="38">
        <f>+$K$15</f>
        <v>721513</v>
      </c>
      <c r="L178" s="449"/>
      <c r="M178" s="451"/>
      <c r="N178" s="437"/>
      <c r="O178" s="437"/>
      <c r="P178" s="440"/>
      <c r="Q178" s="443"/>
      <c r="R178" s="443"/>
      <c r="S178" s="446"/>
      <c r="T178" s="467"/>
      <c r="U178" s="447"/>
      <c r="V178" s="509"/>
      <c r="X178" s="29"/>
      <c r="Y178" s="29"/>
      <c r="Z178" s="29"/>
      <c r="AA178" s="29"/>
      <c r="AB178" s="29"/>
      <c r="AC178" s="29"/>
      <c r="AD178" s="29"/>
      <c r="AE178" s="42"/>
      <c r="AF178" s="42"/>
      <c r="AG178" s="42"/>
      <c r="AH178" s="42"/>
    </row>
    <row r="179" spans="1:36" s="41" customFormat="1" ht="24.95" customHeight="1" x14ac:dyDescent="0.25">
      <c r="A179" s="40"/>
      <c r="B179" s="420">
        <v>5</v>
      </c>
      <c r="C179" s="423">
        <v>40</v>
      </c>
      <c r="D179" s="423">
        <v>41</v>
      </c>
      <c r="E179" s="423" t="s">
        <v>391</v>
      </c>
      <c r="F179" s="423" t="s">
        <v>395</v>
      </c>
      <c r="G179" s="426">
        <v>219.66</v>
      </c>
      <c r="H179" s="429" t="s">
        <v>360</v>
      </c>
      <c r="I179" s="432">
        <v>1</v>
      </c>
      <c r="J179" s="208" t="s">
        <v>346</v>
      </c>
      <c r="K179" s="38">
        <f>+$K$13</f>
        <v>721015</v>
      </c>
      <c r="L179" s="208"/>
      <c r="M179" s="38">
        <f>+$M$13</f>
        <v>0</v>
      </c>
      <c r="N179" s="435" t="s">
        <v>361</v>
      </c>
      <c r="O179" s="435" t="s">
        <v>362</v>
      </c>
      <c r="P179" s="438"/>
      <c r="Q179" s="441" t="s">
        <v>363</v>
      </c>
      <c r="R179" s="441" t="s">
        <v>375</v>
      </c>
      <c r="S179" s="444">
        <f>IF(COUNTIF(J179:K181,"CUMPLE")&gt;=1,(G179*I179),0)* (IF(N179="PRESENTÓ CERTIFICADO",1,0))* (IF(O179="ACORDE A ITEM 5.2.2 (T.R.)",1,0) )* ( IF(OR(Q179="SIN OBSERVACIÓN", Q179="REQUERIMIENTOS SUBSANADOS"),1,0)) *(IF(OR(R179="NINGUNO", R179="CUMPLEN CON LO SOLICITADO"),1,0))</f>
        <v>219.66</v>
      </c>
      <c r="T179" s="467"/>
      <c r="U179" s="447">
        <f t="shared" ref="U179" si="32">IF(COUNTIF(J179:K181,"CUMPLE")&gt;=1,1,0)</f>
        <v>1</v>
      </c>
      <c r="V179" s="505">
        <f>258.8+1671.76+141.61+120.95+107.56+433</f>
        <v>2733.68</v>
      </c>
      <c r="X179" s="29"/>
      <c r="Y179" s="29"/>
      <c r="Z179" s="29"/>
      <c r="AA179" s="29"/>
      <c r="AB179" s="29"/>
      <c r="AC179" s="29"/>
      <c r="AD179" s="29"/>
      <c r="AE179" s="42"/>
      <c r="AF179" s="42"/>
      <c r="AG179" s="42"/>
      <c r="AH179" s="42"/>
    </row>
    <row r="180" spans="1:36" s="41" customFormat="1" ht="24.95" customHeight="1" x14ac:dyDescent="0.25">
      <c r="A180" s="40"/>
      <c r="B180" s="421"/>
      <c r="C180" s="424"/>
      <c r="D180" s="424"/>
      <c r="E180" s="424"/>
      <c r="F180" s="424"/>
      <c r="G180" s="427"/>
      <c r="H180" s="430"/>
      <c r="I180" s="433"/>
      <c r="J180" s="208" t="s">
        <v>346</v>
      </c>
      <c r="K180" s="38">
        <f>+$K$14</f>
        <v>721033</v>
      </c>
      <c r="L180" s="448"/>
      <c r="M180" s="450">
        <f>+$M$14</f>
        <v>0</v>
      </c>
      <c r="N180" s="436"/>
      <c r="O180" s="436"/>
      <c r="P180" s="439"/>
      <c r="Q180" s="442"/>
      <c r="R180" s="442"/>
      <c r="S180" s="445"/>
      <c r="T180" s="467"/>
      <c r="U180" s="447"/>
      <c r="V180" s="505"/>
      <c r="X180" s="29"/>
      <c r="Y180" s="29"/>
      <c r="Z180" s="29"/>
      <c r="AA180" s="29"/>
      <c r="AB180" s="29"/>
      <c r="AC180" s="29"/>
      <c r="AD180" s="29"/>
    </row>
    <row r="181" spans="1:36" s="41" customFormat="1" ht="24.95" customHeight="1" x14ac:dyDescent="0.25">
      <c r="A181" s="40"/>
      <c r="B181" s="422"/>
      <c r="C181" s="425"/>
      <c r="D181" s="425"/>
      <c r="E181" s="425"/>
      <c r="F181" s="425"/>
      <c r="G181" s="428"/>
      <c r="H181" s="431"/>
      <c r="I181" s="434"/>
      <c r="J181" s="208" t="s">
        <v>347</v>
      </c>
      <c r="K181" s="38">
        <f>+$K$15</f>
        <v>721513</v>
      </c>
      <c r="L181" s="449"/>
      <c r="M181" s="451"/>
      <c r="N181" s="437"/>
      <c r="O181" s="437"/>
      <c r="P181" s="440"/>
      <c r="Q181" s="443"/>
      <c r="R181" s="443"/>
      <c r="S181" s="446"/>
      <c r="T181" s="468"/>
      <c r="U181" s="447"/>
      <c r="V181" s="505"/>
      <c r="X181" s="29"/>
      <c r="Y181" s="29"/>
      <c r="Z181" s="29"/>
      <c r="AA181" s="29"/>
      <c r="AB181" s="29"/>
      <c r="AC181" s="29"/>
      <c r="AD181" s="29"/>
    </row>
    <row r="182" spans="1:36" s="28" customFormat="1" ht="24.95" customHeight="1" x14ac:dyDescent="0.25">
      <c r="B182" s="409" t="str">
        <f>IF(S183=" "," ",IF(S183&gt;=$H$6,"CUMPLE CON LA EXPERIENCIA REQUERIDA","NO CUMPLE CON LA EXPERIENCIA REQUERIDA"))</f>
        <v>CUMPLE CON LA EXPERIENCIA REQUERIDA</v>
      </c>
      <c r="C182" s="410"/>
      <c r="D182" s="410"/>
      <c r="E182" s="410"/>
      <c r="F182" s="410"/>
      <c r="G182" s="410"/>
      <c r="H182" s="410"/>
      <c r="I182" s="410"/>
      <c r="J182" s="410"/>
      <c r="K182" s="410"/>
      <c r="L182" s="410"/>
      <c r="M182" s="410"/>
      <c r="N182" s="410"/>
      <c r="O182" s="411"/>
      <c r="P182" s="415" t="s">
        <v>52</v>
      </c>
      <c r="Q182" s="416"/>
      <c r="R182" s="417"/>
      <c r="S182" s="44">
        <f>IF(T167="SI",SUM(S167:S181),0)</f>
        <v>2562.3015999999998</v>
      </c>
      <c r="T182" s="418" t="str">
        <f>IF(S183=" "," ",IF(S183&gt;=$H$6,"CUMPLE","NO CUMPLE"))</f>
        <v>CUMPLE</v>
      </c>
      <c r="V182" s="506">
        <f>SUM(V167:V181)</f>
        <v>3826.7649999999999</v>
      </c>
      <c r="X182" s="29"/>
      <c r="Y182" s="29"/>
      <c r="Z182" s="29"/>
      <c r="AA182" s="29"/>
      <c r="AB182" s="29"/>
      <c r="AC182" s="29"/>
      <c r="AD182" s="29"/>
      <c r="AE182" s="41"/>
      <c r="AF182" s="41"/>
      <c r="AG182" s="41"/>
      <c r="AH182" s="41"/>
      <c r="AI182" s="41"/>
    </row>
    <row r="183" spans="1:36" s="41" customFormat="1" ht="24.95" customHeight="1" x14ac:dyDescent="0.25">
      <c r="B183" s="412"/>
      <c r="C183" s="413"/>
      <c r="D183" s="413"/>
      <c r="E183" s="413"/>
      <c r="F183" s="413"/>
      <c r="G183" s="413"/>
      <c r="H183" s="413"/>
      <c r="I183" s="413"/>
      <c r="J183" s="413"/>
      <c r="K183" s="413"/>
      <c r="L183" s="413"/>
      <c r="M183" s="413"/>
      <c r="N183" s="413"/>
      <c r="O183" s="414"/>
      <c r="P183" s="415" t="s">
        <v>53</v>
      </c>
      <c r="Q183" s="416"/>
      <c r="R183" s="417"/>
      <c r="S183" s="44">
        <f>IFERROR((S182/$P$6)," ")</f>
        <v>3.1711653465346532</v>
      </c>
      <c r="T183" s="419"/>
      <c r="V183" s="507"/>
      <c r="X183" s="29"/>
      <c r="Y183" s="29"/>
      <c r="Z183" s="29"/>
      <c r="AA183" s="29"/>
      <c r="AB183" s="29"/>
      <c r="AC183" s="29"/>
      <c r="AD183" s="29"/>
    </row>
    <row r="184" spans="1:36" ht="30" customHeight="1" x14ac:dyDescent="0.25">
      <c r="AB184" s="29"/>
      <c r="AC184" s="29"/>
      <c r="AD184" s="29"/>
      <c r="AE184" s="41"/>
      <c r="AF184" s="41"/>
      <c r="AG184" s="41"/>
      <c r="AH184" s="41"/>
      <c r="AI184" s="28"/>
    </row>
    <row r="185" spans="1:36" ht="30" customHeight="1" x14ac:dyDescent="0.25">
      <c r="AB185" s="29"/>
      <c r="AC185" s="29"/>
      <c r="AD185" s="29"/>
      <c r="AE185" s="41"/>
      <c r="AF185" s="41"/>
      <c r="AG185" s="41"/>
      <c r="AH185" s="41"/>
      <c r="AI185" s="41"/>
    </row>
    <row r="186" spans="1:36" ht="73.5" customHeight="1" x14ac:dyDescent="0.25">
      <c r="B186" s="26">
        <v>9</v>
      </c>
      <c r="C186" s="469" t="s">
        <v>31</v>
      </c>
      <c r="D186" s="470"/>
      <c r="E186" s="471"/>
      <c r="F186" s="472" t="str">
        <f>IFERROR(VLOOKUP(B186,LISTA_OFERENTES,2,FALSE)," ")</f>
        <v>KA S.A.</v>
      </c>
      <c r="G186" s="473"/>
      <c r="H186" s="473"/>
      <c r="I186" s="473"/>
      <c r="J186" s="473"/>
      <c r="K186" s="473"/>
      <c r="L186" s="473"/>
      <c r="M186" s="473"/>
      <c r="N186" s="473"/>
      <c r="O186" s="474"/>
      <c r="P186" s="475" t="s">
        <v>32</v>
      </c>
      <c r="Q186" s="476"/>
      <c r="R186" s="477"/>
      <c r="S186" s="27">
        <f>5-(INT(COUNTBLANK(C189:C203))-10)</f>
        <v>1</v>
      </c>
      <c r="T186" s="28"/>
      <c r="AB186" s="29"/>
      <c r="AC186" s="29"/>
      <c r="AD186" s="29"/>
      <c r="AE186" s="41"/>
      <c r="AF186" s="41"/>
      <c r="AG186" s="41"/>
      <c r="AH186" s="41"/>
    </row>
    <row r="187" spans="1:36" s="42" customFormat="1" ht="30" customHeight="1" x14ac:dyDescent="0.25">
      <c r="B187" s="478" t="s">
        <v>33</v>
      </c>
      <c r="C187" s="461" t="s">
        <v>34</v>
      </c>
      <c r="D187" s="461" t="s">
        <v>35</v>
      </c>
      <c r="E187" s="461" t="s">
        <v>36</v>
      </c>
      <c r="F187" s="461" t="s">
        <v>37</v>
      </c>
      <c r="G187" s="461" t="s">
        <v>38</v>
      </c>
      <c r="H187" s="461" t="s">
        <v>39</v>
      </c>
      <c r="I187" s="461" t="s">
        <v>40</v>
      </c>
      <c r="J187" s="480" t="s">
        <v>41</v>
      </c>
      <c r="K187" s="481"/>
      <c r="L187" s="481"/>
      <c r="M187" s="482"/>
      <c r="N187" s="461" t="s">
        <v>42</v>
      </c>
      <c r="O187" s="461" t="s">
        <v>43</v>
      </c>
      <c r="P187" s="480" t="s">
        <v>44</v>
      </c>
      <c r="Q187" s="482"/>
      <c r="R187" s="461" t="s">
        <v>45</v>
      </c>
      <c r="S187" s="461" t="s">
        <v>46</v>
      </c>
      <c r="T187" s="461" t="str">
        <f>+$T$11</f>
        <v>CUMPLE CON EL REQUERIMIENTO DE HABER EJECUTADO MÁS DE 2000M# EN ACTIVIDADES DE PINTURA</v>
      </c>
      <c r="U187" s="461" t="str">
        <f>+$U$11</f>
        <v xml:space="preserve">VERIFICACIÓN CONDICIÓN DE EXPERIENCIA  </v>
      </c>
      <c r="V187" s="504" t="s">
        <v>248</v>
      </c>
      <c r="W187" s="45"/>
      <c r="X187" s="29"/>
      <c r="Y187" s="29"/>
      <c r="Z187" s="29"/>
      <c r="AA187" s="29"/>
      <c r="AB187" s="29"/>
      <c r="AC187" s="29"/>
      <c r="AD187" s="29"/>
      <c r="AE187" s="41"/>
      <c r="AF187" s="41"/>
      <c r="AG187" s="41"/>
      <c r="AH187" s="41"/>
      <c r="AI187" s="13"/>
    </row>
    <row r="188" spans="1:36" s="42" customFormat="1" ht="118.5" customHeight="1" x14ac:dyDescent="0.25">
      <c r="B188" s="479"/>
      <c r="C188" s="462"/>
      <c r="D188" s="462"/>
      <c r="E188" s="462"/>
      <c r="F188" s="462"/>
      <c r="G188" s="462"/>
      <c r="H188" s="462"/>
      <c r="I188" s="462"/>
      <c r="J188" s="463" t="s">
        <v>49</v>
      </c>
      <c r="K188" s="464"/>
      <c r="L188" s="464"/>
      <c r="M188" s="465"/>
      <c r="N188" s="462"/>
      <c r="O188" s="462"/>
      <c r="P188" s="33" t="s">
        <v>10</v>
      </c>
      <c r="Q188" s="33" t="s">
        <v>50</v>
      </c>
      <c r="R188" s="462"/>
      <c r="S188" s="462"/>
      <c r="T188" s="462"/>
      <c r="U188" s="462"/>
      <c r="V188" s="504"/>
      <c r="W188" s="45"/>
      <c r="X188" s="29"/>
      <c r="Y188" s="29"/>
      <c r="Z188" s="29"/>
      <c r="AA188" s="29"/>
      <c r="AB188" s="29"/>
      <c r="AC188" s="29"/>
      <c r="AD188" s="29"/>
      <c r="AE188" s="41"/>
      <c r="AF188" s="41"/>
      <c r="AG188" s="41"/>
      <c r="AH188" s="41"/>
      <c r="AI188" s="13"/>
    </row>
    <row r="189" spans="1:36" s="41" customFormat="1" ht="24.95" customHeight="1" x14ac:dyDescent="0.25">
      <c r="A189" s="40"/>
      <c r="B189" s="420">
        <v>1</v>
      </c>
      <c r="C189" s="423">
        <v>41</v>
      </c>
      <c r="D189" s="423">
        <v>115</v>
      </c>
      <c r="E189" s="423" t="s">
        <v>385</v>
      </c>
      <c r="F189" s="423" t="s">
        <v>386</v>
      </c>
      <c r="G189" s="426">
        <v>6155.56</v>
      </c>
      <c r="H189" s="429" t="s">
        <v>353</v>
      </c>
      <c r="I189" s="432">
        <v>0.5</v>
      </c>
      <c r="J189" s="208" t="s">
        <v>346</v>
      </c>
      <c r="K189" s="38">
        <f>+$K$13</f>
        <v>721015</v>
      </c>
      <c r="L189" s="208"/>
      <c r="M189" s="38">
        <f>+$M$13</f>
        <v>0</v>
      </c>
      <c r="N189" s="435" t="s">
        <v>361</v>
      </c>
      <c r="O189" s="435" t="s">
        <v>362</v>
      </c>
      <c r="P189" s="438"/>
      <c r="Q189" s="441" t="s">
        <v>363</v>
      </c>
      <c r="R189" s="441" t="s">
        <v>375</v>
      </c>
      <c r="S189" s="444">
        <f>IF(COUNTIF(J189:K191,"CUMPLE")&gt;=1,(G189*I189),0)* (IF(N189="PRESENTÓ CERTIFICADO",1,0))* (IF(O189="ACORDE A ITEM 5.2.2 (T.R.)",1,0) )* ( IF(OR(Q189="SIN OBSERVACIÓN", Q189="REQUERIMIENTOS SUBSANADOS"),1,0)) *(IF(OR(R189="NINGUNO", R189="CUMPLEN CON LO SOLICITADO"),1,0))</f>
        <v>3077.78</v>
      </c>
      <c r="T189" s="466" t="s">
        <v>376</v>
      </c>
      <c r="U189" s="447">
        <f>IF(COUNTIF(J189:K191,"CUMPLE")&gt;=1,1,0)</f>
        <v>1</v>
      </c>
      <c r="V189" s="505">
        <v>3552.59</v>
      </c>
      <c r="X189" s="29"/>
      <c r="Y189" s="29"/>
      <c r="Z189" s="29"/>
      <c r="AA189" s="29"/>
      <c r="AE189" s="13"/>
      <c r="AF189" s="13"/>
      <c r="AG189" s="13"/>
      <c r="AH189" s="13"/>
      <c r="AI189" s="13"/>
      <c r="AJ189" s="13"/>
    </row>
    <row r="190" spans="1:36" s="41" customFormat="1" ht="24.95" customHeight="1" x14ac:dyDescent="0.25">
      <c r="A190" s="40"/>
      <c r="B190" s="421"/>
      <c r="C190" s="424"/>
      <c r="D190" s="424"/>
      <c r="E190" s="424"/>
      <c r="F190" s="424"/>
      <c r="G190" s="427"/>
      <c r="H190" s="430"/>
      <c r="I190" s="433"/>
      <c r="J190" s="208" t="s">
        <v>346</v>
      </c>
      <c r="K190" s="38">
        <f>+$K$14</f>
        <v>721033</v>
      </c>
      <c r="L190" s="448"/>
      <c r="M190" s="450">
        <f>+$M$14</f>
        <v>0</v>
      </c>
      <c r="N190" s="436"/>
      <c r="O190" s="436"/>
      <c r="P190" s="439"/>
      <c r="Q190" s="442"/>
      <c r="R190" s="442"/>
      <c r="S190" s="445"/>
      <c r="T190" s="467"/>
      <c r="U190" s="447"/>
      <c r="V190" s="505"/>
      <c r="X190" s="29"/>
      <c r="Y190" s="29"/>
      <c r="Z190" s="29"/>
      <c r="AA190" s="29"/>
      <c r="AE190" s="13"/>
      <c r="AF190" s="13"/>
      <c r="AG190" s="13"/>
      <c r="AH190" s="13"/>
      <c r="AI190" s="13"/>
      <c r="AJ190" s="13"/>
    </row>
    <row r="191" spans="1:36" s="41" customFormat="1" ht="24.95" customHeight="1" x14ac:dyDescent="0.25">
      <c r="A191" s="40"/>
      <c r="B191" s="422"/>
      <c r="C191" s="425"/>
      <c r="D191" s="425"/>
      <c r="E191" s="425"/>
      <c r="F191" s="425"/>
      <c r="G191" s="428"/>
      <c r="H191" s="431"/>
      <c r="I191" s="434"/>
      <c r="J191" s="208" t="s">
        <v>346</v>
      </c>
      <c r="K191" s="38">
        <f>+$K$15</f>
        <v>721513</v>
      </c>
      <c r="L191" s="449"/>
      <c r="M191" s="451"/>
      <c r="N191" s="437"/>
      <c r="O191" s="437"/>
      <c r="P191" s="440"/>
      <c r="Q191" s="443"/>
      <c r="R191" s="443"/>
      <c r="S191" s="446"/>
      <c r="T191" s="467"/>
      <c r="U191" s="447"/>
      <c r="V191" s="505"/>
      <c r="X191" s="29"/>
      <c r="Y191" s="29"/>
      <c r="Z191" s="29"/>
      <c r="AA191" s="29"/>
      <c r="AE191" s="13"/>
      <c r="AF191" s="13"/>
      <c r="AG191" s="13"/>
      <c r="AH191" s="13"/>
      <c r="AI191" s="13"/>
      <c r="AJ191" s="13"/>
    </row>
    <row r="192" spans="1:36" s="41" customFormat="1" ht="24.95" hidden="1" customHeight="1" x14ac:dyDescent="0.25">
      <c r="A192" s="40"/>
      <c r="B192" s="420">
        <v>2</v>
      </c>
      <c r="C192" s="452"/>
      <c r="D192" s="452"/>
      <c r="E192" s="452"/>
      <c r="F192" s="452"/>
      <c r="G192" s="455"/>
      <c r="H192" s="429"/>
      <c r="I192" s="458"/>
      <c r="J192" s="208"/>
      <c r="K192" s="38">
        <f>+$K$13</f>
        <v>721015</v>
      </c>
      <c r="L192" s="208"/>
      <c r="M192" s="38">
        <f>+$M$13</f>
        <v>0</v>
      </c>
      <c r="N192" s="435"/>
      <c r="O192" s="435"/>
      <c r="P192" s="438"/>
      <c r="Q192" s="441"/>
      <c r="R192" s="441"/>
      <c r="S192" s="444">
        <f>IF(COUNTIF(J192:K194,"CUMPLE")&gt;=1,(G192*I192),0)* (IF(N192="PRESENTÓ CERTIFICADO",1,0))* (IF(O192="ACORDE A ITEM 5.2.2 (T.R.)",1,0) )* ( IF(OR(Q192="SIN OBSERVACIÓN", Q192="REQUERIMIENTOS SUBSANADOS"),1,0)) *(IF(OR(R192="NINGUNO", R192="CUMPLEN CON LO SOLICITADO"),1,0))</f>
        <v>0</v>
      </c>
      <c r="T192" s="467"/>
      <c r="U192" s="447">
        <f>IF(COUNTIF(L192:M194,"CUMPLE")&gt;=1,1,0)</f>
        <v>0</v>
      </c>
      <c r="V192" s="509"/>
      <c r="X192" s="29"/>
      <c r="Y192" s="29"/>
      <c r="Z192" s="29"/>
      <c r="AA192" s="29"/>
      <c r="AE192" s="13"/>
      <c r="AF192" s="13"/>
      <c r="AG192" s="13"/>
      <c r="AH192" s="13"/>
      <c r="AI192" s="13"/>
      <c r="AJ192" s="13"/>
    </row>
    <row r="193" spans="1:36" s="41" customFormat="1" ht="24.95" hidden="1" customHeight="1" x14ac:dyDescent="0.25">
      <c r="A193" s="40"/>
      <c r="B193" s="421"/>
      <c r="C193" s="453"/>
      <c r="D193" s="453"/>
      <c r="E193" s="453"/>
      <c r="F193" s="453"/>
      <c r="G193" s="456"/>
      <c r="H193" s="430"/>
      <c r="I193" s="459"/>
      <c r="J193" s="208"/>
      <c r="K193" s="38">
        <f>+$K$14</f>
        <v>721033</v>
      </c>
      <c r="L193" s="448"/>
      <c r="M193" s="450">
        <f>+$M$14</f>
        <v>0</v>
      </c>
      <c r="N193" s="436"/>
      <c r="O193" s="436"/>
      <c r="P193" s="439"/>
      <c r="Q193" s="442"/>
      <c r="R193" s="442"/>
      <c r="S193" s="445"/>
      <c r="T193" s="467"/>
      <c r="U193" s="447"/>
      <c r="V193" s="509"/>
      <c r="X193" s="29"/>
      <c r="Y193" s="29"/>
      <c r="Z193" s="29"/>
      <c r="AA193" s="29"/>
      <c r="AE193" s="13"/>
      <c r="AF193" s="13"/>
      <c r="AG193" s="13"/>
      <c r="AH193" s="13"/>
      <c r="AI193" s="13"/>
      <c r="AJ193" s="13"/>
    </row>
    <row r="194" spans="1:36" s="41" customFormat="1" ht="24.95" hidden="1" customHeight="1" x14ac:dyDescent="0.25">
      <c r="A194" s="40"/>
      <c r="B194" s="422"/>
      <c r="C194" s="454"/>
      <c r="D194" s="454"/>
      <c r="E194" s="454"/>
      <c r="F194" s="454"/>
      <c r="G194" s="457"/>
      <c r="H194" s="431"/>
      <c r="I194" s="460"/>
      <c r="J194" s="208"/>
      <c r="K194" s="38">
        <f>+$K$15</f>
        <v>721513</v>
      </c>
      <c r="L194" s="449"/>
      <c r="M194" s="451"/>
      <c r="N194" s="437"/>
      <c r="O194" s="437"/>
      <c r="P194" s="440"/>
      <c r="Q194" s="443"/>
      <c r="R194" s="443"/>
      <c r="S194" s="446"/>
      <c r="T194" s="467"/>
      <c r="U194" s="447"/>
      <c r="V194" s="509"/>
      <c r="X194" s="29"/>
      <c r="Y194" s="29"/>
      <c r="Z194" s="29"/>
      <c r="AA194" s="29"/>
      <c r="AE194" s="13"/>
      <c r="AF194" s="13"/>
      <c r="AG194" s="13"/>
      <c r="AH194" s="13"/>
      <c r="AI194" s="13"/>
      <c r="AJ194" s="13"/>
    </row>
    <row r="195" spans="1:36" s="41" customFormat="1" ht="24.95" hidden="1" customHeight="1" x14ac:dyDescent="0.25">
      <c r="A195" s="40"/>
      <c r="B195" s="420">
        <v>3</v>
      </c>
      <c r="C195" s="423"/>
      <c r="D195" s="423"/>
      <c r="E195" s="423"/>
      <c r="F195" s="423"/>
      <c r="G195" s="426"/>
      <c r="H195" s="429"/>
      <c r="I195" s="432"/>
      <c r="J195" s="208"/>
      <c r="K195" s="38">
        <f>+$K$13</f>
        <v>721015</v>
      </c>
      <c r="L195" s="208"/>
      <c r="M195" s="38">
        <f>+$M$13</f>
        <v>0</v>
      </c>
      <c r="N195" s="435"/>
      <c r="O195" s="435"/>
      <c r="P195" s="438"/>
      <c r="Q195" s="441"/>
      <c r="R195" s="441"/>
      <c r="S195" s="444">
        <f>IF(COUNTIF(J195:K197,"CUMPLE")&gt;=1,(G195*I195),0)* (IF(N195="PRESENTÓ CERTIFICADO",1,0))* (IF(O195="ACORDE A ITEM 5.2.2 (T.R.)",1,0) )* ( IF(OR(Q195="SIN OBSERVACIÓN", Q195="REQUERIMIENTOS SUBSANADOS"),1,0)) *(IF(OR(R195="NINGUNO", R195="CUMPLEN CON LO SOLICITADO"),1,0))</f>
        <v>0</v>
      </c>
      <c r="T195" s="467"/>
      <c r="U195" s="447">
        <f>IF(COUNTIF(L195:M197,"CUMPLE")&gt;=1,1,0)</f>
        <v>0</v>
      </c>
      <c r="V195" s="509"/>
      <c r="X195" s="29"/>
      <c r="Y195" s="29"/>
      <c r="Z195" s="29"/>
      <c r="AA195" s="29"/>
      <c r="AB195" s="28"/>
      <c r="AC195" s="28"/>
      <c r="AD195" s="28"/>
      <c r="AE195" s="13"/>
      <c r="AF195" s="13"/>
      <c r="AG195" s="13"/>
      <c r="AH195" s="13"/>
      <c r="AI195" s="13"/>
      <c r="AJ195" s="13"/>
    </row>
    <row r="196" spans="1:36" s="41" customFormat="1" ht="24.95" hidden="1" customHeight="1" x14ac:dyDescent="0.25">
      <c r="A196" s="40"/>
      <c r="B196" s="421"/>
      <c r="C196" s="424"/>
      <c r="D196" s="424"/>
      <c r="E196" s="424"/>
      <c r="F196" s="424"/>
      <c r="G196" s="427"/>
      <c r="H196" s="430"/>
      <c r="I196" s="433"/>
      <c r="J196" s="208"/>
      <c r="K196" s="38">
        <f>+$K$14</f>
        <v>721033</v>
      </c>
      <c r="L196" s="448"/>
      <c r="M196" s="450">
        <f>+$M$14</f>
        <v>0</v>
      </c>
      <c r="N196" s="436"/>
      <c r="O196" s="436"/>
      <c r="P196" s="439"/>
      <c r="Q196" s="442"/>
      <c r="R196" s="442"/>
      <c r="S196" s="445"/>
      <c r="T196" s="467"/>
      <c r="U196" s="447"/>
      <c r="V196" s="509"/>
      <c r="X196" s="29"/>
      <c r="Y196" s="29"/>
      <c r="Z196" s="29"/>
      <c r="AA196" s="29"/>
      <c r="AI196" s="13"/>
      <c r="AJ196" s="13"/>
    </row>
    <row r="197" spans="1:36" s="41" customFormat="1" ht="24.95" hidden="1" customHeight="1" x14ac:dyDescent="0.25">
      <c r="A197" s="40"/>
      <c r="B197" s="422"/>
      <c r="C197" s="425"/>
      <c r="D197" s="425"/>
      <c r="E197" s="425"/>
      <c r="F197" s="425"/>
      <c r="G197" s="428"/>
      <c r="H197" s="431"/>
      <c r="I197" s="434"/>
      <c r="J197" s="208"/>
      <c r="K197" s="38">
        <f>+$K$15</f>
        <v>721513</v>
      </c>
      <c r="L197" s="449"/>
      <c r="M197" s="451"/>
      <c r="N197" s="437"/>
      <c r="O197" s="437"/>
      <c r="P197" s="440"/>
      <c r="Q197" s="443"/>
      <c r="R197" s="443"/>
      <c r="S197" s="446"/>
      <c r="T197" s="467"/>
      <c r="U197" s="447"/>
      <c r="V197" s="509"/>
      <c r="X197" s="29"/>
      <c r="Y197" s="29"/>
      <c r="Z197" s="29"/>
      <c r="AA197" s="29"/>
    </row>
    <row r="198" spans="1:36" s="41" customFormat="1" ht="24.95" hidden="1" customHeight="1" x14ac:dyDescent="0.25">
      <c r="A198" s="40"/>
      <c r="B198" s="420">
        <v>4</v>
      </c>
      <c r="C198" s="452"/>
      <c r="D198" s="452"/>
      <c r="E198" s="452"/>
      <c r="F198" s="452"/>
      <c r="G198" s="455"/>
      <c r="H198" s="429"/>
      <c r="I198" s="458"/>
      <c r="J198" s="208"/>
      <c r="K198" s="38">
        <f>+$K$13</f>
        <v>721015</v>
      </c>
      <c r="L198" s="208"/>
      <c r="M198" s="38">
        <f>+$M$13</f>
        <v>0</v>
      </c>
      <c r="N198" s="435"/>
      <c r="O198" s="435"/>
      <c r="P198" s="438"/>
      <c r="Q198" s="441"/>
      <c r="R198" s="441"/>
      <c r="S198" s="444">
        <f>IF(COUNTIF(J198:K200,"CUMPLE")&gt;=1,(G198*I198),0)* (IF(N198="PRESENTÓ CERTIFICADO",1,0))* (IF(O198="ACORDE A ITEM 5.2.2 (T.R.)",1,0) )* ( IF(OR(Q198="SIN OBSERVACIÓN", Q198="REQUERIMIENTOS SUBSANADOS"),1,0)) *(IF(OR(R198="NINGUNO", R198="CUMPLEN CON LO SOLICITADO"),1,0))</f>
        <v>0</v>
      </c>
      <c r="T198" s="467"/>
      <c r="U198" s="447">
        <f>IF(COUNTIF(L198:M200,"CUMPLE")&gt;=1,1,0)</f>
        <v>0</v>
      </c>
      <c r="V198" s="509"/>
      <c r="X198" s="29"/>
      <c r="Y198" s="29"/>
      <c r="Z198" s="29"/>
      <c r="AA198" s="29"/>
      <c r="AB198" s="13"/>
      <c r="AC198" s="13"/>
      <c r="AD198" s="13"/>
      <c r="AE198" s="13"/>
      <c r="AF198" s="13"/>
      <c r="AG198" s="13"/>
      <c r="AH198" s="13"/>
    </row>
    <row r="199" spans="1:36" s="41" customFormat="1" ht="24.95" hidden="1" customHeight="1" x14ac:dyDescent="0.25">
      <c r="A199" s="40"/>
      <c r="B199" s="421"/>
      <c r="C199" s="453"/>
      <c r="D199" s="453"/>
      <c r="E199" s="453"/>
      <c r="F199" s="453"/>
      <c r="G199" s="456"/>
      <c r="H199" s="430"/>
      <c r="I199" s="459"/>
      <c r="J199" s="208"/>
      <c r="K199" s="38">
        <f>+$K$14</f>
        <v>721033</v>
      </c>
      <c r="L199" s="448"/>
      <c r="M199" s="450">
        <f>+$M$14</f>
        <v>0</v>
      </c>
      <c r="N199" s="436"/>
      <c r="O199" s="436"/>
      <c r="P199" s="439"/>
      <c r="Q199" s="442"/>
      <c r="R199" s="442"/>
      <c r="S199" s="445"/>
      <c r="T199" s="467"/>
      <c r="U199" s="447"/>
      <c r="V199" s="509"/>
      <c r="X199" s="29"/>
      <c r="Y199" s="29"/>
      <c r="Z199" s="29"/>
      <c r="AA199" s="29"/>
      <c r="AB199" s="13"/>
      <c r="AC199" s="13"/>
      <c r="AD199" s="13"/>
      <c r="AE199" s="13"/>
      <c r="AF199" s="13"/>
      <c r="AG199" s="13"/>
      <c r="AH199" s="13"/>
    </row>
    <row r="200" spans="1:36" s="41" customFormat="1" ht="24.95" hidden="1" customHeight="1" x14ac:dyDescent="0.25">
      <c r="A200" s="40"/>
      <c r="B200" s="422"/>
      <c r="C200" s="454"/>
      <c r="D200" s="454"/>
      <c r="E200" s="454"/>
      <c r="F200" s="454"/>
      <c r="G200" s="457"/>
      <c r="H200" s="431"/>
      <c r="I200" s="460"/>
      <c r="J200" s="208"/>
      <c r="K200" s="38">
        <f>+$K$15</f>
        <v>721513</v>
      </c>
      <c r="L200" s="449"/>
      <c r="M200" s="451"/>
      <c r="N200" s="437"/>
      <c r="O200" s="437"/>
      <c r="P200" s="440"/>
      <c r="Q200" s="443"/>
      <c r="R200" s="443"/>
      <c r="S200" s="446"/>
      <c r="T200" s="467"/>
      <c r="U200" s="447"/>
      <c r="V200" s="509"/>
      <c r="X200" s="29"/>
      <c r="Y200" s="29"/>
      <c r="Z200" s="29"/>
      <c r="AA200" s="29"/>
      <c r="AB200" s="29"/>
      <c r="AC200" s="29"/>
      <c r="AD200" s="29"/>
      <c r="AE200" s="42"/>
      <c r="AF200" s="42"/>
      <c r="AG200" s="42"/>
      <c r="AH200" s="42"/>
    </row>
    <row r="201" spans="1:36" s="41" customFormat="1" ht="24.95" hidden="1" customHeight="1" x14ac:dyDescent="0.25">
      <c r="A201" s="40"/>
      <c r="B201" s="420">
        <v>5</v>
      </c>
      <c r="C201" s="423"/>
      <c r="D201" s="423"/>
      <c r="E201" s="423"/>
      <c r="F201" s="423"/>
      <c r="G201" s="426"/>
      <c r="H201" s="429"/>
      <c r="I201" s="432"/>
      <c r="J201" s="208"/>
      <c r="K201" s="38">
        <f>+$K$13</f>
        <v>721015</v>
      </c>
      <c r="L201" s="208"/>
      <c r="M201" s="38">
        <f>+$M$13</f>
        <v>0</v>
      </c>
      <c r="N201" s="435"/>
      <c r="O201" s="435"/>
      <c r="P201" s="438"/>
      <c r="Q201" s="441"/>
      <c r="R201" s="441"/>
      <c r="S201" s="444">
        <f>IF(COUNTIF(J201:K203,"CUMPLE")&gt;=1,(G201*I201),0)* (IF(N201="PRESENTÓ CERTIFICADO",1,0))* (IF(O201="ACORDE A ITEM 5.2.2 (T.R.)",1,0) )* ( IF(OR(Q201="SIN OBSERVACIÓN", Q201="REQUERIMIENTOS SUBSANADOS"),1,0)) *(IF(OR(R201="NINGUNO", R201="CUMPLEN CON LO SOLICITADO"),1,0))</f>
        <v>0</v>
      </c>
      <c r="T201" s="467"/>
      <c r="U201" s="447">
        <f>IF(COUNTIF(L201:M203,"CUMPLE")&gt;=1,1,0)</f>
        <v>0</v>
      </c>
      <c r="V201" s="509"/>
      <c r="X201" s="29"/>
      <c r="Y201" s="29"/>
      <c r="Z201" s="29"/>
      <c r="AA201" s="29"/>
      <c r="AB201" s="29"/>
      <c r="AC201" s="29"/>
      <c r="AD201" s="29"/>
      <c r="AE201" s="42"/>
      <c r="AF201" s="42"/>
      <c r="AG201" s="42"/>
      <c r="AH201" s="42"/>
    </row>
    <row r="202" spans="1:36" s="41" customFormat="1" ht="24.95" hidden="1" customHeight="1" x14ac:dyDescent="0.25">
      <c r="A202" s="40"/>
      <c r="B202" s="421"/>
      <c r="C202" s="424"/>
      <c r="D202" s="424"/>
      <c r="E202" s="424"/>
      <c r="F202" s="424"/>
      <c r="G202" s="427"/>
      <c r="H202" s="430"/>
      <c r="I202" s="433"/>
      <c r="J202" s="208"/>
      <c r="K202" s="38">
        <f>+$K$14</f>
        <v>721033</v>
      </c>
      <c r="L202" s="448"/>
      <c r="M202" s="450">
        <f>+$M$14</f>
        <v>0</v>
      </c>
      <c r="N202" s="436"/>
      <c r="O202" s="436"/>
      <c r="P202" s="439"/>
      <c r="Q202" s="442"/>
      <c r="R202" s="442"/>
      <c r="S202" s="445"/>
      <c r="T202" s="467"/>
      <c r="U202" s="447"/>
      <c r="V202" s="509"/>
      <c r="X202" s="29"/>
      <c r="Y202" s="29"/>
      <c r="Z202" s="29"/>
      <c r="AA202" s="29"/>
      <c r="AB202" s="29"/>
      <c r="AC202" s="29"/>
      <c r="AD202" s="29"/>
    </row>
    <row r="203" spans="1:36" s="41" customFormat="1" ht="24.95" hidden="1" customHeight="1" x14ac:dyDescent="0.25">
      <c r="A203" s="40"/>
      <c r="B203" s="422"/>
      <c r="C203" s="425"/>
      <c r="D203" s="425"/>
      <c r="E203" s="425"/>
      <c r="F203" s="425"/>
      <c r="G203" s="428"/>
      <c r="H203" s="431"/>
      <c r="I203" s="434"/>
      <c r="J203" s="208"/>
      <c r="K203" s="38">
        <f>+$K$15</f>
        <v>721513</v>
      </c>
      <c r="L203" s="449"/>
      <c r="M203" s="451"/>
      <c r="N203" s="437"/>
      <c r="O203" s="437"/>
      <c r="P203" s="440"/>
      <c r="Q203" s="443"/>
      <c r="R203" s="443"/>
      <c r="S203" s="446"/>
      <c r="T203" s="468"/>
      <c r="U203" s="447"/>
      <c r="V203" s="509"/>
      <c r="X203" s="29"/>
      <c r="Y203" s="29"/>
      <c r="Z203" s="29"/>
      <c r="AA203" s="29"/>
      <c r="AB203" s="29"/>
      <c r="AC203" s="29"/>
      <c r="AD203" s="29"/>
    </row>
    <row r="204" spans="1:36" s="28" customFormat="1" ht="24.95" customHeight="1" x14ac:dyDescent="0.25">
      <c r="B204" s="409" t="str">
        <f>IF(S205=" "," ",IF(S205&gt;=$H$6,"CUMPLE CON LA EXPERIENCIA REQUERIDA","NO CUMPLE CON LA EXPERIENCIA REQUERIDA"))</f>
        <v>CUMPLE CON LA EXPERIENCIA REQUERIDA</v>
      </c>
      <c r="C204" s="410"/>
      <c r="D204" s="410"/>
      <c r="E204" s="410"/>
      <c r="F204" s="410"/>
      <c r="G204" s="410"/>
      <c r="H204" s="410"/>
      <c r="I204" s="410"/>
      <c r="J204" s="410"/>
      <c r="K204" s="410"/>
      <c r="L204" s="410"/>
      <c r="M204" s="410"/>
      <c r="N204" s="410"/>
      <c r="O204" s="411"/>
      <c r="P204" s="415" t="s">
        <v>52</v>
      </c>
      <c r="Q204" s="416"/>
      <c r="R204" s="417"/>
      <c r="S204" s="44">
        <f>IF(T189="SI",SUM(S189:S203),0)</f>
        <v>3077.78</v>
      </c>
      <c r="T204" s="418" t="str">
        <f>IF(S205=" "," ",IF(S205&gt;=$H$6,"CUMPLE","NO CUMPLE"))</f>
        <v>CUMPLE</v>
      </c>
      <c r="V204" s="510">
        <f>SUM(V189:V203)</f>
        <v>3552.59</v>
      </c>
      <c r="X204" s="29"/>
      <c r="Y204" s="29"/>
      <c r="Z204" s="29"/>
      <c r="AA204" s="29"/>
      <c r="AB204" s="29"/>
      <c r="AC204" s="29"/>
      <c r="AD204" s="29"/>
      <c r="AE204" s="41"/>
      <c r="AF204" s="41"/>
      <c r="AG204" s="41"/>
      <c r="AH204" s="41"/>
      <c r="AI204" s="41"/>
    </row>
    <row r="205" spans="1:36" s="41" customFormat="1" ht="24.95" customHeight="1" x14ac:dyDescent="0.25">
      <c r="B205" s="412"/>
      <c r="C205" s="413"/>
      <c r="D205" s="413"/>
      <c r="E205" s="413"/>
      <c r="F205" s="413"/>
      <c r="G205" s="413"/>
      <c r="H205" s="413"/>
      <c r="I205" s="413"/>
      <c r="J205" s="413"/>
      <c r="K205" s="413"/>
      <c r="L205" s="413"/>
      <c r="M205" s="413"/>
      <c r="N205" s="413"/>
      <c r="O205" s="414"/>
      <c r="P205" s="415" t="s">
        <v>53</v>
      </c>
      <c r="Q205" s="416"/>
      <c r="R205" s="417"/>
      <c r="S205" s="44">
        <f>IFERROR((S204/$P$6)," ")</f>
        <v>3.8091336633663371</v>
      </c>
      <c r="T205" s="419"/>
      <c r="V205" s="511"/>
      <c r="X205" s="29"/>
      <c r="Y205" s="29"/>
      <c r="Z205" s="29"/>
      <c r="AA205" s="29"/>
      <c r="AB205" s="29"/>
      <c r="AC205" s="29"/>
      <c r="AD205" s="29"/>
    </row>
    <row r="206" spans="1:36" ht="30" customHeight="1" x14ac:dyDescent="0.25">
      <c r="AB206" s="29"/>
      <c r="AC206" s="29"/>
      <c r="AD206" s="29"/>
      <c r="AE206" s="41"/>
      <c r="AF206" s="41"/>
      <c r="AG206" s="41"/>
      <c r="AH206" s="41"/>
      <c r="AI206" s="28"/>
    </row>
    <row r="207" spans="1:36" ht="30" customHeight="1" x14ac:dyDescent="0.25">
      <c r="AB207" s="29"/>
      <c r="AC207" s="29"/>
      <c r="AD207" s="29"/>
      <c r="AE207" s="41"/>
      <c r="AF207" s="41"/>
      <c r="AG207" s="41"/>
      <c r="AH207" s="41"/>
      <c r="AI207" s="41"/>
    </row>
    <row r="208" spans="1:36" ht="33.75" x14ac:dyDescent="0.25">
      <c r="B208" s="26">
        <v>10</v>
      </c>
      <c r="C208" s="469" t="s">
        <v>31</v>
      </c>
      <c r="D208" s="470"/>
      <c r="E208" s="471"/>
      <c r="F208" s="472" t="str">
        <f>IFERROR(VLOOKUP(B208,LISTA_OFERENTES,2,FALSE)," ")</f>
        <v xml:space="preserve">DANIEL JOSE NIEVES VERGARA </v>
      </c>
      <c r="G208" s="473"/>
      <c r="H208" s="473"/>
      <c r="I208" s="473"/>
      <c r="J208" s="473"/>
      <c r="K208" s="473"/>
      <c r="L208" s="473"/>
      <c r="M208" s="473"/>
      <c r="N208" s="473"/>
      <c r="O208" s="474"/>
      <c r="P208" s="475" t="s">
        <v>32</v>
      </c>
      <c r="Q208" s="476"/>
      <c r="R208" s="477"/>
      <c r="S208" s="27">
        <f>5-(INT(COUNTBLANK(C211:C225))-10)</f>
        <v>1</v>
      </c>
      <c r="T208" s="28"/>
    </row>
    <row r="209" spans="2:22" ht="54" customHeight="1" x14ac:dyDescent="0.25">
      <c r="B209" s="478" t="s">
        <v>33</v>
      </c>
      <c r="C209" s="461" t="s">
        <v>34</v>
      </c>
      <c r="D209" s="461" t="s">
        <v>35</v>
      </c>
      <c r="E209" s="461" t="s">
        <v>36</v>
      </c>
      <c r="F209" s="461" t="s">
        <v>37</v>
      </c>
      <c r="G209" s="461" t="s">
        <v>38</v>
      </c>
      <c r="H209" s="461" t="s">
        <v>39</v>
      </c>
      <c r="I209" s="461" t="s">
        <v>40</v>
      </c>
      <c r="J209" s="480" t="s">
        <v>41</v>
      </c>
      <c r="K209" s="481"/>
      <c r="L209" s="481"/>
      <c r="M209" s="482"/>
      <c r="N209" s="461" t="s">
        <v>42</v>
      </c>
      <c r="O209" s="461" t="s">
        <v>43</v>
      </c>
      <c r="P209" s="480" t="s">
        <v>44</v>
      </c>
      <c r="Q209" s="482"/>
      <c r="R209" s="461" t="s">
        <v>45</v>
      </c>
      <c r="S209" s="461" t="s">
        <v>46</v>
      </c>
      <c r="T209" s="461" t="str">
        <f>+$T$11</f>
        <v>CUMPLE CON EL REQUERIMIENTO DE HABER EJECUTADO MÁS DE 2000M# EN ACTIVIDADES DE PINTURA</v>
      </c>
      <c r="U209" s="461" t="str">
        <f>+$U$11</f>
        <v xml:space="preserve">VERIFICACIÓN CONDICIÓN DE EXPERIENCIA  </v>
      </c>
      <c r="V209" s="504" t="s">
        <v>248</v>
      </c>
    </row>
    <row r="210" spans="2:22" ht="51" customHeight="1" x14ac:dyDescent="0.25">
      <c r="B210" s="479"/>
      <c r="C210" s="462"/>
      <c r="D210" s="462"/>
      <c r="E210" s="462"/>
      <c r="F210" s="462"/>
      <c r="G210" s="462"/>
      <c r="H210" s="462"/>
      <c r="I210" s="462"/>
      <c r="J210" s="463" t="s">
        <v>49</v>
      </c>
      <c r="K210" s="464"/>
      <c r="L210" s="464"/>
      <c r="M210" s="465"/>
      <c r="N210" s="462"/>
      <c r="O210" s="462"/>
      <c r="P210" s="33" t="s">
        <v>10</v>
      </c>
      <c r="Q210" s="33" t="s">
        <v>50</v>
      </c>
      <c r="R210" s="462"/>
      <c r="S210" s="462"/>
      <c r="T210" s="462"/>
      <c r="U210" s="462"/>
      <c r="V210" s="504"/>
    </row>
    <row r="211" spans="2:22" ht="25.5" customHeight="1" x14ac:dyDescent="0.25">
      <c r="B211" s="420">
        <v>1</v>
      </c>
      <c r="C211" s="423">
        <v>24</v>
      </c>
      <c r="D211" s="423">
        <v>36</v>
      </c>
      <c r="E211" s="423" t="s">
        <v>383</v>
      </c>
      <c r="F211" s="423" t="s">
        <v>384</v>
      </c>
      <c r="G211" s="426">
        <v>6035.57</v>
      </c>
      <c r="H211" s="429" t="s">
        <v>353</v>
      </c>
      <c r="I211" s="432">
        <v>0.85</v>
      </c>
      <c r="J211" s="208" t="s">
        <v>346</v>
      </c>
      <c r="K211" s="38">
        <f>+$K$13</f>
        <v>721015</v>
      </c>
      <c r="L211" s="208"/>
      <c r="M211" s="38">
        <f>+$M$13</f>
        <v>0</v>
      </c>
      <c r="N211" s="435" t="s">
        <v>361</v>
      </c>
      <c r="O211" s="435" t="s">
        <v>362</v>
      </c>
      <c r="P211" s="438"/>
      <c r="Q211" s="441" t="s">
        <v>363</v>
      </c>
      <c r="R211" s="441" t="s">
        <v>375</v>
      </c>
      <c r="S211" s="444">
        <f>IF(COUNTIF(J211:K213,"CUMPLE")&gt;=1,(G211*I211),0)* (IF(N211="PRESENTÓ CERTIFICADO",1,0))* (IF(O211="ACORDE A ITEM 5.2.2 (T.R.)",1,0) )* ( IF(OR(Q211="SIN OBSERVACIÓN", Q211="REQUERIMIENTOS SUBSANADOS"),1,0)) *(IF(OR(R211="NINGUNO", R211="CUMPLEN CON LO SOLICITADO"),1,0))</f>
        <v>5130.2344999999996</v>
      </c>
      <c r="T211" s="466" t="s">
        <v>376</v>
      </c>
      <c r="U211" s="447">
        <f>IF(COUNTIF(J211:K213,"CUMPLE")&gt;=1,1,0)</f>
        <v>1</v>
      </c>
      <c r="V211" s="505">
        <f>3613.4*0.85</f>
        <v>3071.39</v>
      </c>
    </row>
    <row r="212" spans="2:22" ht="25.5" customHeight="1" x14ac:dyDescent="0.25">
      <c r="B212" s="421"/>
      <c r="C212" s="424"/>
      <c r="D212" s="424"/>
      <c r="E212" s="424"/>
      <c r="F212" s="424"/>
      <c r="G212" s="427"/>
      <c r="H212" s="430"/>
      <c r="I212" s="433"/>
      <c r="J212" s="208" t="s">
        <v>346</v>
      </c>
      <c r="K212" s="38">
        <f>+$K$14</f>
        <v>721033</v>
      </c>
      <c r="L212" s="448"/>
      <c r="M212" s="450">
        <f>+$M$14</f>
        <v>0</v>
      </c>
      <c r="N212" s="436"/>
      <c r="O212" s="436"/>
      <c r="P212" s="439"/>
      <c r="Q212" s="442"/>
      <c r="R212" s="442"/>
      <c r="S212" s="445"/>
      <c r="T212" s="467"/>
      <c r="U212" s="447"/>
      <c r="V212" s="505"/>
    </row>
    <row r="213" spans="2:22" ht="25.5" customHeight="1" x14ac:dyDescent="0.25">
      <c r="B213" s="422"/>
      <c r="C213" s="425"/>
      <c r="D213" s="425"/>
      <c r="E213" s="425"/>
      <c r="F213" s="425"/>
      <c r="G213" s="428"/>
      <c r="H213" s="431"/>
      <c r="I213" s="434"/>
      <c r="J213" s="208" t="s">
        <v>346</v>
      </c>
      <c r="K213" s="38">
        <f>+$K$15</f>
        <v>721513</v>
      </c>
      <c r="L213" s="449"/>
      <c r="M213" s="451"/>
      <c r="N213" s="437"/>
      <c r="O213" s="437"/>
      <c r="P213" s="440"/>
      <c r="Q213" s="443"/>
      <c r="R213" s="443"/>
      <c r="S213" s="446"/>
      <c r="T213" s="467"/>
      <c r="U213" s="447"/>
      <c r="V213" s="505"/>
    </row>
    <row r="214" spans="2:22" ht="25.5" hidden="1" customHeight="1" x14ac:dyDescent="0.25">
      <c r="B214" s="420">
        <v>2</v>
      </c>
      <c r="C214" s="452"/>
      <c r="D214" s="452"/>
      <c r="E214" s="452"/>
      <c r="F214" s="452"/>
      <c r="G214" s="455"/>
      <c r="H214" s="429"/>
      <c r="I214" s="458"/>
      <c r="J214" s="208"/>
      <c r="K214" s="38">
        <f>+$K$13</f>
        <v>721015</v>
      </c>
      <c r="L214" s="208"/>
      <c r="M214" s="38">
        <f>+$M$13</f>
        <v>0</v>
      </c>
      <c r="N214" s="435"/>
      <c r="O214" s="435"/>
      <c r="P214" s="438"/>
      <c r="Q214" s="441"/>
      <c r="R214" s="441"/>
      <c r="S214" s="444">
        <f>IF(COUNTIF(J214:K216,"CUMPLE")&gt;=1,(G214*I214),0)* (IF(N214="PRESENTÓ CERTIFICADO",1,0))* (IF(O214="ACORDE A ITEM 5.2.2 (T.R.)",1,0) )* ( IF(OR(Q214="SIN OBSERVACIÓN", Q214="REQUERIMIENTOS SUBSANADOS"),1,0)) *(IF(OR(R214="NINGUNO", R214="CUMPLEN CON LO SOLICITADO"),1,0))</f>
        <v>0</v>
      </c>
      <c r="T214" s="467"/>
      <c r="U214" s="447">
        <f>IF(COUNTIF(L214:M216,"CUMPLE")&gt;=1,1,0)</f>
        <v>0</v>
      </c>
      <c r="V214" s="509"/>
    </row>
    <row r="215" spans="2:22" ht="25.5" hidden="1" customHeight="1" x14ac:dyDescent="0.25">
      <c r="B215" s="421"/>
      <c r="C215" s="453"/>
      <c r="D215" s="453"/>
      <c r="E215" s="453"/>
      <c r="F215" s="453"/>
      <c r="G215" s="456"/>
      <c r="H215" s="430"/>
      <c r="I215" s="459"/>
      <c r="J215" s="208"/>
      <c r="K215" s="38">
        <f>+$K$14</f>
        <v>721033</v>
      </c>
      <c r="L215" s="448"/>
      <c r="M215" s="450">
        <f>+$M$14</f>
        <v>0</v>
      </c>
      <c r="N215" s="436"/>
      <c r="O215" s="436"/>
      <c r="P215" s="439"/>
      <c r="Q215" s="442"/>
      <c r="R215" s="442"/>
      <c r="S215" s="445"/>
      <c r="T215" s="467"/>
      <c r="U215" s="447"/>
      <c r="V215" s="509"/>
    </row>
    <row r="216" spans="2:22" ht="25.5" hidden="1" customHeight="1" x14ac:dyDescent="0.25">
      <c r="B216" s="422"/>
      <c r="C216" s="454"/>
      <c r="D216" s="454"/>
      <c r="E216" s="454"/>
      <c r="F216" s="454"/>
      <c r="G216" s="457"/>
      <c r="H216" s="431"/>
      <c r="I216" s="460"/>
      <c r="J216" s="208"/>
      <c r="K216" s="38">
        <f>+$K$15</f>
        <v>721513</v>
      </c>
      <c r="L216" s="449"/>
      <c r="M216" s="451"/>
      <c r="N216" s="437"/>
      <c r="O216" s="437"/>
      <c r="P216" s="440"/>
      <c r="Q216" s="443"/>
      <c r="R216" s="443"/>
      <c r="S216" s="446"/>
      <c r="T216" s="467"/>
      <c r="U216" s="447"/>
      <c r="V216" s="509"/>
    </row>
    <row r="217" spans="2:22" ht="25.5" hidden="1" customHeight="1" x14ac:dyDescent="0.25">
      <c r="B217" s="420">
        <v>3</v>
      </c>
      <c r="C217" s="423"/>
      <c r="D217" s="423"/>
      <c r="E217" s="423"/>
      <c r="F217" s="423"/>
      <c r="G217" s="426"/>
      <c r="H217" s="429"/>
      <c r="I217" s="432"/>
      <c r="J217" s="208"/>
      <c r="K217" s="38">
        <f>+$K$13</f>
        <v>721015</v>
      </c>
      <c r="L217" s="208"/>
      <c r="M217" s="38">
        <f>+$M$13</f>
        <v>0</v>
      </c>
      <c r="N217" s="435"/>
      <c r="O217" s="435"/>
      <c r="P217" s="438"/>
      <c r="Q217" s="441"/>
      <c r="R217" s="441"/>
      <c r="S217" s="444">
        <f>IF(COUNTIF(J217:K219,"CUMPLE")&gt;=1,(G217*I217),0)* (IF(N217="PRESENTÓ CERTIFICADO",1,0))* (IF(O217="ACORDE A ITEM 5.2.2 (T.R.)",1,0) )* ( IF(OR(Q217="SIN OBSERVACIÓN", Q217="REQUERIMIENTOS SUBSANADOS"),1,0)) *(IF(OR(R217="NINGUNO", R217="CUMPLEN CON LO SOLICITADO"),1,0))</f>
        <v>0</v>
      </c>
      <c r="T217" s="467"/>
      <c r="U217" s="447">
        <f>IF(COUNTIF(L217:M219,"CUMPLE")&gt;=1,1,0)</f>
        <v>0</v>
      </c>
      <c r="V217" s="509"/>
    </row>
    <row r="218" spans="2:22" ht="25.5" hidden="1" customHeight="1" x14ac:dyDescent="0.25">
      <c r="B218" s="421"/>
      <c r="C218" s="424"/>
      <c r="D218" s="424"/>
      <c r="E218" s="424"/>
      <c r="F218" s="424"/>
      <c r="G218" s="427"/>
      <c r="H218" s="430"/>
      <c r="I218" s="433"/>
      <c r="J218" s="208"/>
      <c r="K218" s="38">
        <f>+$K$14</f>
        <v>721033</v>
      </c>
      <c r="L218" s="448"/>
      <c r="M218" s="450">
        <f>+$M$14</f>
        <v>0</v>
      </c>
      <c r="N218" s="436"/>
      <c r="O218" s="436"/>
      <c r="P218" s="439"/>
      <c r="Q218" s="442"/>
      <c r="R218" s="442"/>
      <c r="S218" s="445"/>
      <c r="T218" s="467"/>
      <c r="U218" s="447"/>
      <c r="V218" s="509"/>
    </row>
    <row r="219" spans="2:22" ht="25.5" hidden="1" customHeight="1" x14ac:dyDescent="0.25">
      <c r="B219" s="422"/>
      <c r="C219" s="425"/>
      <c r="D219" s="425"/>
      <c r="E219" s="425"/>
      <c r="F219" s="425"/>
      <c r="G219" s="428"/>
      <c r="H219" s="431"/>
      <c r="I219" s="434"/>
      <c r="J219" s="208"/>
      <c r="K219" s="38">
        <f>+$K$15</f>
        <v>721513</v>
      </c>
      <c r="L219" s="449"/>
      <c r="M219" s="451"/>
      <c r="N219" s="437"/>
      <c r="O219" s="437"/>
      <c r="P219" s="440"/>
      <c r="Q219" s="443"/>
      <c r="R219" s="443"/>
      <c r="S219" s="446"/>
      <c r="T219" s="467"/>
      <c r="U219" s="447"/>
      <c r="V219" s="509"/>
    </row>
    <row r="220" spans="2:22" ht="25.5" hidden="1" customHeight="1" x14ac:dyDescent="0.25">
      <c r="B220" s="420">
        <v>4</v>
      </c>
      <c r="C220" s="452"/>
      <c r="D220" s="452"/>
      <c r="E220" s="452"/>
      <c r="F220" s="452"/>
      <c r="G220" s="455"/>
      <c r="H220" s="429"/>
      <c r="I220" s="458"/>
      <c r="J220" s="208"/>
      <c r="K220" s="38">
        <f>+$K$13</f>
        <v>721015</v>
      </c>
      <c r="L220" s="208"/>
      <c r="M220" s="38">
        <f>+$M$13</f>
        <v>0</v>
      </c>
      <c r="N220" s="435"/>
      <c r="O220" s="435"/>
      <c r="P220" s="438"/>
      <c r="Q220" s="441"/>
      <c r="R220" s="441"/>
      <c r="S220" s="444">
        <f>IF(COUNTIF(J220:K222,"CUMPLE")&gt;=1,(G220*I220),0)* (IF(N220="PRESENTÓ CERTIFICADO",1,0))* (IF(O220="ACORDE A ITEM 5.2.2 (T.R.)",1,0) )* ( IF(OR(Q220="SIN OBSERVACIÓN", Q220="REQUERIMIENTOS SUBSANADOS"),1,0)) *(IF(OR(R220="NINGUNO", R220="CUMPLEN CON LO SOLICITADO"),1,0))</f>
        <v>0</v>
      </c>
      <c r="T220" s="467"/>
      <c r="U220" s="447">
        <f>IF(COUNTIF(L220:M222,"CUMPLE")&gt;=1,1,0)</f>
        <v>0</v>
      </c>
      <c r="V220" s="509"/>
    </row>
    <row r="221" spans="2:22" ht="25.5" hidden="1" customHeight="1" x14ac:dyDescent="0.25">
      <c r="B221" s="421"/>
      <c r="C221" s="453"/>
      <c r="D221" s="453"/>
      <c r="E221" s="453"/>
      <c r="F221" s="453"/>
      <c r="G221" s="456"/>
      <c r="H221" s="430"/>
      <c r="I221" s="459"/>
      <c r="J221" s="208"/>
      <c r="K221" s="38">
        <f>+$K$14</f>
        <v>721033</v>
      </c>
      <c r="L221" s="448"/>
      <c r="M221" s="450">
        <f>+$M$14</f>
        <v>0</v>
      </c>
      <c r="N221" s="436"/>
      <c r="O221" s="436"/>
      <c r="P221" s="439"/>
      <c r="Q221" s="442"/>
      <c r="R221" s="442"/>
      <c r="S221" s="445"/>
      <c r="T221" s="467"/>
      <c r="U221" s="447"/>
      <c r="V221" s="509"/>
    </row>
    <row r="222" spans="2:22" ht="25.5" hidden="1" customHeight="1" x14ac:dyDescent="0.25">
      <c r="B222" s="422"/>
      <c r="C222" s="454"/>
      <c r="D222" s="454"/>
      <c r="E222" s="454"/>
      <c r="F222" s="454"/>
      <c r="G222" s="457"/>
      <c r="H222" s="431"/>
      <c r="I222" s="460"/>
      <c r="J222" s="208"/>
      <c r="K222" s="38">
        <f>+$K$15</f>
        <v>721513</v>
      </c>
      <c r="L222" s="449"/>
      <c r="M222" s="451"/>
      <c r="N222" s="437"/>
      <c r="O222" s="437"/>
      <c r="P222" s="440"/>
      <c r="Q222" s="443"/>
      <c r="R222" s="443"/>
      <c r="S222" s="446"/>
      <c r="T222" s="467"/>
      <c r="U222" s="447"/>
      <c r="V222" s="509"/>
    </row>
    <row r="223" spans="2:22" ht="25.5" hidden="1" customHeight="1" x14ac:dyDescent="0.25">
      <c r="B223" s="420">
        <v>5</v>
      </c>
      <c r="C223" s="423"/>
      <c r="D223" s="423"/>
      <c r="E223" s="423"/>
      <c r="F223" s="423"/>
      <c r="G223" s="426"/>
      <c r="H223" s="429"/>
      <c r="I223" s="432"/>
      <c r="J223" s="208"/>
      <c r="K223" s="38">
        <f>+$K$13</f>
        <v>721015</v>
      </c>
      <c r="L223" s="208"/>
      <c r="M223" s="38">
        <f>+$M$13</f>
        <v>0</v>
      </c>
      <c r="N223" s="435"/>
      <c r="O223" s="435"/>
      <c r="P223" s="438"/>
      <c r="Q223" s="441"/>
      <c r="R223" s="441"/>
      <c r="S223" s="444">
        <f>IF(COUNTIF(J223:K225,"CUMPLE")&gt;=1,(G223*I223),0)* (IF(N223="PRESENTÓ CERTIFICADO",1,0))* (IF(O223="ACORDE A ITEM 5.2.2 (T.R.)",1,0) )* ( IF(OR(Q223="SIN OBSERVACIÓN", Q223="REQUERIMIENTOS SUBSANADOS"),1,0)) *(IF(OR(R223="NINGUNO", R223="CUMPLEN CON LO SOLICITADO"),1,0))</f>
        <v>0</v>
      </c>
      <c r="T223" s="467"/>
      <c r="U223" s="447">
        <f>IF(COUNTIF(L223:M225,"CUMPLE")&gt;=1,1,0)</f>
        <v>0</v>
      </c>
      <c r="V223" s="509"/>
    </row>
    <row r="224" spans="2:22" ht="25.5" hidden="1" customHeight="1" x14ac:dyDescent="0.25">
      <c r="B224" s="421"/>
      <c r="C224" s="424"/>
      <c r="D224" s="424"/>
      <c r="E224" s="424"/>
      <c r="F224" s="424"/>
      <c r="G224" s="427"/>
      <c r="H224" s="430"/>
      <c r="I224" s="433"/>
      <c r="J224" s="208"/>
      <c r="K224" s="38">
        <f>+$K$14</f>
        <v>721033</v>
      </c>
      <c r="L224" s="448"/>
      <c r="M224" s="450">
        <f>+$M$14</f>
        <v>0</v>
      </c>
      <c r="N224" s="436"/>
      <c r="O224" s="436"/>
      <c r="P224" s="439"/>
      <c r="Q224" s="442"/>
      <c r="R224" s="442"/>
      <c r="S224" s="445"/>
      <c r="T224" s="467"/>
      <c r="U224" s="447"/>
      <c r="V224" s="509"/>
    </row>
    <row r="225" spans="2:22" ht="25.5" hidden="1" customHeight="1" x14ac:dyDescent="0.25">
      <c r="B225" s="422"/>
      <c r="C225" s="425"/>
      <c r="D225" s="425"/>
      <c r="E225" s="425"/>
      <c r="F225" s="425"/>
      <c r="G225" s="428"/>
      <c r="H225" s="431"/>
      <c r="I225" s="434"/>
      <c r="J225" s="208"/>
      <c r="K225" s="38">
        <f>+$K$15</f>
        <v>721513</v>
      </c>
      <c r="L225" s="449"/>
      <c r="M225" s="451"/>
      <c r="N225" s="437"/>
      <c r="O225" s="437"/>
      <c r="P225" s="440"/>
      <c r="Q225" s="443"/>
      <c r="R225" s="443"/>
      <c r="S225" s="446"/>
      <c r="T225" s="468"/>
      <c r="U225" s="447"/>
      <c r="V225" s="509"/>
    </row>
    <row r="226" spans="2:22" ht="18" customHeight="1" x14ac:dyDescent="0.25">
      <c r="B226" s="409" t="str">
        <f>IF(S227=" "," ",IF(S227&gt;=$H$6,"CUMPLE CON LA EXPERIENCIA REQUERIDA","NO CUMPLE CON LA EXPERIENCIA REQUERIDA"))</f>
        <v>CUMPLE CON LA EXPERIENCIA REQUERIDA</v>
      </c>
      <c r="C226" s="410"/>
      <c r="D226" s="410"/>
      <c r="E226" s="410"/>
      <c r="F226" s="410"/>
      <c r="G226" s="410"/>
      <c r="H226" s="410"/>
      <c r="I226" s="410"/>
      <c r="J226" s="410"/>
      <c r="K226" s="410"/>
      <c r="L226" s="410"/>
      <c r="M226" s="410"/>
      <c r="N226" s="410"/>
      <c r="O226" s="411"/>
      <c r="P226" s="415" t="s">
        <v>52</v>
      </c>
      <c r="Q226" s="416"/>
      <c r="R226" s="417"/>
      <c r="S226" s="44">
        <f>IF(T211="SI",SUM(S211:S225),0)</f>
        <v>5130.2344999999996</v>
      </c>
      <c r="T226" s="418" t="str">
        <f>IF(S227=" "," ",IF(S227&gt;=$H$6,"CUMPLE","NO CUMPLE"))</f>
        <v>CUMPLE</v>
      </c>
      <c r="U226" s="28"/>
      <c r="V226" s="515">
        <f>SUM(V211:V225)</f>
        <v>3071.39</v>
      </c>
    </row>
    <row r="227" spans="2:22" ht="18" customHeight="1" x14ac:dyDescent="0.25">
      <c r="B227" s="412"/>
      <c r="C227" s="413"/>
      <c r="D227" s="413"/>
      <c r="E227" s="413"/>
      <c r="F227" s="413"/>
      <c r="G227" s="413"/>
      <c r="H227" s="413"/>
      <c r="I227" s="413"/>
      <c r="J227" s="413"/>
      <c r="K227" s="413"/>
      <c r="L227" s="413"/>
      <c r="M227" s="413"/>
      <c r="N227" s="413"/>
      <c r="O227" s="414"/>
      <c r="P227" s="415" t="s">
        <v>53</v>
      </c>
      <c r="Q227" s="416"/>
      <c r="R227" s="417"/>
      <c r="S227" s="44">
        <f>IFERROR((S226/$P$6)," ")</f>
        <v>6.3493001237623758</v>
      </c>
      <c r="T227" s="419"/>
      <c r="U227" s="41"/>
      <c r="V227" s="516"/>
    </row>
    <row r="230" spans="2:22" ht="33.75" x14ac:dyDescent="0.25">
      <c r="B230" s="26">
        <v>11</v>
      </c>
      <c r="C230" s="469" t="s">
        <v>31</v>
      </c>
      <c r="D230" s="470"/>
      <c r="E230" s="471"/>
      <c r="F230" s="472" t="str">
        <f>IFERROR(VLOOKUP(B230,LISTA_OFERENTES,2,FALSE)," ")</f>
        <v xml:space="preserve">CARLOS ANDRES ACEBEDO ESCOBAR </v>
      </c>
      <c r="G230" s="473"/>
      <c r="H230" s="473"/>
      <c r="I230" s="473"/>
      <c r="J230" s="473"/>
      <c r="K230" s="473"/>
      <c r="L230" s="473"/>
      <c r="M230" s="473"/>
      <c r="N230" s="473"/>
      <c r="O230" s="474"/>
      <c r="P230" s="475" t="s">
        <v>32</v>
      </c>
      <c r="Q230" s="476"/>
      <c r="R230" s="477"/>
      <c r="S230" s="27">
        <f>5-(INT(COUNTBLANK(C233:C247))-10)</f>
        <v>3</v>
      </c>
      <c r="T230" s="28"/>
    </row>
    <row r="231" spans="2:22" ht="41.25" customHeight="1" x14ac:dyDescent="0.25">
      <c r="B231" s="478" t="s">
        <v>33</v>
      </c>
      <c r="C231" s="461" t="s">
        <v>34</v>
      </c>
      <c r="D231" s="461" t="s">
        <v>35</v>
      </c>
      <c r="E231" s="461" t="s">
        <v>36</v>
      </c>
      <c r="F231" s="461" t="s">
        <v>37</v>
      </c>
      <c r="G231" s="461" t="s">
        <v>38</v>
      </c>
      <c r="H231" s="461" t="s">
        <v>39</v>
      </c>
      <c r="I231" s="461" t="s">
        <v>40</v>
      </c>
      <c r="J231" s="480" t="s">
        <v>41</v>
      </c>
      <c r="K231" s="481"/>
      <c r="L231" s="481"/>
      <c r="M231" s="482"/>
      <c r="N231" s="461" t="s">
        <v>42</v>
      </c>
      <c r="O231" s="461" t="s">
        <v>43</v>
      </c>
      <c r="P231" s="480" t="s">
        <v>44</v>
      </c>
      <c r="Q231" s="482"/>
      <c r="R231" s="461" t="s">
        <v>45</v>
      </c>
      <c r="S231" s="461" t="s">
        <v>46</v>
      </c>
      <c r="T231" s="461" t="str">
        <f>+$T$11</f>
        <v>CUMPLE CON EL REQUERIMIENTO DE HABER EJECUTADO MÁS DE 2000M# EN ACTIVIDADES DE PINTURA</v>
      </c>
      <c r="U231" s="461" t="str">
        <f>+$U$11</f>
        <v xml:space="preserve">VERIFICACIÓN CONDICIÓN DE EXPERIENCIA  </v>
      </c>
      <c r="V231" s="504" t="s">
        <v>248</v>
      </c>
    </row>
    <row r="232" spans="2:22" ht="63" customHeight="1" x14ac:dyDescent="0.25">
      <c r="B232" s="479"/>
      <c r="C232" s="462"/>
      <c r="D232" s="462"/>
      <c r="E232" s="462"/>
      <c r="F232" s="462"/>
      <c r="G232" s="462"/>
      <c r="H232" s="462"/>
      <c r="I232" s="462"/>
      <c r="J232" s="463" t="s">
        <v>49</v>
      </c>
      <c r="K232" s="464"/>
      <c r="L232" s="464"/>
      <c r="M232" s="465"/>
      <c r="N232" s="462"/>
      <c r="O232" s="462"/>
      <c r="P232" s="33" t="s">
        <v>10</v>
      </c>
      <c r="Q232" s="33" t="s">
        <v>50</v>
      </c>
      <c r="R232" s="462"/>
      <c r="S232" s="462"/>
      <c r="T232" s="462"/>
      <c r="U232" s="462"/>
      <c r="V232" s="504"/>
    </row>
    <row r="233" spans="2:22" ht="21.75" customHeight="1" x14ac:dyDescent="0.25">
      <c r="B233" s="420">
        <v>1</v>
      </c>
      <c r="C233" s="423">
        <v>14</v>
      </c>
      <c r="D233" s="423">
        <v>20</v>
      </c>
      <c r="E233" s="423" t="s">
        <v>377</v>
      </c>
      <c r="F233" s="423" t="s">
        <v>380</v>
      </c>
      <c r="G233" s="426">
        <v>2889.36</v>
      </c>
      <c r="H233" s="429" t="s">
        <v>360</v>
      </c>
      <c r="I233" s="432">
        <v>1</v>
      </c>
      <c r="J233" s="208" t="s">
        <v>346</v>
      </c>
      <c r="K233" s="38">
        <f>+$K$13</f>
        <v>721015</v>
      </c>
      <c r="L233" s="208"/>
      <c r="M233" s="38">
        <f>+$M$13</f>
        <v>0</v>
      </c>
      <c r="N233" s="435" t="s">
        <v>361</v>
      </c>
      <c r="O233" s="435" t="s">
        <v>362</v>
      </c>
      <c r="P233" s="438"/>
      <c r="Q233" s="441" t="s">
        <v>363</v>
      </c>
      <c r="R233" s="441" t="s">
        <v>375</v>
      </c>
      <c r="S233" s="444">
        <f>IF(COUNTIF(J233:K235,"CUMPLE")&gt;=1,(G233*I233),0)* (IF(N233="PRESENTÓ CERTIFICADO",1,0))* (IF(O233="ACORDE A ITEM 5.2.2 (T.R.)",1,0) )* ( IF(OR(Q233="SIN OBSERVACIÓN", Q233="REQUERIMIENTOS SUBSANADOS"),1,0)) *(IF(OR(R233="NINGUNO", R233="CUMPLEN CON LO SOLICITADO"),1,0))</f>
        <v>2889.36</v>
      </c>
      <c r="T233" s="466" t="s">
        <v>376</v>
      </c>
      <c r="U233" s="447">
        <f>IF(COUNTIF(J233:K235,"CUMPLE")&gt;=1,1,0)</f>
        <v>1</v>
      </c>
      <c r="V233" s="505">
        <f>188.16+1811.33+1986.13+364.6+200</f>
        <v>4550.22</v>
      </c>
    </row>
    <row r="234" spans="2:22" ht="21.75" customHeight="1" x14ac:dyDescent="0.25">
      <c r="B234" s="421"/>
      <c r="C234" s="424"/>
      <c r="D234" s="424"/>
      <c r="E234" s="424"/>
      <c r="F234" s="424"/>
      <c r="G234" s="427"/>
      <c r="H234" s="430"/>
      <c r="I234" s="433"/>
      <c r="J234" s="208" t="s">
        <v>347</v>
      </c>
      <c r="K234" s="38">
        <f>+$K$14</f>
        <v>721033</v>
      </c>
      <c r="L234" s="448"/>
      <c r="M234" s="450">
        <f>+$M$14</f>
        <v>0</v>
      </c>
      <c r="N234" s="436"/>
      <c r="O234" s="436"/>
      <c r="P234" s="439"/>
      <c r="Q234" s="442"/>
      <c r="R234" s="442"/>
      <c r="S234" s="445"/>
      <c r="T234" s="467"/>
      <c r="U234" s="447"/>
      <c r="V234" s="505"/>
    </row>
    <row r="235" spans="2:22" ht="21.75" customHeight="1" x14ac:dyDescent="0.25">
      <c r="B235" s="422"/>
      <c r="C235" s="425"/>
      <c r="D235" s="425"/>
      <c r="E235" s="425"/>
      <c r="F235" s="425"/>
      <c r="G235" s="428"/>
      <c r="H235" s="431"/>
      <c r="I235" s="434"/>
      <c r="J235" s="208" t="s">
        <v>347</v>
      </c>
      <c r="K235" s="38">
        <f>+$K$15</f>
        <v>721513</v>
      </c>
      <c r="L235" s="449"/>
      <c r="M235" s="451"/>
      <c r="N235" s="437"/>
      <c r="O235" s="437"/>
      <c r="P235" s="440"/>
      <c r="Q235" s="443"/>
      <c r="R235" s="443"/>
      <c r="S235" s="446"/>
      <c r="T235" s="467"/>
      <c r="U235" s="447"/>
      <c r="V235" s="505"/>
    </row>
    <row r="236" spans="2:22" ht="23.25" customHeight="1" x14ac:dyDescent="0.25">
      <c r="B236" s="420">
        <v>2</v>
      </c>
      <c r="C236" s="452">
        <v>64</v>
      </c>
      <c r="D236" s="452">
        <v>57</v>
      </c>
      <c r="E236" s="452" t="s">
        <v>378</v>
      </c>
      <c r="F236" s="452" t="s">
        <v>381</v>
      </c>
      <c r="G236" s="455">
        <v>2443.4299999999998</v>
      </c>
      <c r="H236" s="429" t="s">
        <v>360</v>
      </c>
      <c r="I236" s="432">
        <v>1</v>
      </c>
      <c r="J236" s="208" t="s">
        <v>346</v>
      </c>
      <c r="K236" s="38">
        <f>+$K$13</f>
        <v>721015</v>
      </c>
      <c r="L236" s="208"/>
      <c r="M236" s="38">
        <f>+$M$13</f>
        <v>0</v>
      </c>
      <c r="N236" s="435" t="s">
        <v>361</v>
      </c>
      <c r="O236" s="435" t="s">
        <v>362</v>
      </c>
      <c r="P236" s="438"/>
      <c r="Q236" s="441" t="s">
        <v>363</v>
      </c>
      <c r="R236" s="441" t="s">
        <v>375</v>
      </c>
      <c r="S236" s="444">
        <f>IF(COUNTIF(J236:K238,"CUMPLE")&gt;=1,(G236*I236),0)* (IF(N236="PRESENTÓ CERTIFICADO",1,0))* (IF(O236="ACORDE A ITEM 5.2.2 (T.R.)",1,0) )* ( IF(OR(Q236="SIN OBSERVACIÓN", Q236="REQUERIMIENTOS SUBSANADOS"),1,0)) *(IF(OR(R236="NINGUNO", R236="CUMPLEN CON LO SOLICITADO"),1,0))</f>
        <v>2443.4299999999998</v>
      </c>
      <c r="T236" s="467"/>
      <c r="U236" s="447">
        <f>IF(COUNTIF(J236:K238,"CUMPLE")&gt;=1,1,0)</f>
        <v>1</v>
      </c>
      <c r="V236" s="505">
        <f>3526.5+1727</f>
        <v>5253.5</v>
      </c>
    </row>
    <row r="237" spans="2:22" ht="23.25" customHeight="1" x14ac:dyDescent="0.25">
      <c r="B237" s="421"/>
      <c r="C237" s="453"/>
      <c r="D237" s="453"/>
      <c r="E237" s="453"/>
      <c r="F237" s="453"/>
      <c r="G237" s="456"/>
      <c r="H237" s="430"/>
      <c r="I237" s="433"/>
      <c r="J237" s="208" t="s">
        <v>346</v>
      </c>
      <c r="K237" s="38">
        <f>+$K$14</f>
        <v>721033</v>
      </c>
      <c r="L237" s="448"/>
      <c r="M237" s="450">
        <f>+$M$14</f>
        <v>0</v>
      </c>
      <c r="N237" s="436"/>
      <c r="O237" s="436"/>
      <c r="P237" s="439"/>
      <c r="Q237" s="442"/>
      <c r="R237" s="442"/>
      <c r="S237" s="445"/>
      <c r="T237" s="467"/>
      <c r="U237" s="447"/>
      <c r="V237" s="505"/>
    </row>
    <row r="238" spans="2:22" ht="23.25" customHeight="1" x14ac:dyDescent="0.25">
      <c r="B238" s="422"/>
      <c r="C238" s="454"/>
      <c r="D238" s="454"/>
      <c r="E238" s="454"/>
      <c r="F238" s="454"/>
      <c r="G238" s="457"/>
      <c r="H238" s="431"/>
      <c r="I238" s="434"/>
      <c r="J238" s="208" t="s">
        <v>346</v>
      </c>
      <c r="K238" s="38">
        <f>+$K$15</f>
        <v>721513</v>
      </c>
      <c r="L238" s="449"/>
      <c r="M238" s="451"/>
      <c r="N238" s="437"/>
      <c r="O238" s="437"/>
      <c r="P238" s="440"/>
      <c r="Q238" s="443"/>
      <c r="R238" s="443"/>
      <c r="S238" s="446"/>
      <c r="T238" s="467"/>
      <c r="U238" s="447"/>
      <c r="V238" s="505"/>
    </row>
    <row r="239" spans="2:22" ht="23.25" customHeight="1" x14ac:dyDescent="0.25">
      <c r="B239" s="420">
        <v>3</v>
      </c>
      <c r="C239" s="423">
        <v>87</v>
      </c>
      <c r="D239" s="423">
        <v>73</v>
      </c>
      <c r="E239" s="423" t="s">
        <v>379</v>
      </c>
      <c r="F239" s="423" t="s">
        <v>382</v>
      </c>
      <c r="G239" s="426">
        <v>7129.37</v>
      </c>
      <c r="H239" s="429" t="s">
        <v>353</v>
      </c>
      <c r="I239" s="432">
        <v>0.5</v>
      </c>
      <c r="J239" s="208" t="s">
        <v>346</v>
      </c>
      <c r="K239" s="38">
        <f>+$K$13</f>
        <v>721015</v>
      </c>
      <c r="L239" s="208"/>
      <c r="M239" s="38">
        <f>+$M$13</f>
        <v>0</v>
      </c>
      <c r="N239" s="435" t="s">
        <v>361</v>
      </c>
      <c r="O239" s="435" t="s">
        <v>362</v>
      </c>
      <c r="P239" s="438"/>
      <c r="Q239" s="441" t="s">
        <v>363</v>
      </c>
      <c r="R239" s="441" t="s">
        <v>375</v>
      </c>
      <c r="S239" s="444">
        <f>IF(COUNTIF(J239:K241,"CUMPLE")&gt;=1,(G239*I239),0)* (IF(N239="PRESENTÓ CERTIFICADO",1,0))* (IF(O239="ACORDE A ITEM 5.2.2 (T.R.)",1,0) )* ( IF(OR(Q239="SIN OBSERVACIÓN", Q239="REQUERIMIENTOS SUBSANADOS"),1,0)) *(IF(OR(R239="NINGUNO", R239="CUMPLEN CON LO SOLICITADO"),1,0))</f>
        <v>3564.6849999999999</v>
      </c>
      <c r="T239" s="467"/>
      <c r="U239" s="447">
        <f>IF(COUNTIF(J239:K241,"CUMPLE")&gt;=1,1,0)</f>
        <v>1</v>
      </c>
      <c r="V239" s="505">
        <f>198.55+736.91+1155.3</f>
        <v>2090.7600000000002</v>
      </c>
    </row>
    <row r="240" spans="2:22" ht="23.25" customHeight="1" x14ac:dyDescent="0.25">
      <c r="B240" s="421"/>
      <c r="C240" s="424"/>
      <c r="D240" s="424"/>
      <c r="E240" s="424"/>
      <c r="F240" s="424"/>
      <c r="G240" s="427"/>
      <c r="H240" s="430"/>
      <c r="I240" s="433"/>
      <c r="J240" s="208" t="s">
        <v>346</v>
      </c>
      <c r="K240" s="38">
        <f>+$K$14</f>
        <v>721033</v>
      </c>
      <c r="L240" s="448"/>
      <c r="M240" s="450">
        <f>+$M$14</f>
        <v>0</v>
      </c>
      <c r="N240" s="436"/>
      <c r="O240" s="436"/>
      <c r="P240" s="439"/>
      <c r="Q240" s="442"/>
      <c r="R240" s="442"/>
      <c r="S240" s="445"/>
      <c r="T240" s="467"/>
      <c r="U240" s="447"/>
      <c r="V240" s="505"/>
    </row>
    <row r="241" spans="2:22" ht="23.25" customHeight="1" x14ac:dyDescent="0.25">
      <c r="B241" s="422"/>
      <c r="C241" s="425"/>
      <c r="D241" s="425"/>
      <c r="E241" s="425"/>
      <c r="F241" s="425"/>
      <c r="G241" s="428"/>
      <c r="H241" s="431"/>
      <c r="I241" s="434"/>
      <c r="J241" s="208" t="s">
        <v>346</v>
      </c>
      <c r="K241" s="38">
        <f>+$K$15</f>
        <v>721513</v>
      </c>
      <c r="L241" s="449"/>
      <c r="M241" s="451"/>
      <c r="N241" s="437"/>
      <c r="O241" s="437"/>
      <c r="P241" s="440"/>
      <c r="Q241" s="443"/>
      <c r="R241" s="443"/>
      <c r="S241" s="446"/>
      <c r="T241" s="467"/>
      <c r="U241" s="447"/>
      <c r="V241" s="505"/>
    </row>
    <row r="242" spans="2:22" ht="23.25" hidden="1" customHeight="1" x14ac:dyDescent="0.25">
      <c r="B242" s="420">
        <v>4</v>
      </c>
      <c r="C242" s="452"/>
      <c r="D242" s="452"/>
      <c r="E242" s="452"/>
      <c r="F242" s="452"/>
      <c r="G242" s="455"/>
      <c r="H242" s="429"/>
      <c r="I242" s="458"/>
      <c r="J242" s="208"/>
      <c r="K242" s="38">
        <f>+$K$13</f>
        <v>721015</v>
      </c>
      <c r="L242" s="208"/>
      <c r="M242" s="38">
        <f>+$M$13</f>
        <v>0</v>
      </c>
      <c r="N242" s="435"/>
      <c r="O242" s="435"/>
      <c r="P242" s="438"/>
      <c r="Q242" s="441"/>
      <c r="R242" s="441"/>
      <c r="S242" s="444">
        <f>IF(COUNTIF(J242:K244,"CUMPLE")&gt;=1,(G242*I242),0)* (IF(N242="PRESENTÓ CERTIFICADO",1,0))* (IF(O242="ACORDE A ITEM 5.2.2 (T.R.)",1,0) )* ( IF(OR(Q242="SIN OBSERVACIÓN", Q242="REQUERIMIENTOS SUBSANADOS"),1,0)) *(IF(OR(R242="NINGUNO", R242="CUMPLEN CON LO SOLICITADO"),1,0))</f>
        <v>0</v>
      </c>
      <c r="T242" s="467"/>
      <c r="U242" s="447">
        <f>IF(COUNTIF(L242:M244,"CUMPLE")&gt;=1,1,0)</f>
        <v>0</v>
      </c>
      <c r="V242" s="509"/>
    </row>
    <row r="243" spans="2:22" ht="23.25" hidden="1" customHeight="1" x14ac:dyDescent="0.25">
      <c r="B243" s="421"/>
      <c r="C243" s="453"/>
      <c r="D243" s="453"/>
      <c r="E243" s="453"/>
      <c r="F243" s="453"/>
      <c r="G243" s="456"/>
      <c r="H243" s="430"/>
      <c r="I243" s="459"/>
      <c r="J243" s="208"/>
      <c r="K243" s="38">
        <f>+$K$14</f>
        <v>721033</v>
      </c>
      <c r="L243" s="448"/>
      <c r="M243" s="450">
        <f>+$M$14</f>
        <v>0</v>
      </c>
      <c r="N243" s="436"/>
      <c r="O243" s="436"/>
      <c r="P243" s="439"/>
      <c r="Q243" s="442"/>
      <c r="R243" s="442"/>
      <c r="S243" s="445"/>
      <c r="T243" s="467"/>
      <c r="U243" s="447"/>
      <c r="V243" s="509"/>
    </row>
    <row r="244" spans="2:22" ht="23.25" hidden="1" customHeight="1" x14ac:dyDescent="0.25">
      <c r="B244" s="422"/>
      <c r="C244" s="454"/>
      <c r="D244" s="454"/>
      <c r="E244" s="454"/>
      <c r="F244" s="454"/>
      <c r="G244" s="457"/>
      <c r="H244" s="431"/>
      <c r="I244" s="460"/>
      <c r="J244" s="208"/>
      <c r="K244" s="38">
        <f>+$K$15</f>
        <v>721513</v>
      </c>
      <c r="L244" s="449"/>
      <c r="M244" s="451"/>
      <c r="N244" s="437"/>
      <c r="O244" s="437"/>
      <c r="P244" s="440"/>
      <c r="Q244" s="443"/>
      <c r="R244" s="443"/>
      <c r="S244" s="446"/>
      <c r="T244" s="467"/>
      <c r="U244" s="447"/>
      <c r="V244" s="509"/>
    </row>
    <row r="245" spans="2:22" ht="23.25" hidden="1" customHeight="1" x14ac:dyDescent="0.25">
      <c r="B245" s="420">
        <v>5</v>
      </c>
      <c r="C245" s="423"/>
      <c r="D245" s="423"/>
      <c r="E245" s="423"/>
      <c r="F245" s="423"/>
      <c r="G245" s="426"/>
      <c r="H245" s="429"/>
      <c r="I245" s="432"/>
      <c r="J245" s="208"/>
      <c r="K245" s="38">
        <f>+$K$13</f>
        <v>721015</v>
      </c>
      <c r="L245" s="208"/>
      <c r="M245" s="38">
        <f>+$M$13</f>
        <v>0</v>
      </c>
      <c r="N245" s="435"/>
      <c r="O245" s="435"/>
      <c r="P245" s="438"/>
      <c r="Q245" s="441"/>
      <c r="R245" s="441"/>
      <c r="S245" s="444">
        <f>IF(COUNTIF(J245:K247,"CUMPLE")&gt;=1,(G245*I245),0)* (IF(N245="PRESENTÓ CERTIFICADO",1,0))* (IF(O245="ACORDE A ITEM 5.2.2 (T.R.)",1,0) )* ( IF(OR(Q245="SIN OBSERVACIÓN", Q245="REQUERIMIENTOS SUBSANADOS"),1,0)) *(IF(OR(R245="NINGUNO", R245="CUMPLEN CON LO SOLICITADO"),1,0))</f>
        <v>0</v>
      </c>
      <c r="T245" s="467"/>
      <c r="U245" s="447">
        <f>IF(COUNTIF(L245:M247,"CUMPLE")&gt;=1,1,0)</f>
        <v>0</v>
      </c>
      <c r="V245" s="509"/>
    </row>
    <row r="246" spans="2:22" ht="23.25" hidden="1" customHeight="1" x14ac:dyDescent="0.25">
      <c r="B246" s="421"/>
      <c r="C246" s="424"/>
      <c r="D246" s="424"/>
      <c r="E246" s="424"/>
      <c r="F246" s="424"/>
      <c r="G246" s="427"/>
      <c r="H246" s="430"/>
      <c r="I246" s="433"/>
      <c r="J246" s="208"/>
      <c r="K246" s="38">
        <f>+$K$14</f>
        <v>721033</v>
      </c>
      <c r="L246" s="448"/>
      <c r="M246" s="450">
        <f>+$M$14</f>
        <v>0</v>
      </c>
      <c r="N246" s="436"/>
      <c r="O246" s="436"/>
      <c r="P246" s="439"/>
      <c r="Q246" s="442"/>
      <c r="R246" s="442"/>
      <c r="S246" s="445"/>
      <c r="T246" s="467"/>
      <c r="U246" s="447"/>
      <c r="V246" s="509"/>
    </row>
    <row r="247" spans="2:22" ht="23.25" hidden="1" customHeight="1" x14ac:dyDescent="0.25">
      <c r="B247" s="422"/>
      <c r="C247" s="425"/>
      <c r="D247" s="425"/>
      <c r="E247" s="425"/>
      <c r="F247" s="425"/>
      <c r="G247" s="428"/>
      <c r="H247" s="431"/>
      <c r="I247" s="434"/>
      <c r="J247" s="208"/>
      <c r="K247" s="38">
        <f>+$K$15</f>
        <v>721513</v>
      </c>
      <c r="L247" s="449"/>
      <c r="M247" s="451"/>
      <c r="N247" s="437"/>
      <c r="O247" s="437"/>
      <c r="P247" s="440"/>
      <c r="Q247" s="443"/>
      <c r="R247" s="443"/>
      <c r="S247" s="446"/>
      <c r="T247" s="468"/>
      <c r="U247" s="447"/>
      <c r="V247" s="509"/>
    </row>
    <row r="248" spans="2:22" ht="18" customHeight="1" x14ac:dyDescent="0.25">
      <c r="B248" s="409" t="str">
        <f>IF(S249=" "," ",IF(S249&gt;=$H$6,"CUMPLE CON LA EXPERIENCIA REQUERIDA","NO CUMPLE CON LA EXPERIENCIA REQUERIDA"))</f>
        <v>CUMPLE CON LA EXPERIENCIA REQUERIDA</v>
      </c>
      <c r="C248" s="410"/>
      <c r="D248" s="410"/>
      <c r="E248" s="410"/>
      <c r="F248" s="410"/>
      <c r="G248" s="410"/>
      <c r="H248" s="410"/>
      <c r="I248" s="410"/>
      <c r="J248" s="410"/>
      <c r="K248" s="410"/>
      <c r="L248" s="410"/>
      <c r="M248" s="410"/>
      <c r="N248" s="410"/>
      <c r="O248" s="411"/>
      <c r="P248" s="415" t="s">
        <v>52</v>
      </c>
      <c r="Q248" s="416"/>
      <c r="R248" s="417"/>
      <c r="S248" s="44">
        <f>IF(T233="SI",SUM(S233:S247),0)</f>
        <v>8897.4750000000004</v>
      </c>
      <c r="T248" s="418" t="str">
        <f>IF(S249=" "," ",IF(S249&gt;=$H$6,"CUMPLE","NO CUMPLE"))</f>
        <v>CUMPLE</v>
      </c>
      <c r="U248" s="28"/>
      <c r="V248" s="512">
        <f>SUM(V233:V247)</f>
        <v>11894.480000000001</v>
      </c>
    </row>
    <row r="249" spans="2:22" ht="18" customHeight="1" x14ac:dyDescent="0.25">
      <c r="B249" s="412"/>
      <c r="C249" s="413"/>
      <c r="D249" s="413"/>
      <c r="E249" s="413"/>
      <c r="F249" s="413"/>
      <c r="G249" s="413"/>
      <c r="H249" s="413"/>
      <c r="I249" s="413"/>
      <c r="J249" s="413"/>
      <c r="K249" s="413"/>
      <c r="L249" s="413"/>
      <c r="M249" s="413"/>
      <c r="N249" s="413"/>
      <c r="O249" s="414"/>
      <c r="P249" s="415" t="s">
        <v>53</v>
      </c>
      <c r="Q249" s="416"/>
      <c r="R249" s="417"/>
      <c r="S249" s="44">
        <f>IFERROR((S248/$P$6)," ")</f>
        <v>11.011726485148515</v>
      </c>
      <c r="T249" s="419"/>
      <c r="U249" s="41"/>
      <c r="V249" s="513"/>
    </row>
    <row r="252" spans="2:22" ht="33.75" x14ac:dyDescent="0.25">
      <c r="B252" s="26">
        <v>12</v>
      </c>
      <c r="C252" s="469" t="s">
        <v>31</v>
      </c>
      <c r="D252" s="470"/>
      <c r="E252" s="471"/>
      <c r="F252" s="472" t="str">
        <f>IFERROR(VLOOKUP(B252,LISTA_OFERENTES,2,FALSE)," ")</f>
        <v>CONDEIN S.A.S</v>
      </c>
      <c r="G252" s="473"/>
      <c r="H252" s="473"/>
      <c r="I252" s="473"/>
      <c r="J252" s="473"/>
      <c r="K252" s="473"/>
      <c r="L252" s="473"/>
      <c r="M252" s="473"/>
      <c r="N252" s="473"/>
      <c r="O252" s="474"/>
      <c r="P252" s="475" t="s">
        <v>32</v>
      </c>
      <c r="Q252" s="476"/>
      <c r="R252" s="477"/>
      <c r="S252" s="27">
        <f>5-(INT(COUNTBLANK(C255:C269))-10)</f>
        <v>5</v>
      </c>
      <c r="T252" s="28"/>
    </row>
    <row r="253" spans="2:22" ht="39.75" customHeight="1" x14ac:dyDescent="0.25">
      <c r="B253" s="478" t="s">
        <v>33</v>
      </c>
      <c r="C253" s="461" t="s">
        <v>34</v>
      </c>
      <c r="D253" s="461" t="s">
        <v>35</v>
      </c>
      <c r="E253" s="461" t="s">
        <v>36</v>
      </c>
      <c r="F253" s="461" t="s">
        <v>37</v>
      </c>
      <c r="G253" s="461" t="s">
        <v>38</v>
      </c>
      <c r="H253" s="461" t="s">
        <v>39</v>
      </c>
      <c r="I253" s="461" t="s">
        <v>40</v>
      </c>
      <c r="J253" s="480" t="s">
        <v>41</v>
      </c>
      <c r="K253" s="481"/>
      <c r="L253" s="481"/>
      <c r="M253" s="482"/>
      <c r="N253" s="461" t="s">
        <v>42</v>
      </c>
      <c r="O253" s="461" t="s">
        <v>43</v>
      </c>
      <c r="P253" s="480" t="s">
        <v>44</v>
      </c>
      <c r="Q253" s="482"/>
      <c r="R253" s="461" t="s">
        <v>45</v>
      </c>
      <c r="S253" s="461" t="s">
        <v>46</v>
      </c>
      <c r="T253" s="461" t="str">
        <f>+$T$11</f>
        <v>CUMPLE CON EL REQUERIMIENTO DE HABER EJECUTADO MÁS DE 2000M# EN ACTIVIDADES DE PINTURA</v>
      </c>
      <c r="U253" s="461" t="str">
        <f>+$U$11</f>
        <v xml:space="preserve">VERIFICACIÓN CONDICIÓN DE EXPERIENCIA  </v>
      </c>
      <c r="V253" s="504" t="s">
        <v>248</v>
      </c>
    </row>
    <row r="254" spans="2:22" ht="51.75" customHeight="1" x14ac:dyDescent="0.25">
      <c r="B254" s="479"/>
      <c r="C254" s="462"/>
      <c r="D254" s="462"/>
      <c r="E254" s="462"/>
      <c r="F254" s="462"/>
      <c r="G254" s="462"/>
      <c r="H254" s="462"/>
      <c r="I254" s="462"/>
      <c r="J254" s="463" t="s">
        <v>49</v>
      </c>
      <c r="K254" s="464"/>
      <c r="L254" s="464"/>
      <c r="M254" s="465"/>
      <c r="N254" s="462"/>
      <c r="O254" s="462"/>
      <c r="P254" s="33" t="s">
        <v>10</v>
      </c>
      <c r="Q254" s="33" t="s">
        <v>50</v>
      </c>
      <c r="R254" s="462"/>
      <c r="S254" s="462"/>
      <c r="T254" s="462"/>
      <c r="U254" s="462"/>
      <c r="V254" s="504"/>
    </row>
    <row r="255" spans="2:22" ht="28.5" customHeight="1" x14ac:dyDescent="0.25">
      <c r="B255" s="420">
        <v>1</v>
      </c>
      <c r="C255" s="423">
        <v>28</v>
      </c>
      <c r="D255" s="423">
        <v>45</v>
      </c>
      <c r="E255" s="423" t="s">
        <v>367</v>
      </c>
      <c r="F255" s="423" t="s">
        <v>372</v>
      </c>
      <c r="G255" s="426">
        <v>927.02</v>
      </c>
      <c r="H255" s="429" t="s">
        <v>360</v>
      </c>
      <c r="I255" s="432">
        <v>1</v>
      </c>
      <c r="J255" s="208" t="s">
        <v>346</v>
      </c>
      <c r="K255" s="38">
        <f>+$K$13</f>
        <v>721015</v>
      </c>
      <c r="L255" s="208"/>
      <c r="M255" s="38">
        <f>+$M$13</f>
        <v>0</v>
      </c>
      <c r="N255" s="435" t="s">
        <v>361</v>
      </c>
      <c r="O255" s="435" t="s">
        <v>362</v>
      </c>
      <c r="P255" s="438"/>
      <c r="Q255" s="441" t="s">
        <v>363</v>
      </c>
      <c r="R255" s="441" t="s">
        <v>375</v>
      </c>
      <c r="S255" s="444">
        <f>IF(COUNTIF(J255:K257,"CUMPLE")&gt;=1,(G255*I255),0)* (IF(N255="PRESENTÓ CERTIFICADO",1,0))* (IF(O255="ACORDE A ITEM 5.2.2 (T.R.)",1,0) )* ( IF(OR(Q255="SIN OBSERVACIÓN", Q255="REQUERIMIENTOS SUBSANADOS"),1,0)) *(IF(OR(R255="NINGUNO", R255="CUMPLEN CON LO SOLICITADO"),1,0))</f>
        <v>927.02</v>
      </c>
      <c r="T255" s="466" t="s">
        <v>376</v>
      </c>
      <c r="U255" s="447">
        <f>IF(COUNTIF(J255:K257,"CUMPLE")&gt;=1,1,0)</f>
        <v>1</v>
      </c>
      <c r="V255" s="517">
        <f>51.53+98.21</f>
        <v>149.74</v>
      </c>
    </row>
    <row r="256" spans="2:22" ht="28.5" customHeight="1" x14ac:dyDescent="0.25">
      <c r="B256" s="421"/>
      <c r="C256" s="424"/>
      <c r="D256" s="424"/>
      <c r="E256" s="424"/>
      <c r="F256" s="424"/>
      <c r="G256" s="427"/>
      <c r="H256" s="430"/>
      <c r="I256" s="433"/>
      <c r="J256" s="208" t="s">
        <v>346</v>
      </c>
      <c r="K256" s="38">
        <f>+$K$14</f>
        <v>721033</v>
      </c>
      <c r="L256" s="448"/>
      <c r="M256" s="450">
        <f>+$M$14</f>
        <v>0</v>
      </c>
      <c r="N256" s="436"/>
      <c r="O256" s="436"/>
      <c r="P256" s="439"/>
      <c r="Q256" s="442"/>
      <c r="R256" s="442"/>
      <c r="S256" s="445"/>
      <c r="T256" s="467"/>
      <c r="U256" s="447"/>
      <c r="V256" s="517"/>
    </row>
    <row r="257" spans="2:22" ht="28.5" customHeight="1" x14ac:dyDescent="0.25">
      <c r="B257" s="422"/>
      <c r="C257" s="425"/>
      <c r="D257" s="425"/>
      <c r="E257" s="425"/>
      <c r="F257" s="425"/>
      <c r="G257" s="428"/>
      <c r="H257" s="431"/>
      <c r="I257" s="434"/>
      <c r="J257" s="208" t="s">
        <v>346</v>
      </c>
      <c r="K257" s="38">
        <f>+$K$15</f>
        <v>721513</v>
      </c>
      <c r="L257" s="449"/>
      <c r="M257" s="451"/>
      <c r="N257" s="437"/>
      <c r="O257" s="437"/>
      <c r="P257" s="440"/>
      <c r="Q257" s="443"/>
      <c r="R257" s="443"/>
      <c r="S257" s="446"/>
      <c r="T257" s="467"/>
      <c r="U257" s="447"/>
      <c r="V257" s="517"/>
    </row>
    <row r="258" spans="2:22" ht="28.5" customHeight="1" x14ac:dyDescent="0.25">
      <c r="B258" s="420">
        <v>2</v>
      </c>
      <c r="C258" s="452">
        <v>32</v>
      </c>
      <c r="D258" s="452">
        <v>52</v>
      </c>
      <c r="E258" s="452" t="s">
        <v>368</v>
      </c>
      <c r="F258" s="452" t="s">
        <v>373</v>
      </c>
      <c r="G258" s="455">
        <v>544.92999999999995</v>
      </c>
      <c r="H258" s="429" t="s">
        <v>360</v>
      </c>
      <c r="I258" s="432">
        <v>1</v>
      </c>
      <c r="J258" s="208" t="s">
        <v>346</v>
      </c>
      <c r="K258" s="38">
        <f>+$K$13</f>
        <v>721015</v>
      </c>
      <c r="L258" s="208"/>
      <c r="M258" s="38">
        <f>+$M$13</f>
        <v>0</v>
      </c>
      <c r="N258" s="435" t="s">
        <v>361</v>
      </c>
      <c r="O258" s="435" t="s">
        <v>362</v>
      </c>
      <c r="P258" s="438"/>
      <c r="Q258" s="441" t="s">
        <v>363</v>
      </c>
      <c r="R258" s="441" t="s">
        <v>375</v>
      </c>
      <c r="S258" s="444">
        <f>IF(COUNTIF(J258:K260,"CUMPLE")&gt;=1,(G258*I258),0)* (IF(N258="PRESENTÓ CERTIFICADO",1,0))* (IF(O258="ACORDE A ITEM 5.2.2 (T.R.)",1,0) )* ( IF(OR(Q258="SIN OBSERVACIÓN", Q258="REQUERIMIENTOS SUBSANADOS"),1,0)) *(IF(OR(R258="NINGUNO", R258="CUMPLEN CON LO SOLICITADO"),1,0))</f>
        <v>544.92999999999995</v>
      </c>
      <c r="T258" s="467"/>
      <c r="U258" s="447">
        <f t="shared" ref="U258" si="33">IF(COUNTIF(J258:K260,"CUMPLE")&gt;=1,1,0)</f>
        <v>1</v>
      </c>
      <c r="V258" s="505">
        <f>1276.44+3431.93</f>
        <v>4708.37</v>
      </c>
    </row>
    <row r="259" spans="2:22" ht="28.5" customHeight="1" x14ac:dyDescent="0.25">
      <c r="B259" s="421"/>
      <c r="C259" s="453"/>
      <c r="D259" s="453"/>
      <c r="E259" s="453"/>
      <c r="F259" s="453"/>
      <c r="G259" s="456"/>
      <c r="H259" s="430"/>
      <c r="I259" s="433"/>
      <c r="J259" s="208" t="s">
        <v>346</v>
      </c>
      <c r="K259" s="38">
        <f>+$K$14</f>
        <v>721033</v>
      </c>
      <c r="L259" s="448"/>
      <c r="M259" s="450">
        <f>+$M$14</f>
        <v>0</v>
      </c>
      <c r="N259" s="436"/>
      <c r="O259" s="436"/>
      <c r="P259" s="439"/>
      <c r="Q259" s="442"/>
      <c r="R259" s="442"/>
      <c r="S259" s="445"/>
      <c r="T259" s="467"/>
      <c r="U259" s="447"/>
      <c r="V259" s="505"/>
    </row>
    <row r="260" spans="2:22" ht="28.5" customHeight="1" x14ac:dyDescent="0.25">
      <c r="B260" s="422"/>
      <c r="C260" s="454"/>
      <c r="D260" s="454"/>
      <c r="E260" s="454"/>
      <c r="F260" s="454"/>
      <c r="G260" s="457"/>
      <c r="H260" s="431"/>
      <c r="I260" s="434"/>
      <c r="J260" s="208" t="s">
        <v>346</v>
      </c>
      <c r="K260" s="38">
        <f>+$K$15</f>
        <v>721513</v>
      </c>
      <c r="L260" s="449"/>
      <c r="M260" s="451"/>
      <c r="N260" s="437"/>
      <c r="O260" s="437"/>
      <c r="P260" s="440"/>
      <c r="Q260" s="443"/>
      <c r="R260" s="443"/>
      <c r="S260" s="446"/>
      <c r="T260" s="467"/>
      <c r="U260" s="447"/>
      <c r="V260" s="505"/>
    </row>
    <row r="261" spans="2:22" ht="28.5" customHeight="1" x14ac:dyDescent="0.25">
      <c r="B261" s="420">
        <v>3</v>
      </c>
      <c r="C261" s="423">
        <v>26</v>
      </c>
      <c r="D261" s="423">
        <v>43</v>
      </c>
      <c r="E261" s="423" t="s">
        <v>369</v>
      </c>
      <c r="F261" s="423" t="s">
        <v>374</v>
      </c>
      <c r="G261" s="426">
        <v>475.15</v>
      </c>
      <c r="H261" s="429" t="s">
        <v>360</v>
      </c>
      <c r="I261" s="432">
        <v>1</v>
      </c>
      <c r="J261" s="208" t="s">
        <v>346</v>
      </c>
      <c r="K261" s="38">
        <f>+$K$13</f>
        <v>721015</v>
      </c>
      <c r="L261" s="208"/>
      <c r="M261" s="38">
        <f>+$M$13</f>
        <v>0</v>
      </c>
      <c r="N261" s="435" t="s">
        <v>361</v>
      </c>
      <c r="O261" s="435" t="s">
        <v>362</v>
      </c>
      <c r="P261" s="438"/>
      <c r="Q261" s="441" t="s">
        <v>363</v>
      </c>
      <c r="R261" s="441" t="s">
        <v>375</v>
      </c>
      <c r="S261" s="444">
        <f>IF(COUNTIF(J261:K263,"CUMPLE")&gt;=1,(G261*I261),0)* (IF(N261="PRESENTÓ CERTIFICADO",1,0))* (IF(O261="ACORDE A ITEM 5.2.2 (T.R.)",1,0) )* ( IF(OR(Q261="SIN OBSERVACIÓN", Q261="REQUERIMIENTOS SUBSANADOS"),1,0)) *(IF(OR(R261="NINGUNO", R261="CUMPLEN CON LO SOLICITADO"),1,0))</f>
        <v>475.15</v>
      </c>
      <c r="T261" s="467"/>
      <c r="U261" s="447">
        <f t="shared" ref="U261" si="34">IF(COUNTIF(J261:K263,"CUMPLE")&gt;=1,1,0)</f>
        <v>1</v>
      </c>
      <c r="V261" s="505">
        <f>602.42+72.52</f>
        <v>674.93999999999994</v>
      </c>
    </row>
    <row r="262" spans="2:22" ht="28.5" customHeight="1" x14ac:dyDescent="0.25">
      <c r="B262" s="421"/>
      <c r="C262" s="424"/>
      <c r="D262" s="424"/>
      <c r="E262" s="424"/>
      <c r="F262" s="424"/>
      <c r="G262" s="427"/>
      <c r="H262" s="430"/>
      <c r="I262" s="433"/>
      <c r="J262" s="208" t="s">
        <v>346</v>
      </c>
      <c r="K262" s="38">
        <f>+$K$14</f>
        <v>721033</v>
      </c>
      <c r="L262" s="448"/>
      <c r="M262" s="450">
        <f>+$M$14</f>
        <v>0</v>
      </c>
      <c r="N262" s="436"/>
      <c r="O262" s="436"/>
      <c r="P262" s="439"/>
      <c r="Q262" s="442"/>
      <c r="R262" s="442"/>
      <c r="S262" s="445"/>
      <c r="T262" s="467"/>
      <c r="U262" s="447"/>
      <c r="V262" s="505"/>
    </row>
    <row r="263" spans="2:22" ht="28.5" customHeight="1" x14ac:dyDescent="0.25">
      <c r="B263" s="422"/>
      <c r="C263" s="425"/>
      <c r="D263" s="425"/>
      <c r="E263" s="425"/>
      <c r="F263" s="425"/>
      <c r="G263" s="428"/>
      <c r="H263" s="431"/>
      <c r="I263" s="434"/>
      <c r="J263" s="208" t="s">
        <v>346</v>
      </c>
      <c r="K263" s="38">
        <f>+$K$15</f>
        <v>721513</v>
      </c>
      <c r="L263" s="449"/>
      <c r="M263" s="451"/>
      <c r="N263" s="437"/>
      <c r="O263" s="437"/>
      <c r="P263" s="440"/>
      <c r="Q263" s="443"/>
      <c r="R263" s="443"/>
      <c r="S263" s="446"/>
      <c r="T263" s="467"/>
      <c r="U263" s="447"/>
      <c r="V263" s="505"/>
    </row>
    <row r="264" spans="2:22" ht="28.5" customHeight="1" x14ac:dyDescent="0.25">
      <c r="B264" s="420">
        <v>4</v>
      </c>
      <c r="C264" s="452">
        <v>20</v>
      </c>
      <c r="D264" s="452">
        <v>32</v>
      </c>
      <c r="E264" s="452" t="s">
        <v>370</v>
      </c>
      <c r="F264" s="452" t="s">
        <v>374</v>
      </c>
      <c r="G264" s="455">
        <v>407.2</v>
      </c>
      <c r="H264" s="429" t="s">
        <v>360</v>
      </c>
      <c r="I264" s="432">
        <v>1</v>
      </c>
      <c r="J264" s="208" t="s">
        <v>346</v>
      </c>
      <c r="K264" s="38">
        <f>+$K$13</f>
        <v>721015</v>
      </c>
      <c r="L264" s="208"/>
      <c r="M264" s="38">
        <f>+$M$13</f>
        <v>0</v>
      </c>
      <c r="N264" s="435" t="s">
        <v>361</v>
      </c>
      <c r="O264" s="435" t="s">
        <v>362</v>
      </c>
      <c r="P264" s="438"/>
      <c r="Q264" s="441" t="s">
        <v>363</v>
      </c>
      <c r="R264" s="441" t="s">
        <v>375</v>
      </c>
      <c r="S264" s="444">
        <f>IF(COUNTIF(J264:K266,"CUMPLE")&gt;=1,(G264*I264),0)* (IF(N264="PRESENTÓ CERTIFICADO",1,0))* (IF(O264="ACORDE A ITEM 5.2.2 (T.R.)",1,0) )* ( IF(OR(Q264="SIN OBSERVACIÓN", Q264="REQUERIMIENTOS SUBSANADOS"),1,0)) *(IF(OR(R264="NINGUNO", R264="CUMPLEN CON LO SOLICITADO"),1,0))</f>
        <v>407.2</v>
      </c>
      <c r="T264" s="467"/>
      <c r="U264" s="447">
        <f t="shared" ref="U264" si="35">IF(COUNTIF(J264:K266,"CUMPLE")&gt;=1,1,0)</f>
        <v>1</v>
      </c>
      <c r="V264" s="509"/>
    </row>
    <row r="265" spans="2:22" ht="28.5" customHeight="1" x14ac:dyDescent="0.25">
      <c r="B265" s="421"/>
      <c r="C265" s="453"/>
      <c r="D265" s="453"/>
      <c r="E265" s="453"/>
      <c r="F265" s="453"/>
      <c r="G265" s="456"/>
      <c r="H265" s="430"/>
      <c r="I265" s="433"/>
      <c r="J265" s="208" t="s">
        <v>346</v>
      </c>
      <c r="K265" s="38">
        <f>+$K$14</f>
        <v>721033</v>
      </c>
      <c r="L265" s="448"/>
      <c r="M265" s="450">
        <f>+$M$14</f>
        <v>0</v>
      </c>
      <c r="N265" s="436"/>
      <c r="O265" s="436"/>
      <c r="P265" s="439"/>
      <c r="Q265" s="442"/>
      <c r="R265" s="442"/>
      <c r="S265" s="445"/>
      <c r="T265" s="467"/>
      <c r="U265" s="447"/>
      <c r="V265" s="509"/>
    </row>
    <row r="266" spans="2:22" ht="28.5" customHeight="1" x14ac:dyDescent="0.25">
      <c r="B266" s="422"/>
      <c r="C266" s="454"/>
      <c r="D266" s="454"/>
      <c r="E266" s="454"/>
      <c r="F266" s="454"/>
      <c r="G266" s="457"/>
      <c r="H266" s="431"/>
      <c r="I266" s="434"/>
      <c r="J266" s="208" t="s">
        <v>346</v>
      </c>
      <c r="K266" s="38">
        <f>+$K$15</f>
        <v>721513</v>
      </c>
      <c r="L266" s="449"/>
      <c r="M266" s="451"/>
      <c r="N266" s="437"/>
      <c r="O266" s="437"/>
      <c r="P266" s="440"/>
      <c r="Q266" s="443"/>
      <c r="R266" s="443"/>
      <c r="S266" s="446"/>
      <c r="T266" s="467"/>
      <c r="U266" s="447"/>
      <c r="V266" s="509"/>
    </row>
    <row r="267" spans="2:22" ht="28.5" customHeight="1" x14ac:dyDescent="0.25">
      <c r="B267" s="420">
        <v>5</v>
      </c>
      <c r="C267" s="423">
        <v>22</v>
      </c>
      <c r="D267" s="423">
        <v>34</v>
      </c>
      <c r="E267" s="423" t="s">
        <v>371</v>
      </c>
      <c r="F267" s="423" t="s">
        <v>374</v>
      </c>
      <c r="G267" s="426">
        <v>548.45000000000005</v>
      </c>
      <c r="H267" s="429" t="s">
        <v>360</v>
      </c>
      <c r="I267" s="432">
        <v>1</v>
      </c>
      <c r="J267" s="208" t="s">
        <v>346</v>
      </c>
      <c r="K267" s="38">
        <f>+$K$13</f>
        <v>721015</v>
      </c>
      <c r="L267" s="208"/>
      <c r="M267" s="38">
        <f>+$M$13</f>
        <v>0</v>
      </c>
      <c r="N267" s="435" t="s">
        <v>361</v>
      </c>
      <c r="O267" s="435" t="s">
        <v>362</v>
      </c>
      <c r="P267" s="438"/>
      <c r="Q267" s="441" t="s">
        <v>363</v>
      </c>
      <c r="R267" s="441" t="s">
        <v>375</v>
      </c>
      <c r="S267" s="444">
        <f>IF(COUNTIF(J267:K269,"CUMPLE")&gt;=1,(G267*I267),0)* (IF(N267="PRESENTÓ CERTIFICADO",1,0))* (IF(O267="ACORDE A ITEM 5.2.2 (T.R.)",1,0) )* ( IF(OR(Q267="SIN OBSERVACIÓN", Q267="REQUERIMIENTOS SUBSANADOS"),1,0)) *(IF(OR(R267="NINGUNO", R267="CUMPLEN CON LO SOLICITADO"),1,0))</f>
        <v>548.45000000000005</v>
      </c>
      <c r="T267" s="467"/>
      <c r="U267" s="447">
        <f t="shared" ref="U267" si="36">IF(COUNTIF(J267:K269,"CUMPLE")&gt;=1,1,0)</f>
        <v>1</v>
      </c>
      <c r="V267" s="509"/>
    </row>
    <row r="268" spans="2:22" ht="28.5" customHeight="1" x14ac:dyDescent="0.25">
      <c r="B268" s="421"/>
      <c r="C268" s="424"/>
      <c r="D268" s="424"/>
      <c r="E268" s="424"/>
      <c r="F268" s="424"/>
      <c r="G268" s="427"/>
      <c r="H268" s="430"/>
      <c r="I268" s="433"/>
      <c r="J268" s="208" t="s">
        <v>346</v>
      </c>
      <c r="K268" s="38">
        <f>+$K$14</f>
        <v>721033</v>
      </c>
      <c r="L268" s="448"/>
      <c r="M268" s="450">
        <f>+$M$14</f>
        <v>0</v>
      </c>
      <c r="N268" s="436"/>
      <c r="O268" s="436"/>
      <c r="P268" s="439"/>
      <c r="Q268" s="442"/>
      <c r="R268" s="442"/>
      <c r="S268" s="445"/>
      <c r="T268" s="467"/>
      <c r="U268" s="447"/>
      <c r="V268" s="509"/>
    </row>
    <row r="269" spans="2:22" ht="28.5" customHeight="1" x14ac:dyDescent="0.25">
      <c r="B269" s="422"/>
      <c r="C269" s="425"/>
      <c r="D269" s="425"/>
      <c r="E269" s="425"/>
      <c r="F269" s="425"/>
      <c r="G269" s="428"/>
      <c r="H269" s="431"/>
      <c r="I269" s="434"/>
      <c r="J269" s="208" t="s">
        <v>346</v>
      </c>
      <c r="K269" s="38">
        <f>+$K$15</f>
        <v>721513</v>
      </c>
      <c r="L269" s="449"/>
      <c r="M269" s="451"/>
      <c r="N269" s="437"/>
      <c r="O269" s="437"/>
      <c r="P269" s="440"/>
      <c r="Q269" s="443"/>
      <c r="R269" s="443"/>
      <c r="S269" s="446"/>
      <c r="T269" s="468"/>
      <c r="U269" s="447"/>
      <c r="V269" s="509"/>
    </row>
    <row r="270" spans="2:22" ht="18" customHeight="1" x14ac:dyDescent="0.25">
      <c r="B270" s="409" t="str">
        <f>IF(S271=" "," ",IF(S271&gt;=$H$6,"CUMPLE CON LA EXPERIENCIA REQUERIDA","NO CUMPLE CON LA EXPERIENCIA REQUERIDA"))</f>
        <v>CUMPLE CON LA EXPERIENCIA REQUERIDA</v>
      </c>
      <c r="C270" s="410"/>
      <c r="D270" s="410"/>
      <c r="E270" s="410"/>
      <c r="F270" s="410"/>
      <c r="G270" s="410"/>
      <c r="H270" s="410"/>
      <c r="I270" s="410"/>
      <c r="J270" s="410"/>
      <c r="K270" s="410"/>
      <c r="L270" s="410"/>
      <c r="M270" s="410"/>
      <c r="N270" s="410"/>
      <c r="O270" s="411"/>
      <c r="P270" s="415" t="s">
        <v>52</v>
      </c>
      <c r="Q270" s="416"/>
      <c r="R270" s="417"/>
      <c r="S270" s="44">
        <f>IF(T255="SI",SUM(S255:S269),0)</f>
        <v>2902.75</v>
      </c>
      <c r="T270" s="418" t="str">
        <f>IF(S271=" "," ",IF(S271&gt;=$H$6,"CUMPLE","NO CUMPLE"))</f>
        <v>CUMPLE</v>
      </c>
      <c r="U270" s="28"/>
      <c r="V270" s="512">
        <f>SUM(V255:V269)</f>
        <v>5533.0499999999993</v>
      </c>
    </row>
    <row r="271" spans="2:22" ht="18" customHeight="1" x14ac:dyDescent="0.25">
      <c r="B271" s="412"/>
      <c r="C271" s="413"/>
      <c r="D271" s="413"/>
      <c r="E271" s="413"/>
      <c r="F271" s="413"/>
      <c r="G271" s="413"/>
      <c r="H271" s="413"/>
      <c r="I271" s="413"/>
      <c r="J271" s="413"/>
      <c r="K271" s="413"/>
      <c r="L271" s="413"/>
      <c r="M271" s="413"/>
      <c r="N271" s="413"/>
      <c r="O271" s="414"/>
      <c r="P271" s="415" t="s">
        <v>53</v>
      </c>
      <c r="Q271" s="416"/>
      <c r="R271" s="417"/>
      <c r="S271" s="44">
        <f>IFERROR((S270/$P$6)," ")</f>
        <v>3.5925123762376239</v>
      </c>
      <c r="T271" s="419"/>
      <c r="U271" s="41"/>
      <c r="V271" s="513"/>
    </row>
    <row r="274" spans="2:22" ht="33.75" x14ac:dyDescent="0.25">
      <c r="B274" s="26">
        <v>13</v>
      </c>
      <c r="C274" s="469" t="s">
        <v>31</v>
      </c>
      <c r="D274" s="470"/>
      <c r="E274" s="471"/>
      <c r="F274" s="472" t="str">
        <f>IFERROR(VLOOKUP(B274,LISTA_OFERENTES,2,FALSE)," ")</f>
        <v>CONSTRUVALORES S.A.S</v>
      </c>
      <c r="G274" s="473"/>
      <c r="H274" s="473"/>
      <c r="I274" s="473"/>
      <c r="J274" s="473"/>
      <c r="K274" s="473"/>
      <c r="L274" s="473"/>
      <c r="M274" s="473"/>
      <c r="N274" s="473"/>
      <c r="O274" s="474"/>
      <c r="P274" s="475" t="s">
        <v>32</v>
      </c>
      <c r="Q274" s="476"/>
      <c r="R274" s="477"/>
      <c r="S274" s="27">
        <f>5-(INT(COUNTBLANK(C277:C291))-10)</f>
        <v>3</v>
      </c>
      <c r="T274" s="28"/>
    </row>
    <row r="275" spans="2:22" ht="46.5" customHeight="1" x14ac:dyDescent="0.25">
      <c r="B275" s="478" t="s">
        <v>33</v>
      </c>
      <c r="C275" s="461" t="s">
        <v>34</v>
      </c>
      <c r="D275" s="461" t="s">
        <v>35</v>
      </c>
      <c r="E275" s="461" t="s">
        <v>36</v>
      </c>
      <c r="F275" s="461" t="s">
        <v>37</v>
      </c>
      <c r="G275" s="461" t="s">
        <v>38</v>
      </c>
      <c r="H275" s="461" t="s">
        <v>39</v>
      </c>
      <c r="I275" s="461" t="s">
        <v>40</v>
      </c>
      <c r="J275" s="480" t="s">
        <v>41</v>
      </c>
      <c r="K275" s="481"/>
      <c r="L275" s="481"/>
      <c r="M275" s="482"/>
      <c r="N275" s="461" t="s">
        <v>42</v>
      </c>
      <c r="O275" s="461" t="s">
        <v>43</v>
      </c>
      <c r="P275" s="480" t="s">
        <v>44</v>
      </c>
      <c r="Q275" s="482"/>
      <c r="R275" s="461" t="s">
        <v>45</v>
      </c>
      <c r="S275" s="461" t="s">
        <v>46</v>
      </c>
      <c r="T275" s="461" t="str">
        <f>+$T$11</f>
        <v>CUMPLE CON EL REQUERIMIENTO DE HABER EJECUTADO MÁS DE 2000M# EN ACTIVIDADES DE PINTURA</v>
      </c>
      <c r="U275" s="461" t="str">
        <f>+$U$11</f>
        <v xml:space="preserve">VERIFICACIÓN CONDICIÓN DE EXPERIENCIA  </v>
      </c>
      <c r="V275" s="504" t="s">
        <v>248</v>
      </c>
    </row>
    <row r="276" spans="2:22" ht="46.5" customHeight="1" x14ac:dyDescent="0.25">
      <c r="B276" s="479"/>
      <c r="C276" s="462"/>
      <c r="D276" s="462"/>
      <c r="E276" s="462"/>
      <c r="F276" s="462"/>
      <c r="G276" s="462"/>
      <c r="H276" s="462"/>
      <c r="I276" s="462"/>
      <c r="J276" s="463" t="s">
        <v>49</v>
      </c>
      <c r="K276" s="464"/>
      <c r="L276" s="464"/>
      <c r="M276" s="465"/>
      <c r="N276" s="462"/>
      <c r="O276" s="462"/>
      <c r="P276" s="33" t="s">
        <v>10</v>
      </c>
      <c r="Q276" s="33" t="s">
        <v>50</v>
      </c>
      <c r="R276" s="462"/>
      <c r="S276" s="462"/>
      <c r="T276" s="462"/>
      <c r="U276" s="462"/>
      <c r="V276" s="504"/>
    </row>
    <row r="277" spans="2:22" ht="29.25" customHeight="1" x14ac:dyDescent="0.25">
      <c r="B277" s="420">
        <v>1</v>
      </c>
      <c r="C277" s="423">
        <v>35</v>
      </c>
      <c r="D277" s="423">
        <v>21</v>
      </c>
      <c r="E277" s="423" t="s">
        <v>354</v>
      </c>
      <c r="F277" s="423" t="s">
        <v>357</v>
      </c>
      <c r="G277" s="426">
        <v>3946.64</v>
      </c>
      <c r="H277" s="429" t="s">
        <v>353</v>
      </c>
      <c r="I277" s="432">
        <v>0.24</v>
      </c>
      <c r="J277" s="208" t="s">
        <v>346</v>
      </c>
      <c r="K277" s="38">
        <f>+$K$13</f>
        <v>721015</v>
      </c>
      <c r="L277" s="208"/>
      <c r="M277" s="38">
        <f>+$M$13</f>
        <v>0</v>
      </c>
      <c r="N277" s="435" t="s">
        <v>361</v>
      </c>
      <c r="O277" s="435" t="s">
        <v>362</v>
      </c>
      <c r="P277" s="438"/>
      <c r="Q277" s="441" t="s">
        <v>363</v>
      </c>
      <c r="R277" s="441" t="s">
        <v>364</v>
      </c>
      <c r="S277" s="444">
        <f>IF(COUNTIF(J277:K279,"CUMPLE")&gt;=1,(G277*I277),0)* (IF(N277="PRESENTÓ CERTIFICADO",1,0))* (IF(O277="ACORDE A ITEM 5.2.2 (T.R.)",1,0) )* ( IF(OR(Q277="SIN OBSERVACIÓN", Q277="REQUERIMIENTOS SUBSANADOS"),1,0)) *(IF(OR(R277="NINGUNO", R277="CUMPLEN CON LO SOLICITADO"),1,0))</f>
        <v>947.19359999999995</v>
      </c>
      <c r="T277" s="466" t="s">
        <v>365</v>
      </c>
      <c r="U277" s="447">
        <f>IF(COUNTIF(J277:K279,"CUMPLE")&gt;=1,1,0)</f>
        <v>1</v>
      </c>
      <c r="V277" s="509"/>
    </row>
    <row r="278" spans="2:22" ht="29.25" customHeight="1" x14ac:dyDescent="0.25">
      <c r="B278" s="421"/>
      <c r="C278" s="424"/>
      <c r="D278" s="424"/>
      <c r="E278" s="424"/>
      <c r="F278" s="424"/>
      <c r="G278" s="427"/>
      <c r="H278" s="430"/>
      <c r="I278" s="433"/>
      <c r="J278" s="208" t="s">
        <v>346</v>
      </c>
      <c r="K278" s="38">
        <f>+$K$14</f>
        <v>721033</v>
      </c>
      <c r="L278" s="448"/>
      <c r="M278" s="450">
        <f>+$M$14</f>
        <v>0</v>
      </c>
      <c r="N278" s="436"/>
      <c r="O278" s="436"/>
      <c r="P278" s="439"/>
      <c r="Q278" s="442"/>
      <c r="R278" s="442"/>
      <c r="S278" s="445"/>
      <c r="T278" s="467"/>
      <c r="U278" s="447"/>
      <c r="V278" s="509"/>
    </row>
    <row r="279" spans="2:22" ht="29.25" customHeight="1" x14ac:dyDescent="0.25">
      <c r="B279" s="422"/>
      <c r="C279" s="425"/>
      <c r="D279" s="425"/>
      <c r="E279" s="425"/>
      <c r="F279" s="425"/>
      <c r="G279" s="428"/>
      <c r="H279" s="431"/>
      <c r="I279" s="434"/>
      <c r="J279" s="208" t="s">
        <v>346</v>
      </c>
      <c r="K279" s="38">
        <f>+$K$15</f>
        <v>721513</v>
      </c>
      <c r="L279" s="449"/>
      <c r="M279" s="451"/>
      <c r="N279" s="437"/>
      <c r="O279" s="437"/>
      <c r="P279" s="440"/>
      <c r="Q279" s="443"/>
      <c r="R279" s="443"/>
      <c r="S279" s="446"/>
      <c r="T279" s="467"/>
      <c r="U279" s="447"/>
      <c r="V279" s="509"/>
    </row>
    <row r="280" spans="2:22" ht="29.25" customHeight="1" x14ac:dyDescent="0.25">
      <c r="B280" s="420">
        <v>2</v>
      </c>
      <c r="C280" s="452">
        <v>9</v>
      </c>
      <c r="D280" s="452">
        <v>18</v>
      </c>
      <c r="E280" s="452" t="s">
        <v>355</v>
      </c>
      <c r="F280" s="452" t="s">
        <v>358</v>
      </c>
      <c r="G280" s="455">
        <v>298.54000000000002</v>
      </c>
      <c r="H280" s="429" t="s">
        <v>360</v>
      </c>
      <c r="I280" s="458">
        <v>1</v>
      </c>
      <c r="J280" s="208" t="s">
        <v>346</v>
      </c>
      <c r="K280" s="38">
        <f>+$K$13</f>
        <v>721015</v>
      </c>
      <c r="L280" s="208"/>
      <c r="M280" s="38">
        <f>+$M$13</f>
        <v>0</v>
      </c>
      <c r="N280" s="435" t="s">
        <v>361</v>
      </c>
      <c r="O280" s="435" t="s">
        <v>362</v>
      </c>
      <c r="P280" s="438"/>
      <c r="Q280" s="441" t="s">
        <v>363</v>
      </c>
      <c r="R280" s="441" t="s">
        <v>364</v>
      </c>
      <c r="S280" s="444">
        <f>IF(COUNTIF(J280:K282,"CUMPLE")&gt;=1,(G280*I280),0)* (IF(N280="PRESENTÓ CERTIFICADO",1,0))* (IF(O280="ACORDE A ITEM 5.2.2 (T.R.)",1,0) )* ( IF(OR(Q280="SIN OBSERVACIÓN", Q280="REQUERIMIENTOS SUBSANADOS"),1,0)) *(IF(OR(R280="NINGUNO", R280="CUMPLEN CON LO SOLICITADO"),1,0))</f>
        <v>298.54000000000002</v>
      </c>
      <c r="T280" s="467"/>
      <c r="U280" s="447">
        <f t="shared" ref="U280" si="37">IF(COUNTIF(J280:K282,"CUMPLE")&gt;=1,1,0)</f>
        <v>1</v>
      </c>
      <c r="V280" s="509"/>
    </row>
    <row r="281" spans="2:22" ht="29.25" customHeight="1" x14ac:dyDescent="0.25">
      <c r="B281" s="421"/>
      <c r="C281" s="453"/>
      <c r="D281" s="453"/>
      <c r="E281" s="453"/>
      <c r="F281" s="453"/>
      <c r="G281" s="456"/>
      <c r="H281" s="430"/>
      <c r="I281" s="459"/>
      <c r="J281" s="208" t="s">
        <v>346</v>
      </c>
      <c r="K281" s="38">
        <f>+$K$14</f>
        <v>721033</v>
      </c>
      <c r="L281" s="448"/>
      <c r="M281" s="450">
        <f>+$M$14</f>
        <v>0</v>
      </c>
      <c r="N281" s="436"/>
      <c r="O281" s="436"/>
      <c r="P281" s="439"/>
      <c r="Q281" s="442"/>
      <c r="R281" s="442"/>
      <c r="S281" s="445"/>
      <c r="T281" s="467"/>
      <c r="U281" s="447"/>
      <c r="V281" s="509"/>
    </row>
    <row r="282" spans="2:22" ht="29.25" customHeight="1" x14ac:dyDescent="0.25">
      <c r="B282" s="422"/>
      <c r="C282" s="454"/>
      <c r="D282" s="454"/>
      <c r="E282" s="454"/>
      <c r="F282" s="454"/>
      <c r="G282" s="457"/>
      <c r="H282" s="431"/>
      <c r="I282" s="460"/>
      <c r="J282" s="208" t="s">
        <v>346</v>
      </c>
      <c r="K282" s="38">
        <f>+$K$15</f>
        <v>721513</v>
      </c>
      <c r="L282" s="449"/>
      <c r="M282" s="451"/>
      <c r="N282" s="437"/>
      <c r="O282" s="437"/>
      <c r="P282" s="440"/>
      <c r="Q282" s="443"/>
      <c r="R282" s="443"/>
      <c r="S282" s="446"/>
      <c r="T282" s="467"/>
      <c r="U282" s="447"/>
      <c r="V282" s="509"/>
    </row>
    <row r="283" spans="2:22" ht="29.25" customHeight="1" x14ac:dyDescent="0.25">
      <c r="B283" s="420">
        <v>3</v>
      </c>
      <c r="C283" s="423">
        <v>41</v>
      </c>
      <c r="D283" s="423">
        <v>24</v>
      </c>
      <c r="E283" s="423" t="s">
        <v>356</v>
      </c>
      <c r="F283" s="423" t="s">
        <v>359</v>
      </c>
      <c r="G283" s="426">
        <v>6832.84</v>
      </c>
      <c r="H283" s="429" t="s">
        <v>353</v>
      </c>
      <c r="I283" s="432">
        <v>0.33</v>
      </c>
      <c r="J283" s="208" t="s">
        <v>346</v>
      </c>
      <c r="K283" s="38">
        <f>+$K$13</f>
        <v>721015</v>
      </c>
      <c r="L283" s="208"/>
      <c r="M283" s="38">
        <f>+$M$13</f>
        <v>0</v>
      </c>
      <c r="N283" s="435" t="s">
        <v>361</v>
      </c>
      <c r="O283" s="435" t="s">
        <v>362</v>
      </c>
      <c r="P283" s="438" t="s">
        <v>366</v>
      </c>
      <c r="Q283" s="441" t="s">
        <v>363</v>
      </c>
      <c r="R283" s="441" t="s">
        <v>364</v>
      </c>
      <c r="S283" s="444">
        <f>IF(COUNTIF(J283:K285,"CUMPLE")&gt;=1,(G283*I283),0)* (IF(N283="PRESENTÓ CERTIFICADO",1,0))* (IF(O283="ACORDE A ITEM 5.2.2 (T.R.)",1,0) )* ( IF(OR(Q283="SIN OBSERVACIÓN", Q283="REQUERIMIENTOS SUBSANADOS"),1,0)) *(IF(OR(R283="NINGUNO", R283="CUMPLEN CON LO SOLICITADO"),1,0))</f>
        <v>2254.8371999999999</v>
      </c>
      <c r="T283" s="467"/>
      <c r="U283" s="447">
        <f t="shared" ref="U283" si="38">IF(COUNTIF(J283:K285,"CUMPLE")&gt;=1,1,0)</f>
        <v>1</v>
      </c>
      <c r="V283" s="514">
        <f>5470+3095.22</f>
        <v>8565.2199999999993</v>
      </c>
    </row>
    <row r="284" spans="2:22" ht="29.25" customHeight="1" x14ac:dyDescent="0.25">
      <c r="B284" s="421"/>
      <c r="C284" s="424"/>
      <c r="D284" s="424"/>
      <c r="E284" s="424"/>
      <c r="F284" s="424"/>
      <c r="G284" s="427"/>
      <c r="H284" s="430"/>
      <c r="I284" s="433"/>
      <c r="J284" s="208" t="s">
        <v>346</v>
      </c>
      <c r="K284" s="38">
        <f>+$K$14</f>
        <v>721033</v>
      </c>
      <c r="L284" s="448"/>
      <c r="M284" s="450">
        <f>+$M$14</f>
        <v>0</v>
      </c>
      <c r="N284" s="436"/>
      <c r="O284" s="436"/>
      <c r="P284" s="439"/>
      <c r="Q284" s="442"/>
      <c r="R284" s="442"/>
      <c r="S284" s="445"/>
      <c r="T284" s="467"/>
      <c r="U284" s="447"/>
      <c r="V284" s="514"/>
    </row>
    <row r="285" spans="2:22" ht="29.25" customHeight="1" x14ac:dyDescent="0.25">
      <c r="B285" s="422"/>
      <c r="C285" s="425"/>
      <c r="D285" s="425"/>
      <c r="E285" s="425"/>
      <c r="F285" s="425"/>
      <c r="G285" s="428"/>
      <c r="H285" s="431"/>
      <c r="I285" s="434"/>
      <c r="J285" s="208" t="s">
        <v>346</v>
      </c>
      <c r="K285" s="38">
        <f>+$K$15</f>
        <v>721513</v>
      </c>
      <c r="L285" s="449"/>
      <c r="M285" s="451"/>
      <c r="N285" s="437"/>
      <c r="O285" s="437"/>
      <c r="P285" s="440"/>
      <c r="Q285" s="443"/>
      <c r="R285" s="443"/>
      <c r="S285" s="446"/>
      <c r="T285" s="467"/>
      <c r="U285" s="447"/>
      <c r="V285" s="514"/>
    </row>
    <row r="286" spans="2:22" ht="29.25" hidden="1" customHeight="1" x14ac:dyDescent="0.25">
      <c r="B286" s="420">
        <v>4</v>
      </c>
      <c r="C286" s="452"/>
      <c r="D286" s="452"/>
      <c r="E286" s="452"/>
      <c r="F286" s="452"/>
      <c r="G286" s="455"/>
      <c r="H286" s="429"/>
      <c r="I286" s="458"/>
      <c r="J286" s="208"/>
      <c r="K286" s="38">
        <f>+$K$13</f>
        <v>721015</v>
      </c>
      <c r="L286" s="208"/>
      <c r="M286" s="38">
        <f>+$M$13</f>
        <v>0</v>
      </c>
      <c r="N286" s="435"/>
      <c r="O286" s="435"/>
      <c r="P286" s="438"/>
      <c r="Q286" s="441"/>
      <c r="R286" s="441"/>
      <c r="S286" s="444">
        <f>IF(COUNTIF(J286:K288,"CUMPLE")&gt;=1,(G286*I286),0)* (IF(N286="PRESENTÓ CERTIFICADO",1,0))* (IF(O286="ACORDE A ITEM 5.2.2 (T.R.)",1,0) )* ( IF(OR(Q286="SIN OBSERVACIÓN", Q286="REQUERIMIENTOS SUBSANADOS"),1,0)) *(IF(OR(R286="NINGUNO", R286="CUMPLEN CON LO SOLICITADO"),1,0))</f>
        <v>0</v>
      </c>
      <c r="T286" s="467"/>
      <c r="U286" s="447">
        <f>IF(COUNTIF(L286:M288,"CUMPLE")&gt;=1,1,0)</f>
        <v>0</v>
      </c>
      <c r="V286" s="509"/>
    </row>
    <row r="287" spans="2:22" ht="29.25" hidden="1" customHeight="1" x14ac:dyDescent="0.25">
      <c r="B287" s="421"/>
      <c r="C287" s="453"/>
      <c r="D287" s="453"/>
      <c r="E287" s="453"/>
      <c r="F287" s="453"/>
      <c r="G287" s="456"/>
      <c r="H287" s="430"/>
      <c r="I287" s="459"/>
      <c r="J287" s="208"/>
      <c r="K287" s="38">
        <f>+$K$14</f>
        <v>721033</v>
      </c>
      <c r="L287" s="448"/>
      <c r="M287" s="450">
        <f>+$M$14</f>
        <v>0</v>
      </c>
      <c r="N287" s="436"/>
      <c r="O287" s="436"/>
      <c r="P287" s="439"/>
      <c r="Q287" s="442"/>
      <c r="R287" s="442"/>
      <c r="S287" s="445"/>
      <c r="T287" s="467"/>
      <c r="U287" s="447"/>
      <c r="V287" s="509"/>
    </row>
    <row r="288" spans="2:22" ht="29.25" hidden="1" customHeight="1" x14ac:dyDescent="0.25">
      <c r="B288" s="422"/>
      <c r="C288" s="454"/>
      <c r="D288" s="454"/>
      <c r="E288" s="454"/>
      <c r="F288" s="454"/>
      <c r="G288" s="457"/>
      <c r="H288" s="431"/>
      <c r="I288" s="460"/>
      <c r="J288" s="208"/>
      <c r="K288" s="38">
        <f>+$K$15</f>
        <v>721513</v>
      </c>
      <c r="L288" s="449"/>
      <c r="M288" s="451"/>
      <c r="N288" s="437"/>
      <c r="O288" s="437"/>
      <c r="P288" s="440"/>
      <c r="Q288" s="443"/>
      <c r="R288" s="443"/>
      <c r="S288" s="446"/>
      <c r="T288" s="467"/>
      <c r="U288" s="447"/>
      <c r="V288" s="509"/>
    </row>
    <row r="289" spans="2:22" ht="29.25" hidden="1" customHeight="1" x14ac:dyDescent="0.25">
      <c r="B289" s="420">
        <v>5</v>
      </c>
      <c r="C289" s="423"/>
      <c r="D289" s="423"/>
      <c r="E289" s="423"/>
      <c r="F289" s="423"/>
      <c r="G289" s="426"/>
      <c r="H289" s="429"/>
      <c r="I289" s="432"/>
      <c r="J289" s="208"/>
      <c r="K289" s="38">
        <f>+$K$13</f>
        <v>721015</v>
      </c>
      <c r="L289" s="208"/>
      <c r="M289" s="38">
        <f>+$M$13</f>
        <v>0</v>
      </c>
      <c r="N289" s="435"/>
      <c r="O289" s="435"/>
      <c r="P289" s="438"/>
      <c r="Q289" s="441"/>
      <c r="R289" s="441"/>
      <c r="S289" s="444">
        <f>IF(COUNTIF(J289:K291,"CUMPLE")&gt;=1,(G289*I289),0)* (IF(N289="PRESENTÓ CERTIFICADO",1,0))* (IF(O289="ACORDE A ITEM 5.2.2 (T.R.)",1,0) )* ( IF(OR(Q289="SIN OBSERVACIÓN", Q289="REQUERIMIENTOS SUBSANADOS"),1,0)) *(IF(OR(R289="NINGUNO", R289="CUMPLEN CON LO SOLICITADO"),1,0))</f>
        <v>0</v>
      </c>
      <c r="T289" s="467"/>
      <c r="U289" s="447">
        <f>IF(COUNTIF(L289:M291,"CUMPLE")&gt;=1,1,0)</f>
        <v>0</v>
      </c>
      <c r="V289" s="509"/>
    </row>
    <row r="290" spans="2:22" ht="29.25" hidden="1" customHeight="1" x14ac:dyDescent="0.25">
      <c r="B290" s="421"/>
      <c r="C290" s="424"/>
      <c r="D290" s="424"/>
      <c r="E290" s="424"/>
      <c r="F290" s="424"/>
      <c r="G290" s="427"/>
      <c r="H290" s="430"/>
      <c r="I290" s="433"/>
      <c r="J290" s="208"/>
      <c r="K290" s="38">
        <f>+$K$14</f>
        <v>721033</v>
      </c>
      <c r="L290" s="448"/>
      <c r="M290" s="450">
        <f>+$M$14</f>
        <v>0</v>
      </c>
      <c r="N290" s="436"/>
      <c r="O290" s="436"/>
      <c r="P290" s="439"/>
      <c r="Q290" s="442"/>
      <c r="R290" s="442"/>
      <c r="S290" s="445"/>
      <c r="T290" s="467"/>
      <c r="U290" s="447"/>
      <c r="V290" s="509"/>
    </row>
    <row r="291" spans="2:22" ht="29.25" hidden="1" customHeight="1" x14ac:dyDescent="0.25">
      <c r="B291" s="422"/>
      <c r="C291" s="425"/>
      <c r="D291" s="425"/>
      <c r="E291" s="425"/>
      <c r="F291" s="425"/>
      <c r="G291" s="428"/>
      <c r="H291" s="431"/>
      <c r="I291" s="434"/>
      <c r="J291" s="208"/>
      <c r="K291" s="38">
        <f>+$K$15</f>
        <v>721513</v>
      </c>
      <c r="L291" s="449"/>
      <c r="M291" s="451"/>
      <c r="N291" s="437"/>
      <c r="O291" s="437"/>
      <c r="P291" s="440"/>
      <c r="Q291" s="443"/>
      <c r="R291" s="443"/>
      <c r="S291" s="446"/>
      <c r="T291" s="468"/>
      <c r="U291" s="447"/>
      <c r="V291" s="509"/>
    </row>
    <row r="292" spans="2:22" ht="18" customHeight="1" x14ac:dyDescent="0.25">
      <c r="B292" s="409" t="str">
        <f>IF(S293=" "," ",IF(S293&gt;=$H$6,"CUMPLE CON LA EXPERIENCIA REQUERIDA","NO CUMPLE CON LA EXPERIENCIA REQUERIDA"))</f>
        <v>CUMPLE CON LA EXPERIENCIA REQUERIDA</v>
      </c>
      <c r="C292" s="410"/>
      <c r="D292" s="410"/>
      <c r="E292" s="410"/>
      <c r="F292" s="410"/>
      <c r="G292" s="410"/>
      <c r="H292" s="410"/>
      <c r="I292" s="410"/>
      <c r="J292" s="410"/>
      <c r="K292" s="410"/>
      <c r="L292" s="410"/>
      <c r="M292" s="410"/>
      <c r="N292" s="410"/>
      <c r="O292" s="411"/>
      <c r="P292" s="415" t="s">
        <v>52</v>
      </c>
      <c r="Q292" s="416"/>
      <c r="R292" s="417"/>
      <c r="S292" s="44">
        <f>IF(T277="SI",SUM(S277:S291),0)</f>
        <v>3500.5708</v>
      </c>
      <c r="T292" s="418" t="str">
        <f>IF(S293=" "," ",IF(S293&gt;=$H$6,"CUMPLE","NO CUMPLE"))</f>
        <v>CUMPLE</v>
      </c>
      <c r="U292" s="28"/>
      <c r="V292" s="512">
        <f>SUM(V277:V291)</f>
        <v>8565.2199999999993</v>
      </c>
    </row>
    <row r="293" spans="2:22" ht="18" customHeight="1" x14ac:dyDescent="0.25">
      <c r="B293" s="412"/>
      <c r="C293" s="413"/>
      <c r="D293" s="413"/>
      <c r="E293" s="413"/>
      <c r="F293" s="413"/>
      <c r="G293" s="413"/>
      <c r="H293" s="413"/>
      <c r="I293" s="413"/>
      <c r="J293" s="413"/>
      <c r="K293" s="413"/>
      <c r="L293" s="413"/>
      <c r="M293" s="413"/>
      <c r="N293" s="413"/>
      <c r="O293" s="414"/>
      <c r="P293" s="415" t="s">
        <v>53</v>
      </c>
      <c r="Q293" s="416"/>
      <c r="R293" s="417"/>
      <c r="S293" s="44">
        <f>IFERROR((S292/$P$6)," ")</f>
        <v>4.3323896039603964</v>
      </c>
      <c r="T293" s="419"/>
      <c r="U293" s="41"/>
      <c r="V293" s="513"/>
    </row>
    <row r="296" spans="2:22" ht="33.75" x14ac:dyDescent="0.25">
      <c r="B296" s="26">
        <v>14</v>
      </c>
      <c r="C296" s="469" t="s">
        <v>31</v>
      </c>
      <c r="D296" s="470"/>
      <c r="E296" s="471"/>
      <c r="F296" s="472" t="str">
        <f>IFERROR(VLOOKUP(B296,LISTA_OFERENTES,2,FALSE)," ")</f>
        <v>WILLIAMS.CO S.A.S</v>
      </c>
      <c r="G296" s="473"/>
      <c r="H296" s="473"/>
      <c r="I296" s="473"/>
      <c r="J296" s="473"/>
      <c r="K296" s="473"/>
      <c r="L296" s="473"/>
      <c r="M296" s="473"/>
      <c r="N296" s="473"/>
      <c r="O296" s="474"/>
      <c r="P296" s="475" t="s">
        <v>32</v>
      </c>
      <c r="Q296" s="476"/>
      <c r="R296" s="477"/>
      <c r="S296" s="27">
        <f>5-(INT(COUNTBLANK(C299:C313))-10)</f>
        <v>1</v>
      </c>
      <c r="T296" s="28"/>
    </row>
    <row r="297" spans="2:22" ht="51" customHeight="1" x14ac:dyDescent="0.25">
      <c r="B297" s="478" t="s">
        <v>33</v>
      </c>
      <c r="C297" s="461" t="s">
        <v>34</v>
      </c>
      <c r="D297" s="461" t="s">
        <v>35</v>
      </c>
      <c r="E297" s="461" t="s">
        <v>36</v>
      </c>
      <c r="F297" s="461" t="s">
        <v>37</v>
      </c>
      <c r="G297" s="461" t="s">
        <v>38</v>
      </c>
      <c r="H297" s="461" t="s">
        <v>39</v>
      </c>
      <c r="I297" s="461" t="s">
        <v>40</v>
      </c>
      <c r="J297" s="480" t="s">
        <v>41</v>
      </c>
      <c r="K297" s="481"/>
      <c r="L297" s="481"/>
      <c r="M297" s="482"/>
      <c r="N297" s="461" t="s">
        <v>42</v>
      </c>
      <c r="O297" s="461" t="s">
        <v>43</v>
      </c>
      <c r="P297" s="480" t="s">
        <v>44</v>
      </c>
      <c r="Q297" s="482"/>
      <c r="R297" s="461" t="s">
        <v>45</v>
      </c>
      <c r="S297" s="461" t="s">
        <v>46</v>
      </c>
      <c r="T297" s="461" t="str">
        <f>+$T$11</f>
        <v>CUMPLE CON EL REQUERIMIENTO DE HABER EJECUTADO MÁS DE 2000M# EN ACTIVIDADES DE PINTURA</v>
      </c>
      <c r="U297" s="461" t="str">
        <f>+$U$11</f>
        <v xml:space="preserve">VERIFICACIÓN CONDICIÓN DE EXPERIENCIA  </v>
      </c>
      <c r="V297" s="504" t="s">
        <v>248</v>
      </c>
    </row>
    <row r="298" spans="2:22" ht="54.75" customHeight="1" x14ac:dyDescent="0.25">
      <c r="B298" s="479"/>
      <c r="C298" s="462"/>
      <c r="D298" s="462"/>
      <c r="E298" s="462"/>
      <c r="F298" s="462"/>
      <c r="G298" s="462"/>
      <c r="H298" s="462"/>
      <c r="I298" s="462"/>
      <c r="J298" s="463" t="s">
        <v>49</v>
      </c>
      <c r="K298" s="464"/>
      <c r="L298" s="464"/>
      <c r="M298" s="465"/>
      <c r="N298" s="462"/>
      <c r="O298" s="462"/>
      <c r="P298" s="33" t="s">
        <v>10</v>
      </c>
      <c r="Q298" s="33" t="s">
        <v>50</v>
      </c>
      <c r="R298" s="462"/>
      <c r="S298" s="462"/>
      <c r="T298" s="462"/>
      <c r="U298" s="462"/>
      <c r="V298" s="504"/>
    </row>
    <row r="299" spans="2:22" ht="33" customHeight="1" x14ac:dyDescent="0.25">
      <c r="B299" s="420">
        <v>1</v>
      </c>
      <c r="C299" s="423">
        <v>50</v>
      </c>
      <c r="D299" s="423">
        <v>677</v>
      </c>
      <c r="E299" s="423" t="s">
        <v>351</v>
      </c>
      <c r="F299" s="423" t="s">
        <v>352</v>
      </c>
      <c r="G299" s="426">
        <v>7286.55</v>
      </c>
      <c r="H299" s="429" t="s">
        <v>353</v>
      </c>
      <c r="I299" s="432">
        <v>0.4</v>
      </c>
      <c r="J299" s="208" t="s">
        <v>346</v>
      </c>
      <c r="K299" s="38">
        <f>+$K$13</f>
        <v>721015</v>
      </c>
      <c r="L299" s="208"/>
      <c r="M299" s="38">
        <f>+$M$13</f>
        <v>0</v>
      </c>
      <c r="N299" s="435" t="s">
        <v>361</v>
      </c>
      <c r="O299" s="435" t="s">
        <v>362</v>
      </c>
      <c r="P299" s="438" t="s">
        <v>467</v>
      </c>
      <c r="Q299" s="441" t="s">
        <v>468</v>
      </c>
      <c r="R299" s="441" t="s">
        <v>364</v>
      </c>
      <c r="S299" s="444">
        <f>IF(COUNTIF(J299:K301,"CUMPLE")&gt;=1,(G299*I299),0)* (IF(N299="PRESENTÓ CERTIFICADO",1,0))* (IF(O299="ACORDE A ITEM 5.2.2 (T.R.)",1,0) )* ( IF(OR(Q299="SIN OBSERVACIÓN", Q299="REQUERIMIENTOS SUBSANADOS"),1,0)) *(IF(OR(R299="NINGUNO", R299="CUMPLEN CON LO SOLICITADO"),1,0))</f>
        <v>2914.6200000000003</v>
      </c>
      <c r="T299" s="466" t="s">
        <v>376</v>
      </c>
      <c r="U299" s="447">
        <f>IF(COUNTIF(L299:M301,"CUMPLE")&gt;=1,1,0)</f>
        <v>0</v>
      </c>
      <c r="V299" s="514">
        <f>21780*2</f>
        <v>43560</v>
      </c>
    </row>
    <row r="300" spans="2:22" ht="33" customHeight="1" x14ac:dyDescent="0.25">
      <c r="B300" s="421"/>
      <c r="C300" s="424"/>
      <c r="D300" s="424"/>
      <c r="E300" s="424"/>
      <c r="F300" s="424"/>
      <c r="G300" s="427"/>
      <c r="H300" s="430"/>
      <c r="I300" s="433"/>
      <c r="J300" s="208" t="s">
        <v>346</v>
      </c>
      <c r="K300" s="38">
        <f>+$K$14</f>
        <v>721033</v>
      </c>
      <c r="L300" s="448"/>
      <c r="M300" s="450">
        <f>+$M$14</f>
        <v>0</v>
      </c>
      <c r="N300" s="436"/>
      <c r="O300" s="436"/>
      <c r="P300" s="439"/>
      <c r="Q300" s="442"/>
      <c r="R300" s="442"/>
      <c r="S300" s="445"/>
      <c r="T300" s="467"/>
      <c r="U300" s="447"/>
      <c r="V300" s="514"/>
    </row>
    <row r="301" spans="2:22" ht="33" customHeight="1" x14ac:dyDescent="0.25">
      <c r="B301" s="422"/>
      <c r="C301" s="425"/>
      <c r="D301" s="425"/>
      <c r="E301" s="425"/>
      <c r="F301" s="425"/>
      <c r="G301" s="428"/>
      <c r="H301" s="431"/>
      <c r="I301" s="434"/>
      <c r="J301" s="208" t="s">
        <v>346</v>
      </c>
      <c r="K301" s="38">
        <f>+$K$15</f>
        <v>721513</v>
      </c>
      <c r="L301" s="449"/>
      <c r="M301" s="451"/>
      <c r="N301" s="437"/>
      <c r="O301" s="437"/>
      <c r="P301" s="440"/>
      <c r="Q301" s="443"/>
      <c r="R301" s="443"/>
      <c r="S301" s="446"/>
      <c r="T301" s="467"/>
      <c r="U301" s="447"/>
      <c r="V301" s="514"/>
    </row>
    <row r="302" spans="2:22" ht="33" hidden="1" customHeight="1" x14ac:dyDescent="0.25">
      <c r="B302" s="420">
        <v>2</v>
      </c>
      <c r="C302" s="452"/>
      <c r="D302" s="452"/>
      <c r="E302" s="452"/>
      <c r="F302" s="452"/>
      <c r="G302" s="455"/>
      <c r="H302" s="429"/>
      <c r="I302" s="458"/>
      <c r="J302" s="208"/>
      <c r="K302" s="38">
        <f>+$K$13</f>
        <v>721015</v>
      </c>
      <c r="L302" s="208"/>
      <c r="M302" s="38">
        <f>+$M$13</f>
        <v>0</v>
      </c>
      <c r="N302" s="435"/>
      <c r="O302" s="435"/>
      <c r="P302" s="438"/>
      <c r="Q302" s="441"/>
      <c r="R302" s="441"/>
      <c r="S302" s="444">
        <f>IF(COUNTIF(J302:K304,"CUMPLE")&gt;=1,(G302*I302),0)* (IF(N302="PRESENTÓ CERTIFICADO",1,0))* (IF(O302="ACORDE A ITEM 5.2.2 (T.R.)",1,0) )* ( IF(OR(Q302="SIN OBSERVACIÓN", Q302="REQUERIMIENTOS SUBSANADOS"),1,0)) *(IF(OR(R302="NINGUNO", R302="CUMPLEN CON LO SOLICITADO"),1,0))</f>
        <v>0</v>
      </c>
      <c r="T302" s="467"/>
      <c r="U302" s="447">
        <f>IF(COUNTIF(L302:M304,"CUMPLE")&gt;=1,1,0)</f>
        <v>0</v>
      </c>
      <c r="V302" s="509"/>
    </row>
    <row r="303" spans="2:22" ht="33" hidden="1" customHeight="1" x14ac:dyDescent="0.25">
      <c r="B303" s="421"/>
      <c r="C303" s="453"/>
      <c r="D303" s="453"/>
      <c r="E303" s="453"/>
      <c r="F303" s="453"/>
      <c r="G303" s="456"/>
      <c r="H303" s="430"/>
      <c r="I303" s="459"/>
      <c r="J303" s="208"/>
      <c r="K303" s="38">
        <f>+$K$14</f>
        <v>721033</v>
      </c>
      <c r="L303" s="448"/>
      <c r="M303" s="450">
        <f>+$M$14</f>
        <v>0</v>
      </c>
      <c r="N303" s="436"/>
      <c r="O303" s="436"/>
      <c r="P303" s="439"/>
      <c r="Q303" s="442"/>
      <c r="R303" s="442"/>
      <c r="S303" s="445"/>
      <c r="T303" s="467"/>
      <c r="U303" s="447"/>
      <c r="V303" s="509"/>
    </row>
    <row r="304" spans="2:22" ht="33" hidden="1" customHeight="1" x14ac:dyDescent="0.25">
      <c r="B304" s="422"/>
      <c r="C304" s="454"/>
      <c r="D304" s="454"/>
      <c r="E304" s="454"/>
      <c r="F304" s="454"/>
      <c r="G304" s="457"/>
      <c r="H304" s="431"/>
      <c r="I304" s="460"/>
      <c r="J304" s="208"/>
      <c r="K304" s="38">
        <f>+$K$15</f>
        <v>721513</v>
      </c>
      <c r="L304" s="449"/>
      <c r="M304" s="451"/>
      <c r="N304" s="437"/>
      <c r="O304" s="437"/>
      <c r="P304" s="440"/>
      <c r="Q304" s="443"/>
      <c r="R304" s="443"/>
      <c r="S304" s="446"/>
      <c r="T304" s="467"/>
      <c r="U304" s="447"/>
      <c r="V304" s="509"/>
    </row>
    <row r="305" spans="2:22" ht="33" hidden="1" customHeight="1" x14ac:dyDescent="0.25">
      <c r="B305" s="420">
        <v>3</v>
      </c>
      <c r="C305" s="423"/>
      <c r="D305" s="423"/>
      <c r="E305" s="423"/>
      <c r="F305" s="423"/>
      <c r="G305" s="426"/>
      <c r="H305" s="429"/>
      <c r="I305" s="432"/>
      <c r="J305" s="208"/>
      <c r="K305" s="38">
        <f>+$K$13</f>
        <v>721015</v>
      </c>
      <c r="L305" s="208"/>
      <c r="M305" s="38">
        <f>+$M$13</f>
        <v>0</v>
      </c>
      <c r="N305" s="435"/>
      <c r="O305" s="435"/>
      <c r="P305" s="438"/>
      <c r="Q305" s="441"/>
      <c r="R305" s="441"/>
      <c r="S305" s="444">
        <f>IF(COUNTIF(J305:K307,"CUMPLE")&gt;=1,(G305*I305),0)* (IF(N305="PRESENTÓ CERTIFICADO",1,0))* (IF(O305="ACORDE A ITEM 5.2.2 (T.R.)",1,0) )* ( IF(OR(Q305="SIN OBSERVACIÓN", Q305="REQUERIMIENTOS SUBSANADOS"),1,0)) *(IF(OR(R305="NINGUNO", R305="CUMPLEN CON LO SOLICITADO"),1,0))</f>
        <v>0</v>
      </c>
      <c r="T305" s="467"/>
      <c r="U305" s="447">
        <f>IF(COUNTIF(L305:M307,"CUMPLE")&gt;=1,1,0)</f>
        <v>0</v>
      </c>
      <c r="V305" s="509"/>
    </row>
    <row r="306" spans="2:22" ht="33" hidden="1" customHeight="1" x14ac:dyDescent="0.25">
      <c r="B306" s="421"/>
      <c r="C306" s="424"/>
      <c r="D306" s="424"/>
      <c r="E306" s="424"/>
      <c r="F306" s="424"/>
      <c r="G306" s="427"/>
      <c r="H306" s="430"/>
      <c r="I306" s="433"/>
      <c r="J306" s="208"/>
      <c r="K306" s="38">
        <f>+$K$14</f>
        <v>721033</v>
      </c>
      <c r="L306" s="448"/>
      <c r="M306" s="450">
        <f>+$M$14</f>
        <v>0</v>
      </c>
      <c r="N306" s="436"/>
      <c r="O306" s="436"/>
      <c r="P306" s="439"/>
      <c r="Q306" s="442"/>
      <c r="R306" s="442"/>
      <c r="S306" s="445"/>
      <c r="T306" s="467"/>
      <c r="U306" s="447"/>
      <c r="V306" s="509"/>
    </row>
    <row r="307" spans="2:22" ht="33" hidden="1" customHeight="1" x14ac:dyDescent="0.25">
      <c r="B307" s="422"/>
      <c r="C307" s="425"/>
      <c r="D307" s="425"/>
      <c r="E307" s="425"/>
      <c r="F307" s="425"/>
      <c r="G307" s="428"/>
      <c r="H307" s="431"/>
      <c r="I307" s="434"/>
      <c r="J307" s="208"/>
      <c r="K307" s="38">
        <f>+$K$15</f>
        <v>721513</v>
      </c>
      <c r="L307" s="449"/>
      <c r="M307" s="451"/>
      <c r="N307" s="437"/>
      <c r="O307" s="437"/>
      <c r="P307" s="440"/>
      <c r="Q307" s="443"/>
      <c r="R307" s="443"/>
      <c r="S307" s="446"/>
      <c r="T307" s="467"/>
      <c r="U307" s="447"/>
      <c r="V307" s="509"/>
    </row>
    <row r="308" spans="2:22" ht="33" hidden="1" customHeight="1" x14ac:dyDescent="0.25">
      <c r="B308" s="420">
        <v>4</v>
      </c>
      <c r="C308" s="452"/>
      <c r="D308" s="452"/>
      <c r="E308" s="452"/>
      <c r="F308" s="452"/>
      <c r="G308" s="455"/>
      <c r="H308" s="429"/>
      <c r="I308" s="458"/>
      <c r="J308" s="208"/>
      <c r="K308" s="38">
        <f>+$K$13</f>
        <v>721015</v>
      </c>
      <c r="L308" s="208"/>
      <c r="M308" s="38">
        <f>+$M$13</f>
        <v>0</v>
      </c>
      <c r="N308" s="435"/>
      <c r="O308" s="435"/>
      <c r="P308" s="438"/>
      <c r="Q308" s="441"/>
      <c r="R308" s="441"/>
      <c r="S308" s="444">
        <f>IF(COUNTIF(J308:K310,"CUMPLE")&gt;=1,(G308*I308),0)* (IF(N308="PRESENTÓ CERTIFICADO",1,0))* (IF(O308="ACORDE A ITEM 5.2.2 (T.R.)",1,0) )* ( IF(OR(Q308="SIN OBSERVACIÓN", Q308="REQUERIMIENTOS SUBSANADOS"),1,0)) *(IF(OR(R308="NINGUNO", R308="CUMPLEN CON LO SOLICITADO"),1,0))</f>
        <v>0</v>
      </c>
      <c r="T308" s="467"/>
      <c r="U308" s="447">
        <f>IF(COUNTIF(L308:M310,"CUMPLE")&gt;=1,1,0)</f>
        <v>0</v>
      </c>
      <c r="V308" s="509"/>
    </row>
    <row r="309" spans="2:22" ht="33" hidden="1" customHeight="1" x14ac:dyDescent="0.25">
      <c r="B309" s="421"/>
      <c r="C309" s="453"/>
      <c r="D309" s="453"/>
      <c r="E309" s="453"/>
      <c r="F309" s="453"/>
      <c r="G309" s="456"/>
      <c r="H309" s="430"/>
      <c r="I309" s="459"/>
      <c r="J309" s="208"/>
      <c r="K309" s="38">
        <f>+$K$14</f>
        <v>721033</v>
      </c>
      <c r="L309" s="448"/>
      <c r="M309" s="450">
        <f>+$M$14</f>
        <v>0</v>
      </c>
      <c r="N309" s="436"/>
      <c r="O309" s="436"/>
      <c r="P309" s="439"/>
      <c r="Q309" s="442"/>
      <c r="R309" s="442"/>
      <c r="S309" s="445"/>
      <c r="T309" s="467"/>
      <c r="U309" s="447"/>
      <c r="V309" s="509"/>
    </row>
    <row r="310" spans="2:22" ht="33" hidden="1" customHeight="1" x14ac:dyDescent="0.25">
      <c r="B310" s="422"/>
      <c r="C310" s="454"/>
      <c r="D310" s="454"/>
      <c r="E310" s="454"/>
      <c r="F310" s="454"/>
      <c r="G310" s="457"/>
      <c r="H310" s="431"/>
      <c r="I310" s="460"/>
      <c r="J310" s="208"/>
      <c r="K310" s="38">
        <f>+$K$15</f>
        <v>721513</v>
      </c>
      <c r="L310" s="449"/>
      <c r="M310" s="451"/>
      <c r="N310" s="437"/>
      <c r="O310" s="437"/>
      <c r="P310" s="440"/>
      <c r="Q310" s="443"/>
      <c r="R310" s="443"/>
      <c r="S310" s="446"/>
      <c r="T310" s="467"/>
      <c r="U310" s="447"/>
      <c r="V310" s="509"/>
    </row>
    <row r="311" spans="2:22" ht="33" hidden="1" customHeight="1" x14ac:dyDescent="0.25">
      <c r="B311" s="420">
        <v>5</v>
      </c>
      <c r="C311" s="423"/>
      <c r="D311" s="423"/>
      <c r="E311" s="423"/>
      <c r="F311" s="423"/>
      <c r="G311" s="426"/>
      <c r="H311" s="429"/>
      <c r="I311" s="432"/>
      <c r="J311" s="208"/>
      <c r="K311" s="38">
        <f>+$K$13</f>
        <v>721015</v>
      </c>
      <c r="L311" s="208"/>
      <c r="M311" s="38">
        <f>+$M$13</f>
        <v>0</v>
      </c>
      <c r="N311" s="435"/>
      <c r="O311" s="435"/>
      <c r="P311" s="438"/>
      <c r="Q311" s="441"/>
      <c r="R311" s="441"/>
      <c r="S311" s="444">
        <f>IF(COUNTIF(J311:K313,"CUMPLE")&gt;=1,(G311*I311),0)* (IF(N311="PRESENTÓ CERTIFICADO",1,0))* (IF(O311="ACORDE A ITEM 5.2.2 (T.R.)",1,0) )* ( IF(OR(Q311="SIN OBSERVACIÓN", Q311="REQUERIMIENTOS SUBSANADOS"),1,0)) *(IF(OR(R311="NINGUNO", R311="CUMPLEN CON LO SOLICITADO"),1,0))</f>
        <v>0</v>
      </c>
      <c r="T311" s="467"/>
      <c r="U311" s="447">
        <f>IF(COUNTIF(L311:M313,"CUMPLE")&gt;=1,1,0)</f>
        <v>0</v>
      </c>
      <c r="V311" s="509"/>
    </row>
    <row r="312" spans="2:22" ht="33" hidden="1" customHeight="1" x14ac:dyDescent="0.25">
      <c r="B312" s="421"/>
      <c r="C312" s="424"/>
      <c r="D312" s="424"/>
      <c r="E312" s="424"/>
      <c r="F312" s="424"/>
      <c r="G312" s="427"/>
      <c r="H312" s="430"/>
      <c r="I312" s="433"/>
      <c r="J312" s="208"/>
      <c r="K312" s="38">
        <f>+$K$14</f>
        <v>721033</v>
      </c>
      <c r="L312" s="448"/>
      <c r="M312" s="450">
        <f>+$M$14</f>
        <v>0</v>
      </c>
      <c r="N312" s="436"/>
      <c r="O312" s="436"/>
      <c r="P312" s="439"/>
      <c r="Q312" s="442"/>
      <c r="R312" s="442"/>
      <c r="S312" s="445"/>
      <c r="T312" s="467"/>
      <c r="U312" s="447"/>
      <c r="V312" s="509"/>
    </row>
    <row r="313" spans="2:22" ht="33" hidden="1" customHeight="1" x14ac:dyDescent="0.25">
      <c r="B313" s="422"/>
      <c r="C313" s="425"/>
      <c r="D313" s="425"/>
      <c r="E313" s="425"/>
      <c r="F313" s="425"/>
      <c r="G313" s="428"/>
      <c r="H313" s="431"/>
      <c r="I313" s="434"/>
      <c r="J313" s="208"/>
      <c r="K313" s="38">
        <f>+$K$15</f>
        <v>721513</v>
      </c>
      <c r="L313" s="449"/>
      <c r="M313" s="451"/>
      <c r="N313" s="437"/>
      <c r="O313" s="437"/>
      <c r="P313" s="440"/>
      <c r="Q313" s="443"/>
      <c r="R313" s="443"/>
      <c r="S313" s="446"/>
      <c r="T313" s="468"/>
      <c r="U313" s="447"/>
      <c r="V313" s="509"/>
    </row>
    <row r="314" spans="2:22" ht="18" customHeight="1" x14ac:dyDescent="0.25">
      <c r="B314" s="409" t="str">
        <f>IF(S315=" "," ",IF(S315&gt;=$H$6,"CUMPLE CON LA EXPERIENCIA REQUERIDA","NO CUMPLE CON LA EXPERIENCIA REQUERIDA"))</f>
        <v>CUMPLE CON LA EXPERIENCIA REQUERIDA</v>
      </c>
      <c r="C314" s="410"/>
      <c r="D314" s="410"/>
      <c r="E314" s="410"/>
      <c r="F314" s="410"/>
      <c r="G314" s="410"/>
      <c r="H314" s="410"/>
      <c r="I314" s="410"/>
      <c r="J314" s="410"/>
      <c r="K314" s="410"/>
      <c r="L314" s="410"/>
      <c r="M314" s="410"/>
      <c r="N314" s="410"/>
      <c r="O314" s="411"/>
      <c r="P314" s="415" t="s">
        <v>52</v>
      </c>
      <c r="Q314" s="416"/>
      <c r="R314" s="417"/>
      <c r="S314" s="44">
        <f>IF(T299="SI",SUM(S299:S313),0)</f>
        <v>2914.6200000000003</v>
      </c>
      <c r="T314" s="418" t="str">
        <f>IF(S315=" "," ",IF(S315&gt;=$H$6,"CUMPLE","NO CUMPLE"))</f>
        <v>CUMPLE</v>
      </c>
      <c r="U314" s="28"/>
      <c r="V314" s="515">
        <f>SUM(V299:V313)</f>
        <v>43560</v>
      </c>
    </row>
    <row r="315" spans="2:22" ht="18" customHeight="1" x14ac:dyDescent="0.25">
      <c r="B315" s="412"/>
      <c r="C315" s="413"/>
      <c r="D315" s="413"/>
      <c r="E315" s="413"/>
      <c r="F315" s="413"/>
      <c r="G315" s="413"/>
      <c r="H315" s="413"/>
      <c r="I315" s="413"/>
      <c r="J315" s="413"/>
      <c r="K315" s="413"/>
      <c r="L315" s="413"/>
      <c r="M315" s="413"/>
      <c r="N315" s="413"/>
      <c r="O315" s="414"/>
      <c r="P315" s="415" t="s">
        <v>53</v>
      </c>
      <c r="Q315" s="416"/>
      <c r="R315" s="417"/>
      <c r="S315" s="44">
        <f>IFERROR((S314/$P$6)," ")</f>
        <v>3.6072029702970303</v>
      </c>
      <c r="T315" s="419"/>
      <c r="U315" s="41"/>
      <c r="V315" s="516"/>
    </row>
  </sheetData>
  <sheetProtection algorithmName="SHA-512" hashValue="167pRzp+Ydbj52Efx9wU3/UJfhwQdHlTk4GDjtmK7RF0ffjcyDOxpZwpY5aot0NeUZF97eiQb9iRAxqvTY2e0g==" saltValue="FDPFbTJs/Y02GdYXCGINlA==" spinCount="100000" sheet="1" objects="1" scenarios="1"/>
  <mergeCells count="1648">
    <mergeCell ref="V267:V269"/>
    <mergeCell ref="V270:V271"/>
    <mergeCell ref="V275:V276"/>
    <mergeCell ref="V277:V279"/>
    <mergeCell ref="V280:V282"/>
    <mergeCell ref="V283:V285"/>
    <mergeCell ref="V286:V288"/>
    <mergeCell ref="V289:V291"/>
    <mergeCell ref="V292:V293"/>
    <mergeCell ref="V297:V298"/>
    <mergeCell ref="V299:V301"/>
    <mergeCell ref="V302:V304"/>
    <mergeCell ref="V305:V307"/>
    <mergeCell ref="V308:V310"/>
    <mergeCell ref="V311:V313"/>
    <mergeCell ref="V314:V315"/>
    <mergeCell ref="V214:V216"/>
    <mergeCell ref="V217:V219"/>
    <mergeCell ref="V220:V222"/>
    <mergeCell ref="V223:V225"/>
    <mergeCell ref="V226:V227"/>
    <mergeCell ref="V231:V232"/>
    <mergeCell ref="V233:V235"/>
    <mergeCell ref="V236:V238"/>
    <mergeCell ref="V239:V241"/>
    <mergeCell ref="V242:V244"/>
    <mergeCell ref="V245:V247"/>
    <mergeCell ref="V248:V249"/>
    <mergeCell ref="V253:V254"/>
    <mergeCell ref="V255:V257"/>
    <mergeCell ref="V258:V260"/>
    <mergeCell ref="V261:V263"/>
    <mergeCell ref="V264:V266"/>
    <mergeCell ref="V160:V161"/>
    <mergeCell ref="V165:V166"/>
    <mergeCell ref="V167:V169"/>
    <mergeCell ref="V170:V172"/>
    <mergeCell ref="V173:V175"/>
    <mergeCell ref="V176:V178"/>
    <mergeCell ref="V179:V181"/>
    <mergeCell ref="V182:V183"/>
    <mergeCell ref="V187:V188"/>
    <mergeCell ref="V189:V191"/>
    <mergeCell ref="V192:V194"/>
    <mergeCell ref="V195:V197"/>
    <mergeCell ref="V198:V200"/>
    <mergeCell ref="V201:V203"/>
    <mergeCell ref="V204:V205"/>
    <mergeCell ref="V209:V210"/>
    <mergeCell ref="V211:V213"/>
    <mergeCell ref="V107:V109"/>
    <mergeCell ref="V110:V112"/>
    <mergeCell ref="V113:V115"/>
    <mergeCell ref="V116:V117"/>
    <mergeCell ref="V121:V122"/>
    <mergeCell ref="V123:V125"/>
    <mergeCell ref="V126:V128"/>
    <mergeCell ref="V129:V131"/>
    <mergeCell ref="V132:V134"/>
    <mergeCell ref="V135:V137"/>
    <mergeCell ref="V138:V139"/>
    <mergeCell ref="V143:V144"/>
    <mergeCell ref="V145:V147"/>
    <mergeCell ref="V148:V150"/>
    <mergeCell ref="V151:V153"/>
    <mergeCell ref="V154:V156"/>
    <mergeCell ref="V157:V159"/>
    <mergeCell ref="V55:V56"/>
    <mergeCell ref="V57:V59"/>
    <mergeCell ref="V60:V62"/>
    <mergeCell ref="V63:V65"/>
    <mergeCell ref="V66:V68"/>
    <mergeCell ref="V69:V71"/>
    <mergeCell ref="V72:V73"/>
    <mergeCell ref="V77:V78"/>
    <mergeCell ref="V79:V81"/>
    <mergeCell ref="V82:V84"/>
    <mergeCell ref="V85:V87"/>
    <mergeCell ref="V88:V90"/>
    <mergeCell ref="V91:V93"/>
    <mergeCell ref="V94:V95"/>
    <mergeCell ref="V99:V100"/>
    <mergeCell ref="V101:V103"/>
    <mergeCell ref="V104:V106"/>
    <mergeCell ref="V11:V12"/>
    <mergeCell ref="V13:V15"/>
    <mergeCell ref="V16:V18"/>
    <mergeCell ref="V19:V21"/>
    <mergeCell ref="V22:V24"/>
    <mergeCell ref="V25:V27"/>
    <mergeCell ref="V28:V29"/>
    <mergeCell ref="V33:V34"/>
    <mergeCell ref="V35:V37"/>
    <mergeCell ref="V38:V40"/>
    <mergeCell ref="V41:V43"/>
    <mergeCell ref="V44:V46"/>
    <mergeCell ref="V47:V49"/>
    <mergeCell ref="V50:V51"/>
    <mergeCell ref="M224:M225"/>
    <mergeCell ref="B226:O227"/>
    <mergeCell ref="P226:R226"/>
    <mergeCell ref="T226:T227"/>
    <mergeCell ref="P227:R227"/>
    <mergeCell ref="O220:O222"/>
    <mergeCell ref="P220:P222"/>
    <mergeCell ref="Q220:Q222"/>
    <mergeCell ref="R220:R222"/>
    <mergeCell ref="S220:S222"/>
    <mergeCell ref="U220:U222"/>
    <mergeCell ref="L221:L222"/>
    <mergeCell ref="M221:M222"/>
    <mergeCell ref="B223:B225"/>
    <mergeCell ref="C223:C225"/>
    <mergeCell ref="D223:D225"/>
    <mergeCell ref="E223:E225"/>
    <mergeCell ref="F223:F225"/>
    <mergeCell ref="R214:R216"/>
    <mergeCell ref="S214:S216"/>
    <mergeCell ref="U214:U216"/>
    <mergeCell ref="L215:L216"/>
    <mergeCell ref="M215:M216"/>
    <mergeCell ref="B217:B219"/>
    <mergeCell ref="C217:C219"/>
    <mergeCell ref="D217:D219"/>
    <mergeCell ref="E217:E219"/>
    <mergeCell ref="F217:F219"/>
    <mergeCell ref="G217:G219"/>
    <mergeCell ref="H217:H219"/>
    <mergeCell ref="I217:I219"/>
    <mergeCell ref="N217:N219"/>
    <mergeCell ref="O217:O219"/>
    <mergeCell ref="P217:P219"/>
    <mergeCell ref="Q217:Q219"/>
    <mergeCell ref="E214:E216"/>
    <mergeCell ref="F214:F216"/>
    <mergeCell ref="G214:G216"/>
    <mergeCell ref="H214:H216"/>
    <mergeCell ref="I214:I216"/>
    <mergeCell ref="N214:N216"/>
    <mergeCell ref="O214:O216"/>
    <mergeCell ref="P214:P216"/>
    <mergeCell ref="G223:G225"/>
    <mergeCell ref="H223:H225"/>
    <mergeCell ref="I223:I225"/>
    <mergeCell ref="N223:N225"/>
    <mergeCell ref="O223:O225"/>
    <mergeCell ref="P223:P225"/>
    <mergeCell ref="Q223:Q225"/>
    <mergeCell ref="R223:R225"/>
    <mergeCell ref="S223:S225"/>
    <mergeCell ref="U223:U225"/>
    <mergeCell ref="L224:L225"/>
    <mergeCell ref="B211:B213"/>
    <mergeCell ref="C211:C213"/>
    <mergeCell ref="D211:D213"/>
    <mergeCell ref="E211:E213"/>
    <mergeCell ref="F211:F213"/>
    <mergeCell ref="G211:G213"/>
    <mergeCell ref="H211:H213"/>
    <mergeCell ref="I211:I213"/>
    <mergeCell ref="N211:N213"/>
    <mergeCell ref="O211:O213"/>
    <mergeCell ref="P211:P213"/>
    <mergeCell ref="Q211:Q213"/>
    <mergeCell ref="R211:R213"/>
    <mergeCell ref="S211:S213"/>
    <mergeCell ref="T211:T225"/>
    <mergeCell ref="U211:U213"/>
    <mergeCell ref="L212:L213"/>
    <mergeCell ref="B220:B222"/>
    <mergeCell ref="C220:C222"/>
    <mergeCell ref="D220:D222"/>
    <mergeCell ref="Q214:Q216"/>
    <mergeCell ref="E220:E222"/>
    <mergeCell ref="F220:F222"/>
    <mergeCell ref="G220:G222"/>
    <mergeCell ref="H220:H222"/>
    <mergeCell ref="I220:I222"/>
    <mergeCell ref="N220:N222"/>
    <mergeCell ref="R217:R219"/>
    <mergeCell ref="S217:S219"/>
    <mergeCell ref="U217:U219"/>
    <mergeCell ref="L218:L219"/>
    <mergeCell ref="M218:M219"/>
    <mergeCell ref="D214:D216"/>
    <mergeCell ref="C208:E208"/>
    <mergeCell ref="F208:O208"/>
    <mergeCell ref="P208:R208"/>
    <mergeCell ref="B209:B210"/>
    <mergeCell ref="C209:C210"/>
    <mergeCell ref="D209:D210"/>
    <mergeCell ref="E209:E210"/>
    <mergeCell ref="F209:F210"/>
    <mergeCell ref="G209:G210"/>
    <mergeCell ref="H209:H210"/>
    <mergeCell ref="I209:I210"/>
    <mergeCell ref="J209:M209"/>
    <mergeCell ref="N209:N210"/>
    <mergeCell ref="O209:O210"/>
    <mergeCell ref="P209:Q209"/>
    <mergeCell ref="R209:R210"/>
    <mergeCell ref="S209:S210"/>
    <mergeCell ref="T209:T210"/>
    <mergeCell ref="U209:U210"/>
    <mergeCell ref="J210:M210"/>
    <mergeCell ref="C201:C203"/>
    <mergeCell ref="D201:D203"/>
    <mergeCell ref="E201:E203"/>
    <mergeCell ref="F201:F203"/>
    <mergeCell ref="B198:B200"/>
    <mergeCell ref="C198:C200"/>
    <mergeCell ref="D198:D200"/>
    <mergeCell ref="E198:E200"/>
    <mergeCell ref="F198:F200"/>
    <mergeCell ref="G198:G200"/>
    <mergeCell ref="H195:H197"/>
    <mergeCell ref="I195:I197"/>
    <mergeCell ref="N195:N197"/>
    <mergeCell ref="B195:B197"/>
    <mergeCell ref="C195:C197"/>
    <mergeCell ref="M212:M213"/>
    <mergeCell ref="B214:B216"/>
    <mergeCell ref="C214:C216"/>
    <mergeCell ref="G187:G188"/>
    <mergeCell ref="T187:T188"/>
    <mergeCell ref="U187:U188"/>
    <mergeCell ref="J188:M188"/>
    <mergeCell ref="P189:P191"/>
    <mergeCell ref="Q189:Q191"/>
    <mergeCell ref="U195:U197"/>
    <mergeCell ref="L196:L197"/>
    <mergeCell ref="M196:M197"/>
    <mergeCell ref="O195:O197"/>
    <mergeCell ref="P195:P197"/>
    <mergeCell ref="Q195:Q197"/>
    <mergeCell ref="O187:O188"/>
    <mergeCell ref="P187:Q187"/>
    <mergeCell ref="R187:R188"/>
    <mergeCell ref="AJ13:AJ28"/>
    <mergeCell ref="B204:O205"/>
    <mergeCell ref="P204:R204"/>
    <mergeCell ref="T204:T205"/>
    <mergeCell ref="P205:R205"/>
    <mergeCell ref="Q201:Q203"/>
    <mergeCell ref="R201:R203"/>
    <mergeCell ref="S201:S203"/>
    <mergeCell ref="U201:U203"/>
    <mergeCell ref="L202:L203"/>
    <mergeCell ref="M202:M203"/>
    <mergeCell ref="G201:G203"/>
    <mergeCell ref="H201:H203"/>
    <mergeCell ref="I201:I203"/>
    <mergeCell ref="N201:N203"/>
    <mergeCell ref="O201:O203"/>
    <mergeCell ref="B201:B203"/>
    <mergeCell ref="U198:U200"/>
    <mergeCell ref="L199:L200"/>
    <mergeCell ref="M199:M200"/>
    <mergeCell ref="H192:H194"/>
    <mergeCell ref="I192:I194"/>
    <mergeCell ref="N192:N194"/>
    <mergeCell ref="O192:O194"/>
    <mergeCell ref="P192:P194"/>
    <mergeCell ref="Q192:Q194"/>
    <mergeCell ref="L193:L194"/>
    <mergeCell ref="M193:M194"/>
    <mergeCell ref="H187:H188"/>
    <mergeCell ref="H198:H200"/>
    <mergeCell ref="I198:I200"/>
    <mergeCell ref="N198:N200"/>
    <mergeCell ref="O198:O200"/>
    <mergeCell ref="Q198:Q200"/>
    <mergeCell ref="S195:S197"/>
    <mergeCell ref="T189:T203"/>
    <mergeCell ref="U189:U191"/>
    <mergeCell ref="L190:L191"/>
    <mergeCell ref="M190:M191"/>
    <mergeCell ref="R192:R194"/>
    <mergeCell ref="S192:S194"/>
    <mergeCell ref="U192:U194"/>
    <mergeCell ref="R195:R197"/>
    <mergeCell ref="H189:H191"/>
    <mergeCell ref="I189:I191"/>
    <mergeCell ref="N189:N191"/>
    <mergeCell ref="O189:O191"/>
    <mergeCell ref="P201:P203"/>
    <mergeCell ref="P198:P200"/>
    <mergeCell ref="C186:E186"/>
    <mergeCell ref="F186:O186"/>
    <mergeCell ref="P186:R186"/>
    <mergeCell ref="B187:B188"/>
    <mergeCell ref="R189:R191"/>
    <mergeCell ref="S189:S191"/>
    <mergeCell ref="S187:S188"/>
    <mergeCell ref="B189:B191"/>
    <mergeCell ref="C189:C191"/>
    <mergeCell ref="D189:D191"/>
    <mergeCell ref="E189:E191"/>
    <mergeCell ref="F189:F191"/>
    <mergeCell ref="G189:G191"/>
    <mergeCell ref="I187:I188"/>
    <mergeCell ref="J187:M187"/>
    <mergeCell ref="N187:N188"/>
    <mergeCell ref="R198:R200"/>
    <mergeCell ref="S198:S200"/>
    <mergeCell ref="D195:D197"/>
    <mergeCell ref="E195:E197"/>
    <mergeCell ref="F195:F197"/>
    <mergeCell ref="G195:G197"/>
    <mergeCell ref="B192:B194"/>
    <mergeCell ref="C192:C194"/>
    <mergeCell ref="D192:D194"/>
    <mergeCell ref="E192:E194"/>
    <mergeCell ref="F192:F194"/>
    <mergeCell ref="G192:G194"/>
    <mergeCell ref="C187:C188"/>
    <mergeCell ref="D187:D188"/>
    <mergeCell ref="E187:E188"/>
    <mergeCell ref="F187:F188"/>
    <mergeCell ref="B182:O183"/>
    <mergeCell ref="P182:R182"/>
    <mergeCell ref="T182:T183"/>
    <mergeCell ref="P183:R183"/>
    <mergeCell ref="H179:H181"/>
    <mergeCell ref="I179:I181"/>
    <mergeCell ref="N179:N181"/>
    <mergeCell ref="O179:O181"/>
    <mergeCell ref="P179:P181"/>
    <mergeCell ref="Q179:Q181"/>
    <mergeCell ref="B179:B181"/>
    <mergeCell ref="C179:C181"/>
    <mergeCell ref="D179:D181"/>
    <mergeCell ref="E179:E181"/>
    <mergeCell ref="F179:F181"/>
    <mergeCell ref="G179:G181"/>
    <mergeCell ref="R173:R175"/>
    <mergeCell ref="S173:S175"/>
    <mergeCell ref="G176:G178"/>
    <mergeCell ref="H176:H178"/>
    <mergeCell ref="I176:I178"/>
    <mergeCell ref="B173:B175"/>
    <mergeCell ref="C173:C175"/>
    <mergeCell ref="D173:D175"/>
    <mergeCell ref="E173:E175"/>
    <mergeCell ref="F173:F175"/>
    <mergeCell ref="G173:G175"/>
    <mergeCell ref="B176:B178"/>
    <mergeCell ref="C176:C178"/>
    <mergeCell ref="D176:D178"/>
    <mergeCell ref="E176:E178"/>
    <mergeCell ref="F176:F178"/>
    <mergeCell ref="U173:U175"/>
    <mergeCell ref="L174:L175"/>
    <mergeCell ref="M174:M175"/>
    <mergeCell ref="T167:T181"/>
    <mergeCell ref="U167:U169"/>
    <mergeCell ref="U170:U172"/>
    <mergeCell ref="R179:R181"/>
    <mergeCell ref="S179:S181"/>
    <mergeCell ref="U179:U181"/>
    <mergeCell ref="L180:L181"/>
    <mergeCell ref="M180:M181"/>
    <mergeCell ref="N170:N172"/>
    <mergeCell ref="O170:O172"/>
    <mergeCell ref="P170:P172"/>
    <mergeCell ref="Q170:Q172"/>
    <mergeCell ref="L171:L172"/>
    <mergeCell ref="M171:M172"/>
    <mergeCell ref="R176:R178"/>
    <mergeCell ref="S176:S178"/>
    <mergeCell ref="U176:U178"/>
    <mergeCell ref="L177:L178"/>
    <mergeCell ref="M177:M178"/>
    <mergeCell ref="N176:N178"/>
    <mergeCell ref="O176:O178"/>
    <mergeCell ref="P176:P178"/>
    <mergeCell ref="P173:P175"/>
    <mergeCell ref="Q173:Q175"/>
    <mergeCell ref="Q176:Q178"/>
    <mergeCell ref="H173:H175"/>
    <mergeCell ref="I173:I175"/>
    <mergeCell ref="N173:N175"/>
    <mergeCell ref="O173:O175"/>
    <mergeCell ref="B170:B172"/>
    <mergeCell ref="C170:C172"/>
    <mergeCell ref="D170:D172"/>
    <mergeCell ref="E170:E172"/>
    <mergeCell ref="F170:F172"/>
    <mergeCell ref="G170:G172"/>
    <mergeCell ref="Q167:Q169"/>
    <mergeCell ref="R167:R169"/>
    <mergeCell ref="S167:S169"/>
    <mergeCell ref="L168:L169"/>
    <mergeCell ref="M168:M169"/>
    <mergeCell ref="R170:R172"/>
    <mergeCell ref="S170:S172"/>
    <mergeCell ref="G167:G169"/>
    <mergeCell ref="H167:H169"/>
    <mergeCell ref="I167:I169"/>
    <mergeCell ref="N167:N169"/>
    <mergeCell ref="O167:O169"/>
    <mergeCell ref="P167:P169"/>
    <mergeCell ref="H170:H172"/>
    <mergeCell ref="I170:I172"/>
    <mergeCell ref="R165:R166"/>
    <mergeCell ref="S165:S166"/>
    <mergeCell ref="T165:T166"/>
    <mergeCell ref="U165:U166"/>
    <mergeCell ref="J166:M166"/>
    <mergeCell ref="B167:B169"/>
    <mergeCell ref="C167:C169"/>
    <mergeCell ref="D167:D169"/>
    <mergeCell ref="E167:E169"/>
    <mergeCell ref="F167:F169"/>
    <mergeCell ref="H165:H166"/>
    <mergeCell ref="I165:I166"/>
    <mergeCell ref="J165:M165"/>
    <mergeCell ref="N165:N166"/>
    <mergeCell ref="O165:O166"/>
    <mergeCell ref="P165:Q165"/>
    <mergeCell ref="B165:B166"/>
    <mergeCell ref="C165:C166"/>
    <mergeCell ref="D165:D166"/>
    <mergeCell ref="E165:E166"/>
    <mergeCell ref="F165:F166"/>
    <mergeCell ref="G165:G166"/>
    <mergeCell ref="B160:O161"/>
    <mergeCell ref="P160:R160"/>
    <mergeCell ref="T160:T161"/>
    <mergeCell ref="P161:R161"/>
    <mergeCell ref="C164:E164"/>
    <mergeCell ref="F164:O164"/>
    <mergeCell ref="P164:R164"/>
    <mergeCell ref="Q157:Q159"/>
    <mergeCell ref="R157:R159"/>
    <mergeCell ref="S157:S159"/>
    <mergeCell ref="L158:L159"/>
    <mergeCell ref="M158:M159"/>
    <mergeCell ref="G157:G159"/>
    <mergeCell ref="H157:H159"/>
    <mergeCell ref="I157:I159"/>
    <mergeCell ref="N157:N159"/>
    <mergeCell ref="O157:O159"/>
    <mergeCell ref="P157:P159"/>
    <mergeCell ref="B157:B159"/>
    <mergeCell ref="C157:C159"/>
    <mergeCell ref="D157:D159"/>
    <mergeCell ref="E157:E159"/>
    <mergeCell ref="F157:F159"/>
    <mergeCell ref="T145:T159"/>
    <mergeCell ref="B154:B156"/>
    <mergeCell ref="C154:C156"/>
    <mergeCell ref="D154:D156"/>
    <mergeCell ref="E154:E156"/>
    <mergeCell ref="F154:F156"/>
    <mergeCell ref="G154:G156"/>
    <mergeCell ref="H151:H153"/>
    <mergeCell ref="I151:I153"/>
    <mergeCell ref="B151:B153"/>
    <mergeCell ref="C151:C153"/>
    <mergeCell ref="D151:D153"/>
    <mergeCell ref="E151:E153"/>
    <mergeCell ref="F151:F153"/>
    <mergeCell ref="G151:G153"/>
    <mergeCell ref="B148:B150"/>
    <mergeCell ref="C148:C150"/>
    <mergeCell ref="D148:D150"/>
    <mergeCell ref="E148:E150"/>
    <mergeCell ref="F148:F150"/>
    <mergeCell ref="G148:G150"/>
    <mergeCell ref="C143:C144"/>
    <mergeCell ref="D143:D144"/>
    <mergeCell ref="E143:E144"/>
    <mergeCell ref="F143:F144"/>
    <mergeCell ref="G143:G144"/>
    <mergeCell ref="U143:U144"/>
    <mergeCell ref="J144:M144"/>
    <mergeCell ref="R154:R156"/>
    <mergeCell ref="S154:S156"/>
    <mergeCell ref="U154:U156"/>
    <mergeCell ref="L155:L156"/>
    <mergeCell ref="M155:M156"/>
    <mergeCell ref="H148:H150"/>
    <mergeCell ref="I148:I150"/>
    <mergeCell ref="N148:N150"/>
    <mergeCell ref="O148:O150"/>
    <mergeCell ref="P148:P150"/>
    <mergeCell ref="Q148:Q150"/>
    <mergeCell ref="L149:L150"/>
    <mergeCell ref="M149:M150"/>
    <mergeCell ref="H143:H144"/>
    <mergeCell ref="H154:H156"/>
    <mergeCell ref="I154:I156"/>
    <mergeCell ref="N154:N156"/>
    <mergeCell ref="O154:O156"/>
    <mergeCell ref="P154:P156"/>
    <mergeCell ref="Q154:Q156"/>
    <mergeCell ref="S151:S153"/>
    <mergeCell ref="S148:S150"/>
    <mergeCell ref="U148:U150"/>
    <mergeCell ref="R151:R153"/>
    <mergeCell ref="H145:H147"/>
    <mergeCell ref="I145:I147"/>
    <mergeCell ref="N145:N147"/>
    <mergeCell ref="O145:O147"/>
    <mergeCell ref="P145:P147"/>
    <mergeCell ref="N151:N153"/>
    <mergeCell ref="Q145:Q147"/>
    <mergeCell ref="U151:U153"/>
    <mergeCell ref="L152:L153"/>
    <mergeCell ref="M152:M153"/>
    <mergeCell ref="O151:O153"/>
    <mergeCell ref="P151:P153"/>
    <mergeCell ref="Q151:Q153"/>
    <mergeCell ref="U157:U159"/>
    <mergeCell ref="O143:O144"/>
    <mergeCell ref="P143:Q143"/>
    <mergeCell ref="R143:R144"/>
    <mergeCell ref="C142:E142"/>
    <mergeCell ref="F142:O142"/>
    <mergeCell ref="P142:R142"/>
    <mergeCell ref="B143:B144"/>
    <mergeCell ref="R145:R147"/>
    <mergeCell ref="S145:S147"/>
    <mergeCell ref="S143:S144"/>
    <mergeCell ref="B145:B147"/>
    <mergeCell ref="C145:C147"/>
    <mergeCell ref="D145:D147"/>
    <mergeCell ref="E145:E147"/>
    <mergeCell ref="F145:F147"/>
    <mergeCell ref="G145:G147"/>
    <mergeCell ref="I143:I144"/>
    <mergeCell ref="J143:M143"/>
    <mergeCell ref="N143:N144"/>
    <mergeCell ref="U145:U147"/>
    <mergeCell ref="L146:L147"/>
    <mergeCell ref="M146:M147"/>
    <mergeCell ref="R148:R150"/>
    <mergeCell ref="T143:T144"/>
    <mergeCell ref="B138:O139"/>
    <mergeCell ref="P138:R138"/>
    <mergeCell ref="T138:T139"/>
    <mergeCell ref="P139:R139"/>
    <mergeCell ref="H135:H137"/>
    <mergeCell ref="I135:I137"/>
    <mergeCell ref="N135:N137"/>
    <mergeCell ref="O135:O137"/>
    <mergeCell ref="P135:P137"/>
    <mergeCell ref="Q135:Q137"/>
    <mergeCell ref="B135:B137"/>
    <mergeCell ref="C135:C137"/>
    <mergeCell ref="D135:D137"/>
    <mergeCell ref="E135:E137"/>
    <mergeCell ref="F135:F137"/>
    <mergeCell ref="G135:G137"/>
    <mergeCell ref="R129:R131"/>
    <mergeCell ref="S129:S131"/>
    <mergeCell ref="G132:G134"/>
    <mergeCell ref="H132:H134"/>
    <mergeCell ref="I132:I134"/>
    <mergeCell ref="B129:B131"/>
    <mergeCell ref="C129:C131"/>
    <mergeCell ref="D129:D131"/>
    <mergeCell ref="E129:E131"/>
    <mergeCell ref="F129:F131"/>
    <mergeCell ref="G129:G131"/>
    <mergeCell ref="B132:B134"/>
    <mergeCell ref="C132:C134"/>
    <mergeCell ref="D132:D134"/>
    <mergeCell ref="E132:E134"/>
    <mergeCell ref="F132:F134"/>
    <mergeCell ref="U129:U131"/>
    <mergeCell ref="L130:L131"/>
    <mergeCell ref="M130:M131"/>
    <mergeCell ref="T123:T137"/>
    <mergeCell ref="U123:U125"/>
    <mergeCell ref="U126:U128"/>
    <mergeCell ref="R135:R137"/>
    <mergeCell ref="S135:S137"/>
    <mergeCell ref="U135:U137"/>
    <mergeCell ref="L136:L137"/>
    <mergeCell ref="M136:M137"/>
    <mergeCell ref="N126:N128"/>
    <mergeCell ref="O126:O128"/>
    <mergeCell ref="P126:P128"/>
    <mergeCell ref="Q126:Q128"/>
    <mergeCell ref="L127:L128"/>
    <mergeCell ref="M127:M128"/>
    <mergeCell ref="R132:R134"/>
    <mergeCell ref="S132:S134"/>
    <mergeCell ref="U132:U134"/>
    <mergeCell ref="L133:L134"/>
    <mergeCell ref="M133:M134"/>
    <mergeCell ref="N132:N134"/>
    <mergeCell ref="O132:O134"/>
    <mergeCell ref="P132:P134"/>
    <mergeCell ref="P129:P131"/>
    <mergeCell ref="Q129:Q131"/>
    <mergeCell ref="Q132:Q134"/>
    <mergeCell ref="H129:H131"/>
    <mergeCell ref="I129:I131"/>
    <mergeCell ref="N129:N131"/>
    <mergeCell ref="O129:O131"/>
    <mergeCell ref="B126:B128"/>
    <mergeCell ref="C126:C128"/>
    <mergeCell ref="D126:D128"/>
    <mergeCell ref="E126:E128"/>
    <mergeCell ref="F126:F128"/>
    <mergeCell ref="G126:G128"/>
    <mergeCell ref="Q123:Q125"/>
    <mergeCell ref="R123:R125"/>
    <mergeCell ref="S123:S125"/>
    <mergeCell ref="L124:L125"/>
    <mergeCell ref="M124:M125"/>
    <mergeCell ref="R126:R128"/>
    <mergeCell ref="S126:S128"/>
    <mergeCell ref="G123:G125"/>
    <mergeCell ref="H123:H125"/>
    <mergeCell ref="I123:I125"/>
    <mergeCell ref="N123:N125"/>
    <mergeCell ref="O123:O125"/>
    <mergeCell ref="P123:P125"/>
    <mergeCell ref="H126:H128"/>
    <mergeCell ref="I126:I128"/>
    <mergeCell ref="R121:R122"/>
    <mergeCell ref="S121:S122"/>
    <mergeCell ref="T121:T122"/>
    <mergeCell ref="U121:U122"/>
    <mergeCell ref="J122:M122"/>
    <mergeCell ref="B123:B125"/>
    <mergeCell ref="C123:C125"/>
    <mergeCell ref="D123:D125"/>
    <mergeCell ref="E123:E125"/>
    <mergeCell ref="F123:F125"/>
    <mergeCell ref="H121:H122"/>
    <mergeCell ref="I121:I122"/>
    <mergeCell ref="J121:M121"/>
    <mergeCell ref="N121:N122"/>
    <mergeCell ref="O121:O122"/>
    <mergeCell ref="P121:Q121"/>
    <mergeCell ref="B121:B122"/>
    <mergeCell ref="C121:C122"/>
    <mergeCell ref="D121:D122"/>
    <mergeCell ref="E121:E122"/>
    <mergeCell ref="F121:F122"/>
    <mergeCell ref="G121:G122"/>
    <mergeCell ref="B116:O117"/>
    <mergeCell ref="P116:R116"/>
    <mergeCell ref="T116:T117"/>
    <mergeCell ref="P117:R117"/>
    <mergeCell ref="C120:E120"/>
    <mergeCell ref="F120:O120"/>
    <mergeCell ref="P120:R120"/>
    <mergeCell ref="Q113:Q115"/>
    <mergeCell ref="R113:R115"/>
    <mergeCell ref="S113:S115"/>
    <mergeCell ref="L114:L115"/>
    <mergeCell ref="M114:M115"/>
    <mergeCell ref="G113:G115"/>
    <mergeCell ref="H113:H115"/>
    <mergeCell ref="I113:I115"/>
    <mergeCell ref="N113:N115"/>
    <mergeCell ref="O113:O115"/>
    <mergeCell ref="P113:P115"/>
    <mergeCell ref="B113:B115"/>
    <mergeCell ref="C113:C115"/>
    <mergeCell ref="D113:D115"/>
    <mergeCell ref="E113:E115"/>
    <mergeCell ref="F113:F115"/>
    <mergeCell ref="T101:T115"/>
    <mergeCell ref="B110:B112"/>
    <mergeCell ref="C110:C112"/>
    <mergeCell ref="D110:D112"/>
    <mergeCell ref="E110:E112"/>
    <mergeCell ref="F110:F112"/>
    <mergeCell ref="G110:G112"/>
    <mergeCell ref="H107:H109"/>
    <mergeCell ref="I107:I109"/>
    <mergeCell ref="B107:B109"/>
    <mergeCell ref="C107:C109"/>
    <mergeCell ref="D107:D109"/>
    <mergeCell ref="E107:E109"/>
    <mergeCell ref="F107:F109"/>
    <mergeCell ref="G107:G109"/>
    <mergeCell ref="B104:B106"/>
    <mergeCell ref="C104:C106"/>
    <mergeCell ref="D104:D106"/>
    <mergeCell ref="E104:E106"/>
    <mergeCell ref="F104:F106"/>
    <mergeCell ref="G104:G106"/>
    <mergeCell ref="C99:C100"/>
    <mergeCell ref="D99:D100"/>
    <mergeCell ref="E99:E100"/>
    <mergeCell ref="F99:F100"/>
    <mergeCell ref="G99:G100"/>
    <mergeCell ref="U99:U100"/>
    <mergeCell ref="J100:M100"/>
    <mergeCell ref="R110:R112"/>
    <mergeCell ref="S110:S112"/>
    <mergeCell ref="U110:U112"/>
    <mergeCell ref="L111:L112"/>
    <mergeCell ref="M111:M112"/>
    <mergeCell ref="H104:H106"/>
    <mergeCell ref="I104:I106"/>
    <mergeCell ref="N104:N106"/>
    <mergeCell ref="O104:O106"/>
    <mergeCell ref="P104:P106"/>
    <mergeCell ref="Q104:Q106"/>
    <mergeCell ref="L105:L106"/>
    <mergeCell ref="M105:M106"/>
    <mergeCell ref="H99:H100"/>
    <mergeCell ref="H110:H112"/>
    <mergeCell ref="I110:I112"/>
    <mergeCell ref="N110:N112"/>
    <mergeCell ref="O110:O112"/>
    <mergeCell ref="P110:P112"/>
    <mergeCell ref="Q110:Q112"/>
    <mergeCell ref="S107:S109"/>
    <mergeCell ref="S104:S106"/>
    <mergeCell ref="U104:U106"/>
    <mergeCell ref="R107:R109"/>
    <mergeCell ref="H101:H103"/>
    <mergeCell ref="I101:I103"/>
    <mergeCell ref="N101:N103"/>
    <mergeCell ref="O101:O103"/>
    <mergeCell ref="P101:P103"/>
    <mergeCell ref="N107:N109"/>
    <mergeCell ref="Q101:Q103"/>
    <mergeCell ref="U107:U109"/>
    <mergeCell ref="L108:L109"/>
    <mergeCell ref="M108:M109"/>
    <mergeCell ref="O107:O109"/>
    <mergeCell ref="P107:P109"/>
    <mergeCell ref="Q107:Q109"/>
    <mergeCell ref="U113:U115"/>
    <mergeCell ref="O99:O100"/>
    <mergeCell ref="P99:Q99"/>
    <mergeCell ref="R99:R100"/>
    <mergeCell ref="C98:E98"/>
    <mergeCell ref="F98:O98"/>
    <mergeCell ref="P98:R98"/>
    <mergeCell ref="B99:B100"/>
    <mergeCell ref="R101:R103"/>
    <mergeCell ref="S101:S103"/>
    <mergeCell ref="S99:S100"/>
    <mergeCell ref="B101:B103"/>
    <mergeCell ref="C101:C103"/>
    <mergeCell ref="D101:D103"/>
    <mergeCell ref="E101:E103"/>
    <mergeCell ref="F101:F103"/>
    <mergeCell ref="G101:G103"/>
    <mergeCell ref="I99:I100"/>
    <mergeCell ref="J99:M99"/>
    <mergeCell ref="N99:N100"/>
    <mergeCell ref="U101:U103"/>
    <mergeCell ref="L102:L103"/>
    <mergeCell ref="M102:M103"/>
    <mergeCell ref="R104:R106"/>
    <mergeCell ref="T99:T100"/>
    <mergeCell ref="B94:O95"/>
    <mergeCell ref="P94:R94"/>
    <mergeCell ref="T94:T95"/>
    <mergeCell ref="P95:R95"/>
    <mergeCell ref="H91:H93"/>
    <mergeCell ref="I91:I93"/>
    <mergeCell ref="N91:N93"/>
    <mergeCell ref="O91:O93"/>
    <mergeCell ref="P91:P93"/>
    <mergeCell ref="Q91:Q93"/>
    <mergeCell ref="B91:B93"/>
    <mergeCell ref="C91:C93"/>
    <mergeCell ref="D91:D93"/>
    <mergeCell ref="E91:E93"/>
    <mergeCell ref="F91:F93"/>
    <mergeCell ref="G91:G93"/>
    <mergeCell ref="R85:R87"/>
    <mergeCell ref="S85:S87"/>
    <mergeCell ref="G88:G90"/>
    <mergeCell ref="H88:H90"/>
    <mergeCell ref="I88:I90"/>
    <mergeCell ref="B85:B87"/>
    <mergeCell ref="C85:C87"/>
    <mergeCell ref="D85:D87"/>
    <mergeCell ref="E85:E87"/>
    <mergeCell ref="F85:F87"/>
    <mergeCell ref="G85:G87"/>
    <mergeCell ref="B88:B90"/>
    <mergeCell ref="C88:C90"/>
    <mergeCell ref="D88:D90"/>
    <mergeCell ref="E88:E90"/>
    <mergeCell ref="F88:F90"/>
    <mergeCell ref="U85:U87"/>
    <mergeCell ref="L86:L87"/>
    <mergeCell ref="M86:M87"/>
    <mergeCell ref="T79:T93"/>
    <mergeCell ref="U79:U81"/>
    <mergeCell ref="U82:U84"/>
    <mergeCell ref="R91:R93"/>
    <mergeCell ref="S91:S93"/>
    <mergeCell ref="U91:U93"/>
    <mergeCell ref="L92:L93"/>
    <mergeCell ref="M92:M93"/>
    <mergeCell ref="N82:N84"/>
    <mergeCell ref="O82:O84"/>
    <mergeCell ref="P82:P84"/>
    <mergeCell ref="Q82:Q84"/>
    <mergeCell ref="L83:L84"/>
    <mergeCell ref="M83:M84"/>
    <mergeCell ref="R88:R90"/>
    <mergeCell ref="S88:S90"/>
    <mergeCell ref="U88:U90"/>
    <mergeCell ref="L89:L90"/>
    <mergeCell ref="M89:M90"/>
    <mergeCell ref="N88:N90"/>
    <mergeCell ref="O88:O90"/>
    <mergeCell ref="P88:P90"/>
    <mergeCell ref="P85:P87"/>
    <mergeCell ref="Q85:Q87"/>
    <mergeCell ref="Q88:Q90"/>
    <mergeCell ref="H85:H87"/>
    <mergeCell ref="I85:I87"/>
    <mergeCell ref="N85:N87"/>
    <mergeCell ref="O85:O87"/>
    <mergeCell ref="B82:B84"/>
    <mergeCell ref="C82:C84"/>
    <mergeCell ref="D82:D84"/>
    <mergeCell ref="E82:E84"/>
    <mergeCell ref="F82:F84"/>
    <mergeCell ref="G82:G84"/>
    <mergeCell ref="Q79:Q81"/>
    <mergeCell ref="R79:R81"/>
    <mergeCell ref="S79:S81"/>
    <mergeCell ref="L80:L81"/>
    <mergeCell ref="M80:M81"/>
    <mergeCell ref="R82:R84"/>
    <mergeCell ref="S82:S84"/>
    <mergeCell ref="G79:G81"/>
    <mergeCell ref="H79:H81"/>
    <mergeCell ref="I79:I81"/>
    <mergeCell ref="N79:N81"/>
    <mergeCell ref="O79:O81"/>
    <mergeCell ref="P79:P81"/>
    <mergeCell ref="H82:H84"/>
    <mergeCell ref="I82:I84"/>
    <mergeCell ref="R77:R78"/>
    <mergeCell ref="S77:S78"/>
    <mergeCell ref="T77:T78"/>
    <mergeCell ref="U77:U78"/>
    <mergeCell ref="J78:M78"/>
    <mergeCell ref="B79:B81"/>
    <mergeCell ref="C79:C81"/>
    <mergeCell ref="D79:D81"/>
    <mergeCell ref="E79:E81"/>
    <mergeCell ref="F79:F81"/>
    <mergeCell ref="H77:H78"/>
    <mergeCell ref="I77:I78"/>
    <mergeCell ref="J77:M77"/>
    <mergeCell ref="N77:N78"/>
    <mergeCell ref="O77:O78"/>
    <mergeCell ref="P77:Q77"/>
    <mergeCell ref="B77:B78"/>
    <mergeCell ref="C77:C78"/>
    <mergeCell ref="D77:D78"/>
    <mergeCell ref="E77:E78"/>
    <mergeCell ref="F77:F78"/>
    <mergeCell ref="G77:G78"/>
    <mergeCell ref="B72:O73"/>
    <mergeCell ref="P72:R72"/>
    <mergeCell ref="T72:T73"/>
    <mergeCell ref="P73:R73"/>
    <mergeCell ref="C76:E76"/>
    <mergeCell ref="F76:O76"/>
    <mergeCell ref="P76:R76"/>
    <mergeCell ref="Q69:Q71"/>
    <mergeCell ref="R69:R71"/>
    <mergeCell ref="S69:S71"/>
    <mergeCell ref="L70:L71"/>
    <mergeCell ref="M70:M71"/>
    <mergeCell ref="G69:G71"/>
    <mergeCell ref="H69:H71"/>
    <mergeCell ref="I69:I71"/>
    <mergeCell ref="N69:N71"/>
    <mergeCell ref="O69:O71"/>
    <mergeCell ref="P69:P71"/>
    <mergeCell ref="B69:B71"/>
    <mergeCell ref="C69:C71"/>
    <mergeCell ref="D69:D71"/>
    <mergeCell ref="E69:E71"/>
    <mergeCell ref="F69:F71"/>
    <mergeCell ref="T57:T71"/>
    <mergeCell ref="B66:B68"/>
    <mergeCell ref="C66:C68"/>
    <mergeCell ref="D66:D68"/>
    <mergeCell ref="E66:E68"/>
    <mergeCell ref="F66:F68"/>
    <mergeCell ref="G66:G68"/>
    <mergeCell ref="H63:H65"/>
    <mergeCell ref="I63:I65"/>
    <mergeCell ref="B63:B65"/>
    <mergeCell ref="C63:C65"/>
    <mergeCell ref="D63:D65"/>
    <mergeCell ref="E63:E65"/>
    <mergeCell ref="F63:F65"/>
    <mergeCell ref="G63:G65"/>
    <mergeCell ref="B60:B62"/>
    <mergeCell ref="C60:C62"/>
    <mergeCell ref="D60:D62"/>
    <mergeCell ref="E60:E62"/>
    <mergeCell ref="F60:F62"/>
    <mergeCell ref="G60:G62"/>
    <mergeCell ref="C55:C56"/>
    <mergeCell ref="D55:D56"/>
    <mergeCell ref="E55:E56"/>
    <mergeCell ref="F55:F56"/>
    <mergeCell ref="G55:G56"/>
    <mergeCell ref="U55:U56"/>
    <mergeCell ref="J56:M56"/>
    <mergeCell ref="R66:R68"/>
    <mergeCell ref="S66:S68"/>
    <mergeCell ref="U66:U68"/>
    <mergeCell ref="L67:L68"/>
    <mergeCell ref="M67:M68"/>
    <mergeCell ref="H60:H62"/>
    <mergeCell ref="I60:I62"/>
    <mergeCell ref="N60:N62"/>
    <mergeCell ref="O60:O62"/>
    <mergeCell ref="P60:P62"/>
    <mergeCell ref="Q60:Q62"/>
    <mergeCell ref="L61:L62"/>
    <mergeCell ref="M61:M62"/>
    <mergeCell ref="H55:H56"/>
    <mergeCell ref="H66:H68"/>
    <mergeCell ref="I66:I68"/>
    <mergeCell ref="N66:N68"/>
    <mergeCell ref="O66:O68"/>
    <mergeCell ref="P66:P68"/>
    <mergeCell ref="Q66:Q68"/>
    <mergeCell ref="S63:S65"/>
    <mergeCell ref="S60:S62"/>
    <mergeCell ref="U60:U62"/>
    <mergeCell ref="R63:R65"/>
    <mergeCell ref="H57:H59"/>
    <mergeCell ref="I57:I59"/>
    <mergeCell ref="N57:N59"/>
    <mergeCell ref="O57:O59"/>
    <mergeCell ref="P57:P59"/>
    <mergeCell ref="N63:N65"/>
    <mergeCell ref="Q57:Q59"/>
    <mergeCell ref="U63:U65"/>
    <mergeCell ref="L64:L65"/>
    <mergeCell ref="M64:M65"/>
    <mergeCell ref="O63:O65"/>
    <mergeCell ref="P63:P65"/>
    <mergeCell ref="Q63:Q65"/>
    <mergeCell ref="U69:U71"/>
    <mergeCell ref="O55:O56"/>
    <mergeCell ref="P55:Q55"/>
    <mergeCell ref="R55:R56"/>
    <mergeCell ref="C54:E54"/>
    <mergeCell ref="F54:O54"/>
    <mergeCell ref="P54:R54"/>
    <mergeCell ref="B55:B56"/>
    <mergeCell ref="R57:R59"/>
    <mergeCell ref="S57:S59"/>
    <mergeCell ref="S55:S56"/>
    <mergeCell ref="B57:B59"/>
    <mergeCell ref="C57:C59"/>
    <mergeCell ref="D57:D59"/>
    <mergeCell ref="E57:E59"/>
    <mergeCell ref="F57:F59"/>
    <mergeCell ref="G57:G59"/>
    <mergeCell ref="I55:I56"/>
    <mergeCell ref="J55:M55"/>
    <mergeCell ref="N55:N56"/>
    <mergeCell ref="U57:U59"/>
    <mergeCell ref="L58:L59"/>
    <mergeCell ref="M58:M59"/>
    <mergeCell ref="R60:R62"/>
    <mergeCell ref="T55:T56"/>
    <mergeCell ref="B50:O51"/>
    <mergeCell ref="P50:R50"/>
    <mergeCell ref="T50:T51"/>
    <mergeCell ref="P51:R51"/>
    <mergeCell ref="H47:H49"/>
    <mergeCell ref="I47:I49"/>
    <mergeCell ref="N47:N49"/>
    <mergeCell ref="O47:O49"/>
    <mergeCell ref="P47:P49"/>
    <mergeCell ref="Q47:Q49"/>
    <mergeCell ref="B47:B49"/>
    <mergeCell ref="C47:C49"/>
    <mergeCell ref="D47:D49"/>
    <mergeCell ref="E47:E49"/>
    <mergeCell ref="F47:F49"/>
    <mergeCell ref="G47:G49"/>
    <mergeCell ref="R41:R43"/>
    <mergeCell ref="S41:S43"/>
    <mergeCell ref="G44:G46"/>
    <mergeCell ref="H44:H46"/>
    <mergeCell ref="I44:I46"/>
    <mergeCell ref="B41:B43"/>
    <mergeCell ref="C41:C43"/>
    <mergeCell ref="D41:D43"/>
    <mergeCell ref="E41:E43"/>
    <mergeCell ref="F41:F43"/>
    <mergeCell ref="G41:G43"/>
    <mergeCell ref="B44:B46"/>
    <mergeCell ref="C44:C46"/>
    <mergeCell ref="D44:D46"/>
    <mergeCell ref="E44:E46"/>
    <mergeCell ref="F44:F46"/>
    <mergeCell ref="U41:U43"/>
    <mergeCell ref="L42:L43"/>
    <mergeCell ref="M42:M43"/>
    <mergeCell ref="T35:T49"/>
    <mergeCell ref="U35:U37"/>
    <mergeCell ref="U38:U40"/>
    <mergeCell ref="R47:R49"/>
    <mergeCell ref="S47:S49"/>
    <mergeCell ref="U47:U49"/>
    <mergeCell ref="L48:L49"/>
    <mergeCell ref="M48:M49"/>
    <mergeCell ref="N38:N40"/>
    <mergeCell ref="O38:O40"/>
    <mergeCell ref="P38:P40"/>
    <mergeCell ref="Q38:Q40"/>
    <mergeCell ref="L39:L40"/>
    <mergeCell ref="M39:M40"/>
    <mergeCell ref="R44:R46"/>
    <mergeCell ref="S44:S46"/>
    <mergeCell ref="U44:U46"/>
    <mergeCell ref="L45:L46"/>
    <mergeCell ref="M45:M46"/>
    <mergeCell ref="N44:N46"/>
    <mergeCell ref="O44:O46"/>
    <mergeCell ref="P44:P46"/>
    <mergeCell ref="P41:P43"/>
    <mergeCell ref="Q41:Q43"/>
    <mergeCell ref="Q44:Q46"/>
    <mergeCell ref="H41:H43"/>
    <mergeCell ref="I41:I43"/>
    <mergeCell ref="N41:N43"/>
    <mergeCell ref="O41:O43"/>
    <mergeCell ref="B38:B40"/>
    <mergeCell ref="C38:C40"/>
    <mergeCell ref="D38:D40"/>
    <mergeCell ref="E38:E40"/>
    <mergeCell ref="F38:F40"/>
    <mergeCell ref="G38:G40"/>
    <mergeCell ref="Q35:Q37"/>
    <mergeCell ref="R35:R37"/>
    <mergeCell ref="S35:S37"/>
    <mergeCell ref="L36:L37"/>
    <mergeCell ref="M36:M37"/>
    <mergeCell ref="R38:R40"/>
    <mergeCell ref="S38:S40"/>
    <mergeCell ref="G35:G37"/>
    <mergeCell ref="H35:H37"/>
    <mergeCell ref="I35:I37"/>
    <mergeCell ref="N35:N37"/>
    <mergeCell ref="O35:O37"/>
    <mergeCell ref="P35:P37"/>
    <mergeCell ref="H38:H40"/>
    <mergeCell ref="I38:I40"/>
    <mergeCell ref="R33:R34"/>
    <mergeCell ref="S33:S34"/>
    <mergeCell ref="T33:T34"/>
    <mergeCell ref="U33:U34"/>
    <mergeCell ref="J34:M34"/>
    <mergeCell ref="B35:B37"/>
    <mergeCell ref="C35:C37"/>
    <mergeCell ref="D35:D37"/>
    <mergeCell ref="E35:E37"/>
    <mergeCell ref="F35:F37"/>
    <mergeCell ref="H33:H34"/>
    <mergeCell ref="I33:I34"/>
    <mergeCell ref="J33:M33"/>
    <mergeCell ref="N33:N34"/>
    <mergeCell ref="O33:O34"/>
    <mergeCell ref="P33:Q33"/>
    <mergeCell ref="B33:B34"/>
    <mergeCell ref="C33:C34"/>
    <mergeCell ref="D33:D34"/>
    <mergeCell ref="E33:E34"/>
    <mergeCell ref="F33:F34"/>
    <mergeCell ref="G33:G34"/>
    <mergeCell ref="U25:U27"/>
    <mergeCell ref="L26:L27"/>
    <mergeCell ref="M26:M27"/>
    <mergeCell ref="G25:G27"/>
    <mergeCell ref="H25:H27"/>
    <mergeCell ref="I25:I27"/>
    <mergeCell ref="N25:N27"/>
    <mergeCell ref="O25:O27"/>
    <mergeCell ref="P25:P27"/>
    <mergeCell ref="B28:O29"/>
    <mergeCell ref="P28:R28"/>
    <mergeCell ref="T28:T29"/>
    <mergeCell ref="P29:R29"/>
    <mergeCell ref="C32:E32"/>
    <mergeCell ref="F32:O32"/>
    <mergeCell ref="P32:R32"/>
    <mergeCell ref="Q25:Q27"/>
    <mergeCell ref="R25:R27"/>
    <mergeCell ref="S25:S27"/>
    <mergeCell ref="B25:B27"/>
    <mergeCell ref="C25:C27"/>
    <mergeCell ref="D25:D27"/>
    <mergeCell ref="E25:E27"/>
    <mergeCell ref="F25:F27"/>
    <mergeCell ref="B22:B24"/>
    <mergeCell ref="C22:C24"/>
    <mergeCell ref="D22:D24"/>
    <mergeCell ref="E22:E24"/>
    <mergeCell ref="F22:F24"/>
    <mergeCell ref="G22:G24"/>
    <mergeCell ref="H19:H21"/>
    <mergeCell ref="I19:I21"/>
    <mergeCell ref="N19:N21"/>
    <mergeCell ref="B19:B21"/>
    <mergeCell ref="C19:C21"/>
    <mergeCell ref="D19:D21"/>
    <mergeCell ref="E19:E21"/>
    <mergeCell ref="F19:F21"/>
    <mergeCell ref="G19:G21"/>
    <mergeCell ref="B16:B18"/>
    <mergeCell ref="C16:C18"/>
    <mergeCell ref="D16:D18"/>
    <mergeCell ref="E16:E18"/>
    <mergeCell ref="F16:F18"/>
    <mergeCell ref="G16:G18"/>
    <mergeCell ref="M23:M24"/>
    <mergeCell ref="H16:H18"/>
    <mergeCell ref="I16:I18"/>
    <mergeCell ref="N16:N18"/>
    <mergeCell ref="P16:P18"/>
    <mergeCell ref="Q16:Q18"/>
    <mergeCell ref="L17:L18"/>
    <mergeCell ref="M17:M18"/>
    <mergeCell ref="H22:H24"/>
    <mergeCell ref="I22:I24"/>
    <mergeCell ref="N22:N24"/>
    <mergeCell ref="O22:O24"/>
    <mergeCell ref="P22:P24"/>
    <mergeCell ref="Q22:Q24"/>
    <mergeCell ref="S19:S21"/>
    <mergeCell ref="U19:U21"/>
    <mergeCell ref="L20:L21"/>
    <mergeCell ref="M20:M21"/>
    <mergeCell ref="O19:O21"/>
    <mergeCell ref="R16:R18"/>
    <mergeCell ref="S16:S18"/>
    <mergeCell ref="U16:U18"/>
    <mergeCell ref="R19:R21"/>
    <mergeCell ref="P19:P21"/>
    <mergeCell ref="Q19:Q21"/>
    <mergeCell ref="T11:T12"/>
    <mergeCell ref="U11:U12"/>
    <mergeCell ref="X11:Z11"/>
    <mergeCell ref="J12:M12"/>
    <mergeCell ref="B13:B15"/>
    <mergeCell ref="C13:C15"/>
    <mergeCell ref="D13:D15"/>
    <mergeCell ref="E13:E15"/>
    <mergeCell ref="F13:F15"/>
    <mergeCell ref="I11:I12"/>
    <mergeCell ref="J11:M11"/>
    <mergeCell ref="N11:N12"/>
    <mergeCell ref="O11:O12"/>
    <mergeCell ref="P11:Q11"/>
    <mergeCell ref="R11:R12"/>
    <mergeCell ref="B11:B12"/>
    <mergeCell ref="C11:C12"/>
    <mergeCell ref="D11:D12"/>
    <mergeCell ref="E11:E12"/>
    <mergeCell ref="F11:F12"/>
    <mergeCell ref="R13:R15"/>
    <mergeCell ref="S13:S15"/>
    <mergeCell ref="T13:T27"/>
    <mergeCell ref="G11:G12"/>
    <mergeCell ref="H11:H12"/>
    <mergeCell ref="Q13:Q15"/>
    <mergeCell ref="R22:R24"/>
    <mergeCell ref="S22:S24"/>
    <mergeCell ref="U22:U24"/>
    <mergeCell ref="L23:L24"/>
    <mergeCell ref="U13:U15"/>
    <mergeCell ref="O16:O18"/>
    <mergeCell ref="B1:S1"/>
    <mergeCell ref="B3:S3"/>
    <mergeCell ref="F4:N4"/>
    <mergeCell ref="F5:G5"/>
    <mergeCell ref="L5:M6"/>
    <mergeCell ref="N5:O5"/>
    <mergeCell ref="F6:G6"/>
    <mergeCell ref="N6:O6"/>
    <mergeCell ref="S11:S12"/>
    <mergeCell ref="C10:E10"/>
    <mergeCell ref="F10:O10"/>
    <mergeCell ref="P10:R10"/>
    <mergeCell ref="H13:H15"/>
    <mergeCell ref="I13:I15"/>
    <mergeCell ref="N13:N15"/>
    <mergeCell ref="O13:O15"/>
    <mergeCell ref="P13:P15"/>
    <mergeCell ref="L14:L15"/>
    <mergeCell ref="M14:M15"/>
    <mergeCell ref="G13:G15"/>
    <mergeCell ref="C230:E230"/>
    <mergeCell ref="F230:O230"/>
    <mergeCell ref="P230:R230"/>
    <mergeCell ref="B231:B232"/>
    <mergeCell ref="C231:C232"/>
    <mergeCell ref="D231:D232"/>
    <mergeCell ref="E231:E232"/>
    <mergeCell ref="F231:F232"/>
    <mergeCell ref="G231:G232"/>
    <mergeCell ref="H231:H232"/>
    <mergeCell ref="I231:I232"/>
    <mergeCell ref="J231:M231"/>
    <mergeCell ref="N231:N232"/>
    <mergeCell ref="O231:O232"/>
    <mergeCell ref="P231:Q231"/>
    <mergeCell ref="R231:R232"/>
    <mergeCell ref="S231:S232"/>
    <mergeCell ref="T231:T232"/>
    <mergeCell ref="U231:U232"/>
    <mergeCell ref="J232:M232"/>
    <mergeCell ref="B233:B235"/>
    <mergeCell ref="C233:C235"/>
    <mergeCell ref="D233:D235"/>
    <mergeCell ref="E233:E235"/>
    <mergeCell ref="F233:F235"/>
    <mergeCell ref="G233:G235"/>
    <mergeCell ref="H233:H235"/>
    <mergeCell ref="I233:I235"/>
    <mergeCell ref="N233:N235"/>
    <mergeCell ref="O233:O235"/>
    <mergeCell ref="P233:P235"/>
    <mergeCell ref="Q233:Q235"/>
    <mergeCell ref="R233:R235"/>
    <mergeCell ref="S233:S235"/>
    <mergeCell ref="T233:T247"/>
    <mergeCell ref="U233:U235"/>
    <mergeCell ref="L234:L235"/>
    <mergeCell ref="M234:M235"/>
    <mergeCell ref="B236:B238"/>
    <mergeCell ref="C236:C238"/>
    <mergeCell ref="D236:D238"/>
    <mergeCell ref="E236:E238"/>
    <mergeCell ref="F236:F238"/>
    <mergeCell ref="G236:G238"/>
    <mergeCell ref="H236:H238"/>
    <mergeCell ref="I236:I238"/>
    <mergeCell ref="N236:N238"/>
    <mergeCell ref="O236:O238"/>
    <mergeCell ref="P236:P238"/>
    <mergeCell ref="Q236:Q238"/>
    <mergeCell ref="R236:R238"/>
    <mergeCell ref="S236:S238"/>
    <mergeCell ref="U236:U238"/>
    <mergeCell ref="L237:L238"/>
    <mergeCell ref="M237:M238"/>
    <mergeCell ref="B239:B241"/>
    <mergeCell ref="C239:C241"/>
    <mergeCell ref="D239:D241"/>
    <mergeCell ref="E239:E241"/>
    <mergeCell ref="F239:F241"/>
    <mergeCell ref="G239:G241"/>
    <mergeCell ref="H239:H241"/>
    <mergeCell ref="I239:I241"/>
    <mergeCell ref="N239:N241"/>
    <mergeCell ref="O239:O241"/>
    <mergeCell ref="P239:P241"/>
    <mergeCell ref="Q239:Q241"/>
    <mergeCell ref="R239:R241"/>
    <mergeCell ref="S239:S241"/>
    <mergeCell ref="U239:U241"/>
    <mergeCell ref="L240:L241"/>
    <mergeCell ref="M240:M241"/>
    <mergeCell ref="B242:B244"/>
    <mergeCell ref="C242:C244"/>
    <mergeCell ref="D242:D244"/>
    <mergeCell ref="E242:E244"/>
    <mergeCell ref="F242:F244"/>
    <mergeCell ref="G242:G244"/>
    <mergeCell ref="H242:H244"/>
    <mergeCell ref="I242:I244"/>
    <mergeCell ref="N242:N244"/>
    <mergeCell ref="O242:O244"/>
    <mergeCell ref="P242:P244"/>
    <mergeCell ref="Q242:Q244"/>
    <mergeCell ref="R242:R244"/>
    <mergeCell ref="S242:S244"/>
    <mergeCell ref="U242:U244"/>
    <mergeCell ref="L243:L244"/>
    <mergeCell ref="M243:M244"/>
    <mergeCell ref="B245:B247"/>
    <mergeCell ref="C245:C247"/>
    <mergeCell ref="D245:D247"/>
    <mergeCell ref="E245:E247"/>
    <mergeCell ref="F245:F247"/>
    <mergeCell ref="G245:G247"/>
    <mergeCell ref="H245:H247"/>
    <mergeCell ref="I245:I247"/>
    <mergeCell ref="N245:N247"/>
    <mergeCell ref="O245:O247"/>
    <mergeCell ref="P245:P247"/>
    <mergeCell ref="Q245:Q247"/>
    <mergeCell ref="R245:R247"/>
    <mergeCell ref="S245:S247"/>
    <mergeCell ref="U245:U247"/>
    <mergeCell ref="L246:L247"/>
    <mergeCell ref="M246:M247"/>
    <mergeCell ref="B248:O249"/>
    <mergeCell ref="P248:R248"/>
    <mergeCell ref="T248:T249"/>
    <mergeCell ref="P249:R249"/>
    <mergeCell ref="C252:E252"/>
    <mergeCell ref="F252:O252"/>
    <mergeCell ref="P252:R252"/>
    <mergeCell ref="B253:B254"/>
    <mergeCell ref="C253:C254"/>
    <mergeCell ref="D253:D254"/>
    <mergeCell ref="E253:E254"/>
    <mergeCell ref="F253:F254"/>
    <mergeCell ref="G253:G254"/>
    <mergeCell ref="H253:H254"/>
    <mergeCell ref="I253:I254"/>
    <mergeCell ref="J253:M253"/>
    <mergeCell ref="N253:N254"/>
    <mergeCell ref="O253:O254"/>
    <mergeCell ref="P253:Q253"/>
    <mergeCell ref="R253:R254"/>
    <mergeCell ref="S253:S254"/>
    <mergeCell ref="T253:T254"/>
    <mergeCell ref="U253:U254"/>
    <mergeCell ref="J254:M254"/>
    <mergeCell ref="B255:B257"/>
    <mergeCell ref="C255:C257"/>
    <mergeCell ref="D255:D257"/>
    <mergeCell ref="E255:E257"/>
    <mergeCell ref="F255:F257"/>
    <mergeCell ref="G255:G257"/>
    <mergeCell ref="H255:H257"/>
    <mergeCell ref="I255:I257"/>
    <mergeCell ref="N255:N257"/>
    <mergeCell ref="O255:O257"/>
    <mergeCell ref="P255:P257"/>
    <mergeCell ref="Q255:Q257"/>
    <mergeCell ref="R255:R257"/>
    <mergeCell ref="S255:S257"/>
    <mergeCell ref="T255:T269"/>
    <mergeCell ref="U255:U257"/>
    <mergeCell ref="L256:L257"/>
    <mergeCell ref="M256:M257"/>
    <mergeCell ref="B258:B260"/>
    <mergeCell ref="C258:C260"/>
    <mergeCell ref="D258:D260"/>
    <mergeCell ref="E258:E260"/>
    <mergeCell ref="F258:F260"/>
    <mergeCell ref="G258:G260"/>
    <mergeCell ref="H258:H260"/>
    <mergeCell ref="I258:I260"/>
    <mergeCell ref="N258:N260"/>
    <mergeCell ref="O258:O260"/>
    <mergeCell ref="P258:P260"/>
    <mergeCell ref="Q258:Q260"/>
    <mergeCell ref="R258:R260"/>
    <mergeCell ref="S258:S260"/>
    <mergeCell ref="U258:U260"/>
    <mergeCell ref="L259:L260"/>
    <mergeCell ref="M259:M260"/>
    <mergeCell ref="B261:B263"/>
    <mergeCell ref="C261:C263"/>
    <mergeCell ref="D261:D263"/>
    <mergeCell ref="E261:E263"/>
    <mergeCell ref="F261:F263"/>
    <mergeCell ref="G261:G263"/>
    <mergeCell ref="H261:H263"/>
    <mergeCell ref="I261:I263"/>
    <mergeCell ref="N261:N263"/>
    <mergeCell ref="O261:O263"/>
    <mergeCell ref="P261:P263"/>
    <mergeCell ref="Q261:Q263"/>
    <mergeCell ref="R261:R263"/>
    <mergeCell ref="S261:S263"/>
    <mergeCell ref="U261:U263"/>
    <mergeCell ref="L262:L263"/>
    <mergeCell ref="M262:M263"/>
    <mergeCell ref="B264:B266"/>
    <mergeCell ref="C264:C266"/>
    <mergeCell ref="D264:D266"/>
    <mergeCell ref="E264:E266"/>
    <mergeCell ref="F264:F266"/>
    <mergeCell ref="G264:G266"/>
    <mergeCell ref="H264:H266"/>
    <mergeCell ref="I264:I266"/>
    <mergeCell ref="N264:N266"/>
    <mergeCell ref="O264:O266"/>
    <mergeCell ref="P264:P266"/>
    <mergeCell ref="Q264:Q266"/>
    <mergeCell ref="R264:R266"/>
    <mergeCell ref="S264:S266"/>
    <mergeCell ref="U264:U266"/>
    <mergeCell ref="L265:L266"/>
    <mergeCell ref="M265:M266"/>
    <mergeCell ref="B267:B269"/>
    <mergeCell ref="C267:C269"/>
    <mergeCell ref="D267:D269"/>
    <mergeCell ref="E267:E269"/>
    <mergeCell ref="F267:F269"/>
    <mergeCell ref="G267:G269"/>
    <mergeCell ref="H267:H269"/>
    <mergeCell ref="I267:I269"/>
    <mergeCell ref="N267:N269"/>
    <mergeCell ref="O267:O269"/>
    <mergeCell ref="P267:P269"/>
    <mergeCell ref="Q267:Q269"/>
    <mergeCell ref="R267:R269"/>
    <mergeCell ref="S267:S269"/>
    <mergeCell ref="U267:U269"/>
    <mergeCell ref="L268:L269"/>
    <mergeCell ref="M268:M269"/>
    <mergeCell ref="B270:O271"/>
    <mergeCell ref="P270:R270"/>
    <mergeCell ref="T270:T271"/>
    <mergeCell ref="P271:R271"/>
    <mergeCell ref="C274:E274"/>
    <mergeCell ref="F274:O274"/>
    <mergeCell ref="P274:R274"/>
    <mergeCell ref="B275:B276"/>
    <mergeCell ref="C275:C276"/>
    <mergeCell ref="D275:D276"/>
    <mergeCell ref="E275:E276"/>
    <mergeCell ref="F275:F276"/>
    <mergeCell ref="G275:G276"/>
    <mergeCell ref="H275:H276"/>
    <mergeCell ref="I275:I276"/>
    <mergeCell ref="J275:M275"/>
    <mergeCell ref="N275:N276"/>
    <mergeCell ref="O275:O276"/>
    <mergeCell ref="P275:Q275"/>
    <mergeCell ref="R275:R276"/>
    <mergeCell ref="S275:S276"/>
    <mergeCell ref="T275:T276"/>
    <mergeCell ref="U275:U276"/>
    <mergeCell ref="J276:M276"/>
    <mergeCell ref="B277:B279"/>
    <mergeCell ref="C277:C279"/>
    <mergeCell ref="D277:D279"/>
    <mergeCell ref="E277:E279"/>
    <mergeCell ref="F277:F279"/>
    <mergeCell ref="G277:G279"/>
    <mergeCell ref="H277:H279"/>
    <mergeCell ref="I277:I279"/>
    <mergeCell ref="N277:N279"/>
    <mergeCell ref="O277:O279"/>
    <mergeCell ref="P277:P279"/>
    <mergeCell ref="Q277:Q279"/>
    <mergeCell ref="R277:R279"/>
    <mergeCell ref="S277:S279"/>
    <mergeCell ref="T277:T291"/>
    <mergeCell ref="U277:U279"/>
    <mergeCell ref="L278:L279"/>
    <mergeCell ref="M278:M279"/>
    <mergeCell ref="B280:B282"/>
    <mergeCell ref="C280:C282"/>
    <mergeCell ref="D280:D282"/>
    <mergeCell ref="E280:E282"/>
    <mergeCell ref="F280:F282"/>
    <mergeCell ref="G280:G282"/>
    <mergeCell ref="H280:H282"/>
    <mergeCell ref="I280:I282"/>
    <mergeCell ref="N280:N282"/>
    <mergeCell ref="O280:O282"/>
    <mergeCell ref="P280:P282"/>
    <mergeCell ref="Q280:Q282"/>
    <mergeCell ref="R280:R282"/>
    <mergeCell ref="S280:S282"/>
    <mergeCell ref="U280:U282"/>
    <mergeCell ref="L281:L282"/>
    <mergeCell ref="M281:M282"/>
    <mergeCell ref="B283:B285"/>
    <mergeCell ref="C283:C285"/>
    <mergeCell ref="D283:D285"/>
    <mergeCell ref="E283:E285"/>
    <mergeCell ref="F283:F285"/>
    <mergeCell ref="G283:G285"/>
    <mergeCell ref="H283:H285"/>
    <mergeCell ref="I283:I285"/>
    <mergeCell ref="N283:N285"/>
    <mergeCell ref="O283:O285"/>
    <mergeCell ref="P283:P285"/>
    <mergeCell ref="Q283:Q285"/>
    <mergeCell ref="R283:R285"/>
    <mergeCell ref="S283:S285"/>
    <mergeCell ref="U283:U285"/>
    <mergeCell ref="L284:L285"/>
    <mergeCell ref="M284:M285"/>
    <mergeCell ref="B286:B288"/>
    <mergeCell ref="C286:C288"/>
    <mergeCell ref="D286:D288"/>
    <mergeCell ref="E286:E288"/>
    <mergeCell ref="F286:F288"/>
    <mergeCell ref="G286:G288"/>
    <mergeCell ref="H286:H288"/>
    <mergeCell ref="I286:I288"/>
    <mergeCell ref="N286:N288"/>
    <mergeCell ref="O286:O288"/>
    <mergeCell ref="P286:P288"/>
    <mergeCell ref="Q286:Q288"/>
    <mergeCell ref="R286:R288"/>
    <mergeCell ref="S286:S288"/>
    <mergeCell ref="U286:U288"/>
    <mergeCell ref="L287:L288"/>
    <mergeCell ref="M287:M288"/>
    <mergeCell ref="B289:B291"/>
    <mergeCell ref="C289:C291"/>
    <mergeCell ref="D289:D291"/>
    <mergeCell ref="E289:E291"/>
    <mergeCell ref="F289:F291"/>
    <mergeCell ref="G289:G291"/>
    <mergeCell ref="H289:H291"/>
    <mergeCell ref="I289:I291"/>
    <mergeCell ref="N289:N291"/>
    <mergeCell ref="O289:O291"/>
    <mergeCell ref="P289:P291"/>
    <mergeCell ref="Q289:Q291"/>
    <mergeCell ref="R289:R291"/>
    <mergeCell ref="S289:S291"/>
    <mergeCell ref="U289:U291"/>
    <mergeCell ref="L290:L291"/>
    <mergeCell ref="M290:M291"/>
    <mergeCell ref="B292:O293"/>
    <mergeCell ref="P292:R292"/>
    <mergeCell ref="T292:T293"/>
    <mergeCell ref="P293:R293"/>
    <mergeCell ref="C296:E296"/>
    <mergeCell ref="F296:O296"/>
    <mergeCell ref="P296:R296"/>
    <mergeCell ref="B297:B298"/>
    <mergeCell ref="C297:C298"/>
    <mergeCell ref="D297:D298"/>
    <mergeCell ref="E297:E298"/>
    <mergeCell ref="F297:F298"/>
    <mergeCell ref="G297:G298"/>
    <mergeCell ref="H297:H298"/>
    <mergeCell ref="I297:I298"/>
    <mergeCell ref="J297:M297"/>
    <mergeCell ref="N297:N298"/>
    <mergeCell ref="O297:O298"/>
    <mergeCell ref="P297:Q297"/>
    <mergeCell ref="R297:R298"/>
    <mergeCell ref="S297:S298"/>
    <mergeCell ref="T297:T298"/>
    <mergeCell ref="U297:U298"/>
    <mergeCell ref="J298:M298"/>
    <mergeCell ref="B299:B301"/>
    <mergeCell ref="C299:C301"/>
    <mergeCell ref="D299:D301"/>
    <mergeCell ref="E299:E301"/>
    <mergeCell ref="F299:F301"/>
    <mergeCell ref="G299:G301"/>
    <mergeCell ref="H299:H301"/>
    <mergeCell ref="I299:I301"/>
    <mergeCell ref="N299:N301"/>
    <mergeCell ref="O299:O301"/>
    <mergeCell ref="P299:P301"/>
    <mergeCell ref="Q299:Q301"/>
    <mergeCell ref="R299:R301"/>
    <mergeCell ref="S299:S301"/>
    <mergeCell ref="T299:T313"/>
    <mergeCell ref="U299:U301"/>
    <mergeCell ref="L300:L301"/>
    <mergeCell ref="M300:M301"/>
    <mergeCell ref="B302:B304"/>
    <mergeCell ref="C302:C304"/>
    <mergeCell ref="D302:D304"/>
    <mergeCell ref="E302:E304"/>
    <mergeCell ref="F302:F304"/>
    <mergeCell ref="G302:G304"/>
    <mergeCell ref="H302:H304"/>
    <mergeCell ref="I302:I304"/>
    <mergeCell ref="N302:N304"/>
    <mergeCell ref="O302:O304"/>
    <mergeCell ref="P302:P304"/>
    <mergeCell ref="Q302:Q304"/>
    <mergeCell ref="R302:R304"/>
    <mergeCell ref="S302:S304"/>
    <mergeCell ref="U302:U304"/>
    <mergeCell ref="L303:L304"/>
    <mergeCell ref="M303:M304"/>
    <mergeCell ref="B305:B307"/>
    <mergeCell ref="C305:C307"/>
    <mergeCell ref="D305:D307"/>
    <mergeCell ref="E305:E307"/>
    <mergeCell ref="F305:F307"/>
    <mergeCell ref="G305:G307"/>
    <mergeCell ref="H305:H307"/>
    <mergeCell ref="I305:I307"/>
    <mergeCell ref="N305:N307"/>
    <mergeCell ref="O305:O307"/>
    <mergeCell ref="P305:P307"/>
    <mergeCell ref="Q305:Q307"/>
    <mergeCell ref="R305:R307"/>
    <mergeCell ref="S305:S307"/>
    <mergeCell ref="U305:U307"/>
    <mergeCell ref="L306:L307"/>
    <mergeCell ref="M306:M307"/>
    <mergeCell ref="U311:U313"/>
    <mergeCell ref="L312:L313"/>
    <mergeCell ref="M312:M313"/>
    <mergeCell ref="B308:B310"/>
    <mergeCell ref="C308:C310"/>
    <mergeCell ref="D308:D310"/>
    <mergeCell ref="E308:E310"/>
    <mergeCell ref="F308:F310"/>
    <mergeCell ref="G308:G310"/>
    <mergeCell ref="H308:H310"/>
    <mergeCell ref="I308:I310"/>
    <mergeCell ref="N308:N310"/>
    <mergeCell ref="O308:O310"/>
    <mergeCell ref="P308:P310"/>
    <mergeCell ref="Q308:Q310"/>
    <mergeCell ref="R308:R310"/>
    <mergeCell ref="S308:S310"/>
    <mergeCell ref="U308:U310"/>
    <mergeCell ref="L309:L310"/>
    <mergeCell ref="M309:M310"/>
    <mergeCell ref="B314:O315"/>
    <mergeCell ref="P314:R314"/>
    <mergeCell ref="T314:T315"/>
    <mergeCell ref="P315:R315"/>
    <mergeCell ref="B311:B313"/>
    <mergeCell ref="C311:C313"/>
    <mergeCell ref="D311:D313"/>
    <mergeCell ref="E311:E313"/>
    <mergeCell ref="F311:F313"/>
    <mergeCell ref="G311:G313"/>
    <mergeCell ref="H311:H313"/>
    <mergeCell ref="I311:I313"/>
    <mergeCell ref="N311:N313"/>
    <mergeCell ref="O311:O313"/>
    <mergeCell ref="P311:P313"/>
    <mergeCell ref="Q311:Q313"/>
    <mergeCell ref="R311:R313"/>
    <mergeCell ref="S311:S313"/>
  </mergeCells>
  <conditionalFormatting sqref="K13">
    <cfRule type="expression" dxfId="5418" priority="12362">
      <formula>J13="NO CUMPLE"</formula>
    </cfRule>
    <cfRule type="expression" dxfId="5417" priority="12363">
      <formula>J13="CUMPLE"</formula>
    </cfRule>
  </conditionalFormatting>
  <conditionalFormatting sqref="M13">
    <cfRule type="expression" dxfId="5416" priority="12360">
      <formula>L13="NO CUMPLE"</formula>
    </cfRule>
    <cfRule type="expression" dxfId="5415" priority="12361">
      <formula>L13="CUMPLE"</formula>
    </cfRule>
  </conditionalFormatting>
  <conditionalFormatting sqref="J16:J24">
    <cfRule type="cellIs" dxfId="5414" priority="12355" operator="equal">
      <formula>"NO CUMPLE"</formula>
    </cfRule>
    <cfRule type="cellIs" dxfId="5413" priority="12356" operator="equal">
      <formula>"CUMPLE"</formula>
    </cfRule>
  </conditionalFormatting>
  <conditionalFormatting sqref="L13:L14">
    <cfRule type="cellIs" dxfId="5412" priority="12353" operator="equal">
      <formula>"NO CUMPLE"</formula>
    </cfRule>
    <cfRule type="cellIs" dxfId="5411" priority="12354" operator="equal">
      <formula>"CUMPLE"</formula>
    </cfRule>
  </conditionalFormatting>
  <conditionalFormatting sqref="O16 O19 O22">
    <cfRule type="cellIs" dxfId="5410" priority="12307" operator="equal">
      <formula>"PENDIENTE POR DESCRIPCIÓN"</formula>
    </cfRule>
    <cfRule type="cellIs" dxfId="5409" priority="12308" operator="equal">
      <formula>"DESCRIPCIÓN INSUFICIENTE"</formula>
    </cfRule>
    <cfRule type="cellIs" dxfId="5408" priority="12309" operator="equal">
      <formula>"NO ESTÁ ACORDE A ITEM 5.2.2 (T.R.)"</formula>
    </cfRule>
    <cfRule type="cellIs" dxfId="5407" priority="12310" operator="equal">
      <formula>"ACORDE A ITEM 5.2.2 (T.R.)"</formula>
    </cfRule>
    <cfRule type="cellIs" dxfId="5406" priority="12339" operator="equal">
      <formula>"PENDIENTE POR DESCRIPCIÓN"</formula>
    </cfRule>
    <cfRule type="cellIs" dxfId="5405" priority="12343" operator="equal">
      <formula>"DESCRIPCIÓN INSUFICIENTE"</formula>
    </cfRule>
    <cfRule type="cellIs" dxfId="5404" priority="12344" operator="equal">
      <formula>"NO ESTÁ ACORDE A ITEM 5.2.1 (T.R.)"</formula>
    </cfRule>
    <cfRule type="cellIs" dxfId="5403" priority="12345" operator="equal">
      <formula>"ACORDE A ITEM 5.2.1 (T.R.)"</formula>
    </cfRule>
  </conditionalFormatting>
  <conditionalFormatting sqref="T28">
    <cfRule type="cellIs" dxfId="5402" priority="12330" operator="equal">
      <formula>"NO CUMPLE"</formula>
    </cfRule>
    <cfRule type="cellIs" dxfId="5401" priority="12331" operator="equal">
      <formula>"CUMPLE"</formula>
    </cfRule>
  </conditionalFormatting>
  <conditionalFormatting sqref="B28">
    <cfRule type="cellIs" dxfId="5400" priority="12328" operator="equal">
      <formula>"NO CUMPLE CON LA EXPERIENCIA REQUERIDA"</formula>
    </cfRule>
    <cfRule type="cellIs" dxfId="5399" priority="12329" operator="equal">
      <formula>"CUMPLE CON LA EXPERIENCIA REQUERIDA"</formula>
    </cfRule>
  </conditionalFormatting>
  <conditionalFormatting sqref="H16 H19 H22 H25">
    <cfRule type="notContainsBlanks" dxfId="5398" priority="12327">
      <formula>LEN(TRIM(H16))&gt;0</formula>
    </cfRule>
  </conditionalFormatting>
  <conditionalFormatting sqref="T13">
    <cfRule type="cellIs" dxfId="5397" priority="12319" operator="equal">
      <formula>"NO"</formula>
    </cfRule>
    <cfRule type="cellIs" dxfId="5396" priority="12320" operator="equal">
      <formula>"SI"</formula>
    </cfRule>
  </conditionalFormatting>
  <conditionalFormatting sqref="K14:K15">
    <cfRule type="expression" dxfId="5395" priority="12317">
      <formula>J14="NO CUMPLE"</formula>
    </cfRule>
    <cfRule type="expression" dxfId="5394" priority="12318">
      <formula>J14="CUMPLE"</formula>
    </cfRule>
  </conditionalFormatting>
  <conditionalFormatting sqref="M14">
    <cfRule type="expression" dxfId="5393" priority="12313">
      <formula>L14="NO CUMPLE"</formula>
    </cfRule>
    <cfRule type="expression" dxfId="5392" priority="12314">
      <formula>L14="CUMPLE"</formula>
    </cfRule>
  </conditionalFormatting>
  <conditionalFormatting sqref="AA12:AA28">
    <cfRule type="cellIs" dxfId="5391" priority="12311" operator="equal">
      <formula>"NH"</formula>
    </cfRule>
    <cfRule type="cellIs" dxfId="5390" priority="12312" operator="equal">
      <formula>"H"</formula>
    </cfRule>
  </conditionalFormatting>
  <conditionalFormatting sqref="L19:L20">
    <cfRule type="cellIs" dxfId="5389" priority="12254" operator="equal">
      <formula>"NO CUMPLE"</formula>
    </cfRule>
    <cfRule type="cellIs" dxfId="5388" priority="12255" operator="equal">
      <formula>"CUMPLE"</formula>
    </cfRule>
  </conditionalFormatting>
  <conditionalFormatting sqref="L22:L23">
    <cfRule type="cellIs" dxfId="5387" priority="12206" operator="equal">
      <formula>"NO CUMPLE"</formula>
    </cfRule>
    <cfRule type="cellIs" dxfId="5386" priority="12207" operator="equal">
      <formula>"CUMPLE"</formula>
    </cfRule>
  </conditionalFormatting>
  <conditionalFormatting sqref="L16:L17">
    <cfRule type="cellIs" dxfId="5385" priority="12296" operator="equal">
      <formula>"NO CUMPLE"</formula>
    </cfRule>
    <cfRule type="cellIs" dxfId="5384" priority="12297" operator="equal">
      <formula>"CUMPLE"</formula>
    </cfRule>
  </conditionalFormatting>
  <conditionalFormatting sqref="S19">
    <cfRule type="cellIs" dxfId="5383" priority="12252" operator="greaterThan">
      <formula>0</formula>
    </cfRule>
    <cfRule type="top10" dxfId="5382" priority="12253" rank="10"/>
  </conditionalFormatting>
  <conditionalFormatting sqref="G19">
    <cfRule type="notContainsBlanks" dxfId="5381" priority="12232">
      <formula>LEN(TRIM(G19))&gt;0</formula>
    </cfRule>
  </conditionalFormatting>
  <conditionalFormatting sqref="F19">
    <cfRule type="notContainsBlanks" dxfId="5380" priority="12231">
      <formula>LEN(TRIM(F19))&gt;0</formula>
    </cfRule>
  </conditionalFormatting>
  <conditionalFormatting sqref="E19">
    <cfRule type="notContainsBlanks" dxfId="5379" priority="12230">
      <formula>LEN(TRIM(E19))&gt;0</formula>
    </cfRule>
  </conditionalFormatting>
  <conditionalFormatting sqref="D19">
    <cfRule type="notContainsBlanks" dxfId="5378" priority="12229">
      <formula>LEN(TRIM(D19))&gt;0</formula>
    </cfRule>
  </conditionalFormatting>
  <conditionalFormatting sqref="C19">
    <cfRule type="notContainsBlanks" dxfId="5377" priority="12228">
      <formula>LEN(TRIM(C19))&gt;0</formula>
    </cfRule>
  </conditionalFormatting>
  <conditionalFormatting sqref="I19">
    <cfRule type="notContainsBlanks" dxfId="5376" priority="12227">
      <formula>LEN(TRIM(I19))&gt;0</formula>
    </cfRule>
  </conditionalFormatting>
  <conditionalFormatting sqref="S22">
    <cfRule type="cellIs" dxfId="5375" priority="12204" operator="greaterThan">
      <formula>0</formula>
    </cfRule>
    <cfRule type="top10" dxfId="5374" priority="12205" rank="10"/>
  </conditionalFormatting>
  <conditionalFormatting sqref="J25">
    <cfRule type="cellIs" dxfId="5373" priority="12166" operator="equal">
      <formula>"NO CUMPLE"</formula>
    </cfRule>
    <cfRule type="cellIs" dxfId="5372" priority="12167" operator="equal">
      <formula>"CUMPLE"</formula>
    </cfRule>
  </conditionalFormatting>
  <conditionalFormatting sqref="L25:L26">
    <cfRule type="cellIs" dxfId="5371" priority="12164" operator="equal">
      <formula>"NO CUMPLE"</formula>
    </cfRule>
    <cfRule type="cellIs" dxfId="5370" priority="12165" operator="equal">
      <formula>"CUMPLE"</formula>
    </cfRule>
  </conditionalFormatting>
  <conditionalFormatting sqref="S25">
    <cfRule type="cellIs" dxfId="5369" priority="12162" operator="greaterThan">
      <formula>0</formula>
    </cfRule>
    <cfRule type="top10" dxfId="5368" priority="12163" rank="10"/>
  </conditionalFormatting>
  <conditionalFormatting sqref="G25">
    <cfRule type="notContainsBlanks" dxfId="5367" priority="12142">
      <formula>LEN(TRIM(G25))&gt;0</formula>
    </cfRule>
  </conditionalFormatting>
  <conditionalFormatting sqref="F25">
    <cfRule type="notContainsBlanks" dxfId="5366" priority="12141">
      <formula>LEN(TRIM(F25))&gt;0</formula>
    </cfRule>
  </conditionalFormatting>
  <conditionalFormatting sqref="E25">
    <cfRule type="notContainsBlanks" dxfId="5365" priority="12140">
      <formula>LEN(TRIM(E25))&gt;0</formula>
    </cfRule>
  </conditionalFormatting>
  <conditionalFormatting sqref="D25">
    <cfRule type="notContainsBlanks" dxfId="5364" priority="12139">
      <formula>LEN(TRIM(D25))&gt;0</formula>
    </cfRule>
  </conditionalFormatting>
  <conditionalFormatting sqref="C25">
    <cfRule type="notContainsBlanks" dxfId="5363" priority="12138">
      <formula>LEN(TRIM(C25))&gt;0</formula>
    </cfRule>
  </conditionalFormatting>
  <conditionalFormatting sqref="I25">
    <cfRule type="notContainsBlanks" dxfId="5362" priority="12137">
      <formula>LEN(TRIM(I25))&gt;0</formula>
    </cfRule>
  </conditionalFormatting>
  <conditionalFormatting sqref="J26:J27">
    <cfRule type="cellIs" dxfId="5361" priority="12133" operator="equal">
      <formula>"NO CUMPLE"</formula>
    </cfRule>
    <cfRule type="cellIs" dxfId="5360" priority="12134" operator="equal">
      <formula>"CUMPLE"</formula>
    </cfRule>
  </conditionalFormatting>
  <conditionalFormatting sqref="G16">
    <cfRule type="notContainsBlanks" dxfId="5359" priority="12126">
      <formula>LEN(TRIM(G16))&gt;0</formula>
    </cfRule>
  </conditionalFormatting>
  <conditionalFormatting sqref="F16">
    <cfRule type="notContainsBlanks" dxfId="5358" priority="12125">
      <formula>LEN(TRIM(F16))&gt;0</formula>
    </cfRule>
  </conditionalFormatting>
  <conditionalFormatting sqref="E16">
    <cfRule type="notContainsBlanks" dxfId="5357" priority="12124">
      <formula>LEN(TRIM(E16))&gt;0</formula>
    </cfRule>
  </conditionalFormatting>
  <conditionalFormatting sqref="D16">
    <cfRule type="notContainsBlanks" dxfId="5356" priority="12123">
      <formula>LEN(TRIM(D16))&gt;0</formula>
    </cfRule>
  </conditionalFormatting>
  <conditionalFormatting sqref="C16">
    <cfRule type="notContainsBlanks" dxfId="5355" priority="12122">
      <formula>LEN(TRIM(C16))&gt;0</formula>
    </cfRule>
  </conditionalFormatting>
  <conditionalFormatting sqref="G22">
    <cfRule type="notContainsBlanks" dxfId="5354" priority="12121">
      <formula>LEN(TRIM(G22))&gt;0</formula>
    </cfRule>
  </conditionalFormatting>
  <conditionalFormatting sqref="F22">
    <cfRule type="notContainsBlanks" dxfId="5353" priority="12120">
      <formula>LEN(TRIM(F22))&gt;0</formula>
    </cfRule>
  </conditionalFormatting>
  <conditionalFormatting sqref="E22">
    <cfRule type="notContainsBlanks" dxfId="5352" priority="12119">
      <formula>LEN(TRIM(E22))&gt;0</formula>
    </cfRule>
  </conditionalFormatting>
  <conditionalFormatting sqref="D22">
    <cfRule type="notContainsBlanks" dxfId="5351" priority="12118">
      <formula>LEN(TRIM(D22))&gt;0</formula>
    </cfRule>
  </conditionalFormatting>
  <conditionalFormatting sqref="C22">
    <cfRule type="notContainsBlanks" dxfId="5350" priority="12117">
      <formula>LEN(TRIM(C22))&gt;0</formula>
    </cfRule>
  </conditionalFormatting>
  <conditionalFormatting sqref="I16">
    <cfRule type="notContainsBlanks" dxfId="5349" priority="12116">
      <formula>LEN(TRIM(I16))&gt;0</formula>
    </cfRule>
  </conditionalFormatting>
  <conditionalFormatting sqref="I22">
    <cfRule type="notContainsBlanks" dxfId="5348" priority="12115">
      <formula>LEN(TRIM(I22))&gt;0</formula>
    </cfRule>
  </conditionalFormatting>
  <conditionalFormatting sqref="S28">
    <cfRule type="expression" dxfId="5347" priority="12113">
      <formula>$S$28&gt;0</formula>
    </cfRule>
    <cfRule type="cellIs" dxfId="5346" priority="12114" operator="equal">
      <formula>0</formula>
    </cfRule>
  </conditionalFormatting>
  <conditionalFormatting sqref="S29">
    <cfRule type="expression" dxfId="5345" priority="12111">
      <formula>$S$28&gt;0</formula>
    </cfRule>
    <cfRule type="cellIs" dxfId="5344" priority="12112" operator="equal">
      <formula>0</formula>
    </cfRule>
  </conditionalFormatting>
  <conditionalFormatting sqref="U16:U18">
    <cfRule type="cellIs" dxfId="5343" priority="12107" operator="equal">
      <formula>0</formula>
    </cfRule>
    <cfRule type="cellIs" dxfId="5342" priority="12108" operator="equal">
      <formula>1</formula>
    </cfRule>
  </conditionalFormatting>
  <conditionalFormatting sqref="U19:U21">
    <cfRule type="cellIs" dxfId="5341" priority="12105" operator="equal">
      <formula>0</formula>
    </cfRule>
    <cfRule type="cellIs" dxfId="5340" priority="12106" operator="equal">
      <formula>1</formula>
    </cfRule>
  </conditionalFormatting>
  <conditionalFormatting sqref="U22:U24">
    <cfRule type="cellIs" dxfId="5339" priority="12103" operator="equal">
      <formula>0</formula>
    </cfRule>
    <cfRule type="cellIs" dxfId="5338" priority="12104" operator="equal">
      <formula>1</formula>
    </cfRule>
  </conditionalFormatting>
  <conditionalFormatting sqref="U25:U27">
    <cfRule type="cellIs" dxfId="5337" priority="12101" operator="equal">
      <formula>0</formula>
    </cfRule>
    <cfRule type="cellIs" dxfId="5336" priority="12102" operator="equal">
      <formula>1</formula>
    </cfRule>
  </conditionalFormatting>
  <conditionalFormatting sqref="L35:L36">
    <cfRule type="cellIs" dxfId="5335" priority="12090" operator="equal">
      <formula>"NO CUMPLE"</formula>
    </cfRule>
    <cfRule type="cellIs" dxfId="5334" priority="12091" operator="equal">
      <formula>"CUMPLE"</formula>
    </cfRule>
  </conditionalFormatting>
  <conditionalFormatting sqref="S35">
    <cfRule type="cellIs" dxfId="5333" priority="12088" operator="greaterThan">
      <formula>0</formula>
    </cfRule>
    <cfRule type="top10" dxfId="5332" priority="12089" rank="10"/>
  </conditionalFormatting>
  <conditionalFormatting sqref="T50">
    <cfRule type="cellIs" dxfId="5331" priority="12067" operator="equal">
      <formula>"NO CUMPLE"</formula>
    </cfRule>
    <cfRule type="cellIs" dxfId="5330" priority="12068" operator="equal">
      <formula>"CUMPLE"</formula>
    </cfRule>
  </conditionalFormatting>
  <conditionalFormatting sqref="B50">
    <cfRule type="cellIs" dxfId="5329" priority="12065" operator="equal">
      <formula>"NO CUMPLE CON LA EXPERIENCIA REQUERIDA"</formula>
    </cfRule>
    <cfRule type="cellIs" dxfId="5328" priority="12066" operator="equal">
      <formula>"CUMPLE CON LA EXPERIENCIA REQUERIDA"</formula>
    </cfRule>
  </conditionalFormatting>
  <conditionalFormatting sqref="H41 H44 H47">
    <cfRule type="notContainsBlanks" dxfId="5327" priority="12064">
      <formula>LEN(TRIM(H41))&gt;0</formula>
    </cfRule>
  </conditionalFormatting>
  <conditionalFormatting sqref="T35">
    <cfRule type="cellIs" dxfId="5326" priority="12056" operator="equal">
      <formula>"NO"</formula>
    </cfRule>
    <cfRule type="cellIs" dxfId="5325" priority="12057" operator="equal">
      <formula>"SI"</formula>
    </cfRule>
  </conditionalFormatting>
  <conditionalFormatting sqref="S38">
    <cfRule type="cellIs" dxfId="5324" priority="12033" operator="greaterThan">
      <formula>0</formula>
    </cfRule>
    <cfRule type="top10" dxfId="5323" priority="12034" rank="10"/>
  </conditionalFormatting>
  <conditionalFormatting sqref="S41">
    <cfRule type="cellIs" dxfId="5322" priority="11991" operator="greaterThan">
      <formula>0</formula>
    </cfRule>
    <cfRule type="top10" dxfId="5321" priority="11992" rank="10"/>
  </conditionalFormatting>
  <conditionalFormatting sqref="G41">
    <cfRule type="notContainsBlanks" dxfId="5320" priority="11971">
      <formula>LEN(TRIM(G41))&gt;0</formula>
    </cfRule>
  </conditionalFormatting>
  <conditionalFormatting sqref="F41">
    <cfRule type="notContainsBlanks" dxfId="5319" priority="11970">
      <formula>LEN(TRIM(F41))&gt;0</formula>
    </cfRule>
  </conditionalFormatting>
  <conditionalFormatting sqref="E41">
    <cfRule type="notContainsBlanks" dxfId="5318" priority="11969">
      <formula>LEN(TRIM(E41))&gt;0</formula>
    </cfRule>
  </conditionalFormatting>
  <conditionalFormatting sqref="D41">
    <cfRule type="notContainsBlanks" dxfId="5317" priority="11968">
      <formula>LEN(TRIM(D41))&gt;0</formula>
    </cfRule>
  </conditionalFormatting>
  <conditionalFormatting sqref="C41">
    <cfRule type="notContainsBlanks" dxfId="5316" priority="11967">
      <formula>LEN(TRIM(C41))&gt;0</formula>
    </cfRule>
  </conditionalFormatting>
  <conditionalFormatting sqref="I41">
    <cfRule type="notContainsBlanks" dxfId="5315" priority="11966">
      <formula>LEN(TRIM(I41))&gt;0</formula>
    </cfRule>
  </conditionalFormatting>
  <conditionalFormatting sqref="S44">
    <cfRule type="cellIs" dxfId="5314" priority="11943" operator="greaterThan">
      <formula>0</formula>
    </cfRule>
    <cfRule type="top10" dxfId="5313" priority="11944" rank="10"/>
  </conditionalFormatting>
  <conditionalFormatting sqref="S47">
    <cfRule type="cellIs" dxfId="5312" priority="11901" operator="greaterThan">
      <formula>0</formula>
    </cfRule>
    <cfRule type="top10" dxfId="5311" priority="11902" rank="10"/>
  </conditionalFormatting>
  <conditionalFormatting sqref="G47">
    <cfRule type="notContainsBlanks" dxfId="5310" priority="11881">
      <formula>LEN(TRIM(G47))&gt;0</formula>
    </cfRule>
  </conditionalFormatting>
  <conditionalFormatting sqref="F47">
    <cfRule type="notContainsBlanks" dxfId="5309" priority="11880">
      <formula>LEN(TRIM(F47))&gt;0</formula>
    </cfRule>
  </conditionalFormatting>
  <conditionalFormatting sqref="E47">
    <cfRule type="notContainsBlanks" dxfId="5308" priority="11879">
      <formula>LEN(TRIM(E47))&gt;0</formula>
    </cfRule>
  </conditionalFormatting>
  <conditionalFormatting sqref="D47">
    <cfRule type="notContainsBlanks" dxfId="5307" priority="11878">
      <formula>LEN(TRIM(D47))&gt;0</formula>
    </cfRule>
  </conditionalFormatting>
  <conditionalFormatting sqref="C47">
    <cfRule type="notContainsBlanks" dxfId="5306" priority="11877">
      <formula>LEN(TRIM(C47))&gt;0</formula>
    </cfRule>
  </conditionalFormatting>
  <conditionalFormatting sqref="I47">
    <cfRule type="notContainsBlanks" dxfId="5305" priority="11876">
      <formula>LEN(TRIM(I47))&gt;0</formula>
    </cfRule>
  </conditionalFormatting>
  <conditionalFormatting sqref="G44">
    <cfRule type="notContainsBlanks" dxfId="5304" priority="11860">
      <formula>LEN(TRIM(G44))&gt;0</formula>
    </cfRule>
  </conditionalFormatting>
  <conditionalFormatting sqref="F44">
    <cfRule type="notContainsBlanks" dxfId="5303" priority="11859">
      <formula>LEN(TRIM(F44))&gt;0</formula>
    </cfRule>
  </conditionalFormatting>
  <conditionalFormatting sqref="E44">
    <cfRule type="notContainsBlanks" dxfId="5302" priority="11858">
      <formula>LEN(TRIM(E44))&gt;0</formula>
    </cfRule>
  </conditionalFormatting>
  <conditionalFormatting sqref="D44">
    <cfRule type="notContainsBlanks" dxfId="5301" priority="11857">
      <formula>LEN(TRIM(D44))&gt;0</formula>
    </cfRule>
  </conditionalFormatting>
  <conditionalFormatting sqref="C44">
    <cfRule type="notContainsBlanks" dxfId="5300" priority="11856">
      <formula>LEN(TRIM(C44))&gt;0</formula>
    </cfRule>
  </conditionalFormatting>
  <conditionalFormatting sqref="I44">
    <cfRule type="notContainsBlanks" dxfId="5299" priority="11854">
      <formula>LEN(TRIM(I44))&gt;0</formula>
    </cfRule>
  </conditionalFormatting>
  <conditionalFormatting sqref="S50">
    <cfRule type="expression" dxfId="5298" priority="11852">
      <formula>$S$28&gt;0</formula>
    </cfRule>
    <cfRule type="cellIs" dxfId="5297" priority="11853" operator="equal">
      <formula>0</formula>
    </cfRule>
  </conditionalFormatting>
  <conditionalFormatting sqref="S51">
    <cfRule type="expression" dxfId="5296" priority="11850">
      <formula>$S$28&gt;0</formula>
    </cfRule>
    <cfRule type="cellIs" dxfId="5295" priority="11851" operator="equal">
      <formula>0</formula>
    </cfRule>
  </conditionalFormatting>
  <conditionalFormatting sqref="N16 N19 N22 N25">
    <cfRule type="expression" dxfId="5294" priority="7907">
      <formula>N16=" "</formula>
    </cfRule>
    <cfRule type="expression" dxfId="5293" priority="7908">
      <formula>N16="NO PRESENTÓ CERTIFICADO"</formula>
    </cfRule>
    <cfRule type="expression" dxfId="5292" priority="7909">
      <formula>N16="PRESENTÓ CERTIFICADO"</formula>
    </cfRule>
  </conditionalFormatting>
  <conditionalFormatting sqref="O25">
    <cfRule type="cellIs" dxfId="5291" priority="7884" operator="equal">
      <formula>"PENDIENTE POR DESCRIPCIÓN"</formula>
    </cfRule>
    <cfRule type="cellIs" dxfId="5290" priority="7885" operator="equal">
      <formula>"DESCRIPCIÓN INSUFICIENTE"</formula>
    </cfRule>
    <cfRule type="cellIs" dxfId="5289" priority="7886" operator="equal">
      <formula>"NO ESTÁ ACORDE A ITEM 5.2.2 (T.R.)"</formula>
    </cfRule>
    <cfRule type="cellIs" dxfId="5288" priority="7887" operator="equal">
      <formula>"ACORDE A ITEM 5.2.2 (T.R.)"</formula>
    </cfRule>
    <cfRule type="cellIs" dxfId="5287" priority="7895" operator="equal">
      <formula>"PENDIENTE POR DESCRIPCIÓN"</formula>
    </cfRule>
    <cfRule type="cellIs" dxfId="5286" priority="7899" operator="equal">
      <formula>"DESCRIPCIÓN INSUFICIENTE"</formula>
    </cfRule>
    <cfRule type="cellIs" dxfId="5285" priority="7900" operator="equal">
      <formula>"NO ESTÁ ACORDE A ITEM 5.2.1 (T.R.)"</formula>
    </cfRule>
    <cfRule type="cellIs" dxfId="5284" priority="7901" operator="equal">
      <formula>"ACORDE A ITEM 5.2.1 (T.R.)"</formula>
    </cfRule>
  </conditionalFormatting>
  <conditionalFormatting sqref="Q19 Q22 Q25">
    <cfRule type="containsBlanks" dxfId="5283" priority="7889">
      <formula>LEN(TRIM(Q19))=0</formula>
    </cfRule>
    <cfRule type="cellIs" dxfId="5282" priority="7898" operator="equal">
      <formula>"REQUERIMIENTOS SUBSANADOS"</formula>
    </cfRule>
    <cfRule type="containsText" dxfId="5281" priority="7904" operator="containsText" text="NO SUBSANABLE">
      <formula>NOT(ISERROR(SEARCH("NO SUBSANABLE",Q19)))</formula>
    </cfRule>
    <cfRule type="containsText" dxfId="5280" priority="7905" operator="containsText" text="PENDIENTES POR SUBSANAR">
      <formula>NOT(ISERROR(SEARCH("PENDIENTES POR SUBSANAR",Q19)))</formula>
    </cfRule>
    <cfRule type="containsText" dxfId="5279" priority="7906" operator="containsText" text="SIN OBSERVACIÓN">
      <formula>NOT(ISERROR(SEARCH("SIN OBSERVACIÓN",Q19)))</formula>
    </cfRule>
  </conditionalFormatting>
  <conditionalFormatting sqref="R19 R22 R25">
    <cfRule type="containsBlanks" dxfId="5278" priority="7888">
      <formula>LEN(TRIM(R19))=0</formula>
    </cfRule>
    <cfRule type="cellIs" dxfId="5277" priority="7890" operator="equal">
      <formula>"NO CUMPLEN CON LO SOLICITADO"</formula>
    </cfRule>
    <cfRule type="cellIs" dxfId="5276" priority="7891" operator="equal">
      <formula>"CUMPLEN CON LO SOLICITADO"</formula>
    </cfRule>
    <cfRule type="cellIs" dxfId="5275" priority="7892" operator="equal">
      <formula>"PENDIENTES"</formula>
    </cfRule>
    <cfRule type="cellIs" dxfId="5274" priority="7893" operator="equal">
      <formula>"NINGUNO"</formula>
    </cfRule>
  </conditionalFormatting>
  <conditionalFormatting sqref="P16 P19 P22 P25">
    <cfRule type="expression" dxfId="5273" priority="7879">
      <formula>Q16="NO SUBSANABLE"</formula>
    </cfRule>
    <cfRule type="expression" dxfId="5272" priority="7880">
      <formula>Q16="REQUERIMIENTOS SUBSANADOS"</formula>
    </cfRule>
    <cfRule type="expression" dxfId="5271" priority="7881">
      <formula>Q16="PENDIENTES POR SUBSANAR"</formula>
    </cfRule>
    <cfRule type="expression" dxfId="5270" priority="7882">
      <formula>Q16="SIN OBSERVACIÓN"</formula>
    </cfRule>
    <cfRule type="containsBlanks" dxfId="5269" priority="7883">
      <formula>LEN(TRIM(P16))=0</formula>
    </cfRule>
  </conditionalFormatting>
  <conditionalFormatting sqref="S57">
    <cfRule type="cellIs" dxfId="5268" priority="7036" operator="greaterThan">
      <formula>0</formula>
    </cfRule>
    <cfRule type="top10" dxfId="5267" priority="7037" rank="10"/>
  </conditionalFormatting>
  <conditionalFormatting sqref="T72">
    <cfRule type="cellIs" dxfId="5266" priority="7034" operator="equal">
      <formula>"NO CUMPLE"</formula>
    </cfRule>
    <cfRule type="cellIs" dxfId="5265" priority="7035" operator="equal">
      <formula>"CUMPLE"</formula>
    </cfRule>
  </conditionalFormatting>
  <conditionalFormatting sqref="B72">
    <cfRule type="cellIs" dxfId="5264" priority="7032" operator="equal">
      <formula>"NO CUMPLE CON LA EXPERIENCIA REQUERIDA"</formula>
    </cfRule>
    <cfRule type="cellIs" dxfId="5263" priority="7033" operator="equal">
      <formula>"CUMPLE CON LA EXPERIENCIA REQUERIDA"</formula>
    </cfRule>
  </conditionalFormatting>
  <conditionalFormatting sqref="T57">
    <cfRule type="cellIs" dxfId="5262" priority="7023" operator="equal">
      <formula>"NO"</formula>
    </cfRule>
    <cfRule type="cellIs" dxfId="5261" priority="7024" operator="equal">
      <formula>"SI"</formula>
    </cfRule>
  </conditionalFormatting>
  <conditionalFormatting sqref="S60">
    <cfRule type="cellIs" dxfId="5260" priority="7007" operator="greaterThan">
      <formula>0</formula>
    </cfRule>
    <cfRule type="top10" dxfId="5259" priority="7008" rank="10"/>
  </conditionalFormatting>
  <conditionalFormatting sqref="S63">
    <cfRule type="cellIs" dxfId="5258" priority="6991" operator="greaterThan">
      <formula>0</formula>
    </cfRule>
    <cfRule type="top10" dxfId="5257" priority="6992" rank="10"/>
  </conditionalFormatting>
  <conditionalFormatting sqref="S66">
    <cfRule type="cellIs" dxfId="5256" priority="6969" operator="greaterThan">
      <formula>0</formula>
    </cfRule>
    <cfRule type="top10" dxfId="5255" priority="6970" rank="10"/>
  </conditionalFormatting>
  <conditionalFormatting sqref="S69">
    <cfRule type="cellIs" dxfId="5254" priority="6953" operator="greaterThan">
      <formula>0</formula>
    </cfRule>
    <cfRule type="top10" dxfId="5253" priority="6954" rank="10"/>
  </conditionalFormatting>
  <conditionalFormatting sqref="S72">
    <cfRule type="expression" dxfId="5252" priority="6927">
      <formula>$S$28&gt;0</formula>
    </cfRule>
    <cfRule type="cellIs" dxfId="5251" priority="6928" operator="equal">
      <formula>0</formula>
    </cfRule>
  </conditionalFormatting>
  <conditionalFormatting sqref="S73">
    <cfRule type="expression" dxfId="5250" priority="6925">
      <formula>$S$28&gt;0</formula>
    </cfRule>
    <cfRule type="cellIs" dxfId="5249" priority="6926" operator="equal">
      <formula>0</formula>
    </cfRule>
  </conditionalFormatting>
  <conditionalFormatting sqref="S79">
    <cfRule type="cellIs" dxfId="5248" priority="6853" operator="greaterThan">
      <formula>0</formula>
    </cfRule>
    <cfRule type="top10" dxfId="5247" priority="6854" rank="10"/>
  </conditionalFormatting>
  <conditionalFormatting sqref="T94">
    <cfRule type="cellIs" dxfId="5246" priority="6851" operator="equal">
      <formula>"NO CUMPLE"</formula>
    </cfRule>
    <cfRule type="cellIs" dxfId="5245" priority="6852" operator="equal">
      <formula>"CUMPLE"</formula>
    </cfRule>
  </conditionalFormatting>
  <conditionalFormatting sqref="B94">
    <cfRule type="cellIs" dxfId="5244" priority="6849" operator="equal">
      <formula>"NO CUMPLE CON LA EXPERIENCIA REQUERIDA"</formula>
    </cfRule>
    <cfRule type="cellIs" dxfId="5243" priority="6850" operator="equal">
      <formula>"CUMPLE CON LA EXPERIENCIA REQUERIDA"</formula>
    </cfRule>
  </conditionalFormatting>
  <conditionalFormatting sqref="H79 H82 H85 H88 H91">
    <cfRule type="notContainsBlanks" dxfId="5242" priority="6848">
      <formula>LEN(TRIM(H79))&gt;0</formula>
    </cfRule>
  </conditionalFormatting>
  <conditionalFormatting sqref="G79">
    <cfRule type="notContainsBlanks" dxfId="5241" priority="6847">
      <formula>LEN(TRIM(G79))&gt;0</formula>
    </cfRule>
  </conditionalFormatting>
  <conditionalFormatting sqref="F79">
    <cfRule type="notContainsBlanks" dxfId="5240" priority="6846">
      <formula>LEN(TRIM(F79))&gt;0</formula>
    </cfRule>
  </conditionalFormatting>
  <conditionalFormatting sqref="E79">
    <cfRule type="notContainsBlanks" dxfId="5239" priority="6845">
      <formula>LEN(TRIM(E79))&gt;0</formula>
    </cfRule>
  </conditionalFormatting>
  <conditionalFormatting sqref="D79">
    <cfRule type="notContainsBlanks" dxfId="5238" priority="6844">
      <formula>LEN(TRIM(D79))&gt;0</formula>
    </cfRule>
  </conditionalFormatting>
  <conditionalFormatting sqref="C79">
    <cfRule type="notContainsBlanks" dxfId="5237" priority="6843">
      <formula>LEN(TRIM(C79))&gt;0</formula>
    </cfRule>
  </conditionalFormatting>
  <conditionalFormatting sqref="I79">
    <cfRule type="notContainsBlanks" dxfId="5236" priority="6842">
      <formula>LEN(TRIM(I79))&gt;0</formula>
    </cfRule>
  </conditionalFormatting>
  <conditionalFormatting sqref="T79">
    <cfRule type="cellIs" dxfId="5235" priority="6840" operator="equal">
      <formula>"NO"</formula>
    </cfRule>
    <cfRule type="cellIs" dxfId="5234" priority="6841" operator="equal">
      <formula>"SI"</formula>
    </cfRule>
  </conditionalFormatting>
  <conditionalFormatting sqref="S82">
    <cfRule type="cellIs" dxfId="5233" priority="6824" operator="greaterThan">
      <formula>0</formula>
    </cfRule>
    <cfRule type="top10" dxfId="5232" priority="6825" rank="10"/>
  </conditionalFormatting>
  <conditionalFormatting sqref="S85">
    <cfRule type="cellIs" dxfId="5231" priority="6808" operator="greaterThan">
      <formula>0</formula>
    </cfRule>
    <cfRule type="top10" dxfId="5230" priority="6809" rank="10"/>
  </conditionalFormatting>
  <conditionalFormatting sqref="G85">
    <cfRule type="notContainsBlanks" dxfId="5229" priority="6807">
      <formula>LEN(TRIM(G85))&gt;0</formula>
    </cfRule>
  </conditionalFormatting>
  <conditionalFormatting sqref="F85">
    <cfRule type="notContainsBlanks" dxfId="5228" priority="6806">
      <formula>LEN(TRIM(F85))&gt;0</formula>
    </cfRule>
  </conditionalFormatting>
  <conditionalFormatting sqref="E85">
    <cfRule type="notContainsBlanks" dxfId="5227" priority="6805">
      <formula>LEN(TRIM(E85))&gt;0</formula>
    </cfRule>
  </conditionalFormatting>
  <conditionalFormatting sqref="D85">
    <cfRule type="notContainsBlanks" dxfId="5226" priority="6804">
      <formula>LEN(TRIM(D85))&gt;0</formula>
    </cfRule>
  </conditionalFormatting>
  <conditionalFormatting sqref="C85">
    <cfRule type="notContainsBlanks" dxfId="5225" priority="6803">
      <formula>LEN(TRIM(C85))&gt;0</formula>
    </cfRule>
  </conditionalFormatting>
  <conditionalFormatting sqref="I85">
    <cfRule type="notContainsBlanks" dxfId="5224" priority="6802">
      <formula>LEN(TRIM(I85))&gt;0</formula>
    </cfRule>
  </conditionalFormatting>
  <conditionalFormatting sqref="S88">
    <cfRule type="cellIs" dxfId="5223" priority="6786" operator="greaterThan">
      <formula>0</formula>
    </cfRule>
    <cfRule type="top10" dxfId="5222" priority="6787" rank="10"/>
  </conditionalFormatting>
  <conditionalFormatting sqref="S91">
    <cfRule type="cellIs" dxfId="5221" priority="6770" operator="greaterThan">
      <formula>0</formula>
    </cfRule>
    <cfRule type="top10" dxfId="5220" priority="6771" rank="10"/>
  </conditionalFormatting>
  <conditionalFormatting sqref="G91">
    <cfRule type="notContainsBlanks" dxfId="5219" priority="6769">
      <formula>LEN(TRIM(G91))&gt;0</formula>
    </cfRule>
  </conditionalFormatting>
  <conditionalFormatting sqref="F91">
    <cfRule type="notContainsBlanks" dxfId="5218" priority="6768">
      <formula>LEN(TRIM(F91))&gt;0</formula>
    </cfRule>
  </conditionalFormatting>
  <conditionalFormatting sqref="E91">
    <cfRule type="notContainsBlanks" dxfId="5217" priority="6767">
      <formula>LEN(TRIM(E91))&gt;0</formula>
    </cfRule>
  </conditionalFormatting>
  <conditionalFormatting sqref="D91">
    <cfRule type="notContainsBlanks" dxfId="5216" priority="6766">
      <formula>LEN(TRIM(D91))&gt;0</formula>
    </cfRule>
  </conditionalFormatting>
  <conditionalFormatting sqref="C91">
    <cfRule type="notContainsBlanks" dxfId="5215" priority="6765">
      <formula>LEN(TRIM(C91))&gt;0</formula>
    </cfRule>
  </conditionalFormatting>
  <conditionalFormatting sqref="I91">
    <cfRule type="notContainsBlanks" dxfId="5214" priority="6764">
      <formula>LEN(TRIM(I91))&gt;0</formula>
    </cfRule>
  </conditionalFormatting>
  <conditionalFormatting sqref="G82">
    <cfRule type="notContainsBlanks" dxfId="5213" priority="6757">
      <formula>LEN(TRIM(G82))&gt;0</formula>
    </cfRule>
  </conditionalFormatting>
  <conditionalFormatting sqref="F82">
    <cfRule type="notContainsBlanks" dxfId="5212" priority="6756">
      <formula>LEN(TRIM(F82))&gt;0</formula>
    </cfRule>
  </conditionalFormatting>
  <conditionalFormatting sqref="E82">
    <cfRule type="notContainsBlanks" dxfId="5211" priority="6755">
      <formula>LEN(TRIM(E82))&gt;0</formula>
    </cfRule>
  </conditionalFormatting>
  <conditionalFormatting sqref="D82">
    <cfRule type="notContainsBlanks" dxfId="5210" priority="6754">
      <formula>LEN(TRIM(D82))&gt;0</formula>
    </cfRule>
  </conditionalFormatting>
  <conditionalFormatting sqref="C82">
    <cfRule type="notContainsBlanks" dxfId="5209" priority="6753">
      <formula>LEN(TRIM(C82))&gt;0</formula>
    </cfRule>
  </conditionalFormatting>
  <conditionalFormatting sqref="G88">
    <cfRule type="notContainsBlanks" dxfId="5208" priority="6752">
      <formula>LEN(TRIM(G88))&gt;0</formula>
    </cfRule>
  </conditionalFormatting>
  <conditionalFormatting sqref="F88">
    <cfRule type="notContainsBlanks" dxfId="5207" priority="6751">
      <formula>LEN(TRIM(F88))&gt;0</formula>
    </cfRule>
  </conditionalFormatting>
  <conditionalFormatting sqref="E88">
    <cfRule type="notContainsBlanks" dxfId="5206" priority="6750">
      <formula>LEN(TRIM(E88))&gt;0</formula>
    </cfRule>
  </conditionalFormatting>
  <conditionalFormatting sqref="D88">
    <cfRule type="notContainsBlanks" dxfId="5205" priority="6749">
      <formula>LEN(TRIM(D88))&gt;0</formula>
    </cfRule>
  </conditionalFormatting>
  <conditionalFormatting sqref="C88">
    <cfRule type="notContainsBlanks" dxfId="5204" priority="6748">
      <formula>LEN(TRIM(C88))&gt;0</formula>
    </cfRule>
  </conditionalFormatting>
  <conditionalFormatting sqref="I82">
    <cfRule type="notContainsBlanks" dxfId="5203" priority="6747">
      <formula>LEN(TRIM(I82))&gt;0</formula>
    </cfRule>
  </conditionalFormatting>
  <conditionalFormatting sqref="I88">
    <cfRule type="notContainsBlanks" dxfId="5202" priority="6746">
      <formula>LEN(TRIM(I88))&gt;0</formula>
    </cfRule>
  </conditionalFormatting>
  <conditionalFormatting sqref="S94">
    <cfRule type="expression" dxfId="5201" priority="6744">
      <formula>$S$28&gt;0</formula>
    </cfRule>
    <cfRule type="cellIs" dxfId="5200" priority="6745" operator="equal">
      <formula>0</formula>
    </cfRule>
  </conditionalFormatting>
  <conditionalFormatting sqref="S95">
    <cfRule type="expression" dxfId="5199" priority="6742">
      <formula>$S$28&gt;0</formula>
    </cfRule>
    <cfRule type="cellIs" dxfId="5198" priority="6743" operator="equal">
      <formula>0</formula>
    </cfRule>
  </conditionalFormatting>
  <conditionalFormatting sqref="S101">
    <cfRule type="cellIs" dxfId="5197" priority="6670" operator="greaterThan">
      <formula>0</formula>
    </cfRule>
    <cfRule type="top10" dxfId="5196" priority="6671" rank="10"/>
  </conditionalFormatting>
  <conditionalFormatting sqref="B116">
    <cfRule type="cellIs" dxfId="5195" priority="6666" operator="equal">
      <formula>"NO CUMPLE CON LA EXPERIENCIA REQUERIDA"</formula>
    </cfRule>
    <cfRule type="cellIs" dxfId="5194" priority="6667" operator="equal">
      <formula>"CUMPLE CON LA EXPERIENCIA REQUERIDA"</formula>
    </cfRule>
  </conditionalFormatting>
  <conditionalFormatting sqref="H101 H110 H113">
    <cfRule type="notContainsBlanks" dxfId="5193" priority="6665">
      <formula>LEN(TRIM(H101))&gt;0</formula>
    </cfRule>
  </conditionalFormatting>
  <conditionalFormatting sqref="G101">
    <cfRule type="notContainsBlanks" dxfId="5192" priority="6664">
      <formula>LEN(TRIM(G101))&gt;0</formula>
    </cfRule>
  </conditionalFormatting>
  <conditionalFormatting sqref="F101">
    <cfRule type="notContainsBlanks" dxfId="5191" priority="6663">
      <formula>LEN(TRIM(F101))&gt;0</formula>
    </cfRule>
  </conditionalFormatting>
  <conditionalFormatting sqref="E101">
    <cfRule type="notContainsBlanks" dxfId="5190" priority="6662">
      <formula>LEN(TRIM(E101))&gt;0</formula>
    </cfRule>
  </conditionalFormatting>
  <conditionalFormatting sqref="D101">
    <cfRule type="notContainsBlanks" dxfId="5189" priority="6661">
      <formula>LEN(TRIM(D101))&gt;0</formula>
    </cfRule>
  </conditionalFormatting>
  <conditionalFormatting sqref="C101">
    <cfRule type="notContainsBlanks" dxfId="5188" priority="6660">
      <formula>LEN(TRIM(C101))&gt;0</formula>
    </cfRule>
  </conditionalFormatting>
  <conditionalFormatting sqref="I101">
    <cfRule type="notContainsBlanks" dxfId="5187" priority="6659">
      <formula>LEN(TRIM(I101))&gt;0</formula>
    </cfRule>
  </conditionalFormatting>
  <conditionalFormatting sqref="S104">
    <cfRule type="cellIs" dxfId="5186" priority="6641" operator="greaterThan">
      <formula>0</formula>
    </cfRule>
    <cfRule type="top10" dxfId="5185" priority="6642" rank="10"/>
  </conditionalFormatting>
  <conditionalFormatting sqref="S107">
    <cfRule type="cellIs" dxfId="5184" priority="6625" operator="greaterThan">
      <formula>0</formula>
    </cfRule>
    <cfRule type="top10" dxfId="5183" priority="6626" rank="10"/>
  </conditionalFormatting>
  <conditionalFormatting sqref="G107">
    <cfRule type="notContainsBlanks" dxfId="5182" priority="6624">
      <formula>LEN(TRIM(G107))&gt;0</formula>
    </cfRule>
  </conditionalFormatting>
  <conditionalFormatting sqref="F107">
    <cfRule type="notContainsBlanks" dxfId="5181" priority="6623">
      <formula>LEN(TRIM(F107))&gt;0</formula>
    </cfRule>
  </conditionalFormatting>
  <conditionalFormatting sqref="E107">
    <cfRule type="notContainsBlanks" dxfId="5180" priority="6622">
      <formula>LEN(TRIM(E107))&gt;0</formula>
    </cfRule>
  </conditionalFormatting>
  <conditionalFormatting sqref="D107">
    <cfRule type="notContainsBlanks" dxfId="5179" priority="6621">
      <formula>LEN(TRIM(D107))&gt;0</formula>
    </cfRule>
  </conditionalFormatting>
  <conditionalFormatting sqref="C107">
    <cfRule type="notContainsBlanks" dxfId="5178" priority="6620">
      <formula>LEN(TRIM(C107))&gt;0</formula>
    </cfRule>
  </conditionalFormatting>
  <conditionalFormatting sqref="S110">
    <cfRule type="cellIs" dxfId="5177" priority="6603" operator="greaterThan">
      <formula>0</formula>
    </cfRule>
    <cfRule type="top10" dxfId="5176" priority="6604" rank="10"/>
  </conditionalFormatting>
  <conditionalFormatting sqref="S113">
    <cfRule type="cellIs" dxfId="5175" priority="6587" operator="greaterThan">
      <formula>0</formula>
    </cfRule>
    <cfRule type="top10" dxfId="5174" priority="6588" rank="10"/>
  </conditionalFormatting>
  <conditionalFormatting sqref="G113">
    <cfRule type="notContainsBlanks" dxfId="5173" priority="6586">
      <formula>LEN(TRIM(G113))&gt;0</formula>
    </cfRule>
  </conditionalFormatting>
  <conditionalFormatting sqref="F113">
    <cfRule type="notContainsBlanks" dxfId="5172" priority="6585">
      <formula>LEN(TRIM(F113))&gt;0</formula>
    </cfRule>
  </conditionalFormatting>
  <conditionalFormatting sqref="E113">
    <cfRule type="notContainsBlanks" dxfId="5171" priority="6584">
      <formula>LEN(TRIM(E113))&gt;0</formula>
    </cfRule>
  </conditionalFormatting>
  <conditionalFormatting sqref="D113">
    <cfRule type="notContainsBlanks" dxfId="5170" priority="6583">
      <formula>LEN(TRIM(D113))&gt;0</formula>
    </cfRule>
  </conditionalFormatting>
  <conditionalFormatting sqref="C113">
    <cfRule type="notContainsBlanks" dxfId="5169" priority="6582">
      <formula>LEN(TRIM(C113))&gt;0</formula>
    </cfRule>
  </conditionalFormatting>
  <conditionalFormatting sqref="I113">
    <cfRule type="notContainsBlanks" dxfId="5168" priority="6581">
      <formula>LEN(TRIM(I113))&gt;0</formula>
    </cfRule>
  </conditionalFormatting>
  <conditionalFormatting sqref="G104">
    <cfRule type="notContainsBlanks" dxfId="5167" priority="6574">
      <formula>LEN(TRIM(G104))&gt;0</formula>
    </cfRule>
  </conditionalFormatting>
  <conditionalFormatting sqref="F104">
    <cfRule type="notContainsBlanks" dxfId="5166" priority="6573">
      <formula>LEN(TRIM(F104))&gt;0</formula>
    </cfRule>
  </conditionalFormatting>
  <conditionalFormatting sqref="E104">
    <cfRule type="notContainsBlanks" dxfId="5165" priority="6572">
      <formula>LEN(TRIM(E104))&gt;0</formula>
    </cfRule>
  </conditionalFormatting>
  <conditionalFormatting sqref="D104">
    <cfRule type="notContainsBlanks" dxfId="5164" priority="6571">
      <formula>LEN(TRIM(D104))&gt;0</formula>
    </cfRule>
  </conditionalFormatting>
  <conditionalFormatting sqref="C104">
    <cfRule type="notContainsBlanks" dxfId="5163" priority="6570">
      <formula>LEN(TRIM(C104))&gt;0</formula>
    </cfRule>
  </conditionalFormatting>
  <conditionalFormatting sqref="G110">
    <cfRule type="notContainsBlanks" dxfId="5162" priority="6569">
      <formula>LEN(TRIM(G110))&gt;0</formula>
    </cfRule>
  </conditionalFormatting>
  <conditionalFormatting sqref="F110">
    <cfRule type="notContainsBlanks" dxfId="5161" priority="6568">
      <formula>LEN(TRIM(F110))&gt;0</formula>
    </cfRule>
  </conditionalFormatting>
  <conditionalFormatting sqref="E110">
    <cfRule type="notContainsBlanks" dxfId="5160" priority="6567">
      <formula>LEN(TRIM(E110))&gt;0</formula>
    </cfRule>
  </conditionalFormatting>
  <conditionalFormatting sqref="D110">
    <cfRule type="notContainsBlanks" dxfId="5159" priority="6566">
      <formula>LEN(TRIM(D110))&gt;0</formula>
    </cfRule>
  </conditionalFormatting>
  <conditionalFormatting sqref="C110">
    <cfRule type="notContainsBlanks" dxfId="5158" priority="6565">
      <formula>LEN(TRIM(C110))&gt;0</formula>
    </cfRule>
  </conditionalFormatting>
  <conditionalFormatting sqref="I110">
    <cfRule type="notContainsBlanks" dxfId="5157" priority="6563">
      <formula>LEN(TRIM(I110))&gt;0</formula>
    </cfRule>
  </conditionalFormatting>
  <conditionalFormatting sqref="S116">
    <cfRule type="expression" dxfId="5156" priority="6561">
      <formula>$S$28&gt;0</formula>
    </cfRule>
    <cfRule type="cellIs" dxfId="5155" priority="6562" operator="equal">
      <formula>0</formula>
    </cfRule>
  </conditionalFormatting>
  <conditionalFormatting sqref="S117">
    <cfRule type="expression" dxfId="5154" priority="6559">
      <formula>$S$28&gt;0</formula>
    </cfRule>
    <cfRule type="cellIs" dxfId="5153" priority="6560" operator="equal">
      <formula>0</formula>
    </cfRule>
  </conditionalFormatting>
  <conditionalFormatting sqref="S123">
    <cfRule type="cellIs" dxfId="5152" priority="6487" operator="greaterThan">
      <formula>0</formula>
    </cfRule>
    <cfRule type="top10" dxfId="5151" priority="6488" rank="10"/>
  </conditionalFormatting>
  <conditionalFormatting sqref="B138">
    <cfRule type="cellIs" dxfId="5150" priority="6483" operator="equal">
      <formula>"NO CUMPLE CON LA EXPERIENCIA REQUERIDA"</formula>
    </cfRule>
    <cfRule type="cellIs" dxfId="5149" priority="6484" operator="equal">
      <formula>"CUMPLE CON LA EXPERIENCIA REQUERIDA"</formula>
    </cfRule>
  </conditionalFormatting>
  <conditionalFormatting sqref="H123 H132 H135">
    <cfRule type="notContainsBlanks" dxfId="5148" priority="6482">
      <formula>LEN(TRIM(H123))&gt;0</formula>
    </cfRule>
  </conditionalFormatting>
  <conditionalFormatting sqref="G123">
    <cfRule type="notContainsBlanks" dxfId="5147" priority="6481">
      <formula>LEN(TRIM(G123))&gt;0</formula>
    </cfRule>
  </conditionalFormatting>
  <conditionalFormatting sqref="F123">
    <cfRule type="notContainsBlanks" dxfId="5146" priority="6480">
      <formula>LEN(TRIM(F123))&gt;0</formula>
    </cfRule>
  </conditionalFormatting>
  <conditionalFormatting sqref="E123">
    <cfRule type="notContainsBlanks" dxfId="5145" priority="6479">
      <formula>LEN(TRIM(E123))&gt;0</formula>
    </cfRule>
  </conditionalFormatting>
  <conditionalFormatting sqref="D123">
    <cfRule type="notContainsBlanks" dxfId="5144" priority="6478">
      <formula>LEN(TRIM(D123))&gt;0</formula>
    </cfRule>
  </conditionalFormatting>
  <conditionalFormatting sqref="C123">
    <cfRule type="notContainsBlanks" dxfId="5143" priority="6477">
      <formula>LEN(TRIM(C123))&gt;0</formula>
    </cfRule>
  </conditionalFormatting>
  <conditionalFormatting sqref="I123">
    <cfRule type="notContainsBlanks" dxfId="5142" priority="6476">
      <formula>LEN(TRIM(I123))&gt;0</formula>
    </cfRule>
  </conditionalFormatting>
  <conditionalFormatting sqref="S126">
    <cfRule type="cellIs" dxfId="5141" priority="6458" operator="greaterThan">
      <formula>0</formula>
    </cfRule>
    <cfRule type="top10" dxfId="5140" priority="6459" rank="10"/>
  </conditionalFormatting>
  <conditionalFormatting sqref="S129">
    <cfRule type="cellIs" dxfId="5139" priority="6442" operator="greaterThan">
      <formula>0</formula>
    </cfRule>
    <cfRule type="top10" dxfId="5138" priority="6443" rank="10"/>
  </conditionalFormatting>
  <conditionalFormatting sqref="G129">
    <cfRule type="notContainsBlanks" dxfId="5137" priority="6441">
      <formula>LEN(TRIM(G129))&gt;0</formula>
    </cfRule>
  </conditionalFormatting>
  <conditionalFormatting sqref="F129">
    <cfRule type="notContainsBlanks" dxfId="5136" priority="6440">
      <formula>LEN(TRIM(F129))&gt;0</formula>
    </cfRule>
  </conditionalFormatting>
  <conditionalFormatting sqref="E129">
    <cfRule type="notContainsBlanks" dxfId="5135" priority="6439">
      <formula>LEN(TRIM(E129))&gt;0</formula>
    </cfRule>
  </conditionalFormatting>
  <conditionalFormatting sqref="D129">
    <cfRule type="notContainsBlanks" dxfId="5134" priority="6438">
      <formula>LEN(TRIM(D129))&gt;0</formula>
    </cfRule>
  </conditionalFormatting>
  <conditionalFormatting sqref="C129">
    <cfRule type="notContainsBlanks" dxfId="5133" priority="6437">
      <formula>LEN(TRIM(C129))&gt;0</formula>
    </cfRule>
  </conditionalFormatting>
  <conditionalFormatting sqref="S132">
    <cfRule type="cellIs" dxfId="5132" priority="6420" operator="greaterThan">
      <formula>0</formula>
    </cfRule>
    <cfRule type="top10" dxfId="5131" priority="6421" rank="10"/>
  </conditionalFormatting>
  <conditionalFormatting sqref="S135">
    <cfRule type="cellIs" dxfId="5130" priority="6404" operator="greaterThan">
      <formula>0</formula>
    </cfRule>
    <cfRule type="top10" dxfId="5129" priority="6405" rank="10"/>
  </conditionalFormatting>
  <conditionalFormatting sqref="G135">
    <cfRule type="notContainsBlanks" dxfId="5128" priority="6403">
      <formula>LEN(TRIM(G135))&gt;0</formula>
    </cfRule>
  </conditionalFormatting>
  <conditionalFormatting sqref="F135">
    <cfRule type="notContainsBlanks" dxfId="5127" priority="6402">
      <formula>LEN(TRIM(F135))&gt;0</formula>
    </cfRule>
  </conditionalFormatting>
  <conditionalFormatting sqref="E135">
    <cfRule type="notContainsBlanks" dxfId="5126" priority="6401">
      <formula>LEN(TRIM(E135))&gt;0</formula>
    </cfRule>
  </conditionalFormatting>
  <conditionalFormatting sqref="D135">
    <cfRule type="notContainsBlanks" dxfId="5125" priority="6400">
      <formula>LEN(TRIM(D135))&gt;0</formula>
    </cfRule>
  </conditionalFormatting>
  <conditionalFormatting sqref="C135">
    <cfRule type="notContainsBlanks" dxfId="5124" priority="6399">
      <formula>LEN(TRIM(C135))&gt;0</formula>
    </cfRule>
  </conditionalFormatting>
  <conditionalFormatting sqref="I135">
    <cfRule type="notContainsBlanks" dxfId="5123" priority="6398">
      <formula>LEN(TRIM(I135))&gt;0</formula>
    </cfRule>
  </conditionalFormatting>
  <conditionalFormatting sqref="G126">
    <cfRule type="notContainsBlanks" dxfId="5122" priority="6391">
      <formula>LEN(TRIM(G126))&gt;0</formula>
    </cfRule>
  </conditionalFormatting>
  <conditionalFormatting sqref="F126">
    <cfRule type="notContainsBlanks" dxfId="5121" priority="6390">
      <formula>LEN(TRIM(F126))&gt;0</formula>
    </cfRule>
  </conditionalFormatting>
  <conditionalFormatting sqref="E126">
    <cfRule type="notContainsBlanks" dxfId="5120" priority="6389">
      <formula>LEN(TRIM(E126))&gt;0</formula>
    </cfRule>
  </conditionalFormatting>
  <conditionalFormatting sqref="D126">
    <cfRule type="notContainsBlanks" dxfId="5119" priority="6388">
      <formula>LEN(TRIM(D126))&gt;0</formula>
    </cfRule>
  </conditionalFormatting>
  <conditionalFormatting sqref="C126">
    <cfRule type="notContainsBlanks" dxfId="5118" priority="6387">
      <formula>LEN(TRIM(C126))&gt;0</formula>
    </cfRule>
  </conditionalFormatting>
  <conditionalFormatting sqref="G132">
    <cfRule type="notContainsBlanks" dxfId="5117" priority="6386">
      <formula>LEN(TRIM(G132))&gt;0</formula>
    </cfRule>
  </conditionalFormatting>
  <conditionalFormatting sqref="F132">
    <cfRule type="notContainsBlanks" dxfId="5116" priority="6385">
      <formula>LEN(TRIM(F132))&gt;0</formula>
    </cfRule>
  </conditionalFormatting>
  <conditionalFormatting sqref="E132">
    <cfRule type="notContainsBlanks" dxfId="5115" priority="6384">
      <formula>LEN(TRIM(E132))&gt;0</formula>
    </cfRule>
  </conditionalFormatting>
  <conditionalFormatting sqref="D132">
    <cfRule type="notContainsBlanks" dxfId="5114" priority="6383">
      <formula>LEN(TRIM(D132))&gt;0</formula>
    </cfRule>
  </conditionalFormatting>
  <conditionalFormatting sqref="C132">
    <cfRule type="notContainsBlanks" dxfId="5113" priority="6382">
      <formula>LEN(TRIM(C132))&gt;0</formula>
    </cfRule>
  </conditionalFormatting>
  <conditionalFormatting sqref="I132">
    <cfRule type="notContainsBlanks" dxfId="5112" priority="6380">
      <formula>LEN(TRIM(I132))&gt;0</formula>
    </cfRule>
  </conditionalFormatting>
  <conditionalFormatting sqref="S138">
    <cfRule type="expression" dxfId="5111" priority="6378">
      <formula>$S$28&gt;0</formula>
    </cfRule>
    <cfRule type="cellIs" dxfId="5110" priority="6379" operator="equal">
      <formula>0</formula>
    </cfRule>
  </conditionalFormatting>
  <conditionalFormatting sqref="S139">
    <cfRule type="expression" dxfId="5109" priority="6376">
      <formula>$S$28&gt;0</formula>
    </cfRule>
    <cfRule type="cellIs" dxfId="5108" priority="6377" operator="equal">
      <formula>0</formula>
    </cfRule>
  </conditionalFormatting>
  <conditionalFormatting sqref="S145">
    <cfRule type="cellIs" dxfId="5107" priority="6304" operator="greaterThan">
      <formula>0</formula>
    </cfRule>
    <cfRule type="top10" dxfId="5106" priority="6305" rank="10"/>
  </conditionalFormatting>
  <conditionalFormatting sqref="B160">
    <cfRule type="cellIs" dxfId="5105" priority="6300" operator="equal">
      <formula>"NO CUMPLE CON LA EXPERIENCIA REQUERIDA"</formula>
    </cfRule>
    <cfRule type="cellIs" dxfId="5104" priority="6301" operator="equal">
      <formula>"CUMPLE CON LA EXPERIENCIA REQUERIDA"</formula>
    </cfRule>
  </conditionalFormatting>
  <conditionalFormatting sqref="H145 H148 H151 H154 H157">
    <cfRule type="notContainsBlanks" dxfId="5103" priority="6299">
      <formula>LEN(TRIM(H145))&gt;0</formula>
    </cfRule>
  </conditionalFormatting>
  <conditionalFormatting sqref="G145">
    <cfRule type="notContainsBlanks" dxfId="5102" priority="6298">
      <formula>LEN(TRIM(G145))&gt;0</formula>
    </cfRule>
  </conditionalFormatting>
  <conditionalFormatting sqref="F145">
    <cfRule type="notContainsBlanks" dxfId="5101" priority="6297">
      <formula>LEN(TRIM(F145))&gt;0</formula>
    </cfRule>
  </conditionalFormatting>
  <conditionalFormatting sqref="E145">
    <cfRule type="notContainsBlanks" dxfId="5100" priority="6296">
      <formula>LEN(TRIM(E145))&gt;0</formula>
    </cfRule>
  </conditionalFormatting>
  <conditionalFormatting sqref="D145">
    <cfRule type="notContainsBlanks" dxfId="5099" priority="6295">
      <formula>LEN(TRIM(D145))&gt;0</formula>
    </cfRule>
  </conditionalFormatting>
  <conditionalFormatting sqref="C145">
    <cfRule type="notContainsBlanks" dxfId="5098" priority="6294">
      <formula>LEN(TRIM(C145))&gt;0</formula>
    </cfRule>
  </conditionalFormatting>
  <conditionalFormatting sqref="I145">
    <cfRule type="notContainsBlanks" dxfId="5097" priority="6293">
      <formula>LEN(TRIM(I145))&gt;0</formula>
    </cfRule>
  </conditionalFormatting>
  <conditionalFormatting sqref="S148">
    <cfRule type="cellIs" dxfId="5096" priority="6275" operator="greaterThan">
      <formula>0</formula>
    </cfRule>
    <cfRule type="top10" dxfId="5095" priority="6276" rank="10"/>
  </conditionalFormatting>
  <conditionalFormatting sqref="S151">
    <cfRule type="cellIs" dxfId="5094" priority="6259" operator="greaterThan">
      <formula>0</formula>
    </cfRule>
    <cfRule type="top10" dxfId="5093" priority="6260" rank="10"/>
  </conditionalFormatting>
  <conditionalFormatting sqref="G151">
    <cfRule type="notContainsBlanks" dxfId="5092" priority="6258">
      <formula>LEN(TRIM(G151))&gt;0</formula>
    </cfRule>
  </conditionalFormatting>
  <conditionalFormatting sqref="F151">
    <cfRule type="notContainsBlanks" dxfId="5091" priority="6257">
      <formula>LEN(TRIM(F151))&gt;0</formula>
    </cfRule>
  </conditionalFormatting>
  <conditionalFormatting sqref="E151">
    <cfRule type="notContainsBlanks" dxfId="5090" priority="6256">
      <formula>LEN(TRIM(E151))&gt;0</formula>
    </cfRule>
  </conditionalFormatting>
  <conditionalFormatting sqref="D151">
    <cfRule type="notContainsBlanks" dxfId="5089" priority="6255">
      <formula>LEN(TRIM(D151))&gt;0</formula>
    </cfRule>
  </conditionalFormatting>
  <conditionalFormatting sqref="C151">
    <cfRule type="notContainsBlanks" dxfId="5088" priority="6254">
      <formula>LEN(TRIM(C151))&gt;0</formula>
    </cfRule>
  </conditionalFormatting>
  <conditionalFormatting sqref="I151">
    <cfRule type="notContainsBlanks" dxfId="5087" priority="6253">
      <formula>LEN(TRIM(I151))&gt;0</formula>
    </cfRule>
  </conditionalFormatting>
  <conditionalFormatting sqref="S154">
    <cfRule type="cellIs" dxfId="5086" priority="6237" operator="greaterThan">
      <formula>0</formula>
    </cfRule>
    <cfRule type="top10" dxfId="5085" priority="6238" rank="10"/>
  </conditionalFormatting>
  <conditionalFormatting sqref="S157">
    <cfRule type="cellIs" dxfId="5084" priority="6221" operator="greaterThan">
      <formula>0</formula>
    </cfRule>
    <cfRule type="top10" dxfId="5083" priority="6222" rank="10"/>
  </conditionalFormatting>
  <conditionalFormatting sqref="G157">
    <cfRule type="notContainsBlanks" dxfId="5082" priority="6220">
      <formula>LEN(TRIM(G157))&gt;0</formula>
    </cfRule>
  </conditionalFormatting>
  <conditionalFormatting sqref="F157">
    <cfRule type="notContainsBlanks" dxfId="5081" priority="6219">
      <formula>LEN(TRIM(F157))&gt;0</formula>
    </cfRule>
  </conditionalFormatting>
  <conditionalFormatting sqref="E157">
    <cfRule type="notContainsBlanks" dxfId="5080" priority="6218">
      <formula>LEN(TRIM(E157))&gt;0</formula>
    </cfRule>
  </conditionalFormatting>
  <conditionalFormatting sqref="D157">
    <cfRule type="notContainsBlanks" dxfId="5079" priority="6217">
      <formula>LEN(TRIM(D157))&gt;0</formula>
    </cfRule>
  </conditionalFormatting>
  <conditionalFormatting sqref="C157">
    <cfRule type="notContainsBlanks" dxfId="5078" priority="6216">
      <formula>LEN(TRIM(C157))&gt;0</formula>
    </cfRule>
  </conditionalFormatting>
  <conditionalFormatting sqref="I157">
    <cfRule type="notContainsBlanks" dxfId="5077" priority="6215">
      <formula>LEN(TRIM(I157))&gt;0</formula>
    </cfRule>
  </conditionalFormatting>
  <conditionalFormatting sqref="G148">
    <cfRule type="notContainsBlanks" dxfId="5076" priority="6208">
      <formula>LEN(TRIM(G148))&gt;0</formula>
    </cfRule>
  </conditionalFormatting>
  <conditionalFormatting sqref="E148">
    <cfRule type="notContainsBlanks" dxfId="5075" priority="6206">
      <formula>LEN(TRIM(E148))&gt;0</formula>
    </cfRule>
  </conditionalFormatting>
  <conditionalFormatting sqref="D148">
    <cfRule type="notContainsBlanks" dxfId="5074" priority="6205">
      <formula>LEN(TRIM(D148))&gt;0</formula>
    </cfRule>
  </conditionalFormatting>
  <conditionalFormatting sqref="C148">
    <cfRule type="notContainsBlanks" dxfId="5073" priority="6204">
      <formula>LEN(TRIM(C148))&gt;0</formula>
    </cfRule>
  </conditionalFormatting>
  <conditionalFormatting sqref="G154">
    <cfRule type="notContainsBlanks" dxfId="5072" priority="6203">
      <formula>LEN(TRIM(G154))&gt;0</formula>
    </cfRule>
  </conditionalFormatting>
  <conditionalFormatting sqref="F154">
    <cfRule type="notContainsBlanks" dxfId="5071" priority="6202">
      <formula>LEN(TRIM(F154))&gt;0</formula>
    </cfRule>
  </conditionalFormatting>
  <conditionalFormatting sqref="E154">
    <cfRule type="notContainsBlanks" dxfId="5070" priority="6201">
      <formula>LEN(TRIM(E154))&gt;0</formula>
    </cfRule>
  </conditionalFormatting>
  <conditionalFormatting sqref="D154">
    <cfRule type="notContainsBlanks" dxfId="5069" priority="6200">
      <formula>LEN(TRIM(D154))&gt;0</formula>
    </cfRule>
  </conditionalFormatting>
  <conditionalFormatting sqref="C154">
    <cfRule type="notContainsBlanks" dxfId="5068" priority="6199">
      <formula>LEN(TRIM(C154))&gt;0</formula>
    </cfRule>
  </conditionalFormatting>
  <conditionalFormatting sqref="I148">
    <cfRule type="notContainsBlanks" dxfId="5067" priority="6198">
      <formula>LEN(TRIM(I148))&gt;0</formula>
    </cfRule>
  </conditionalFormatting>
  <conditionalFormatting sqref="I154">
    <cfRule type="notContainsBlanks" dxfId="5066" priority="6197">
      <formula>LEN(TRIM(I154))&gt;0</formula>
    </cfRule>
  </conditionalFormatting>
  <conditionalFormatting sqref="S160">
    <cfRule type="expression" dxfId="5065" priority="6195">
      <formula>$S$28&gt;0</formula>
    </cfRule>
    <cfRule type="cellIs" dxfId="5064" priority="6196" operator="equal">
      <formula>0</formula>
    </cfRule>
  </conditionalFormatting>
  <conditionalFormatting sqref="S161">
    <cfRule type="expression" dxfId="5063" priority="6193">
      <formula>$S$28&gt;0</formula>
    </cfRule>
    <cfRule type="cellIs" dxfId="5062" priority="6194" operator="equal">
      <formula>0</formula>
    </cfRule>
  </conditionalFormatting>
  <conditionalFormatting sqref="N157">
    <cfRule type="expression" dxfId="5061" priority="6154">
      <formula>N157=" "</formula>
    </cfRule>
    <cfRule type="expression" dxfId="5060" priority="6155">
      <formula>N157="NO PRESENTÓ CERTIFICADO"</formula>
    </cfRule>
    <cfRule type="expression" dxfId="5059" priority="6156">
      <formula>N157="PRESENTÓ CERTIFICADO"</formula>
    </cfRule>
  </conditionalFormatting>
  <conditionalFormatting sqref="O157">
    <cfRule type="cellIs" dxfId="5058" priority="6136" operator="equal">
      <formula>"PENDIENTE POR DESCRIPCIÓN"</formula>
    </cfRule>
    <cfRule type="cellIs" dxfId="5057" priority="6137" operator="equal">
      <formula>"DESCRIPCIÓN INSUFICIENTE"</formula>
    </cfRule>
    <cfRule type="cellIs" dxfId="5056" priority="6138" operator="equal">
      <formula>"NO ESTÁ ACORDE A ITEM 5.2.2 (T.R.)"</formula>
    </cfRule>
    <cfRule type="cellIs" dxfId="5055" priority="6139" operator="equal">
      <formula>"ACORDE A ITEM 5.2.2 (T.R.)"</formula>
    </cfRule>
    <cfRule type="cellIs" dxfId="5054" priority="6146" operator="equal">
      <formula>"PENDIENTE POR DESCRIPCIÓN"</formula>
    </cfRule>
    <cfRule type="cellIs" dxfId="5053" priority="6148" operator="equal">
      <formula>"DESCRIPCIÓN INSUFICIENTE"</formula>
    </cfRule>
    <cfRule type="cellIs" dxfId="5052" priority="6149" operator="equal">
      <formula>"NO ESTÁ ACORDE A ITEM 5.2.1 (T.R.)"</formula>
    </cfRule>
    <cfRule type="cellIs" dxfId="5051" priority="6150" operator="equal">
      <formula>"ACORDE A ITEM 5.2.1 (T.R.)"</formula>
    </cfRule>
  </conditionalFormatting>
  <conditionalFormatting sqref="Q157">
    <cfRule type="containsBlanks" dxfId="5050" priority="6141">
      <formula>LEN(TRIM(Q157))=0</formula>
    </cfRule>
    <cfRule type="cellIs" dxfId="5049" priority="6147" operator="equal">
      <formula>"REQUERIMIENTOS SUBSANADOS"</formula>
    </cfRule>
    <cfRule type="containsText" dxfId="5048" priority="6151" operator="containsText" text="NO SUBSANABLE">
      <formula>NOT(ISERROR(SEARCH("NO SUBSANABLE",Q157)))</formula>
    </cfRule>
    <cfRule type="containsText" dxfId="5047" priority="6152" operator="containsText" text="PENDIENTES POR SUBSANAR">
      <formula>NOT(ISERROR(SEARCH("PENDIENTES POR SUBSANAR",Q157)))</formula>
    </cfRule>
    <cfRule type="containsText" dxfId="5046" priority="6153" operator="containsText" text="SIN OBSERVACIÓN">
      <formula>NOT(ISERROR(SEARCH("SIN OBSERVACIÓN",Q157)))</formula>
    </cfRule>
  </conditionalFormatting>
  <conditionalFormatting sqref="R157">
    <cfRule type="containsBlanks" dxfId="5045" priority="6140">
      <formula>LEN(TRIM(R157))=0</formula>
    </cfRule>
    <cfRule type="cellIs" dxfId="5044" priority="6142" operator="equal">
      <formula>"NO CUMPLEN CON LO SOLICITADO"</formula>
    </cfRule>
    <cfRule type="cellIs" dxfId="5043" priority="6143" operator="equal">
      <formula>"CUMPLEN CON LO SOLICITADO"</formula>
    </cfRule>
    <cfRule type="cellIs" dxfId="5042" priority="6144" operator="equal">
      <formula>"PENDIENTES"</formula>
    </cfRule>
    <cfRule type="cellIs" dxfId="5041" priority="6145" operator="equal">
      <formula>"NINGUNO"</formula>
    </cfRule>
  </conditionalFormatting>
  <conditionalFormatting sqref="P157">
    <cfRule type="expression" dxfId="5040" priority="6131">
      <formula>Q157="NO SUBSANABLE"</formula>
    </cfRule>
    <cfRule type="expression" dxfId="5039" priority="6132">
      <formula>Q157="REQUERIMIENTOS SUBSANADOS"</formula>
    </cfRule>
    <cfRule type="expression" dxfId="5038" priority="6133">
      <formula>Q157="PENDIENTES POR SUBSANAR"</formula>
    </cfRule>
    <cfRule type="expression" dxfId="5037" priority="6134">
      <formula>Q157="SIN OBSERVACIÓN"</formula>
    </cfRule>
    <cfRule type="containsBlanks" dxfId="5036" priority="6135">
      <formula>LEN(TRIM(P157))=0</formula>
    </cfRule>
  </conditionalFormatting>
  <conditionalFormatting sqref="S167">
    <cfRule type="cellIs" dxfId="5035" priority="6121" operator="greaterThan">
      <formula>0</formula>
    </cfRule>
    <cfRule type="top10" dxfId="5034" priority="6122" rank="10"/>
  </conditionalFormatting>
  <conditionalFormatting sqref="B182">
    <cfRule type="cellIs" dxfId="5033" priority="6117" operator="equal">
      <formula>"NO CUMPLE CON LA EXPERIENCIA REQUERIDA"</formula>
    </cfRule>
    <cfRule type="cellIs" dxfId="5032" priority="6118" operator="equal">
      <formula>"CUMPLE CON LA EXPERIENCIA REQUERIDA"</formula>
    </cfRule>
  </conditionalFormatting>
  <conditionalFormatting sqref="H167 H176 H179">
    <cfRule type="notContainsBlanks" dxfId="5031" priority="6116">
      <formula>LEN(TRIM(H167))&gt;0</formula>
    </cfRule>
  </conditionalFormatting>
  <conditionalFormatting sqref="G167">
    <cfRule type="notContainsBlanks" dxfId="5030" priority="6115">
      <formula>LEN(TRIM(G167))&gt;0</formula>
    </cfRule>
  </conditionalFormatting>
  <conditionalFormatting sqref="F167">
    <cfRule type="notContainsBlanks" dxfId="5029" priority="6114">
      <formula>LEN(TRIM(F167))&gt;0</formula>
    </cfRule>
  </conditionalFormatting>
  <conditionalFormatting sqref="E167">
    <cfRule type="notContainsBlanks" dxfId="5028" priority="6113">
      <formula>LEN(TRIM(E167))&gt;0</formula>
    </cfRule>
  </conditionalFormatting>
  <conditionalFormatting sqref="D167">
    <cfRule type="notContainsBlanks" dxfId="5027" priority="6112">
      <formula>LEN(TRIM(D167))&gt;0</formula>
    </cfRule>
  </conditionalFormatting>
  <conditionalFormatting sqref="C167">
    <cfRule type="notContainsBlanks" dxfId="5026" priority="6111">
      <formula>LEN(TRIM(C167))&gt;0</formula>
    </cfRule>
  </conditionalFormatting>
  <conditionalFormatting sqref="I167">
    <cfRule type="notContainsBlanks" dxfId="5025" priority="6110">
      <formula>LEN(TRIM(I167))&gt;0</formula>
    </cfRule>
  </conditionalFormatting>
  <conditionalFormatting sqref="S170">
    <cfRule type="cellIs" dxfId="5024" priority="6092" operator="greaterThan">
      <formula>0</formula>
    </cfRule>
    <cfRule type="top10" dxfId="5023" priority="6093" rank="10"/>
  </conditionalFormatting>
  <conditionalFormatting sqref="S173">
    <cfRule type="cellIs" dxfId="5022" priority="6076" operator="greaterThan">
      <formula>0</formula>
    </cfRule>
    <cfRule type="top10" dxfId="5021" priority="6077" rank="10"/>
  </conditionalFormatting>
  <conditionalFormatting sqref="G173">
    <cfRule type="notContainsBlanks" dxfId="5020" priority="6075">
      <formula>LEN(TRIM(G173))&gt;0</formula>
    </cfRule>
  </conditionalFormatting>
  <conditionalFormatting sqref="F173">
    <cfRule type="notContainsBlanks" dxfId="5019" priority="6074">
      <formula>LEN(TRIM(F173))&gt;0</formula>
    </cfRule>
  </conditionalFormatting>
  <conditionalFormatting sqref="E173">
    <cfRule type="notContainsBlanks" dxfId="5018" priority="6073">
      <formula>LEN(TRIM(E173))&gt;0</formula>
    </cfRule>
  </conditionalFormatting>
  <conditionalFormatting sqref="D173">
    <cfRule type="notContainsBlanks" dxfId="5017" priority="6072">
      <formula>LEN(TRIM(D173))&gt;0</formula>
    </cfRule>
  </conditionalFormatting>
  <conditionalFormatting sqref="C173">
    <cfRule type="notContainsBlanks" dxfId="5016" priority="6071">
      <formula>LEN(TRIM(C173))&gt;0</formula>
    </cfRule>
  </conditionalFormatting>
  <conditionalFormatting sqref="I173">
    <cfRule type="notContainsBlanks" dxfId="5015" priority="6070">
      <formula>LEN(TRIM(I173))&gt;0</formula>
    </cfRule>
  </conditionalFormatting>
  <conditionalFormatting sqref="S176">
    <cfRule type="cellIs" dxfId="5014" priority="6054" operator="greaterThan">
      <formula>0</formula>
    </cfRule>
    <cfRule type="top10" dxfId="5013" priority="6055" rank="10"/>
  </conditionalFormatting>
  <conditionalFormatting sqref="S179">
    <cfRule type="cellIs" dxfId="5012" priority="6038" operator="greaterThan">
      <formula>0</formula>
    </cfRule>
    <cfRule type="top10" dxfId="5011" priority="6039" rank="10"/>
  </conditionalFormatting>
  <conditionalFormatting sqref="G179">
    <cfRule type="notContainsBlanks" dxfId="5010" priority="6037">
      <formula>LEN(TRIM(G179))&gt;0</formula>
    </cfRule>
  </conditionalFormatting>
  <conditionalFormatting sqref="F179">
    <cfRule type="notContainsBlanks" dxfId="5009" priority="6036">
      <formula>LEN(TRIM(F179))&gt;0</formula>
    </cfRule>
  </conditionalFormatting>
  <conditionalFormatting sqref="E179">
    <cfRule type="notContainsBlanks" dxfId="5008" priority="6035">
      <formula>LEN(TRIM(E179))&gt;0</formula>
    </cfRule>
  </conditionalFormatting>
  <conditionalFormatting sqref="D179">
    <cfRule type="notContainsBlanks" dxfId="5007" priority="6034">
      <formula>LEN(TRIM(D179))&gt;0</formula>
    </cfRule>
  </conditionalFormatting>
  <conditionalFormatting sqref="C179">
    <cfRule type="notContainsBlanks" dxfId="5006" priority="6033">
      <formula>LEN(TRIM(C179))&gt;0</formula>
    </cfRule>
  </conditionalFormatting>
  <conditionalFormatting sqref="I179">
    <cfRule type="notContainsBlanks" dxfId="5005" priority="6032">
      <formula>LEN(TRIM(I179))&gt;0</formula>
    </cfRule>
  </conditionalFormatting>
  <conditionalFormatting sqref="G170">
    <cfRule type="notContainsBlanks" dxfId="5004" priority="6025">
      <formula>LEN(TRIM(G170))&gt;0</formula>
    </cfRule>
  </conditionalFormatting>
  <conditionalFormatting sqref="F170">
    <cfRule type="notContainsBlanks" dxfId="5003" priority="6024">
      <formula>LEN(TRIM(F170))&gt;0</formula>
    </cfRule>
  </conditionalFormatting>
  <conditionalFormatting sqref="E170">
    <cfRule type="notContainsBlanks" dxfId="5002" priority="6023">
      <formula>LEN(TRIM(E170))&gt;0</formula>
    </cfRule>
  </conditionalFormatting>
  <conditionalFormatting sqref="D170">
    <cfRule type="notContainsBlanks" dxfId="5001" priority="6022">
      <formula>LEN(TRIM(D170))&gt;0</formula>
    </cfRule>
  </conditionalFormatting>
  <conditionalFormatting sqref="C170">
    <cfRule type="notContainsBlanks" dxfId="5000" priority="6021">
      <formula>LEN(TRIM(C170))&gt;0</formula>
    </cfRule>
  </conditionalFormatting>
  <conditionalFormatting sqref="G176">
    <cfRule type="notContainsBlanks" dxfId="4999" priority="6020">
      <formula>LEN(TRIM(G176))&gt;0</formula>
    </cfRule>
  </conditionalFormatting>
  <conditionalFormatting sqref="F176">
    <cfRule type="notContainsBlanks" dxfId="4998" priority="6019">
      <formula>LEN(TRIM(F176))&gt;0</formula>
    </cfRule>
  </conditionalFormatting>
  <conditionalFormatting sqref="E176">
    <cfRule type="notContainsBlanks" dxfId="4997" priority="6018">
      <formula>LEN(TRIM(E176))&gt;0</formula>
    </cfRule>
  </conditionalFormatting>
  <conditionalFormatting sqref="D176">
    <cfRule type="notContainsBlanks" dxfId="4996" priority="6017">
      <formula>LEN(TRIM(D176))&gt;0</formula>
    </cfRule>
  </conditionalFormatting>
  <conditionalFormatting sqref="C176">
    <cfRule type="notContainsBlanks" dxfId="4995" priority="6016">
      <formula>LEN(TRIM(C176))&gt;0</formula>
    </cfRule>
  </conditionalFormatting>
  <conditionalFormatting sqref="I170">
    <cfRule type="notContainsBlanks" dxfId="4994" priority="6015">
      <formula>LEN(TRIM(I170))&gt;0</formula>
    </cfRule>
  </conditionalFormatting>
  <conditionalFormatting sqref="I176">
    <cfRule type="notContainsBlanks" dxfId="4993" priority="6014">
      <formula>LEN(TRIM(I176))&gt;0</formula>
    </cfRule>
  </conditionalFormatting>
  <conditionalFormatting sqref="S182">
    <cfRule type="expression" dxfId="4992" priority="6012">
      <formula>$S$28&gt;0</formula>
    </cfRule>
    <cfRule type="cellIs" dxfId="4991" priority="6013" operator="equal">
      <formula>0</formula>
    </cfRule>
  </conditionalFormatting>
  <conditionalFormatting sqref="S183">
    <cfRule type="expression" dxfId="4990" priority="6010">
      <formula>$S$28&gt;0</formula>
    </cfRule>
    <cfRule type="cellIs" dxfId="4989" priority="6011" operator="equal">
      <formula>0</formula>
    </cfRule>
  </conditionalFormatting>
  <conditionalFormatting sqref="B204">
    <cfRule type="cellIs" dxfId="4988" priority="5934" operator="equal">
      <formula>"NO CUMPLE CON LA EXPERIENCIA REQUERIDA"</formula>
    </cfRule>
    <cfRule type="cellIs" dxfId="4987" priority="5935" operator="equal">
      <formula>"CUMPLE CON LA EXPERIENCIA REQUERIDA"</formula>
    </cfRule>
  </conditionalFormatting>
  <conditionalFormatting sqref="H189 H192 H195 H198 H201">
    <cfRule type="notContainsBlanks" dxfId="4986" priority="5933">
      <formula>LEN(TRIM(H189))&gt;0</formula>
    </cfRule>
  </conditionalFormatting>
  <conditionalFormatting sqref="G189">
    <cfRule type="notContainsBlanks" dxfId="4985" priority="5932">
      <formula>LEN(TRIM(G189))&gt;0</formula>
    </cfRule>
  </conditionalFormatting>
  <conditionalFormatting sqref="F189">
    <cfRule type="notContainsBlanks" dxfId="4984" priority="5931">
      <formula>LEN(TRIM(F189))&gt;0</formula>
    </cfRule>
  </conditionalFormatting>
  <conditionalFormatting sqref="E189">
    <cfRule type="notContainsBlanks" dxfId="4983" priority="5930">
      <formula>LEN(TRIM(E189))&gt;0</formula>
    </cfRule>
  </conditionalFormatting>
  <conditionalFormatting sqref="D189">
    <cfRule type="notContainsBlanks" dxfId="4982" priority="5929">
      <formula>LEN(TRIM(D189))&gt;0</formula>
    </cfRule>
  </conditionalFormatting>
  <conditionalFormatting sqref="C189">
    <cfRule type="notContainsBlanks" dxfId="4981" priority="5928">
      <formula>LEN(TRIM(C189))&gt;0</formula>
    </cfRule>
  </conditionalFormatting>
  <conditionalFormatting sqref="I189">
    <cfRule type="notContainsBlanks" dxfId="4980" priority="5927">
      <formula>LEN(TRIM(I189))&gt;0</formula>
    </cfRule>
  </conditionalFormatting>
  <conditionalFormatting sqref="S192">
    <cfRule type="cellIs" dxfId="4979" priority="5909" operator="greaterThan">
      <formula>0</formula>
    </cfRule>
    <cfRule type="top10" dxfId="4978" priority="5910" rank="10"/>
  </conditionalFormatting>
  <conditionalFormatting sqref="S195">
    <cfRule type="cellIs" dxfId="4977" priority="5893" operator="greaterThan">
      <formula>0</formula>
    </cfRule>
    <cfRule type="top10" dxfId="4976" priority="5894" rank="10"/>
  </conditionalFormatting>
  <conditionalFormatting sqref="G195">
    <cfRule type="notContainsBlanks" dxfId="4975" priority="5892">
      <formula>LEN(TRIM(G195))&gt;0</formula>
    </cfRule>
  </conditionalFormatting>
  <conditionalFormatting sqref="F195">
    <cfRule type="notContainsBlanks" dxfId="4974" priority="5891">
      <formula>LEN(TRIM(F195))&gt;0</formula>
    </cfRule>
  </conditionalFormatting>
  <conditionalFormatting sqref="E195">
    <cfRule type="notContainsBlanks" dxfId="4973" priority="5890">
      <formula>LEN(TRIM(E195))&gt;0</formula>
    </cfRule>
  </conditionalFormatting>
  <conditionalFormatting sqref="D195">
    <cfRule type="notContainsBlanks" dxfId="4972" priority="5889">
      <formula>LEN(TRIM(D195))&gt;0</formula>
    </cfRule>
  </conditionalFormatting>
  <conditionalFormatting sqref="C195">
    <cfRule type="notContainsBlanks" dxfId="4971" priority="5888">
      <formula>LEN(TRIM(C195))&gt;0</formula>
    </cfRule>
  </conditionalFormatting>
  <conditionalFormatting sqref="I195">
    <cfRule type="notContainsBlanks" dxfId="4970" priority="5887">
      <formula>LEN(TRIM(I195))&gt;0</formula>
    </cfRule>
  </conditionalFormatting>
  <conditionalFormatting sqref="S198">
    <cfRule type="cellIs" dxfId="4969" priority="5871" operator="greaterThan">
      <formula>0</formula>
    </cfRule>
    <cfRule type="top10" dxfId="4968" priority="5872" rank="10"/>
  </conditionalFormatting>
  <conditionalFormatting sqref="S201">
    <cfRule type="cellIs" dxfId="4967" priority="5855" operator="greaterThan">
      <formula>0</formula>
    </cfRule>
    <cfRule type="top10" dxfId="4966" priority="5856" rank="10"/>
  </conditionalFormatting>
  <conditionalFormatting sqref="G201">
    <cfRule type="notContainsBlanks" dxfId="4965" priority="5854">
      <formula>LEN(TRIM(G201))&gt;0</formula>
    </cfRule>
  </conditionalFormatting>
  <conditionalFormatting sqref="F201">
    <cfRule type="notContainsBlanks" dxfId="4964" priority="5853">
      <formula>LEN(TRIM(F201))&gt;0</formula>
    </cfRule>
  </conditionalFormatting>
  <conditionalFormatting sqref="E201">
    <cfRule type="notContainsBlanks" dxfId="4963" priority="5852">
      <formula>LEN(TRIM(E201))&gt;0</formula>
    </cfRule>
  </conditionalFormatting>
  <conditionalFormatting sqref="D201">
    <cfRule type="notContainsBlanks" dxfId="4962" priority="5851">
      <formula>LEN(TRIM(D201))&gt;0</formula>
    </cfRule>
  </conditionalFormatting>
  <conditionalFormatting sqref="C201">
    <cfRule type="notContainsBlanks" dxfId="4961" priority="5850">
      <formula>LEN(TRIM(C201))&gt;0</formula>
    </cfRule>
  </conditionalFormatting>
  <conditionalFormatting sqref="I201">
    <cfRule type="notContainsBlanks" dxfId="4960" priority="5849">
      <formula>LEN(TRIM(I201))&gt;0</formula>
    </cfRule>
  </conditionalFormatting>
  <conditionalFormatting sqref="G192">
    <cfRule type="notContainsBlanks" dxfId="4959" priority="5842">
      <formula>LEN(TRIM(G192))&gt;0</formula>
    </cfRule>
  </conditionalFormatting>
  <conditionalFormatting sqref="F192">
    <cfRule type="notContainsBlanks" dxfId="4958" priority="5841">
      <formula>LEN(TRIM(F192))&gt;0</formula>
    </cfRule>
  </conditionalFormatting>
  <conditionalFormatting sqref="E192">
    <cfRule type="notContainsBlanks" dxfId="4957" priority="5840">
      <formula>LEN(TRIM(E192))&gt;0</formula>
    </cfRule>
  </conditionalFormatting>
  <conditionalFormatting sqref="D192">
    <cfRule type="notContainsBlanks" dxfId="4956" priority="5839">
      <formula>LEN(TRIM(D192))&gt;0</formula>
    </cfRule>
  </conditionalFormatting>
  <conditionalFormatting sqref="C192">
    <cfRule type="notContainsBlanks" dxfId="4955" priority="5838">
      <formula>LEN(TRIM(C192))&gt;0</formula>
    </cfRule>
  </conditionalFormatting>
  <conditionalFormatting sqref="G198">
    <cfRule type="notContainsBlanks" dxfId="4954" priority="5837">
      <formula>LEN(TRIM(G198))&gt;0</formula>
    </cfRule>
  </conditionalFormatting>
  <conditionalFormatting sqref="F198">
    <cfRule type="notContainsBlanks" dxfId="4953" priority="5836">
      <formula>LEN(TRIM(F198))&gt;0</formula>
    </cfRule>
  </conditionalFormatting>
  <conditionalFormatting sqref="E198">
    <cfRule type="notContainsBlanks" dxfId="4952" priority="5835">
      <formula>LEN(TRIM(E198))&gt;0</formula>
    </cfRule>
  </conditionalFormatting>
  <conditionalFormatting sqref="D198">
    <cfRule type="notContainsBlanks" dxfId="4951" priority="5834">
      <formula>LEN(TRIM(D198))&gt;0</formula>
    </cfRule>
  </conditionalFormatting>
  <conditionalFormatting sqref="C198">
    <cfRule type="notContainsBlanks" dxfId="4950" priority="5833">
      <formula>LEN(TRIM(C198))&gt;0</formula>
    </cfRule>
  </conditionalFormatting>
  <conditionalFormatting sqref="I192">
    <cfRule type="notContainsBlanks" dxfId="4949" priority="5832">
      <formula>LEN(TRIM(I192))&gt;0</formula>
    </cfRule>
  </conditionalFormatting>
  <conditionalFormatting sqref="I198">
    <cfRule type="notContainsBlanks" dxfId="4948" priority="5831">
      <formula>LEN(TRIM(I198))&gt;0</formula>
    </cfRule>
  </conditionalFormatting>
  <conditionalFormatting sqref="S204">
    <cfRule type="expression" dxfId="4947" priority="5829">
      <formula>$S$28&gt;0</formula>
    </cfRule>
    <cfRule type="cellIs" dxfId="4946" priority="5830" operator="equal">
      <formula>0</formula>
    </cfRule>
  </conditionalFormatting>
  <conditionalFormatting sqref="S205">
    <cfRule type="expression" dxfId="4945" priority="5827">
      <formula>$S$28&gt;0</formula>
    </cfRule>
    <cfRule type="cellIs" dxfId="4944" priority="5828" operator="equal">
      <formula>0</formula>
    </cfRule>
  </conditionalFormatting>
  <conditionalFormatting sqref="N201">
    <cfRule type="expression" dxfId="4943" priority="5788">
      <formula>N201=" "</formula>
    </cfRule>
    <cfRule type="expression" dxfId="4942" priority="5789">
      <formula>N201="NO PRESENTÓ CERTIFICADO"</formula>
    </cfRule>
    <cfRule type="expression" dxfId="4941" priority="5790">
      <formula>N201="PRESENTÓ CERTIFICADO"</formula>
    </cfRule>
  </conditionalFormatting>
  <conditionalFormatting sqref="O201">
    <cfRule type="cellIs" dxfId="4940" priority="5770" operator="equal">
      <formula>"PENDIENTE POR DESCRIPCIÓN"</formula>
    </cfRule>
    <cfRule type="cellIs" dxfId="4939" priority="5771" operator="equal">
      <formula>"DESCRIPCIÓN INSUFICIENTE"</formula>
    </cfRule>
    <cfRule type="cellIs" dxfId="4938" priority="5772" operator="equal">
      <formula>"NO ESTÁ ACORDE A ITEM 5.2.2 (T.R.)"</formula>
    </cfRule>
    <cfRule type="cellIs" dxfId="4937" priority="5773" operator="equal">
      <formula>"ACORDE A ITEM 5.2.2 (T.R.)"</formula>
    </cfRule>
    <cfRule type="cellIs" dxfId="4936" priority="5780" operator="equal">
      <formula>"PENDIENTE POR DESCRIPCIÓN"</formula>
    </cfRule>
    <cfRule type="cellIs" dxfId="4935" priority="5782" operator="equal">
      <formula>"DESCRIPCIÓN INSUFICIENTE"</formula>
    </cfRule>
    <cfRule type="cellIs" dxfId="4934" priority="5783" operator="equal">
      <formula>"NO ESTÁ ACORDE A ITEM 5.2.1 (T.R.)"</formula>
    </cfRule>
    <cfRule type="cellIs" dxfId="4933" priority="5784" operator="equal">
      <formula>"ACORDE A ITEM 5.2.1 (T.R.)"</formula>
    </cfRule>
  </conditionalFormatting>
  <conditionalFormatting sqref="Q201">
    <cfRule type="containsBlanks" dxfId="4932" priority="5775">
      <formula>LEN(TRIM(Q201))=0</formula>
    </cfRule>
    <cfRule type="cellIs" dxfId="4931" priority="5781" operator="equal">
      <formula>"REQUERIMIENTOS SUBSANADOS"</formula>
    </cfRule>
    <cfRule type="containsText" dxfId="4930" priority="5785" operator="containsText" text="NO SUBSANABLE">
      <formula>NOT(ISERROR(SEARCH("NO SUBSANABLE",Q201)))</formula>
    </cfRule>
    <cfRule type="containsText" dxfId="4929" priority="5786" operator="containsText" text="PENDIENTES POR SUBSANAR">
      <formula>NOT(ISERROR(SEARCH("PENDIENTES POR SUBSANAR",Q201)))</formula>
    </cfRule>
    <cfRule type="containsText" dxfId="4928" priority="5787" operator="containsText" text="SIN OBSERVACIÓN">
      <formula>NOT(ISERROR(SEARCH("SIN OBSERVACIÓN",Q201)))</formula>
    </cfRule>
  </conditionalFormatting>
  <conditionalFormatting sqref="R201">
    <cfRule type="containsBlanks" dxfId="4927" priority="5774">
      <formula>LEN(TRIM(R201))=0</formula>
    </cfRule>
    <cfRule type="cellIs" dxfId="4926" priority="5776" operator="equal">
      <formula>"NO CUMPLEN CON LO SOLICITADO"</formula>
    </cfRule>
    <cfRule type="cellIs" dxfId="4925" priority="5777" operator="equal">
      <formula>"CUMPLEN CON LO SOLICITADO"</formula>
    </cfRule>
    <cfRule type="cellIs" dxfId="4924" priority="5778" operator="equal">
      <formula>"PENDIENTES"</formula>
    </cfRule>
    <cfRule type="cellIs" dxfId="4923" priority="5779" operator="equal">
      <formula>"NINGUNO"</formula>
    </cfRule>
  </conditionalFormatting>
  <conditionalFormatting sqref="P192 P195 P198 P201">
    <cfRule type="expression" dxfId="4922" priority="5765">
      <formula>Q192="NO SUBSANABLE"</formula>
    </cfRule>
    <cfRule type="expression" dxfId="4921" priority="5766">
      <formula>Q192="REQUERIMIENTOS SUBSANADOS"</formula>
    </cfRule>
    <cfRule type="expression" dxfId="4920" priority="5767">
      <formula>Q192="PENDIENTES POR SUBSANAR"</formula>
    </cfRule>
    <cfRule type="expression" dxfId="4919" priority="5768">
      <formula>Q192="SIN OBSERVACIÓN"</formula>
    </cfRule>
    <cfRule type="containsBlanks" dxfId="4918" priority="5769">
      <formula>LEN(TRIM(P192))=0</formula>
    </cfRule>
  </conditionalFormatting>
  <conditionalFormatting sqref="N192">
    <cfRule type="expression" dxfId="4917" priority="4104">
      <formula>N192=" "</formula>
    </cfRule>
    <cfRule type="expression" dxfId="4916" priority="4105">
      <formula>N192="NO PRESENTÓ CERTIFICADO"</formula>
    </cfRule>
    <cfRule type="expression" dxfId="4915" priority="4106">
      <formula>N192="PRESENTÓ CERTIFICADO"</formula>
    </cfRule>
  </conditionalFormatting>
  <conditionalFormatting sqref="N195">
    <cfRule type="expression" dxfId="4914" priority="4101">
      <formula>N195=" "</formula>
    </cfRule>
    <cfRule type="expression" dxfId="4913" priority="4102">
      <formula>N195="NO PRESENTÓ CERTIFICADO"</formula>
    </cfRule>
    <cfRule type="expression" dxfId="4912" priority="4103">
      <formula>N195="PRESENTÓ CERTIFICADO"</formula>
    </cfRule>
  </conditionalFormatting>
  <conditionalFormatting sqref="N198">
    <cfRule type="expression" dxfId="4911" priority="4098">
      <formula>N198=" "</formula>
    </cfRule>
    <cfRule type="expression" dxfId="4910" priority="4099">
      <formula>N198="NO PRESENTÓ CERTIFICADO"</formula>
    </cfRule>
    <cfRule type="expression" dxfId="4909" priority="4100">
      <formula>N198="PRESENTÓ CERTIFICADO"</formula>
    </cfRule>
  </conditionalFormatting>
  <conditionalFormatting sqref="O192">
    <cfRule type="cellIs" dxfId="4908" priority="4090" operator="equal">
      <formula>"PENDIENTE POR DESCRIPCIÓN"</formula>
    </cfRule>
    <cfRule type="cellIs" dxfId="4907" priority="4091" operator="equal">
      <formula>"DESCRIPCIÓN INSUFICIENTE"</formula>
    </cfRule>
    <cfRule type="cellIs" dxfId="4906" priority="4092" operator="equal">
      <formula>"NO ESTÁ ACORDE A ITEM 5.2.2 (T.R.)"</formula>
    </cfRule>
    <cfRule type="cellIs" dxfId="4905" priority="4093" operator="equal">
      <formula>"ACORDE A ITEM 5.2.2 (T.R.)"</formula>
    </cfRule>
    <cfRule type="cellIs" dxfId="4904" priority="4094" operator="equal">
      <formula>"PENDIENTE POR DESCRIPCIÓN"</formula>
    </cfRule>
    <cfRule type="cellIs" dxfId="4903" priority="4095" operator="equal">
      <formula>"DESCRIPCIÓN INSUFICIENTE"</formula>
    </cfRule>
    <cfRule type="cellIs" dxfId="4902" priority="4096" operator="equal">
      <formula>"NO ESTÁ ACORDE A ITEM 5.2.1 (T.R.)"</formula>
    </cfRule>
    <cfRule type="cellIs" dxfId="4901" priority="4097" operator="equal">
      <formula>"ACORDE A ITEM 5.2.1 (T.R.)"</formula>
    </cfRule>
  </conditionalFormatting>
  <conditionalFormatting sqref="O195">
    <cfRule type="cellIs" dxfId="4900" priority="4082" operator="equal">
      <formula>"PENDIENTE POR DESCRIPCIÓN"</formula>
    </cfRule>
    <cfRule type="cellIs" dxfId="4899" priority="4083" operator="equal">
      <formula>"DESCRIPCIÓN INSUFICIENTE"</formula>
    </cfRule>
    <cfRule type="cellIs" dxfId="4898" priority="4084" operator="equal">
      <formula>"NO ESTÁ ACORDE A ITEM 5.2.2 (T.R.)"</formula>
    </cfRule>
    <cfRule type="cellIs" dxfId="4897" priority="4085" operator="equal">
      <formula>"ACORDE A ITEM 5.2.2 (T.R.)"</formula>
    </cfRule>
    <cfRule type="cellIs" dxfId="4896" priority="4086" operator="equal">
      <formula>"PENDIENTE POR DESCRIPCIÓN"</formula>
    </cfRule>
    <cfRule type="cellIs" dxfId="4895" priority="4087" operator="equal">
      <formula>"DESCRIPCIÓN INSUFICIENTE"</formula>
    </cfRule>
    <cfRule type="cellIs" dxfId="4894" priority="4088" operator="equal">
      <formula>"NO ESTÁ ACORDE A ITEM 5.2.1 (T.R.)"</formula>
    </cfRule>
    <cfRule type="cellIs" dxfId="4893" priority="4089" operator="equal">
      <formula>"ACORDE A ITEM 5.2.1 (T.R.)"</formula>
    </cfRule>
  </conditionalFormatting>
  <conditionalFormatting sqref="O198">
    <cfRule type="cellIs" dxfId="4892" priority="4074" operator="equal">
      <formula>"PENDIENTE POR DESCRIPCIÓN"</formula>
    </cfRule>
    <cfRule type="cellIs" dxfId="4891" priority="4075" operator="equal">
      <formula>"DESCRIPCIÓN INSUFICIENTE"</formula>
    </cfRule>
    <cfRule type="cellIs" dxfId="4890" priority="4076" operator="equal">
      <formula>"NO ESTÁ ACORDE A ITEM 5.2.2 (T.R.)"</formula>
    </cfRule>
    <cfRule type="cellIs" dxfId="4889" priority="4077" operator="equal">
      <formula>"ACORDE A ITEM 5.2.2 (T.R.)"</formula>
    </cfRule>
    <cfRule type="cellIs" dxfId="4888" priority="4078" operator="equal">
      <formula>"PENDIENTE POR DESCRIPCIÓN"</formula>
    </cfRule>
    <cfRule type="cellIs" dxfId="4887" priority="4079" operator="equal">
      <formula>"DESCRIPCIÓN INSUFICIENTE"</formula>
    </cfRule>
    <cfRule type="cellIs" dxfId="4886" priority="4080" operator="equal">
      <formula>"NO ESTÁ ACORDE A ITEM 5.2.1 (T.R.)"</formula>
    </cfRule>
    <cfRule type="cellIs" dxfId="4885" priority="4081" operator="equal">
      <formula>"ACORDE A ITEM 5.2.1 (T.R.)"</formula>
    </cfRule>
  </conditionalFormatting>
  <conditionalFormatting sqref="Q192">
    <cfRule type="containsBlanks" dxfId="4884" priority="4065">
      <formula>LEN(TRIM(Q192))=0</formula>
    </cfRule>
    <cfRule type="cellIs" dxfId="4883" priority="4070" operator="equal">
      <formula>"REQUERIMIENTOS SUBSANADOS"</formula>
    </cfRule>
    <cfRule type="containsText" dxfId="4882" priority="4071" operator="containsText" text="NO SUBSANABLE">
      <formula>NOT(ISERROR(SEARCH("NO SUBSANABLE",Q192)))</formula>
    </cfRule>
    <cfRule type="containsText" dxfId="4881" priority="4072" operator="containsText" text="PENDIENTES POR SUBSANAR">
      <formula>NOT(ISERROR(SEARCH("PENDIENTES POR SUBSANAR",Q192)))</formula>
    </cfRule>
    <cfRule type="containsText" dxfId="4880" priority="4073" operator="containsText" text="SIN OBSERVACIÓN">
      <formula>NOT(ISERROR(SEARCH("SIN OBSERVACIÓN",Q192)))</formula>
    </cfRule>
  </conditionalFormatting>
  <conditionalFormatting sqref="R192">
    <cfRule type="containsBlanks" dxfId="4879" priority="4064">
      <formula>LEN(TRIM(R192))=0</formula>
    </cfRule>
    <cfRule type="cellIs" dxfId="4878" priority="4066" operator="equal">
      <formula>"NO CUMPLEN CON LO SOLICITADO"</formula>
    </cfRule>
    <cfRule type="cellIs" dxfId="4877" priority="4067" operator="equal">
      <formula>"CUMPLEN CON LO SOLICITADO"</formula>
    </cfRule>
    <cfRule type="cellIs" dxfId="4876" priority="4068" operator="equal">
      <formula>"PENDIENTES"</formula>
    </cfRule>
    <cfRule type="cellIs" dxfId="4875" priority="4069" operator="equal">
      <formula>"NINGUNO"</formula>
    </cfRule>
  </conditionalFormatting>
  <conditionalFormatting sqref="Q195">
    <cfRule type="containsBlanks" dxfId="4874" priority="4055">
      <formula>LEN(TRIM(Q195))=0</formula>
    </cfRule>
    <cfRule type="cellIs" dxfId="4873" priority="4060" operator="equal">
      <formula>"REQUERIMIENTOS SUBSANADOS"</formula>
    </cfRule>
    <cfRule type="containsText" dxfId="4872" priority="4061" operator="containsText" text="NO SUBSANABLE">
      <formula>NOT(ISERROR(SEARCH("NO SUBSANABLE",Q195)))</formula>
    </cfRule>
    <cfRule type="containsText" dxfId="4871" priority="4062" operator="containsText" text="PENDIENTES POR SUBSANAR">
      <formula>NOT(ISERROR(SEARCH("PENDIENTES POR SUBSANAR",Q195)))</formula>
    </cfRule>
    <cfRule type="containsText" dxfId="4870" priority="4063" operator="containsText" text="SIN OBSERVACIÓN">
      <formula>NOT(ISERROR(SEARCH("SIN OBSERVACIÓN",Q195)))</formula>
    </cfRule>
  </conditionalFormatting>
  <conditionalFormatting sqref="R195">
    <cfRule type="containsBlanks" dxfId="4869" priority="4054">
      <formula>LEN(TRIM(R195))=0</formula>
    </cfRule>
    <cfRule type="cellIs" dxfId="4868" priority="4056" operator="equal">
      <formula>"NO CUMPLEN CON LO SOLICITADO"</formula>
    </cfRule>
    <cfRule type="cellIs" dxfId="4867" priority="4057" operator="equal">
      <formula>"CUMPLEN CON LO SOLICITADO"</formula>
    </cfRule>
    <cfRule type="cellIs" dxfId="4866" priority="4058" operator="equal">
      <formula>"PENDIENTES"</formula>
    </cfRule>
    <cfRule type="cellIs" dxfId="4865" priority="4059" operator="equal">
      <formula>"NINGUNO"</formula>
    </cfRule>
  </conditionalFormatting>
  <conditionalFormatting sqref="Q198">
    <cfRule type="containsBlanks" dxfId="4864" priority="4045">
      <formula>LEN(TRIM(Q198))=0</formula>
    </cfRule>
    <cfRule type="cellIs" dxfId="4863" priority="4050" operator="equal">
      <formula>"REQUERIMIENTOS SUBSANADOS"</formula>
    </cfRule>
    <cfRule type="containsText" dxfId="4862" priority="4051" operator="containsText" text="NO SUBSANABLE">
      <formula>NOT(ISERROR(SEARCH("NO SUBSANABLE",Q198)))</formula>
    </cfRule>
    <cfRule type="containsText" dxfId="4861" priority="4052" operator="containsText" text="PENDIENTES POR SUBSANAR">
      <formula>NOT(ISERROR(SEARCH("PENDIENTES POR SUBSANAR",Q198)))</formula>
    </cfRule>
    <cfRule type="containsText" dxfId="4860" priority="4053" operator="containsText" text="SIN OBSERVACIÓN">
      <formula>NOT(ISERROR(SEARCH("SIN OBSERVACIÓN",Q198)))</formula>
    </cfRule>
  </conditionalFormatting>
  <conditionalFormatting sqref="R198">
    <cfRule type="containsBlanks" dxfId="4859" priority="4044">
      <formula>LEN(TRIM(R198))=0</formula>
    </cfRule>
    <cfRule type="cellIs" dxfId="4858" priority="4046" operator="equal">
      <formula>"NO CUMPLEN CON LO SOLICITADO"</formula>
    </cfRule>
    <cfRule type="cellIs" dxfId="4857" priority="4047" operator="equal">
      <formula>"CUMPLEN CON LO SOLICITADO"</formula>
    </cfRule>
    <cfRule type="cellIs" dxfId="4856" priority="4048" operator="equal">
      <formula>"PENDIENTES"</formula>
    </cfRule>
    <cfRule type="cellIs" dxfId="4855" priority="4049" operator="equal">
      <formula>"NINGUNO"</formula>
    </cfRule>
  </conditionalFormatting>
  <conditionalFormatting sqref="M198">
    <cfRule type="expression" dxfId="4854" priority="3212">
      <formula>L198="NO CUMPLE"</formula>
    </cfRule>
    <cfRule type="expression" dxfId="4853" priority="3213">
      <formula>L198="CUMPLE"</formula>
    </cfRule>
  </conditionalFormatting>
  <conditionalFormatting sqref="L198:L199">
    <cfRule type="cellIs" dxfId="4852" priority="3210" operator="equal">
      <formula>"NO CUMPLE"</formula>
    </cfRule>
    <cfRule type="cellIs" dxfId="4851" priority="3211" operator="equal">
      <formula>"CUMPLE"</formula>
    </cfRule>
  </conditionalFormatting>
  <conditionalFormatting sqref="M199">
    <cfRule type="expression" dxfId="4850" priority="3208">
      <formula>L199="NO CUMPLE"</formula>
    </cfRule>
    <cfRule type="expression" dxfId="4849" priority="3209">
      <formula>L199="CUMPLE"</formula>
    </cfRule>
  </conditionalFormatting>
  <conditionalFormatting sqref="M127">
    <cfRule type="expression" dxfId="4848" priority="3310">
      <formula>L127="NO CUMPLE"</formula>
    </cfRule>
    <cfRule type="expression" dxfId="4847" priority="3311">
      <formula>L127="CUMPLE"</formula>
    </cfRule>
  </conditionalFormatting>
  <conditionalFormatting sqref="L148:L149">
    <cfRule type="cellIs" dxfId="4846" priority="3282" operator="equal">
      <formula>"NO CUMPLE"</formula>
    </cfRule>
    <cfRule type="cellIs" dxfId="4845" priority="3283" operator="equal">
      <formula>"CUMPLE"</formula>
    </cfRule>
  </conditionalFormatting>
  <conditionalFormatting sqref="M149">
    <cfRule type="expression" dxfId="4844" priority="3280">
      <formula>L149="NO CUMPLE"</formula>
    </cfRule>
    <cfRule type="expression" dxfId="4843" priority="3281">
      <formula>L149="CUMPLE"</formula>
    </cfRule>
  </conditionalFormatting>
  <conditionalFormatting sqref="L151:L152">
    <cfRule type="cellIs" dxfId="4842" priority="3276" operator="equal">
      <formula>"NO CUMPLE"</formula>
    </cfRule>
    <cfRule type="cellIs" dxfId="4841" priority="3277" operator="equal">
      <formula>"CUMPLE"</formula>
    </cfRule>
  </conditionalFormatting>
  <conditionalFormatting sqref="M152">
    <cfRule type="expression" dxfId="4840" priority="3274">
      <formula>L152="NO CUMPLE"</formula>
    </cfRule>
    <cfRule type="expression" dxfId="4839" priority="3275">
      <formula>L152="CUMPLE"</formula>
    </cfRule>
  </conditionalFormatting>
  <conditionalFormatting sqref="M133">
    <cfRule type="expression" dxfId="4838" priority="3298">
      <formula>L133="NO CUMPLE"</formula>
    </cfRule>
    <cfRule type="expression" dxfId="4837" priority="3299">
      <formula>L133="CUMPLE"</formula>
    </cfRule>
  </conditionalFormatting>
  <conditionalFormatting sqref="L154:L155">
    <cfRule type="cellIs" dxfId="4836" priority="3270" operator="equal">
      <formula>"NO CUMPLE"</formula>
    </cfRule>
    <cfRule type="cellIs" dxfId="4835" priority="3271" operator="equal">
      <formula>"CUMPLE"</formula>
    </cfRule>
  </conditionalFormatting>
  <conditionalFormatting sqref="L135:L136">
    <cfRule type="cellIs" dxfId="4834" priority="3294" operator="equal">
      <formula>"NO CUMPLE"</formula>
    </cfRule>
    <cfRule type="cellIs" dxfId="4833" priority="3295" operator="equal">
      <formula>"CUMPLE"</formula>
    </cfRule>
  </conditionalFormatting>
  <conditionalFormatting sqref="M136">
    <cfRule type="expression" dxfId="4832" priority="3292">
      <formula>L136="NO CUMPLE"</formula>
    </cfRule>
    <cfRule type="expression" dxfId="4831" priority="3293">
      <formula>L136="CUMPLE"</formula>
    </cfRule>
  </conditionalFormatting>
  <conditionalFormatting sqref="M145">
    <cfRule type="expression" dxfId="4830" priority="3290">
      <formula>L145="NO CUMPLE"</formula>
    </cfRule>
    <cfRule type="expression" dxfId="4829" priority="3291">
      <formula>L145="CUMPLE"</formula>
    </cfRule>
  </conditionalFormatting>
  <conditionalFormatting sqref="M126">
    <cfRule type="expression" dxfId="4828" priority="3314">
      <formula>L126="NO CUMPLE"</formula>
    </cfRule>
    <cfRule type="expression" dxfId="4827" priority="3315">
      <formula>L126="CUMPLE"</formula>
    </cfRule>
  </conditionalFormatting>
  <conditionalFormatting sqref="L126:L127">
    <cfRule type="cellIs" dxfId="4826" priority="3312" operator="equal">
      <formula>"NO CUMPLE"</formula>
    </cfRule>
    <cfRule type="cellIs" dxfId="4825" priority="3313" operator="equal">
      <formula>"CUMPLE"</formula>
    </cfRule>
  </conditionalFormatting>
  <conditionalFormatting sqref="M148">
    <cfRule type="expression" dxfId="4824" priority="3284">
      <formula>L148="NO CUMPLE"</formula>
    </cfRule>
    <cfRule type="expression" dxfId="4823" priority="3285">
      <formula>L148="CUMPLE"</formula>
    </cfRule>
  </conditionalFormatting>
  <conditionalFormatting sqref="L129:L130">
    <cfRule type="cellIs" dxfId="4822" priority="3306" operator="equal">
      <formula>"NO CUMPLE"</formula>
    </cfRule>
    <cfRule type="cellIs" dxfId="4821" priority="3307" operator="equal">
      <formula>"CUMPLE"</formula>
    </cfRule>
  </conditionalFormatting>
  <conditionalFormatting sqref="M130">
    <cfRule type="expression" dxfId="4820" priority="3304">
      <formula>L130="NO CUMPLE"</formula>
    </cfRule>
    <cfRule type="expression" dxfId="4819" priority="3305">
      <formula>L130="CUMPLE"</formula>
    </cfRule>
  </conditionalFormatting>
  <conditionalFormatting sqref="M132">
    <cfRule type="expression" dxfId="4818" priority="3302">
      <formula>L132="NO CUMPLE"</formula>
    </cfRule>
    <cfRule type="expression" dxfId="4817" priority="3303">
      <formula>L132="CUMPLE"</formula>
    </cfRule>
  </conditionalFormatting>
  <conditionalFormatting sqref="L132:L133">
    <cfRule type="cellIs" dxfId="4816" priority="3300" operator="equal">
      <formula>"NO CUMPLE"</formula>
    </cfRule>
    <cfRule type="cellIs" dxfId="4815" priority="3301" operator="equal">
      <formula>"CUMPLE"</formula>
    </cfRule>
  </conditionalFormatting>
  <conditionalFormatting sqref="M135">
    <cfRule type="expression" dxfId="4814" priority="3296">
      <formula>L135="NO CUMPLE"</formula>
    </cfRule>
    <cfRule type="expression" dxfId="4813" priority="3297">
      <formula>L135="CUMPLE"</formula>
    </cfRule>
  </conditionalFormatting>
  <conditionalFormatting sqref="M155">
    <cfRule type="expression" dxfId="4812" priority="3268">
      <formula>L155="NO CUMPLE"</formula>
    </cfRule>
    <cfRule type="expression" dxfId="4811" priority="3269">
      <formula>L155="CUMPLE"</formula>
    </cfRule>
  </conditionalFormatting>
  <conditionalFormatting sqref="M129">
    <cfRule type="expression" dxfId="4810" priority="3308">
      <formula>L129="NO CUMPLE"</formula>
    </cfRule>
    <cfRule type="expression" dxfId="4809" priority="3309">
      <formula>L129="CUMPLE"</formula>
    </cfRule>
  </conditionalFormatting>
  <conditionalFormatting sqref="M154">
    <cfRule type="expression" dxfId="4808" priority="3272">
      <formula>L154="NO CUMPLE"</formula>
    </cfRule>
    <cfRule type="expression" dxfId="4807" priority="3273">
      <formula>L154="CUMPLE"</formula>
    </cfRule>
  </conditionalFormatting>
  <conditionalFormatting sqref="M114">
    <cfRule type="expression" dxfId="4806" priority="3322">
      <formula>L114="NO CUMPLE"</formula>
    </cfRule>
    <cfRule type="expression" dxfId="4805" priority="3323">
      <formula>L114="CUMPLE"</formula>
    </cfRule>
  </conditionalFormatting>
  <conditionalFormatting sqref="L145:L146">
    <cfRule type="cellIs" dxfId="4804" priority="3288" operator="equal">
      <formula>"NO CUMPLE"</formula>
    </cfRule>
    <cfRule type="cellIs" dxfId="4803" priority="3289" operator="equal">
      <formula>"CUMPLE"</formula>
    </cfRule>
  </conditionalFormatting>
  <conditionalFormatting sqref="M146">
    <cfRule type="expression" dxfId="4802" priority="3286">
      <formula>L146="NO CUMPLE"</formula>
    </cfRule>
    <cfRule type="expression" dxfId="4801" priority="3287">
      <formula>L146="CUMPLE"</formula>
    </cfRule>
  </conditionalFormatting>
  <conditionalFormatting sqref="M151">
    <cfRule type="expression" dxfId="4800" priority="3278">
      <formula>L151="NO CUMPLE"</formula>
    </cfRule>
    <cfRule type="expression" dxfId="4799" priority="3279">
      <formula>L151="CUMPLE"</formula>
    </cfRule>
  </conditionalFormatting>
  <conditionalFormatting sqref="M113">
    <cfRule type="expression" dxfId="4798" priority="3326">
      <formula>L113="NO CUMPLE"</formula>
    </cfRule>
    <cfRule type="expression" dxfId="4797" priority="3327">
      <formula>L113="CUMPLE"</formula>
    </cfRule>
  </conditionalFormatting>
  <conditionalFormatting sqref="L113:L114">
    <cfRule type="cellIs" dxfId="4796" priority="3324" operator="equal">
      <formula>"NO CUMPLE"</formula>
    </cfRule>
    <cfRule type="cellIs" dxfId="4795" priority="3325" operator="equal">
      <formula>"CUMPLE"</formula>
    </cfRule>
  </conditionalFormatting>
  <conditionalFormatting sqref="L123:L124">
    <cfRule type="cellIs" dxfId="4794" priority="3318" operator="equal">
      <formula>"NO CUMPLE"</formula>
    </cfRule>
    <cfRule type="cellIs" dxfId="4793" priority="3319" operator="equal">
      <formula>"CUMPLE"</formula>
    </cfRule>
  </conditionalFormatting>
  <conditionalFormatting sqref="M124">
    <cfRule type="expression" dxfId="4792" priority="3316">
      <formula>L124="NO CUMPLE"</formula>
    </cfRule>
    <cfRule type="expression" dxfId="4791" priority="3317">
      <formula>L124="CUMPLE"</formula>
    </cfRule>
  </conditionalFormatting>
  <conditionalFormatting sqref="J41:J46">
    <cfRule type="cellIs" dxfId="4790" priority="3640" operator="equal">
      <formula>"NO CUMPLE"</formula>
    </cfRule>
    <cfRule type="cellIs" dxfId="4789" priority="3641" operator="equal">
      <formula>"CUMPLE"</formula>
    </cfRule>
  </conditionalFormatting>
  <conditionalFormatting sqref="K38">
    <cfRule type="expression" dxfId="4788" priority="3636">
      <formula>J38="NO CUMPLE"</formula>
    </cfRule>
    <cfRule type="expression" dxfId="4787" priority="3637">
      <formula>J38="CUMPLE"</formula>
    </cfRule>
  </conditionalFormatting>
  <conditionalFormatting sqref="K39:K40">
    <cfRule type="expression" dxfId="4786" priority="3634">
      <formula>J39="NO CUMPLE"</formula>
    </cfRule>
    <cfRule type="expression" dxfId="4785" priority="3635">
      <formula>J39="CUMPLE"</formula>
    </cfRule>
  </conditionalFormatting>
  <conditionalFormatting sqref="J47">
    <cfRule type="cellIs" dxfId="4784" priority="3632" operator="equal">
      <formula>"NO CUMPLE"</formula>
    </cfRule>
    <cfRule type="cellIs" dxfId="4783" priority="3633" operator="equal">
      <formula>"CUMPLE"</formula>
    </cfRule>
  </conditionalFormatting>
  <conditionalFormatting sqref="J48:J49">
    <cfRule type="cellIs" dxfId="4782" priority="3630" operator="equal">
      <formula>"NO CUMPLE"</formula>
    </cfRule>
    <cfRule type="cellIs" dxfId="4781" priority="3631" operator="equal">
      <formula>"CUMPLE"</formula>
    </cfRule>
  </conditionalFormatting>
  <conditionalFormatting sqref="K41">
    <cfRule type="expression" dxfId="4780" priority="3628">
      <formula>J41="NO CUMPLE"</formula>
    </cfRule>
    <cfRule type="expression" dxfId="4779" priority="3629">
      <formula>J41="CUMPLE"</formula>
    </cfRule>
  </conditionalFormatting>
  <conditionalFormatting sqref="K42:K43">
    <cfRule type="expression" dxfId="4778" priority="3626">
      <formula>J42="NO CUMPLE"</formula>
    </cfRule>
    <cfRule type="expression" dxfId="4777" priority="3627">
      <formula>J42="CUMPLE"</formula>
    </cfRule>
  </conditionalFormatting>
  <conditionalFormatting sqref="K44">
    <cfRule type="expression" dxfId="4776" priority="3624">
      <formula>J44="NO CUMPLE"</formula>
    </cfRule>
    <cfRule type="expression" dxfId="4775" priority="3625">
      <formula>J44="CUMPLE"</formula>
    </cfRule>
  </conditionalFormatting>
  <conditionalFormatting sqref="K45:K46">
    <cfRule type="expression" dxfId="4774" priority="3622">
      <formula>J45="NO CUMPLE"</formula>
    </cfRule>
    <cfRule type="expression" dxfId="4773" priority="3623">
      <formula>J45="CUMPLE"</formula>
    </cfRule>
  </conditionalFormatting>
  <conditionalFormatting sqref="K47">
    <cfRule type="expression" dxfId="4772" priority="3620">
      <formula>J47="NO CUMPLE"</formula>
    </cfRule>
    <cfRule type="expression" dxfId="4771" priority="3621">
      <formula>J47="CUMPLE"</formula>
    </cfRule>
  </conditionalFormatting>
  <conditionalFormatting sqref="K48:K49">
    <cfRule type="expression" dxfId="4770" priority="3618">
      <formula>J48="NO CUMPLE"</formula>
    </cfRule>
    <cfRule type="expression" dxfId="4769" priority="3619">
      <formula>J48="CUMPLE"</formula>
    </cfRule>
  </conditionalFormatting>
  <conditionalFormatting sqref="K60">
    <cfRule type="expression" dxfId="4768" priority="3610">
      <formula>J60="NO CUMPLE"</formula>
    </cfRule>
    <cfRule type="expression" dxfId="4767" priority="3611">
      <formula>J60="CUMPLE"</formula>
    </cfRule>
  </conditionalFormatting>
  <conditionalFormatting sqref="K61:K62">
    <cfRule type="expression" dxfId="4766" priority="3608">
      <formula>J61="NO CUMPLE"</formula>
    </cfRule>
    <cfRule type="expression" dxfId="4765" priority="3609">
      <formula>J61="CUMPLE"</formula>
    </cfRule>
  </conditionalFormatting>
  <conditionalFormatting sqref="K63">
    <cfRule type="expression" dxfId="4764" priority="3602">
      <formula>J63="NO CUMPLE"</formula>
    </cfRule>
    <cfRule type="expression" dxfId="4763" priority="3603">
      <formula>J63="CUMPLE"</formula>
    </cfRule>
  </conditionalFormatting>
  <conditionalFormatting sqref="K64:K65">
    <cfRule type="expression" dxfId="4762" priority="3600">
      <formula>J64="NO CUMPLE"</formula>
    </cfRule>
    <cfRule type="expression" dxfId="4761" priority="3601">
      <formula>J64="CUMPLE"</formula>
    </cfRule>
  </conditionalFormatting>
  <conditionalFormatting sqref="K66">
    <cfRule type="expression" dxfId="4760" priority="3598">
      <formula>J66="NO CUMPLE"</formula>
    </cfRule>
    <cfRule type="expression" dxfId="4759" priority="3599">
      <formula>J66="CUMPLE"</formula>
    </cfRule>
  </conditionalFormatting>
  <conditionalFormatting sqref="K67:K68">
    <cfRule type="expression" dxfId="4758" priority="3596">
      <formula>J67="NO CUMPLE"</formula>
    </cfRule>
    <cfRule type="expression" dxfId="4757" priority="3597">
      <formula>J67="CUMPLE"</formula>
    </cfRule>
  </conditionalFormatting>
  <conditionalFormatting sqref="K69">
    <cfRule type="expression" dxfId="4756" priority="3594">
      <formula>J69="NO CUMPLE"</formula>
    </cfRule>
    <cfRule type="expression" dxfId="4755" priority="3595">
      <formula>J69="CUMPLE"</formula>
    </cfRule>
  </conditionalFormatting>
  <conditionalFormatting sqref="K70:K71">
    <cfRule type="expression" dxfId="4754" priority="3592">
      <formula>J70="NO CUMPLE"</formula>
    </cfRule>
    <cfRule type="expression" dxfId="4753" priority="3593">
      <formula>J70="CUMPLE"</formula>
    </cfRule>
  </conditionalFormatting>
  <conditionalFormatting sqref="J88:J90">
    <cfRule type="cellIs" dxfId="4752" priority="3588" operator="equal">
      <formula>"NO CUMPLE"</formula>
    </cfRule>
    <cfRule type="cellIs" dxfId="4751" priority="3589" operator="equal">
      <formula>"CUMPLE"</formula>
    </cfRule>
  </conditionalFormatting>
  <conditionalFormatting sqref="K82">
    <cfRule type="expression" dxfId="4750" priority="3584">
      <formula>J82="NO CUMPLE"</formula>
    </cfRule>
    <cfRule type="expression" dxfId="4749" priority="3585">
      <formula>J82="CUMPLE"</formula>
    </cfRule>
  </conditionalFormatting>
  <conditionalFormatting sqref="K83:K84">
    <cfRule type="expression" dxfId="4748" priority="3582">
      <formula>J83="NO CUMPLE"</formula>
    </cfRule>
    <cfRule type="expression" dxfId="4747" priority="3583">
      <formula>J83="CUMPLE"</formula>
    </cfRule>
  </conditionalFormatting>
  <conditionalFormatting sqref="J91">
    <cfRule type="cellIs" dxfId="4746" priority="3580" operator="equal">
      <formula>"NO CUMPLE"</formula>
    </cfRule>
    <cfRule type="cellIs" dxfId="4745" priority="3581" operator="equal">
      <formula>"CUMPLE"</formula>
    </cfRule>
  </conditionalFormatting>
  <conditionalFormatting sqref="J92:J93">
    <cfRule type="cellIs" dxfId="4744" priority="3578" operator="equal">
      <formula>"NO CUMPLE"</formula>
    </cfRule>
    <cfRule type="cellIs" dxfId="4743" priority="3579" operator="equal">
      <formula>"CUMPLE"</formula>
    </cfRule>
  </conditionalFormatting>
  <conditionalFormatting sqref="K85">
    <cfRule type="expression" dxfId="4742" priority="3576">
      <formula>J85="NO CUMPLE"</formula>
    </cfRule>
    <cfRule type="expression" dxfId="4741" priority="3577">
      <formula>J85="CUMPLE"</formula>
    </cfRule>
  </conditionalFormatting>
  <conditionalFormatting sqref="K86:K87">
    <cfRule type="expression" dxfId="4740" priority="3574">
      <formula>J86="NO CUMPLE"</formula>
    </cfRule>
    <cfRule type="expression" dxfId="4739" priority="3575">
      <formula>J86="CUMPLE"</formula>
    </cfRule>
  </conditionalFormatting>
  <conditionalFormatting sqref="K88">
    <cfRule type="expression" dxfId="4738" priority="3572">
      <formula>J88="NO CUMPLE"</formula>
    </cfRule>
    <cfRule type="expression" dxfId="4737" priority="3573">
      <formula>J88="CUMPLE"</formula>
    </cfRule>
  </conditionalFormatting>
  <conditionalFormatting sqref="K89:K90">
    <cfRule type="expression" dxfId="4736" priority="3570">
      <formula>J89="NO CUMPLE"</formula>
    </cfRule>
    <cfRule type="expression" dxfId="4735" priority="3571">
      <formula>J89="CUMPLE"</formula>
    </cfRule>
  </conditionalFormatting>
  <conditionalFormatting sqref="K91">
    <cfRule type="expression" dxfId="4734" priority="3568">
      <formula>J91="NO CUMPLE"</formula>
    </cfRule>
    <cfRule type="expression" dxfId="4733" priority="3569">
      <formula>J91="CUMPLE"</formula>
    </cfRule>
  </conditionalFormatting>
  <conditionalFormatting sqref="K92:K93">
    <cfRule type="expression" dxfId="4732" priority="3566">
      <formula>J92="NO CUMPLE"</formula>
    </cfRule>
    <cfRule type="expression" dxfId="4731" priority="3567">
      <formula>J92="CUMPLE"</formula>
    </cfRule>
  </conditionalFormatting>
  <conditionalFormatting sqref="J101:J112">
    <cfRule type="cellIs" dxfId="4730" priority="3562" operator="equal">
      <formula>"NO CUMPLE"</formula>
    </cfRule>
    <cfRule type="cellIs" dxfId="4729" priority="3563" operator="equal">
      <formula>"CUMPLE"</formula>
    </cfRule>
  </conditionalFormatting>
  <conditionalFormatting sqref="K104">
    <cfRule type="expression" dxfId="4728" priority="3558">
      <formula>J104="NO CUMPLE"</formula>
    </cfRule>
    <cfRule type="expression" dxfId="4727" priority="3559">
      <formula>J104="CUMPLE"</formula>
    </cfRule>
  </conditionalFormatting>
  <conditionalFormatting sqref="K105:K106">
    <cfRule type="expression" dxfId="4726" priority="3556">
      <formula>J105="NO CUMPLE"</formula>
    </cfRule>
    <cfRule type="expression" dxfId="4725" priority="3557">
      <formula>J105="CUMPLE"</formula>
    </cfRule>
  </conditionalFormatting>
  <conditionalFormatting sqref="K107">
    <cfRule type="expression" dxfId="4724" priority="3550">
      <formula>J107="NO CUMPLE"</formula>
    </cfRule>
    <cfRule type="expression" dxfId="4723" priority="3551">
      <formula>J107="CUMPLE"</formula>
    </cfRule>
  </conditionalFormatting>
  <conditionalFormatting sqref="K108:K109">
    <cfRule type="expression" dxfId="4722" priority="3548">
      <formula>J108="NO CUMPLE"</formula>
    </cfRule>
    <cfRule type="expression" dxfId="4721" priority="3549">
      <formula>J108="CUMPLE"</formula>
    </cfRule>
  </conditionalFormatting>
  <conditionalFormatting sqref="K110">
    <cfRule type="expression" dxfId="4720" priority="3546">
      <formula>J110="NO CUMPLE"</formula>
    </cfRule>
    <cfRule type="expression" dxfId="4719" priority="3547">
      <formula>J110="CUMPLE"</formula>
    </cfRule>
  </conditionalFormatting>
  <conditionalFormatting sqref="K111:K112">
    <cfRule type="expression" dxfId="4718" priority="3544">
      <formula>J111="NO CUMPLE"</formula>
    </cfRule>
    <cfRule type="expression" dxfId="4717" priority="3545">
      <formula>J111="CUMPLE"</formula>
    </cfRule>
  </conditionalFormatting>
  <conditionalFormatting sqref="K113">
    <cfRule type="expression" dxfId="4716" priority="3542">
      <formula>J113="NO CUMPLE"</formula>
    </cfRule>
    <cfRule type="expression" dxfId="4715" priority="3543">
      <formula>J113="CUMPLE"</formula>
    </cfRule>
  </conditionalFormatting>
  <conditionalFormatting sqref="K114:K115">
    <cfRule type="expression" dxfId="4714" priority="3540">
      <formula>J114="NO CUMPLE"</formula>
    </cfRule>
    <cfRule type="expression" dxfId="4713" priority="3541">
      <formula>J114="CUMPLE"</formula>
    </cfRule>
  </conditionalFormatting>
  <conditionalFormatting sqref="J123:J134">
    <cfRule type="cellIs" dxfId="4712" priority="3536" operator="equal">
      <formula>"NO CUMPLE"</formula>
    </cfRule>
    <cfRule type="cellIs" dxfId="4711" priority="3537" operator="equal">
      <formula>"CUMPLE"</formula>
    </cfRule>
  </conditionalFormatting>
  <conditionalFormatting sqref="K126">
    <cfRule type="expression" dxfId="4710" priority="3532">
      <formula>J126="NO CUMPLE"</formula>
    </cfRule>
    <cfRule type="expression" dxfId="4709" priority="3533">
      <formula>J126="CUMPLE"</formula>
    </cfRule>
  </conditionalFormatting>
  <conditionalFormatting sqref="K127:K128">
    <cfRule type="expression" dxfId="4708" priority="3530">
      <formula>J127="NO CUMPLE"</formula>
    </cfRule>
    <cfRule type="expression" dxfId="4707" priority="3531">
      <formula>J127="CUMPLE"</formula>
    </cfRule>
  </conditionalFormatting>
  <conditionalFormatting sqref="J135">
    <cfRule type="cellIs" dxfId="4706" priority="3528" operator="equal">
      <formula>"NO CUMPLE"</formula>
    </cfRule>
    <cfRule type="cellIs" dxfId="4705" priority="3529" operator="equal">
      <formula>"CUMPLE"</formula>
    </cfRule>
  </conditionalFormatting>
  <conditionalFormatting sqref="J136:J137">
    <cfRule type="cellIs" dxfId="4704" priority="3526" operator="equal">
      <formula>"NO CUMPLE"</formula>
    </cfRule>
    <cfRule type="cellIs" dxfId="4703" priority="3527" operator="equal">
      <formula>"CUMPLE"</formula>
    </cfRule>
  </conditionalFormatting>
  <conditionalFormatting sqref="K129">
    <cfRule type="expression" dxfId="4702" priority="3524">
      <formula>J129="NO CUMPLE"</formula>
    </cfRule>
    <cfRule type="expression" dxfId="4701" priority="3525">
      <formula>J129="CUMPLE"</formula>
    </cfRule>
  </conditionalFormatting>
  <conditionalFormatting sqref="K130:K131">
    <cfRule type="expression" dxfId="4700" priority="3522">
      <formula>J130="NO CUMPLE"</formula>
    </cfRule>
    <cfRule type="expression" dxfId="4699" priority="3523">
      <formula>J130="CUMPLE"</formula>
    </cfRule>
  </conditionalFormatting>
  <conditionalFormatting sqref="K132">
    <cfRule type="expression" dxfId="4698" priority="3520">
      <formula>J132="NO CUMPLE"</formula>
    </cfRule>
    <cfRule type="expression" dxfId="4697" priority="3521">
      <formula>J132="CUMPLE"</formula>
    </cfRule>
  </conditionalFormatting>
  <conditionalFormatting sqref="K133:K134">
    <cfRule type="expression" dxfId="4696" priority="3518">
      <formula>J133="NO CUMPLE"</formula>
    </cfRule>
    <cfRule type="expression" dxfId="4695" priority="3519">
      <formula>J133="CUMPLE"</formula>
    </cfRule>
  </conditionalFormatting>
  <conditionalFormatting sqref="K135">
    <cfRule type="expression" dxfId="4694" priority="3516">
      <formula>J135="NO CUMPLE"</formula>
    </cfRule>
    <cfRule type="expression" dxfId="4693" priority="3517">
      <formula>J135="CUMPLE"</formula>
    </cfRule>
  </conditionalFormatting>
  <conditionalFormatting sqref="K136:K137">
    <cfRule type="expression" dxfId="4692" priority="3514">
      <formula>J136="NO CUMPLE"</formula>
    </cfRule>
    <cfRule type="expression" dxfId="4691" priority="3515">
      <formula>J136="CUMPLE"</formula>
    </cfRule>
  </conditionalFormatting>
  <conditionalFormatting sqref="J145:J156">
    <cfRule type="cellIs" dxfId="4690" priority="3510" operator="equal">
      <formula>"NO CUMPLE"</formula>
    </cfRule>
    <cfRule type="cellIs" dxfId="4689" priority="3511" operator="equal">
      <formula>"CUMPLE"</formula>
    </cfRule>
  </conditionalFormatting>
  <conditionalFormatting sqref="K148">
    <cfRule type="expression" dxfId="4688" priority="3506">
      <formula>J148="NO CUMPLE"</formula>
    </cfRule>
    <cfRule type="expression" dxfId="4687" priority="3507">
      <formula>J148="CUMPLE"</formula>
    </cfRule>
  </conditionalFormatting>
  <conditionalFormatting sqref="K149:K150">
    <cfRule type="expression" dxfId="4686" priority="3504">
      <formula>J149="NO CUMPLE"</formula>
    </cfRule>
    <cfRule type="expression" dxfId="4685" priority="3505">
      <formula>J149="CUMPLE"</formula>
    </cfRule>
  </conditionalFormatting>
  <conditionalFormatting sqref="J157">
    <cfRule type="cellIs" dxfId="4684" priority="3502" operator="equal">
      <formula>"NO CUMPLE"</formula>
    </cfRule>
    <cfRule type="cellIs" dxfId="4683" priority="3503" operator="equal">
      <formula>"CUMPLE"</formula>
    </cfRule>
  </conditionalFormatting>
  <conditionalFormatting sqref="J158:J159">
    <cfRule type="cellIs" dxfId="4682" priority="3500" operator="equal">
      <formula>"NO CUMPLE"</formula>
    </cfRule>
    <cfRule type="cellIs" dxfId="4681" priority="3501" operator="equal">
      <formula>"CUMPLE"</formula>
    </cfRule>
  </conditionalFormatting>
  <conditionalFormatting sqref="K151">
    <cfRule type="expression" dxfId="4680" priority="3498">
      <formula>J151="NO CUMPLE"</formula>
    </cfRule>
    <cfRule type="expression" dxfId="4679" priority="3499">
      <formula>J151="CUMPLE"</formula>
    </cfRule>
  </conditionalFormatting>
  <conditionalFormatting sqref="K152:K153">
    <cfRule type="expression" dxfId="4678" priority="3496">
      <formula>J152="NO CUMPLE"</formula>
    </cfRule>
    <cfRule type="expression" dxfId="4677" priority="3497">
      <formula>J152="CUMPLE"</formula>
    </cfRule>
  </conditionalFormatting>
  <conditionalFormatting sqref="K154">
    <cfRule type="expression" dxfId="4676" priority="3494">
      <formula>J154="NO CUMPLE"</formula>
    </cfRule>
    <cfRule type="expression" dxfId="4675" priority="3495">
      <formula>J154="CUMPLE"</formula>
    </cfRule>
  </conditionalFormatting>
  <conditionalFormatting sqref="K155:K156">
    <cfRule type="expression" dxfId="4674" priority="3492">
      <formula>J155="NO CUMPLE"</formula>
    </cfRule>
    <cfRule type="expression" dxfId="4673" priority="3493">
      <formula>J155="CUMPLE"</formula>
    </cfRule>
  </conditionalFormatting>
  <conditionalFormatting sqref="K157">
    <cfRule type="expression" dxfId="4672" priority="3490">
      <formula>J157="NO CUMPLE"</formula>
    </cfRule>
    <cfRule type="expression" dxfId="4671" priority="3491">
      <formula>J157="CUMPLE"</formula>
    </cfRule>
  </conditionalFormatting>
  <conditionalFormatting sqref="K158:K159">
    <cfRule type="expression" dxfId="4670" priority="3488">
      <formula>J158="NO CUMPLE"</formula>
    </cfRule>
    <cfRule type="expression" dxfId="4669" priority="3489">
      <formula>J158="CUMPLE"</formula>
    </cfRule>
  </conditionalFormatting>
  <conditionalFormatting sqref="K170">
    <cfRule type="expression" dxfId="4668" priority="3480">
      <formula>J170="NO CUMPLE"</formula>
    </cfRule>
    <cfRule type="expression" dxfId="4667" priority="3481">
      <formula>J170="CUMPLE"</formula>
    </cfRule>
  </conditionalFormatting>
  <conditionalFormatting sqref="K171:K172">
    <cfRule type="expression" dxfId="4666" priority="3478">
      <formula>J171="NO CUMPLE"</formula>
    </cfRule>
    <cfRule type="expression" dxfId="4665" priority="3479">
      <formula>J171="CUMPLE"</formula>
    </cfRule>
  </conditionalFormatting>
  <conditionalFormatting sqref="J181">
    <cfRule type="cellIs" dxfId="4664" priority="3474" operator="equal">
      <formula>"NO CUMPLE"</formula>
    </cfRule>
    <cfRule type="cellIs" dxfId="4663" priority="3475" operator="equal">
      <formula>"CUMPLE"</formula>
    </cfRule>
  </conditionalFormatting>
  <conditionalFormatting sqref="K173">
    <cfRule type="expression" dxfId="4662" priority="3472">
      <formula>J173="NO CUMPLE"</formula>
    </cfRule>
    <cfRule type="expression" dxfId="4661" priority="3473">
      <formula>J173="CUMPLE"</formula>
    </cfRule>
  </conditionalFormatting>
  <conditionalFormatting sqref="K174:K175">
    <cfRule type="expression" dxfId="4660" priority="3470">
      <formula>J174="NO CUMPLE"</formula>
    </cfRule>
    <cfRule type="expression" dxfId="4659" priority="3471">
      <formula>J174="CUMPLE"</formula>
    </cfRule>
  </conditionalFormatting>
  <conditionalFormatting sqref="K176">
    <cfRule type="expression" dxfId="4658" priority="3468">
      <formula>J176="NO CUMPLE"</formula>
    </cfRule>
    <cfRule type="expression" dxfId="4657" priority="3469">
      <formula>J176="CUMPLE"</formula>
    </cfRule>
  </conditionalFormatting>
  <conditionalFormatting sqref="K177:K178">
    <cfRule type="expression" dxfId="4656" priority="3466">
      <formula>J177="NO CUMPLE"</formula>
    </cfRule>
    <cfRule type="expression" dxfId="4655" priority="3467">
      <formula>J177="CUMPLE"</formula>
    </cfRule>
  </conditionalFormatting>
  <conditionalFormatting sqref="K179">
    <cfRule type="expression" dxfId="4654" priority="3464">
      <formula>J179="NO CUMPLE"</formula>
    </cfRule>
    <cfRule type="expression" dxfId="4653" priority="3465">
      <formula>J179="CUMPLE"</formula>
    </cfRule>
  </conditionalFormatting>
  <conditionalFormatting sqref="K180:K181">
    <cfRule type="expression" dxfId="4652" priority="3462">
      <formula>J180="NO CUMPLE"</formula>
    </cfRule>
    <cfRule type="expression" dxfId="4651" priority="3463">
      <formula>J180="CUMPLE"</formula>
    </cfRule>
  </conditionalFormatting>
  <conditionalFormatting sqref="J192:J200">
    <cfRule type="cellIs" dxfId="4650" priority="3458" operator="equal">
      <formula>"NO CUMPLE"</formula>
    </cfRule>
    <cfRule type="cellIs" dxfId="4649" priority="3459" operator="equal">
      <formula>"CUMPLE"</formula>
    </cfRule>
  </conditionalFormatting>
  <conditionalFormatting sqref="K192">
    <cfRule type="expression" dxfId="4648" priority="3454">
      <formula>J192="NO CUMPLE"</formula>
    </cfRule>
    <cfRule type="expression" dxfId="4647" priority="3455">
      <formula>J192="CUMPLE"</formula>
    </cfRule>
  </conditionalFormatting>
  <conditionalFormatting sqref="K193:K194">
    <cfRule type="expression" dxfId="4646" priority="3452">
      <formula>J193="NO CUMPLE"</formula>
    </cfRule>
    <cfRule type="expression" dxfId="4645" priority="3453">
      <formula>J193="CUMPLE"</formula>
    </cfRule>
  </conditionalFormatting>
  <conditionalFormatting sqref="J201">
    <cfRule type="cellIs" dxfId="4644" priority="3450" operator="equal">
      <formula>"NO CUMPLE"</formula>
    </cfRule>
    <cfRule type="cellIs" dxfId="4643" priority="3451" operator="equal">
      <formula>"CUMPLE"</formula>
    </cfRule>
  </conditionalFormatting>
  <conditionalFormatting sqref="J202:J203">
    <cfRule type="cellIs" dxfId="4642" priority="3448" operator="equal">
      <formula>"NO CUMPLE"</formula>
    </cfRule>
    <cfRule type="cellIs" dxfId="4641" priority="3449" operator="equal">
      <formula>"CUMPLE"</formula>
    </cfRule>
  </conditionalFormatting>
  <conditionalFormatting sqref="K195">
    <cfRule type="expression" dxfId="4640" priority="3446">
      <formula>J195="NO CUMPLE"</formula>
    </cfRule>
    <cfRule type="expression" dxfId="4639" priority="3447">
      <formula>J195="CUMPLE"</formula>
    </cfRule>
  </conditionalFormatting>
  <conditionalFormatting sqref="K196:K197">
    <cfRule type="expression" dxfId="4638" priority="3444">
      <formula>J196="NO CUMPLE"</formula>
    </cfRule>
    <cfRule type="expression" dxfId="4637" priority="3445">
      <formula>J196="CUMPLE"</formula>
    </cfRule>
  </conditionalFormatting>
  <conditionalFormatting sqref="K198">
    <cfRule type="expression" dxfId="4636" priority="3442">
      <formula>J198="NO CUMPLE"</formula>
    </cfRule>
    <cfRule type="expression" dxfId="4635" priority="3443">
      <formula>J198="CUMPLE"</formula>
    </cfRule>
  </conditionalFormatting>
  <conditionalFormatting sqref="K199:K200">
    <cfRule type="expression" dxfId="4634" priority="3440">
      <formula>J199="NO CUMPLE"</formula>
    </cfRule>
    <cfRule type="expression" dxfId="4633" priority="3441">
      <formula>J199="CUMPLE"</formula>
    </cfRule>
  </conditionalFormatting>
  <conditionalFormatting sqref="K201">
    <cfRule type="expression" dxfId="4632" priority="3438">
      <formula>J201="NO CUMPLE"</formula>
    </cfRule>
    <cfRule type="expression" dxfId="4631" priority="3439">
      <formula>J201="CUMPLE"</formula>
    </cfRule>
  </conditionalFormatting>
  <conditionalFormatting sqref="K202:K203">
    <cfRule type="expression" dxfId="4630" priority="3436">
      <formula>J202="NO CUMPLE"</formula>
    </cfRule>
    <cfRule type="expression" dxfId="4629" priority="3437">
      <formula>J202="CUMPLE"</formula>
    </cfRule>
  </conditionalFormatting>
  <conditionalFormatting sqref="M193">
    <cfRule type="expression" dxfId="4628" priority="3220">
      <formula>L193="NO CUMPLE"</formula>
    </cfRule>
    <cfRule type="expression" dxfId="4627" priority="3221">
      <formula>L193="CUMPLE"</formula>
    </cfRule>
  </conditionalFormatting>
  <conditionalFormatting sqref="L192:L193">
    <cfRule type="cellIs" dxfId="4626" priority="3222" operator="equal">
      <formula>"NO CUMPLE"</formula>
    </cfRule>
    <cfRule type="cellIs" dxfId="4625" priority="3223" operator="equal">
      <formula>"CUMPLE"</formula>
    </cfRule>
  </conditionalFormatting>
  <conditionalFormatting sqref="M58">
    <cfRule type="expression" dxfId="4624" priority="3430">
      <formula>L58="NO CUMPLE"</formula>
    </cfRule>
    <cfRule type="expression" dxfId="4623" priority="3431">
      <formula>L58="CUMPLE"</formula>
    </cfRule>
  </conditionalFormatting>
  <conditionalFormatting sqref="M57">
    <cfRule type="expression" dxfId="4622" priority="3434">
      <formula>L57="NO CUMPLE"</formula>
    </cfRule>
    <cfRule type="expression" dxfId="4621" priority="3435">
      <formula>L57="CUMPLE"</formula>
    </cfRule>
  </conditionalFormatting>
  <conditionalFormatting sqref="L57:L58">
    <cfRule type="cellIs" dxfId="4620" priority="3432" operator="equal">
      <formula>"NO CUMPLE"</formula>
    </cfRule>
    <cfRule type="cellIs" dxfId="4619" priority="3433" operator="equal">
      <formula>"CUMPLE"</formula>
    </cfRule>
  </conditionalFormatting>
  <conditionalFormatting sqref="M192">
    <cfRule type="expression" dxfId="4618" priority="3224">
      <formula>L192="NO CUMPLE"</formula>
    </cfRule>
    <cfRule type="expression" dxfId="4617" priority="3225">
      <formula>L192="CUMPLE"</formula>
    </cfRule>
  </conditionalFormatting>
  <conditionalFormatting sqref="L38:L39">
    <cfRule type="cellIs" dxfId="4616" priority="3196" operator="equal">
      <formula>"NO CUMPLE"</formula>
    </cfRule>
    <cfRule type="cellIs" dxfId="4615" priority="3197" operator="equal">
      <formula>"CUMPLE"</formula>
    </cfRule>
  </conditionalFormatting>
  <conditionalFormatting sqref="M61">
    <cfRule type="expression" dxfId="4614" priority="3400">
      <formula>L61="NO CUMPLE"</formula>
    </cfRule>
    <cfRule type="expression" dxfId="4613" priority="3401">
      <formula>L61="CUMPLE"</formula>
    </cfRule>
  </conditionalFormatting>
  <conditionalFormatting sqref="M60">
    <cfRule type="expression" dxfId="4612" priority="3404">
      <formula>L60="NO CUMPLE"</formula>
    </cfRule>
    <cfRule type="expression" dxfId="4611" priority="3405">
      <formula>L60="CUMPLE"</formula>
    </cfRule>
  </conditionalFormatting>
  <conditionalFormatting sqref="L60:L61">
    <cfRule type="cellIs" dxfId="4610" priority="3402" operator="equal">
      <formula>"NO CUMPLE"</formula>
    </cfRule>
    <cfRule type="cellIs" dxfId="4609" priority="3403" operator="equal">
      <formula>"CUMPLE"</formula>
    </cfRule>
  </conditionalFormatting>
  <conditionalFormatting sqref="M64">
    <cfRule type="expression" dxfId="4608" priority="3394">
      <formula>L64="NO CUMPLE"</formula>
    </cfRule>
    <cfRule type="expression" dxfId="4607" priority="3395">
      <formula>L64="CUMPLE"</formula>
    </cfRule>
  </conditionalFormatting>
  <conditionalFormatting sqref="M63">
    <cfRule type="expression" dxfId="4606" priority="3398">
      <formula>L63="NO CUMPLE"</formula>
    </cfRule>
    <cfRule type="expression" dxfId="4605" priority="3399">
      <formula>L63="CUMPLE"</formula>
    </cfRule>
  </conditionalFormatting>
  <conditionalFormatting sqref="L63:L64">
    <cfRule type="cellIs" dxfId="4604" priority="3396" operator="equal">
      <formula>"NO CUMPLE"</formula>
    </cfRule>
    <cfRule type="cellIs" dxfId="4603" priority="3397" operator="equal">
      <formula>"CUMPLE"</formula>
    </cfRule>
  </conditionalFormatting>
  <conditionalFormatting sqref="M67">
    <cfRule type="expression" dxfId="4602" priority="3388">
      <formula>L67="NO CUMPLE"</formula>
    </cfRule>
    <cfRule type="expression" dxfId="4601" priority="3389">
      <formula>L67="CUMPLE"</formula>
    </cfRule>
  </conditionalFormatting>
  <conditionalFormatting sqref="M66">
    <cfRule type="expression" dxfId="4600" priority="3392">
      <formula>L66="NO CUMPLE"</formula>
    </cfRule>
    <cfRule type="expression" dxfId="4599" priority="3393">
      <formula>L66="CUMPLE"</formula>
    </cfRule>
  </conditionalFormatting>
  <conditionalFormatting sqref="L66:L67">
    <cfRule type="cellIs" dxfId="4598" priority="3390" operator="equal">
      <formula>"NO CUMPLE"</formula>
    </cfRule>
    <cfRule type="cellIs" dxfId="4597" priority="3391" operator="equal">
      <formula>"CUMPLE"</formula>
    </cfRule>
  </conditionalFormatting>
  <conditionalFormatting sqref="M70">
    <cfRule type="expression" dxfId="4596" priority="3382">
      <formula>L70="NO CUMPLE"</formula>
    </cfRule>
    <cfRule type="expression" dxfId="4595" priority="3383">
      <formula>L70="CUMPLE"</formula>
    </cfRule>
  </conditionalFormatting>
  <conditionalFormatting sqref="M69">
    <cfRule type="expression" dxfId="4594" priority="3386">
      <formula>L69="NO CUMPLE"</formula>
    </cfRule>
    <cfRule type="expression" dxfId="4593" priority="3387">
      <formula>L69="CUMPLE"</formula>
    </cfRule>
  </conditionalFormatting>
  <conditionalFormatting sqref="L69:L70">
    <cfRule type="cellIs" dxfId="4592" priority="3384" operator="equal">
      <formula>"NO CUMPLE"</formula>
    </cfRule>
    <cfRule type="cellIs" dxfId="4591" priority="3385" operator="equal">
      <formula>"CUMPLE"</formula>
    </cfRule>
  </conditionalFormatting>
  <conditionalFormatting sqref="M80">
    <cfRule type="expression" dxfId="4590" priority="3376">
      <formula>L80="NO CUMPLE"</formula>
    </cfRule>
    <cfRule type="expression" dxfId="4589" priority="3377">
      <formula>L80="CUMPLE"</formula>
    </cfRule>
  </conditionalFormatting>
  <conditionalFormatting sqref="M79">
    <cfRule type="expression" dxfId="4588" priority="3380">
      <formula>L79="NO CUMPLE"</formula>
    </cfRule>
    <cfRule type="expression" dxfId="4587" priority="3381">
      <formula>L79="CUMPLE"</formula>
    </cfRule>
  </conditionalFormatting>
  <conditionalFormatting sqref="L79:L80">
    <cfRule type="cellIs" dxfId="4586" priority="3378" operator="equal">
      <formula>"NO CUMPLE"</formula>
    </cfRule>
    <cfRule type="cellIs" dxfId="4585" priority="3379" operator="equal">
      <formula>"CUMPLE"</formula>
    </cfRule>
  </conditionalFormatting>
  <conditionalFormatting sqref="M83">
    <cfRule type="expression" dxfId="4584" priority="3370">
      <formula>L83="NO CUMPLE"</formula>
    </cfRule>
    <cfRule type="expression" dxfId="4583" priority="3371">
      <formula>L83="CUMPLE"</formula>
    </cfRule>
  </conditionalFormatting>
  <conditionalFormatting sqref="M82">
    <cfRule type="expression" dxfId="4582" priority="3374">
      <formula>L82="NO CUMPLE"</formula>
    </cfRule>
    <cfRule type="expression" dxfId="4581" priority="3375">
      <formula>L82="CUMPLE"</formula>
    </cfRule>
  </conditionalFormatting>
  <conditionalFormatting sqref="L82:L83">
    <cfRule type="cellIs" dxfId="4580" priority="3372" operator="equal">
      <formula>"NO CUMPLE"</formula>
    </cfRule>
    <cfRule type="cellIs" dxfId="4579" priority="3373" operator="equal">
      <formula>"CUMPLE"</formula>
    </cfRule>
  </conditionalFormatting>
  <conditionalFormatting sqref="M86">
    <cfRule type="expression" dxfId="4578" priority="3364">
      <formula>L86="NO CUMPLE"</formula>
    </cfRule>
    <cfRule type="expression" dxfId="4577" priority="3365">
      <formula>L86="CUMPLE"</formula>
    </cfRule>
  </conditionalFormatting>
  <conditionalFormatting sqref="M85">
    <cfRule type="expression" dxfId="4576" priority="3368">
      <formula>L85="NO CUMPLE"</formula>
    </cfRule>
    <cfRule type="expression" dxfId="4575" priority="3369">
      <formula>L85="CUMPLE"</formula>
    </cfRule>
  </conditionalFormatting>
  <conditionalFormatting sqref="L85:L86">
    <cfRule type="cellIs" dxfId="4574" priority="3366" operator="equal">
      <formula>"NO CUMPLE"</formula>
    </cfRule>
    <cfRule type="cellIs" dxfId="4573" priority="3367" operator="equal">
      <formula>"CUMPLE"</formula>
    </cfRule>
  </conditionalFormatting>
  <conditionalFormatting sqref="M89">
    <cfRule type="expression" dxfId="4572" priority="3358">
      <formula>L89="NO CUMPLE"</formula>
    </cfRule>
    <cfRule type="expression" dxfId="4571" priority="3359">
      <formula>L89="CUMPLE"</formula>
    </cfRule>
  </conditionalFormatting>
  <conditionalFormatting sqref="M88">
    <cfRule type="expression" dxfId="4570" priority="3362">
      <formula>L88="NO CUMPLE"</formula>
    </cfRule>
    <cfRule type="expression" dxfId="4569" priority="3363">
      <formula>L88="CUMPLE"</formula>
    </cfRule>
  </conditionalFormatting>
  <conditionalFormatting sqref="L88:L89">
    <cfRule type="cellIs" dxfId="4568" priority="3360" operator="equal">
      <formula>"NO CUMPLE"</formula>
    </cfRule>
    <cfRule type="cellIs" dxfId="4567" priority="3361" operator="equal">
      <formula>"CUMPLE"</formula>
    </cfRule>
  </conditionalFormatting>
  <conditionalFormatting sqref="M92">
    <cfRule type="expression" dxfId="4566" priority="3352">
      <formula>L92="NO CUMPLE"</formula>
    </cfRule>
    <cfRule type="expression" dxfId="4565" priority="3353">
      <formula>L92="CUMPLE"</formula>
    </cfRule>
  </conditionalFormatting>
  <conditionalFormatting sqref="M91">
    <cfRule type="expression" dxfId="4564" priority="3356">
      <formula>L91="NO CUMPLE"</formula>
    </cfRule>
    <cfRule type="expression" dxfId="4563" priority="3357">
      <formula>L91="CUMPLE"</formula>
    </cfRule>
  </conditionalFormatting>
  <conditionalFormatting sqref="L91:L92">
    <cfRule type="cellIs" dxfId="4562" priority="3354" operator="equal">
      <formula>"NO CUMPLE"</formula>
    </cfRule>
    <cfRule type="cellIs" dxfId="4561" priority="3355" operator="equal">
      <formula>"CUMPLE"</formula>
    </cfRule>
  </conditionalFormatting>
  <conditionalFormatting sqref="M102">
    <cfRule type="expression" dxfId="4560" priority="3346">
      <formula>L102="NO CUMPLE"</formula>
    </cfRule>
    <cfRule type="expression" dxfId="4559" priority="3347">
      <formula>L102="CUMPLE"</formula>
    </cfRule>
  </conditionalFormatting>
  <conditionalFormatting sqref="M101">
    <cfRule type="expression" dxfId="4558" priority="3350">
      <formula>L101="NO CUMPLE"</formula>
    </cfRule>
    <cfRule type="expression" dxfId="4557" priority="3351">
      <formula>L101="CUMPLE"</formula>
    </cfRule>
  </conditionalFormatting>
  <conditionalFormatting sqref="L101:L102">
    <cfRule type="cellIs" dxfId="4556" priority="3348" operator="equal">
      <formula>"NO CUMPLE"</formula>
    </cfRule>
    <cfRule type="cellIs" dxfId="4555" priority="3349" operator="equal">
      <formula>"CUMPLE"</formula>
    </cfRule>
  </conditionalFormatting>
  <conditionalFormatting sqref="M105">
    <cfRule type="expression" dxfId="4554" priority="3340">
      <formula>L105="NO CUMPLE"</formula>
    </cfRule>
    <cfRule type="expression" dxfId="4553" priority="3341">
      <formula>L105="CUMPLE"</formula>
    </cfRule>
  </conditionalFormatting>
  <conditionalFormatting sqref="M104">
    <cfRule type="expression" dxfId="4552" priority="3344">
      <formula>L104="NO CUMPLE"</formula>
    </cfRule>
    <cfRule type="expression" dxfId="4551" priority="3345">
      <formula>L104="CUMPLE"</formula>
    </cfRule>
  </conditionalFormatting>
  <conditionalFormatting sqref="L104:L105">
    <cfRule type="cellIs" dxfId="4550" priority="3342" operator="equal">
      <formula>"NO CUMPLE"</formula>
    </cfRule>
    <cfRule type="cellIs" dxfId="4549" priority="3343" operator="equal">
      <formula>"CUMPLE"</formula>
    </cfRule>
  </conditionalFormatting>
  <conditionalFormatting sqref="M108">
    <cfRule type="expression" dxfId="4548" priority="3334">
      <formula>L108="NO CUMPLE"</formula>
    </cfRule>
    <cfRule type="expression" dxfId="4547" priority="3335">
      <formula>L108="CUMPLE"</formula>
    </cfRule>
  </conditionalFormatting>
  <conditionalFormatting sqref="M107">
    <cfRule type="expression" dxfId="4546" priority="3338">
      <formula>L107="NO CUMPLE"</formula>
    </cfRule>
    <cfRule type="expression" dxfId="4545" priority="3339">
      <formula>L107="CUMPLE"</formula>
    </cfRule>
  </conditionalFormatting>
  <conditionalFormatting sqref="L107:L108">
    <cfRule type="cellIs" dxfId="4544" priority="3336" operator="equal">
      <formula>"NO CUMPLE"</formula>
    </cfRule>
    <cfRule type="cellIs" dxfId="4543" priority="3337" operator="equal">
      <formula>"CUMPLE"</formula>
    </cfRule>
  </conditionalFormatting>
  <conditionalFormatting sqref="M111">
    <cfRule type="expression" dxfId="4542" priority="3328">
      <formula>L111="NO CUMPLE"</formula>
    </cfRule>
    <cfRule type="expression" dxfId="4541" priority="3329">
      <formula>L111="CUMPLE"</formula>
    </cfRule>
  </conditionalFormatting>
  <conditionalFormatting sqref="M110">
    <cfRule type="expression" dxfId="4540" priority="3332">
      <formula>L110="NO CUMPLE"</formula>
    </cfRule>
    <cfRule type="expression" dxfId="4539" priority="3333">
      <formula>L110="CUMPLE"</formula>
    </cfRule>
  </conditionalFormatting>
  <conditionalFormatting sqref="L110:L111">
    <cfRule type="cellIs" dxfId="4538" priority="3330" operator="equal">
      <formula>"NO CUMPLE"</formula>
    </cfRule>
    <cfRule type="cellIs" dxfId="4537" priority="3331" operator="equal">
      <formula>"CUMPLE"</formula>
    </cfRule>
  </conditionalFormatting>
  <conditionalFormatting sqref="M123">
    <cfRule type="expression" dxfId="4536" priority="3320">
      <formula>L123="NO CUMPLE"</formula>
    </cfRule>
    <cfRule type="expression" dxfId="4535" priority="3321">
      <formula>L123="CUMPLE"</formula>
    </cfRule>
  </conditionalFormatting>
  <conditionalFormatting sqref="M157">
    <cfRule type="expression" dxfId="4534" priority="3266">
      <formula>L157="NO CUMPLE"</formula>
    </cfRule>
    <cfRule type="expression" dxfId="4533" priority="3267">
      <formula>L157="CUMPLE"</formula>
    </cfRule>
  </conditionalFormatting>
  <conditionalFormatting sqref="M158">
    <cfRule type="expression" dxfId="4532" priority="3262">
      <formula>L158="NO CUMPLE"</formula>
    </cfRule>
    <cfRule type="expression" dxfId="4531" priority="3263">
      <formula>L158="CUMPLE"</formula>
    </cfRule>
  </conditionalFormatting>
  <conditionalFormatting sqref="L157:L158">
    <cfRule type="cellIs" dxfId="4530" priority="3264" operator="equal">
      <formula>"NO CUMPLE"</formula>
    </cfRule>
    <cfRule type="cellIs" dxfId="4529" priority="3265" operator="equal">
      <formula>"CUMPLE"</formula>
    </cfRule>
  </conditionalFormatting>
  <conditionalFormatting sqref="M168">
    <cfRule type="expression" dxfId="4528" priority="3256">
      <formula>L168="NO CUMPLE"</formula>
    </cfRule>
    <cfRule type="expression" dxfId="4527" priority="3257">
      <formula>L168="CUMPLE"</formula>
    </cfRule>
  </conditionalFormatting>
  <conditionalFormatting sqref="M167">
    <cfRule type="expression" dxfId="4526" priority="3260">
      <formula>L167="NO CUMPLE"</formula>
    </cfRule>
    <cfRule type="expression" dxfId="4525" priority="3261">
      <formula>L167="CUMPLE"</formula>
    </cfRule>
  </conditionalFormatting>
  <conditionalFormatting sqref="L167:L168">
    <cfRule type="cellIs" dxfId="4524" priority="3258" operator="equal">
      <formula>"NO CUMPLE"</formula>
    </cfRule>
    <cfRule type="cellIs" dxfId="4523" priority="3259" operator="equal">
      <formula>"CUMPLE"</formula>
    </cfRule>
  </conditionalFormatting>
  <conditionalFormatting sqref="M171">
    <cfRule type="expression" dxfId="4522" priority="3250">
      <formula>L171="NO CUMPLE"</formula>
    </cfRule>
    <cfRule type="expression" dxfId="4521" priority="3251">
      <formula>L171="CUMPLE"</formula>
    </cfRule>
  </conditionalFormatting>
  <conditionalFormatting sqref="M170">
    <cfRule type="expression" dxfId="4520" priority="3254">
      <formula>L170="NO CUMPLE"</formula>
    </cfRule>
    <cfRule type="expression" dxfId="4519" priority="3255">
      <formula>L170="CUMPLE"</formula>
    </cfRule>
  </conditionalFormatting>
  <conditionalFormatting sqref="L170:L171">
    <cfRule type="cellIs" dxfId="4518" priority="3252" operator="equal">
      <formula>"NO CUMPLE"</formula>
    </cfRule>
    <cfRule type="cellIs" dxfId="4517" priority="3253" operator="equal">
      <formula>"CUMPLE"</formula>
    </cfRule>
  </conditionalFormatting>
  <conditionalFormatting sqref="M174">
    <cfRule type="expression" dxfId="4516" priority="3244">
      <formula>L174="NO CUMPLE"</formula>
    </cfRule>
    <cfRule type="expression" dxfId="4515" priority="3245">
      <formula>L174="CUMPLE"</formula>
    </cfRule>
  </conditionalFormatting>
  <conditionalFormatting sqref="M173">
    <cfRule type="expression" dxfId="4514" priority="3248">
      <formula>L173="NO CUMPLE"</formula>
    </cfRule>
    <cfRule type="expression" dxfId="4513" priority="3249">
      <formula>L173="CUMPLE"</formula>
    </cfRule>
  </conditionalFormatting>
  <conditionalFormatting sqref="L173:L174">
    <cfRule type="cellIs" dxfId="4512" priority="3246" operator="equal">
      <formula>"NO CUMPLE"</formula>
    </cfRule>
    <cfRule type="cellIs" dxfId="4511" priority="3247" operator="equal">
      <formula>"CUMPLE"</formula>
    </cfRule>
  </conditionalFormatting>
  <conditionalFormatting sqref="M177">
    <cfRule type="expression" dxfId="4510" priority="3238">
      <formula>L177="NO CUMPLE"</formula>
    </cfRule>
    <cfRule type="expression" dxfId="4509" priority="3239">
      <formula>L177="CUMPLE"</formula>
    </cfRule>
  </conditionalFormatting>
  <conditionalFormatting sqref="M176">
    <cfRule type="expression" dxfId="4508" priority="3242">
      <formula>L176="NO CUMPLE"</formula>
    </cfRule>
    <cfRule type="expression" dxfId="4507" priority="3243">
      <formula>L176="CUMPLE"</formula>
    </cfRule>
  </conditionalFormatting>
  <conditionalFormatting sqref="L176:L177">
    <cfRule type="cellIs" dxfId="4506" priority="3240" operator="equal">
      <formula>"NO CUMPLE"</formula>
    </cfRule>
    <cfRule type="cellIs" dxfId="4505" priority="3241" operator="equal">
      <formula>"CUMPLE"</formula>
    </cfRule>
  </conditionalFormatting>
  <conditionalFormatting sqref="M180">
    <cfRule type="expression" dxfId="4504" priority="3232">
      <formula>L180="NO CUMPLE"</formula>
    </cfRule>
    <cfRule type="expression" dxfId="4503" priority="3233">
      <formula>L180="CUMPLE"</formula>
    </cfRule>
  </conditionalFormatting>
  <conditionalFormatting sqref="M179">
    <cfRule type="expression" dxfId="4502" priority="3236">
      <formula>L179="NO CUMPLE"</formula>
    </cfRule>
    <cfRule type="expression" dxfId="4501" priority="3237">
      <formula>L179="CUMPLE"</formula>
    </cfRule>
  </conditionalFormatting>
  <conditionalFormatting sqref="L179:L180">
    <cfRule type="cellIs" dxfId="4500" priority="3234" operator="equal">
      <formula>"NO CUMPLE"</formula>
    </cfRule>
    <cfRule type="cellIs" dxfId="4499" priority="3235" operator="equal">
      <formula>"CUMPLE"</formula>
    </cfRule>
  </conditionalFormatting>
  <conditionalFormatting sqref="M190">
    <cfRule type="expression" dxfId="4498" priority="3226">
      <formula>L190="NO CUMPLE"</formula>
    </cfRule>
    <cfRule type="expression" dxfId="4497" priority="3227">
      <formula>L190="CUMPLE"</formula>
    </cfRule>
  </conditionalFormatting>
  <conditionalFormatting sqref="M189">
    <cfRule type="expression" dxfId="4496" priority="3230">
      <formula>L189="NO CUMPLE"</formula>
    </cfRule>
    <cfRule type="expression" dxfId="4495" priority="3231">
      <formula>L189="CUMPLE"</formula>
    </cfRule>
  </conditionalFormatting>
  <conditionalFormatting sqref="L189:L190">
    <cfRule type="cellIs" dxfId="4494" priority="3228" operator="equal">
      <formula>"NO CUMPLE"</formula>
    </cfRule>
    <cfRule type="cellIs" dxfId="4493" priority="3229" operator="equal">
      <formula>"CUMPLE"</formula>
    </cfRule>
  </conditionalFormatting>
  <conditionalFormatting sqref="M196">
    <cfRule type="expression" dxfId="4492" priority="3214">
      <formula>L196="NO CUMPLE"</formula>
    </cfRule>
    <cfRule type="expression" dxfId="4491" priority="3215">
      <formula>L196="CUMPLE"</formula>
    </cfRule>
  </conditionalFormatting>
  <conditionalFormatting sqref="M195">
    <cfRule type="expression" dxfId="4490" priority="3218">
      <formula>L195="NO CUMPLE"</formula>
    </cfRule>
    <cfRule type="expression" dxfId="4489" priority="3219">
      <formula>L195="CUMPLE"</formula>
    </cfRule>
  </conditionalFormatting>
  <conditionalFormatting sqref="L195:L196">
    <cfRule type="cellIs" dxfId="4488" priority="3216" operator="equal">
      <formula>"NO CUMPLE"</formula>
    </cfRule>
    <cfRule type="cellIs" dxfId="4487" priority="3217" operator="equal">
      <formula>"CUMPLE"</formula>
    </cfRule>
  </conditionalFormatting>
  <conditionalFormatting sqref="L44:L45">
    <cfRule type="cellIs" dxfId="4486" priority="3184" operator="equal">
      <formula>"NO CUMPLE"</formula>
    </cfRule>
    <cfRule type="cellIs" dxfId="4485" priority="3185" operator="equal">
      <formula>"CUMPLE"</formula>
    </cfRule>
  </conditionalFormatting>
  <conditionalFormatting sqref="M202">
    <cfRule type="expression" dxfId="4484" priority="3202">
      <formula>L202="NO CUMPLE"</formula>
    </cfRule>
    <cfRule type="expression" dxfId="4483" priority="3203">
      <formula>L202="CUMPLE"</formula>
    </cfRule>
  </conditionalFormatting>
  <conditionalFormatting sqref="M201">
    <cfRule type="expression" dxfId="4482" priority="3206">
      <formula>L201="NO CUMPLE"</formula>
    </cfRule>
    <cfRule type="expression" dxfId="4481" priority="3207">
      <formula>L201="CUMPLE"</formula>
    </cfRule>
  </conditionalFormatting>
  <conditionalFormatting sqref="L201:L202">
    <cfRule type="cellIs" dxfId="4480" priority="3204" operator="equal">
      <formula>"NO CUMPLE"</formula>
    </cfRule>
    <cfRule type="cellIs" dxfId="4479" priority="3205" operator="equal">
      <formula>"CUMPLE"</formula>
    </cfRule>
  </conditionalFormatting>
  <conditionalFormatting sqref="S13 S16">
    <cfRule type="cellIs" dxfId="4478" priority="3200" operator="greaterThan">
      <formula>0</formula>
    </cfRule>
    <cfRule type="top10" dxfId="4477" priority="3201" rank="10"/>
  </conditionalFormatting>
  <conditionalFormatting sqref="L41:L42">
    <cfRule type="cellIs" dxfId="4476" priority="3190" operator="equal">
      <formula>"NO CUMPLE"</formula>
    </cfRule>
    <cfRule type="cellIs" dxfId="4475" priority="3191" operator="equal">
      <formula>"CUMPLE"</formula>
    </cfRule>
  </conditionalFormatting>
  <conditionalFormatting sqref="L47:L48">
    <cfRule type="cellIs" dxfId="4474" priority="3178" operator="equal">
      <formula>"NO CUMPLE"</formula>
    </cfRule>
    <cfRule type="cellIs" dxfId="4473" priority="3179" operator="equal">
      <formula>"CUMPLE"</formula>
    </cfRule>
  </conditionalFormatting>
  <conditionalFormatting sqref="M20 M23 M26">
    <cfRule type="expression" dxfId="4472" priority="3172">
      <formula>L20="NO CUMPLE"</formula>
    </cfRule>
    <cfRule type="expression" dxfId="4471" priority="3173">
      <formula>L20="CUMPLE"</formula>
    </cfRule>
  </conditionalFormatting>
  <conditionalFormatting sqref="M19 M22 M25">
    <cfRule type="expression" dxfId="4470" priority="3174">
      <formula>L19="NO CUMPLE"</formula>
    </cfRule>
    <cfRule type="expression" dxfId="4469" priority="3175">
      <formula>L19="CUMPLE"</formula>
    </cfRule>
  </conditionalFormatting>
  <conditionalFormatting sqref="Q16">
    <cfRule type="containsBlanks" dxfId="4468" priority="3163">
      <formula>LEN(TRIM(Q16))=0</formula>
    </cfRule>
    <cfRule type="cellIs" dxfId="4467" priority="3168" operator="equal">
      <formula>"REQUERIMIENTOS SUBSANADOS"</formula>
    </cfRule>
    <cfRule type="containsText" dxfId="4466" priority="3169" operator="containsText" text="NO SUBSANABLE">
      <formula>NOT(ISERROR(SEARCH("NO SUBSANABLE",Q16)))</formula>
    </cfRule>
    <cfRule type="containsText" dxfId="4465" priority="3170" operator="containsText" text="PENDIENTES POR SUBSANAR">
      <formula>NOT(ISERROR(SEARCH("PENDIENTES POR SUBSANAR",Q16)))</formula>
    </cfRule>
    <cfRule type="containsText" dxfId="4464" priority="3171" operator="containsText" text="SIN OBSERVACIÓN">
      <formula>NOT(ISERROR(SEARCH("SIN OBSERVACIÓN",Q16)))</formula>
    </cfRule>
  </conditionalFormatting>
  <conditionalFormatting sqref="R16">
    <cfRule type="containsBlanks" dxfId="4463" priority="3162">
      <formula>LEN(TRIM(R16))=0</formula>
    </cfRule>
    <cfRule type="cellIs" dxfId="4462" priority="3164" operator="equal">
      <formula>"NO CUMPLEN CON LO SOLICITADO"</formula>
    </cfRule>
    <cfRule type="cellIs" dxfId="4461" priority="3165" operator="equal">
      <formula>"CUMPLEN CON LO SOLICITADO"</formula>
    </cfRule>
    <cfRule type="cellIs" dxfId="4460" priority="3166" operator="equal">
      <formula>"PENDIENTES"</formula>
    </cfRule>
    <cfRule type="cellIs" dxfId="4459" priority="3167" operator="equal">
      <formula>"NINGUNO"</formula>
    </cfRule>
  </conditionalFormatting>
  <conditionalFormatting sqref="N41">
    <cfRule type="expression" dxfId="4458" priority="3133">
      <formula>N41=" "</formula>
    </cfRule>
    <cfRule type="expression" dxfId="4457" priority="3134">
      <formula>N41="NO PRESENTÓ CERTIFICADO"</formula>
    </cfRule>
    <cfRule type="expression" dxfId="4456" priority="3135">
      <formula>N41="PRESENTÓ CERTIFICADO"</formula>
    </cfRule>
  </conditionalFormatting>
  <conditionalFormatting sqref="O41">
    <cfRule type="cellIs" dxfId="4455" priority="3115" operator="equal">
      <formula>"PENDIENTE POR DESCRIPCIÓN"</formula>
    </cfRule>
    <cfRule type="cellIs" dxfId="4454" priority="3116" operator="equal">
      <formula>"DESCRIPCIÓN INSUFICIENTE"</formula>
    </cfRule>
    <cfRule type="cellIs" dxfId="4453" priority="3117" operator="equal">
      <formula>"NO ESTÁ ACORDE A ITEM 5.2.2 (T.R.)"</formula>
    </cfRule>
    <cfRule type="cellIs" dxfId="4452" priority="3118" operator="equal">
      <formula>"ACORDE A ITEM 5.2.2 (T.R.)"</formula>
    </cfRule>
    <cfRule type="cellIs" dxfId="4451" priority="3125" operator="equal">
      <formula>"PENDIENTE POR DESCRIPCIÓN"</formula>
    </cfRule>
    <cfRule type="cellIs" dxfId="4450" priority="3127" operator="equal">
      <formula>"DESCRIPCIÓN INSUFICIENTE"</formula>
    </cfRule>
    <cfRule type="cellIs" dxfId="4449" priority="3128" operator="equal">
      <formula>"NO ESTÁ ACORDE A ITEM 5.2.1 (T.R.)"</formula>
    </cfRule>
    <cfRule type="cellIs" dxfId="4448" priority="3129" operator="equal">
      <formula>"ACORDE A ITEM 5.2.1 (T.R.)"</formula>
    </cfRule>
  </conditionalFormatting>
  <conditionalFormatting sqref="Q41">
    <cfRule type="containsBlanks" dxfId="4447" priority="3120">
      <formula>LEN(TRIM(Q41))=0</formula>
    </cfRule>
    <cfRule type="cellIs" dxfId="4446" priority="3126" operator="equal">
      <formula>"REQUERIMIENTOS SUBSANADOS"</formula>
    </cfRule>
    <cfRule type="containsText" dxfId="4445" priority="3130" operator="containsText" text="NO SUBSANABLE">
      <formula>NOT(ISERROR(SEARCH("NO SUBSANABLE",Q41)))</formula>
    </cfRule>
    <cfRule type="containsText" dxfId="4444" priority="3131" operator="containsText" text="PENDIENTES POR SUBSANAR">
      <formula>NOT(ISERROR(SEARCH("PENDIENTES POR SUBSANAR",Q41)))</formula>
    </cfRule>
    <cfRule type="containsText" dxfId="4443" priority="3132" operator="containsText" text="SIN OBSERVACIÓN">
      <formula>NOT(ISERROR(SEARCH("SIN OBSERVACIÓN",Q41)))</formula>
    </cfRule>
  </conditionalFormatting>
  <conditionalFormatting sqref="R41">
    <cfRule type="containsBlanks" dxfId="4442" priority="3119">
      <formula>LEN(TRIM(R41))=0</formula>
    </cfRule>
    <cfRule type="cellIs" dxfId="4441" priority="3121" operator="equal">
      <formula>"NO CUMPLEN CON LO SOLICITADO"</formula>
    </cfRule>
    <cfRule type="cellIs" dxfId="4440" priority="3122" operator="equal">
      <formula>"CUMPLEN CON LO SOLICITADO"</formula>
    </cfRule>
    <cfRule type="cellIs" dxfId="4439" priority="3123" operator="equal">
      <formula>"PENDIENTES"</formula>
    </cfRule>
    <cfRule type="cellIs" dxfId="4438" priority="3124" operator="equal">
      <formula>"NINGUNO"</formula>
    </cfRule>
  </conditionalFormatting>
  <conditionalFormatting sqref="P41">
    <cfRule type="expression" dxfId="4437" priority="3110">
      <formula>Q41="NO SUBSANABLE"</formula>
    </cfRule>
    <cfRule type="expression" dxfId="4436" priority="3111">
      <formula>Q41="REQUERIMIENTOS SUBSANADOS"</formula>
    </cfRule>
    <cfRule type="expression" dxfId="4435" priority="3112">
      <formula>Q41="PENDIENTES POR SUBSANAR"</formula>
    </cfRule>
    <cfRule type="expression" dxfId="4434" priority="3113">
      <formula>Q41="SIN OBSERVACIÓN"</formula>
    </cfRule>
    <cfRule type="containsBlanks" dxfId="4433" priority="3114">
      <formula>LEN(TRIM(P41))=0</formula>
    </cfRule>
  </conditionalFormatting>
  <conditionalFormatting sqref="N44">
    <cfRule type="expression" dxfId="4432" priority="3107">
      <formula>N44=" "</formula>
    </cfRule>
    <cfRule type="expression" dxfId="4431" priority="3108">
      <formula>N44="NO PRESENTÓ CERTIFICADO"</formula>
    </cfRule>
    <cfRule type="expression" dxfId="4430" priority="3109">
      <formula>N44="PRESENTÓ CERTIFICADO"</formula>
    </cfRule>
  </conditionalFormatting>
  <conditionalFormatting sqref="O44">
    <cfRule type="cellIs" dxfId="4429" priority="3089" operator="equal">
      <formula>"PENDIENTE POR DESCRIPCIÓN"</formula>
    </cfRule>
    <cfRule type="cellIs" dxfId="4428" priority="3090" operator="equal">
      <formula>"DESCRIPCIÓN INSUFICIENTE"</formula>
    </cfRule>
    <cfRule type="cellIs" dxfId="4427" priority="3091" operator="equal">
      <formula>"NO ESTÁ ACORDE A ITEM 5.2.2 (T.R.)"</formula>
    </cfRule>
    <cfRule type="cellIs" dxfId="4426" priority="3092" operator="equal">
      <formula>"ACORDE A ITEM 5.2.2 (T.R.)"</formula>
    </cfRule>
    <cfRule type="cellIs" dxfId="4425" priority="3099" operator="equal">
      <formula>"PENDIENTE POR DESCRIPCIÓN"</formula>
    </cfRule>
    <cfRule type="cellIs" dxfId="4424" priority="3101" operator="equal">
      <formula>"DESCRIPCIÓN INSUFICIENTE"</formula>
    </cfRule>
    <cfRule type="cellIs" dxfId="4423" priority="3102" operator="equal">
      <formula>"NO ESTÁ ACORDE A ITEM 5.2.1 (T.R.)"</formula>
    </cfRule>
    <cfRule type="cellIs" dxfId="4422" priority="3103" operator="equal">
      <formula>"ACORDE A ITEM 5.2.1 (T.R.)"</formula>
    </cfRule>
  </conditionalFormatting>
  <conditionalFormatting sqref="Q44">
    <cfRule type="containsBlanks" dxfId="4421" priority="3094">
      <formula>LEN(TRIM(Q44))=0</formula>
    </cfRule>
    <cfRule type="cellIs" dxfId="4420" priority="3100" operator="equal">
      <formula>"REQUERIMIENTOS SUBSANADOS"</formula>
    </cfRule>
    <cfRule type="containsText" dxfId="4419" priority="3104" operator="containsText" text="NO SUBSANABLE">
      <formula>NOT(ISERROR(SEARCH("NO SUBSANABLE",Q44)))</formula>
    </cfRule>
    <cfRule type="containsText" dxfId="4418" priority="3105" operator="containsText" text="PENDIENTES POR SUBSANAR">
      <formula>NOT(ISERROR(SEARCH("PENDIENTES POR SUBSANAR",Q44)))</formula>
    </cfRule>
    <cfRule type="containsText" dxfId="4417" priority="3106" operator="containsText" text="SIN OBSERVACIÓN">
      <formula>NOT(ISERROR(SEARCH("SIN OBSERVACIÓN",Q44)))</formula>
    </cfRule>
  </conditionalFormatting>
  <conditionalFormatting sqref="R44">
    <cfRule type="containsBlanks" dxfId="4416" priority="3093">
      <formula>LEN(TRIM(R44))=0</formula>
    </cfRule>
    <cfRule type="cellIs" dxfId="4415" priority="3095" operator="equal">
      <formula>"NO CUMPLEN CON LO SOLICITADO"</formula>
    </cfRule>
    <cfRule type="cellIs" dxfId="4414" priority="3096" operator="equal">
      <formula>"CUMPLEN CON LO SOLICITADO"</formula>
    </cfRule>
    <cfRule type="cellIs" dxfId="4413" priority="3097" operator="equal">
      <formula>"PENDIENTES"</formula>
    </cfRule>
    <cfRule type="cellIs" dxfId="4412" priority="3098" operator="equal">
      <formula>"NINGUNO"</formula>
    </cfRule>
  </conditionalFormatting>
  <conditionalFormatting sqref="P44">
    <cfRule type="expression" dxfId="4411" priority="3084">
      <formula>Q44="NO SUBSANABLE"</formula>
    </cfRule>
    <cfRule type="expression" dxfId="4410" priority="3085">
      <formula>Q44="REQUERIMIENTOS SUBSANADOS"</formula>
    </cfRule>
    <cfRule type="expression" dxfId="4409" priority="3086">
      <formula>Q44="PENDIENTES POR SUBSANAR"</formula>
    </cfRule>
    <cfRule type="expression" dxfId="4408" priority="3087">
      <formula>Q44="SIN OBSERVACIÓN"</formula>
    </cfRule>
    <cfRule type="containsBlanks" dxfId="4407" priority="3088">
      <formula>LEN(TRIM(P44))=0</formula>
    </cfRule>
  </conditionalFormatting>
  <conditionalFormatting sqref="N47">
    <cfRule type="expression" dxfId="4406" priority="3081">
      <formula>N47=" "</formula>
    </cfRule>
    <cfRule type="expression" dxfId="4405" priority="3082">
      <formula>N47="NO PRESENTÓ CERTIFICADO"</formula>
    </cfRule>
    <cfRule type="expression" dxfId="4404" priority="3083">
      <formula>N47="PRESENTÓ CERTIFICADO"</formula>
    </cfRule>
  </conditionalFormatting>
  <conditionalFormatting sqref="O47">
    <cfRule type="cellIs" dxfId="4403" priority="3063" operator="equal">
      <formula>"PENDIENTE POR DESCRIPCIÓN"</formula>
    </cfRule>
    <cfRule type="cellIs" dxfId="4402" priority="3064" operator="equal">
      <formula>"DESCRIPCIÓN INSUFICIENTE"</formula>
    </cfRule>
    <cfRule type="cellIs" dxfId="4401" priority="3065" operator="equal">
      <formula>"NO ESTÁ ACORDE A ITEM 5.2.2 (T.R.)"</formula>
    </cfRule>
    <cfRule type="cellIs" dxfId="4400" priority="3066" operator="equal">
      <formula>"ACORDE A ITEM 5.2.2 (T.R.)"</formula>
    </cfRule>
    <cfRule type="cellIs" dxfId="4399" priority="3073" operator="equal">
      <formula>"PENDIENTE POR DESCRIPCIÓN"</formula>
    </cfRule>
    <cfRule type="cellIs" dxfId="4398" priority="3075" operator="equal">
      <formula>"DESCRIPCIÓN INSUFICIENTE"</formula>
    </cfRule>
    <cfRule type="cellIs" dxfId="4397" priority="3076" operator="equal">
      <formula>"NO ESTÁ ACORDE A ITEM 5.2.1 (T.R.)"</formula>
    </cfRule>
    <cfRule type="cellIs" dxfId="4396" priority="3077" operator="equal">
      <formula>"ACORDE A ITEM 5.2.1 (T.R.)"</formula>
    </cfRule>
  </conditionalFormatting>
  <conditionalFormatting sqref="Q47">
    <cfRule type="containsBlanks" dxfId="4395" priority="3068">
      <formula>LEN(TRIM(Q47))=0</formula>
    </cfRule>
    <cfRule type="cellIs" dxfId="4394" priority="3074" operator="equal">
      <formula>"REQUERIMIENTOS SUBSANADOS"</formula>
    </cfRule>
    <cfRule type="containsText" dxfId="4393" priority="3078" operator="containsText" text="NO SUBSANABLE">
      <formula>NOT(ISERROR(SEARCH("NO SUBSANABLE",Q47)))</formula>
    </cfRule>
    <cfRule type="containsText" dxfId="4392" priority="3079" operator="containsText" text="PENDIENTES POR SUBSANAR">
      <formula>NOT(ISERROR(SEARCH("PENDIENTES POR SUBSANAR",Q47)))</formula>
    </cfRule>
    <cfRule type="containsText" dxfId="4391" priority="3080" operator="containsText" text="SIN OBSERVACIÓN">
      <formula>NOT(ISERROR(SEARCH("SIN OBSERVACIÓN",Q47)))</formula>
    </cfRule>
  </conditionalFormatting>
  <conditionalFormatting sqref="R47">
    <cfRule type="containsBlanks" dxfId="4390" priority="3067">
      <formula>LEN(TRIM(R47))=0</formula>
    </cfRule>
    <cfRule type="cellIs" dxfId="4389" priority="3069" operator="equal">
      <formula>"NO CUMPLEN CON LO SOLICITADO"</formula>
    </cfRule>
    <cfRule type="cellIs" dxfId="4388" priority="3070" operator="equal">
      <formula>"CUMPLEN CON LO SOLICITADO"</formula>
    </cfRule>
    <cfRule type="cellIs" dxfId="4387" priority="3071" operator="equal">
      <formula>"PENDIENTES"</formula>
    </cfRule>
    <cfRule type="cellIs" dxfId="4386" priority="3072" operator="equal">
      <formula>"NINGUNO"</formula>
    </cfRule>
  </conditionalFormatting>
  <conditionalFormatting sqref="P47">
    <cfRule type="expression" dxfId="4385" priority="3058">
      <formula>Q47="NO SUBSANABLE"</formula>
    </cfRule>
    <cfRule type="expression" dxfId="4384" priority="3059">
      <formula>Q47="REQUERIMIENTOS SUBSANADOS"</formula>
    </cfRule>
    <cfRule type="expression" dxfId="4383" priority="3060">
      <formula>Q47="PENDIENTES POR SUBSANAR"</formula>
    </cfRule>
    <cfRule type="expression" dxfId="4382" priority="3061">
      <formula>Q47="SIN OBSERVACIÓN"</formula>
    </cfRule>
    <cfRule type="containsBlanks" dxfId="4381" priority="3062">
      <formula>LEN(TRIM(P47))=0</formula>
    </cfRule>
  </conditionalFormatting>
  <conditionalFormatting sqref="N88">
    <cfRule type="expression" dxfId="4380" priority="2925">
      <formula>N88=" "</formula>
    </cfRule>
    <cfRule type="expression" dxfId="4379" priority="2926">
      <formula>N88="NO PRESENTÓ CERTIFICADO"</formula>
    </cfRule>
    <cfRule type="expression" dxfId="4378" priority="2927">
      <formula>N88="PRESENTÓ CERTIFICADO"</formula>
    </cfRule>
  </conditionalFormatting>
  <conditionalFormatting sqref="O88">
    <cfRule type="cellIs" dxfId="4377" priority="2907" operator="equal">
      <formula>"PENDIENTE POR DESCRIPCIÓN"</formula>
    </cfRule>
    <cfRule type="cellIs" dxfId="4376" priority="2908" operator="equal">
      <formula>"DESCRIPCIÓN INSUFICIENTE"</formula>
    </cfRule>
    <cfRule type="cellIs" dxfId="4375" priority="2909" operator="equal">
      <formula>"NO ESTÁ ACORDE A ITEM 5.2.2 (T.R.)"</formula>
    </cfRule>
    <cfRule type="cellIs" dxfId="4374" priority="2910" operator="equal">
      <formula>"ACORDE A ITEM 5.2.2 (T.R.)"</formula>
    </cfRule>
    <cfRule type="cellIs" dxfId="4373" priority="2917" operator="equal">
      <formula>"PENDIENTE POR DESCRIPCIÓN"</formula>
    </cfRule>
    <cfRule type="cellIs" dxfId="4372" priority="2919" operator="equal">
      <formula>"DESCRIPCIÓN INSUFICIENTE"</formula>
    </cfRule>
    <cfRule type="cellIs" dxfId="4371" priority="2920" operator="equal">
      <formula>"NO ESTÁ ACORDE A ITEM 5.2.1 (T.R.)"</formula>
    </cfRule>
    <cfRule type="cellIs" dxfId="4370" priority="2921" operator="equal">
      <formula>"ACORDE A ITEM 5.2.1 (T.R.)"</formula>
    </cfRule>
  </conditionalFormatting>
  <conditionalFormatting sqref="Q88">
    <cfRule type="containsBlanks" dxfId="4369" priority="2912">
      <formula>LEN(TRIM(Q88))=0</formula>
    </cfRule>
    <cfRule type="cellIs" dxfId="4368" priority="2918" operator="equal">
      <formula>"REQUERIMIENTOS SUBSANADOS"</formula>
    </cfRule>
    <cfRule type="containsText" dxfId="4367" priority="2922" operator="containsText" text="NO SUBSANABLE">
      <formula>NOT(ISERROR(SEARCH("NO SUBSANABLE",Q88)))</formula>
    </cfRule>
    <cfRule type="containsText" dxfId="4366" priority="2923" operator="containsText" text="PENDIENTES POR SUBSANAR">
      <formula>NOT(ISERROR(SEARCH("PENDIENTES POR SUBSANAR",Q88)))</formula>
    </cfRule>
    <cfRule type="containsText" dxfId="4365" priority="2924" operator="containsText" text="SIN OBSERVACIÓN">
      <formula>NOT(ISERROR(SEARCH("SIN OBSERVACIÓN",Q88)))</formula>
    </cfRule>
  </conditionalFormatting>
  <conditionalFormatting sqref="R88">
    <cfRule type="containsBlanks" dxfId="4364" priority="2911">
      <formula>LEN(TRIM(R88))=0</formula>
    </cfRule>
    <cfRule type="cellIs" dxfId="4363" priority="2913" operator="equal">
      <formula>"NO CUMPLEN CON LO SOLICITADO"</formula>
    </cfRule>
    <cfRule type="cellIs" dxfId="4362" priority="2914" operator="equal">
      <formula>"CUMPLEN CON LO SOLICITADO"</formula>
    </cfRule>
    <cfRule type="cellIs" dxfId="4361" priority="2915" operator="equal">
      <formula>"PENDIENTES"</formula>
    </cfRule>
    <cfRule type="cellIs" dxfId="4360" priority="2916" operator="equal">
      <formula>"NINGUNO"</formula>
    </cfRule>
  </conditionalFormatting>
  <conditionalFormatting sqref="P88">
    <cfRule type="expression" dxfId="4359" priority="2902">
      <formula>Q88="NO SUBSANABLE"</formula>
    </cfRule>
    <cfRule type="expression" dxfId="4358" priority="2903">
      <formula>Q88="REQUERIMIENTOS SUBSANADOS"</formula>
    </cfRule>
    <cfRule type="expression" dxfId="4357" priority="2904">
      <formula>Q88="PENDIENTES POR SUBSANAR"</formula>
    </cfRule>
    <cfRule type="expression" dxfId="4356" priority="2905">
      <formula>Q88="SIN OBSERVACIÓN"</formula>
    </cfRule>
    <cfRule type="containsBlanks" dxfId="4355" priority="2906">
      <formula>LEN(TRIM(P88))=0</formula>
    </cfRule>
  </conditionalFormatting>
  <conditionalFormatting sqref="N91">
    <cfRule type="expression" dxfId="4354" priority="2899">
      <formula>N91=" "</formula>
    </cfRule>
    <cfRule type="expression" dxfId="4353" priority="2900">
      <formula>N91="NO PRESENTÓ CERTIFICADO"</formula>
    </cfRule>
    <cfRule type="expression" dxfId="4352" priority="2901">
      <formula>N91="PRESENTÓ CERTIFICADO"</formula>
    </cfRule>
  </conditionalFormatting>
  <conditionalFormatting sqref="O91">
    <cfRule type="cellIs" dxfId="4351" priority="2881" operator="equal">
      <formula>"PENDIENTE POR DESCRIPCIÓN"</formula>
    </cfRule>
    <cfRule type="cellIs" dxfId="4350" priority="2882" operator="equal">
      <formula>"DESCRIPCIÓN INSUFICIENTE"</formula>
    </cfRule>
    <cfRule type="cellIs" dxfId="4349" priority="2883" operator="equal">
      <formula>"NO ESTÁ ACORDE A ITEM 5.2.2 (T.R.)"</formula>
    </cfRule>
    <cfRule type="cellIs" dxfId="4348" priority="2884" operator="equal">
      <formula>"ACORDE A ITEM 5.2.2 (T.R.)"</formula>
    </cfRule>
    <cfRule type="cellIs" dxfId="4347" priority="2891" operator="equal">
      <formula>"PENDIENTE POR DESCRIPCIÓN"</formula>
    </cfRule>
    <cfRule type="cellIs" dxfId="4346" priority="2893" operator="equal">
      <formula>"DESCRIPCIÓN INSUFICIENTE"</formula>
    </cfRule>
    <cfRule type="cellIs" dxfId="4345" priority="2894" operator="equal">
      <formula>"NO ESTÁ ACORDE A ITEM 5.2.1 (T.R.)"</formula>
    </cfRule>
    <cfRule type="cellIs" dxfId="4344" priority="2895" operator="equal">
      <formula>"ACORDE A ITEM 5.2.1 (T.R.)"</formula>
    </cfRule>
  </conditionalFormatting>
  <conditionalFormatting sqref="Q91">
    <cfRule type="containsBlanks" dxfId="4343" priority="2886">
      <formula>LEN(TRIM(Q91))=0</formula>
    </cfRule>
    <cfRule type="cellIs" dxfId="4342" priority="2892" operator="equal">
      <formula>"REQUERIMIENTOS SUBSANADOS"</formula>
    </cfRule>
    <cfRule type="containsText" dxfId="4341" priority="2896" operator="containsText" text="NO SUBSANABLE">
      <formula>NOT(ISERROR(SEARCH("NO SUBSANABLE",Q91)))</formula>
    </cfRule>
    <cfRule type="containsText" dxfId="4340" priority="2897" operator="containsText" text="PENDIENTES POR SUBSANAR">
      <formula>NOT(ISERROR(SEARCH("PENDIENTES POR SUBSANAR",Q91)))</formula>
    </cfRule>
    <cfRule type="containsText" dxfId="4339" priority="2898" operator="containsText" text="SIN OBSERVACIÓN">
      <formula>NOT(ISERROR(SEARCH("SIN OBSERVACIÓN",Q91)))</formula>
    </cfRule>
  </conditionalFormatting>
  <conditionalFormatting sqref="R91">
    <cfRule type="containsBlanks" dxfId="4338" priority="2885">
      <formula>LEN(TRIM(R91))=0</formula>
    </cfRule>
    <cfRule type="cellIs" dxfId="4337" priority="2887" operator="equal">
      <formula>"NO CUMPLEN CON LO SOLICITADO"</formula>
    </cfRule>
    <cfRule type="cellIs" dxfId="4336" priority="2888" operator="equal">
      <formula>"CUMPLEN CON LO SOLICITADO"</formula>
    </cfRule>
    <cfRule type="cellIs" dxfId="4335" priority="2889" operator="equal">
      <formula>"PENDIENTES"</formula>
    </cfRule>
    <cfRule type="cellIs" dxfId="4334" priority="2890" operator="equal">
      <formula>"NINGUNO"</formula>
    </cfRule>
  </conditionalFormatting>
  <conditionalFormatting sqref="P91">
    <cfRule type="expression" dxfId="4333" priority="2876">
      <formula>Q91="NO SUBSANABLE"</formula>
    </cfRule>
    <cfRule type="expression" dxfId="4332" priority="2877">
      <formula>Q91="REQUERIMIENTOS SUBSANADOS"</formula>
    </cfRule>
    <cfRule type="expression" dxfId="4331" priority="2878">
      <formula>Q91="PENDIENTES POR SUBSANAR"</formula>
    </cfRule>
    <cfRule type="expression" dxfId="4330" priority="2879">
      <formula>Q91="SIN OBSERVACIÓN"</formula>
    </cfRule>
    <cfRule type="containsBlanks" dxfId="4329" priority="2880">
      <formula>LEN(TRIM(P91))=0</formula>
    </cfRule>
  </conditionalFormatting>
  <conditionalFormatting sqref="P107">
    <cfRule type="expression" dxfId="4328" priority="2798">
      <formula>Q107="NO SUBSANABLE"</formula>
    </cfRule>
    <cfRule type="expression" dxfId="4327" priority="2799">
      <formula>Q107="REQUERIMIENTOS SUBSANADOS"</formula>
    </cfRule>
    <cfRule type="expression" dxfId="4326" priority="2800">
      <formula>Q107="PENDIENTES POR SUBSANAR"</formula>
    </cfRule>
    <cfRule type="expression" dxfId="4325" priority="2801">
      <formula>Q107="SIN OBSERVACIÓN"</formula>
    </cfRule>
    <cfRule type="containsBlanks" dxfId="4324" priority="2802">
      <formula>LEN(TRIM(P107))=0</formula>
    </cfRule>
  </conditionalFormatting>
  <conditionalFormatting sqref="N135">
    <cfRule type="expression" dxfId="4323" priority="2737">
      <formula>N135=" "</formula>
    </cfRule>
    <cfRule type="expression" dxfId="4322" priority="2738">
      <formula>N135="NO PRESENTÓ CERTIFICADO"</formula>
    </cfRule>
    <cfRule type="expression" dxfId="4321" priority="2739">
      <formula>N135="PRESENTÓ CERTIFICADO"</formula>
    </cfRule>
  </conditionalFormatting>
  <conditionalFormatting sqref="O135">
    <cfRule type="cellIs" dxfId="4320" priority="2719" operator="equal">
      <formula>"PENDIENTE POR DESCRIPCIÓN"</formula>
    </cfRule>
    <cfRule type="cellIs" dxfId="4319" priority="2720" operator="equal">
      <formula>"DESCRIPCIÓN INSUFICIENTE"</formula>
    </cfRule>
    <cfRule type="cellIs" dxfId="4318" priority="2721" operator="equal">
      <formula>"NO ESTÁ ACORDE A ITEM 5.2.2 (T.R.)"</formula>
    </cfRule>
    <cfRule type="cellIs" dxfId="4317" priority="2722" operator="equal">
      <formula>"ACORDE A ITEM 5.2.2 (T.R.)"</formula>
    </cfRule>
    <cfRule type="cellIs" dxfId="4316" priority="2729" operator="equal">
      <formula>"PENDIENTE POR DESCRIPCIÓN"</formula>
    </cfRule>
    <cfRule type="cellIs" dxfId="4315" priority="2731" operator="equal">
      <formula>"DESCRIPCIÓN INSUFICIENTE"</formula>
    </cfRule>
    <cfRule type="cellIs" dxfId="4314" priority="2732" operator="equal">
      <formula>"NO ESTÁ ACORDE A ITEM 5.2.1 (T.R.)"</formula>
    </cfRule>
    <cfRule type="cellIs" dxfId="4313" priority="2733" operator="equal">
      <formula>"ACORDE A ITEM 5.2.1 (T.R.)"</formula>
    </cfRule>
  </conditionalFormatting>
  <conditionalFormatting sqref="Q135">
    <cfRule type="containsBlanks" dxfId="4312" priority="2724">
      <formula>LEN(TRIM(Q135))=0</formula>
    </cfRule>
    <cfRule type="cellIs" dxfId="4311" priority="2730" operator="equal">
      <formula>"REQUERIMIENTOS SUBSANADOS"</formula>
    </cfRule>
    <cfRule type="containsText" dxfId="4310" priority="2734" operator="containsText" text="NO SUBSANABLE">
      <formula>NOT(ISERROR(SEARCH("NO SUBSANABLE",Q135)))</formula>
    </cfRule>
    <cfRule type="containsText" dxfId="4309" priority="2735" operator="containsText" text="PENDIENTES POR SUBSANAR">
      <formula>NOT(ISERROR(SEARCH("PENDIENTES POR SUBSANAR",Q135)))</formula>
    </cfRule>
    <cfRule type="containsText" dxfId="4308" priority="2736" operator="containsText" text="SIN OBSERVACIÓN">
      <formula>NOT(ISERROR(SEARCH("SIN OBSERVACIÓN",Q135)))</formula>
    </cfRule>
  </conditionalFormatting>
  <conditionalFormatting sqref="R135">
    <cfRule type="containsBlanks" dxfId="4307" priority="2723">
      <formula>LEN(TRIM(R135))=0</formula>
    </cfRule>
    <cfRule type="cellIs" dxfId="4306" priority="2725" operator="equal">
      <formula>"NO CUMPLEN CON LO SOLICITADO"</formula>
    </cfRule>
    <cfRule type="cellIs" dxfId="4305" priority="2726" operator="equal">
      <formula>"CUMPLEN CON LO SOLICITADO"</formula>
    </cfRule>
    <cfRule type="cellIs" dxfId="4304" priority="2727" operator="equal">
      <formula>"PENDIENTES"</formula>
    </cfRule>
    <cfRule type="cellIs" dxfId="4303" priority="2728" operator="equal">
      <formula>"NINGUNO"</formula>
    </cfRule>
  </conditionalFormatting>
  <conditionalFormatting sqref="P135">
    <cfRule type="expression" dxfId="4302" priority="2714">
      <formula>Q135="NO SUBSANABLE"</formula>
    </cfRule>
    <cfRule type="expression" dxfId="4301" priority="2715">
      <formula>Q135="REQUERIMIENTOS SUBSANADOS"</formula>
    </cfRule>
    <cfRule type="expression" dxfId="4300" priority="2716">
      <formula>Q135="PENDIENTES POR SUBSANAR"</formula>
    </cfRule>
    <cfRule type="expression" dxfId="4299" priority="2717">
      <formula>Q135="SIN OBSERVACIÓN"</formula>
    </cfRule>
    <cfRule type="containsBlanks" dxfId="4298" priority="2718">
      <formula>LEN(TRIM(P135))=0</formula>
    </cfRule>
  </conditionalFormatting>
  <conditionalFormatting sqref="N151">
    <cfRule type="expression" dxfId="4297" priority="2659">
      <formula>N151=" "</formula>
    </cfRule>
    <cfRule type="expression" dxfId="4296" priority="2660">
      <formula>N151="NO PRESENTÓ CERTIFICADO"</formula>
    </cfRule>
    <cfRule type="expression" dxfId="4295" priority="2661">
      <formula>N151="PRESENTÓ CERTIFICADO"</formula>
    </cfRule>
  </conditionalFormatting>
  <conditionalFormatting sqref="O151">
    <cfRule type="cellIs" dxfId="4294" priority="2641" operator="equal">
      <formula>"PENDIENTE POR DESCRIPCIÓN"</formula>
    </cfRule>
    <cfRule type="cellIs" dxfId="4293" priority="2642" operator="equal">
      <formula>"DESCRIPCIÓN INSUFICIENTE"</formula>
    </cfRule>
    <cfRule type="cellIs" dxfId="4292" priority="2643" operator="equal">
      <formula>"NO ESTÁ ACORDE A ITEM 5.2.2 (T.R.)"</formula>
    </cfRule>
    <cfRule type="cellIs" dxfId="4291" priority="2644" operator="equal">
      <formula>"ACORDE A ITEM 5.2.2 (T.R.)"</formula>
    </cfRule>
    <cfRule type="cellIs" dxfId="4290" priority="2651" operator="equal">
      <formula>"PENDIENTE POR DESCRIPCIÓN"</formula>
    </cfRule>
    <cfRule type="cellIs" dxfId="4289" priority="2653" operator="equal">
      <formula>"DESCRIPCIÓN INSUFICIENTE"</formula>
    </cfRule>
    <cfRule type="cellIs" dxfId="4288" priority="2654" operator="equal">
      <formula>"NO ESTÁ ACORDE A ITEM 5.2.1 (T.R.)"</formula>
    </cfRule>
    <cfRule type="cellIs" dxfId="4287" priority="2655" operator="equal">
      <formula>"ACORDE A ITEM 5.2.1 (T.R.)"</formula>
    </cfRule>
  </conditionalFormatting>
  <conditionalFormatting sqref="Q151">
    <cfRule type="containsBlanks" dxfId="4286" priority="2646">
      <formula>LEN(TRIM(Q151))=0</formula>
    </cfRule>
    <cfRule type="cellIs" dxfId="4285" priority="2652" operator="equal">
      <formula>"REQUERIMIENTOS SUBSANADOS"</formula>
    </cfRule>
    <cfRule type="containsText" dxfId="4284" priority="2656" operator="containsText" text="NO SUBSANABLE">
      <formula>NOT(ISERROR(SEARCH("NO SUBSANABLE",Q151)))</formula>
    </cfRule>
    <cfRule type="containsText" dxfId="4283" priority="2657" operator="containsText" text="PENDIENTES POR SUBSANAR">
      <formula>NOT(ISERROR(SEARCH("PENDIENTES POR SUBSANAR",Q151)))</formula>
    </cfRule>
    <cfRule type="containsText" dxfId="4282" priority="2658" operator="containsText" text="SIN OBSERVACIÓN">
      <formula>NOT(ISERROR(SEARCH("SIN OBSERVACIÓN",Q151)))</formula>
    </cfRule>
  </conditionalFormatting>
  <conditionalFormatting sqref="R151">
    <cfRule type="containsBlanks" dxfId="4281" priority="2645">
      <formula>LEN(TRIM(R151))=0</formula>
    </cfRule>
    <cfRule type="cellIs" dxfId="4280" priority="2647" operator="equal">
      <formula>"NO CUMPLEN CON LO SOLICITADO"</formula>
    </cfRule>
    <cfRule type="cellIs" dxfId="4279" priority="2648" operator="equal">
      <formula>"CUMPLEN CON LO SOLICITADO"</formula>
    </cfRule>
    <cfRule type="cellIs" dxfId="4278" priority="2649" operator="equal">
      <formula>"PENDIENTES"</formula>
    </cfRule>
    <cfRule type="cellIs" dxfId="4277" priority="2650" operator="equal">
      <formula>"NINGUNO"</formula>
    </cfRule>
  </conditionalFormatting>
  <conditionalFormatting sqref="P151">
    <cfRule type="expression" dxfId="4276" priority="2636">
      <formula>Q151="NO SUBSANABLE"</formula>
    </cfRule>
    <cfRule type="expression" dxfId="4275" priority="2637">
      <formula>Q151="REQUERIMIENTOS SUBSANADOS"</formula>
    </cfRule>
    <cfRule type="expression" dxfId="4274" priority="2638">
      <formula>Q151="PENDIENTES POR SUBSANAR"</formula>
    </cfRule>
    <cfRule type="expression" dxfId="4273" priority="2639">
      <formula>Q151="SIN OBSERVACIÓN"</formula>
    </cfRule>
    <cfRule type="containsBlanks" dxfId="4272" priority="2640">
      <formula>LEN(TRIM(P151))=0</formula>
    </cfRule>
  </conditionalFormatting>
  <conditionalFormatting sqref="N154">
    <cfRule type="expression" dxfId="4271" priority="2633">
      <formula>N154=" "</formula>
    </cfRule>
    <cfRule type="expression" dxfId="4270" priority="2634">
      <formula>N154="NO PRESENTÓ CERTIFICADO"</formula>
    </cfRule>
    <cfRule type="expression" dxfId="4269" priority="2635">
      <formula>N154="PRESENTÓ CERTIFICADO"</formula>
    </cfRule>
  </conditionalFormatting>
  <conditionalFormatting sqref="O154">
    <cfRule type="cellIs" dxfId="4268" priority="2615" operator="equal">
      <formula>"PENDIENTE POR DESCRIPCIÓN"</formula>
    </cfRule>
    <cfRule type="cellIs" dxfId="4267" priority="2616" operator="equal">
      <formula>"DESCRIPCIÓN INSUFICIENTE"</formula>
    </cfRule>
    <cfRule type="cellIs" dxfId="4266" priority="2617" operator="equal">
      <formula>"NO ESTÁ ACORDE A ITEM 5.2.2 (T.R.)"</formula>
    </cfRule>
    <cfRule type="cellIs" dxfId="4265" priority="2618" operator="equal">
      <formula>"ACORDE A ITEM 5.2.2 (T.R.)"</formula>
    </cfRule>
    <cfRule type="cellIs" dxfId="4264" priority="2625" operator="equal">
      <formula>"PENDIENTE POR DESCRIPCIÓN"</formula>
    </cfRule>
    <cfRule type="cellIs" dxfId="4263" priority="2627" operator="equal">
      <formula>"DESCRIPCIÓN INSUFICIENTE"</formula>
    </cfRule>
    <cfRule type="cellIs" dxfId="4262" priority="2628" operator="equal">
      <formula>"NO ESTÁ ACORDE A ITEM 5.2.1 (T.R.)"</formula>
    </cfRule>
    <cfRule type="cellIs" dxfId="4261" priority="2629" operator="equal">
      <formula>"ACORDE A ITEM 5.2.1 (T.R.)"</formula>
    </cfRule>
  </conditionalFormatting>
  <conditionalFormatting sqref="Q154">
    <cfRule type="containsBlanks" dxfId="4260" priority="2620">
      <formula>LEN(TRIM(Q154))=0</formula>
    </cfRule>
    <cfRule type="cellIs" dxfId="4259" priority="2626" operator="equal">
      <formula>"REQUERIMIENTOS SUBSANADOS"</formula>
    </cfRule>
    <cfRule type="containsText" dxfId="4258" priority="2630" operator="containsText" text="NO SUBSANABLE">
      <formula>NOT(ISERROR(SEARCH("NO SUBSANABLE",Q154)))</formula>
    </cfRule>
    <cfRule type="containsText" dxfId="4257" priority="2631" operator="containsText" text="PENDIENTES POR SUBSANAR">
      <formula>NOT(ISERROR(SEARCH("PENDIENTES POR SUBSANAR",Q154)))</formula>
    </cfRule>
    <cfRule type="containsText" dxfId="4256" priority="2632" operator="containsText" text="SIN OBSERVACIÓN">
      <formula>NOT(ISERROR(SEARCH("SIN OBSERVACIÓN",Q154)))</formula>
    </cfRule>
  </conditionalFormatting>
  <conditionalFormatting sqref="R154">
    <cfRule type="containsBlanks" dxfId="4255" priority="2619">
      <formula>LEN(TRIM(R154))=0</formula>
    </cfRule>
    <cfRule type="cellIs" dxfId="4254" priority="2621" operator="equal">
      <formula>"NO CUMPLEN CON LO SOLICITADO"</formula>
    </cfRule>
    <cfRule type="cellIs" dxfId="4253" priority="2622" operator="equal">
      <formula>"CUMPLEN CON LO SOLICITADO"</formula>
    </cfRule>
    <cfRule type="cellIs" dxfId="4252" priority="2623" operator="equal">
      <formula>"PENDIENTES"</formula>
    </cfRule>
    <cfRule type="cellIs" dxfId="4251" priority="2624" operator="equal">
      <formula>"NINGUNO"</formula>
    </cfRule>
  </conditionalFormatting>
  <conditionalFormatting sqref="P154">
    <cfRule type="expression" dxfId="4250" priority="2610">
      <formula>Q154="NO SUBSANABLE"</formula>
    </cfRule>
    <cfRule type="expression" dxfId="4249" priority="2611">
      <formula>Q154="REQUERIMIENTOS SUBSANADOS"</formula>
    </cfRule>
    <cfRule type="expression" dxfId="4248" priority="2612">
      <formula>Q154="PENDIENTES POR SUBSANAR"</formula>
    </cfRule>
    <cfRule type="expression" dxfId="4247" priority="2613">
      <formula>Q154="SIN OBSERVACIÓN"</formula>
    </cfRule>
    <cfRule type="containsBlanks" dxfId="4246" priority="2614">
      <formula>LEN(TRIM(P154))=0</formula>
    </cfRule>
  </conditionalFormatting>
  <conditionalFormatting sqref="K35">
    <cfRule type="expression" dxfId="4245" priority="2608">
      <formula>J35="NO CUMPLE"</formula>
    </cfRule>
    <cfRule type="expression" dxfId="4244" priority="2609">
      <formula>J35="CUMPLE"</formula>
    </cfRule>
  </conditionalFormatting>
  <conditionalFormatting sqref="K36:K37">
    <cfRule type="expression" dxfId="4243" priority="2606">
      <formula>J36="NO CUMPLE"</formula>
    </cfRule>
    <cfRule type="expression" dxfId="4242" priority="2607">
      <formula>J36="CUMPLE"</formula>
    </cfRule>
  </conditionalFormatting>
  <conditionalFormatting sqref="K57">
    <cfRule type="expression" dxfId="4241" priority="2604">
      <formula>J57="NO CUMPLE"</formula>
    </cfRule>
    <cfRule type="expression" dxfId="4240" priority="2605">
      <formula>J57="CUMPLE"</formula>
    </cfRule>
  </conditionalFormatting>
  <conditionalFormatting sqref="K58:K59">
    <cfRule type="expression" dxfId="4239" priority="2602">
      <formula>J58="NO CUMPLE"</formula>
    </cfRule>
    <cfRule type="expression" dxfId="4238" priority="2603">
      <formula>J58="CUMPLE"</formula>
    </cfRule>
  </conditionalFormatting>
  <conditionalFormatting sqref="K79">
    <cfRule type="expression" dxfId="4237" priority="2600">
      <formula>J79="NO CUMPLE"</formula>
    </cfRule>
    <cfRule type="expression" dxfId="4236" priority="2601">
      <formula>J79="CUMPLE"</formula>
    </cfRule>
  </conditionalFormatting>
  <conditionalFormatting sqref="K80:K81">
    <cfRule type="expression" dxfId="4235" priority="2598">
      <formula>J80="NO CUMPLE"</formula>
    </cfRule>
    <cfRule type="expression" dxfId="4234" priority="2599">
      <formula>J80="CUMPLE"</formula>
    </cfRule>
  </conditionalFormatting>
  <conditionalFormatting sqref="K101">
    <cfRule type="expression" dxfId="4233" priority="2596">
      <formula>J101="NO CUMPLE"</formula>
    </cfRule>
    <cfRule type="expression" dxfId="4232" priority="2597">
      <formula>J101="CUMPLE"</formula>
    </cfRule>
  </conditionalFormatting>
  <conditionalFormatting sqref="K102:K103">
    <cfRule type="expression" dxfId="4231" priority="2594">
      <formula>J102="NO CUMPLE"</formula>
    </cfRule>
    <cfRule type="expression" dxfId="4230" priority="2595">
      <formula>J102="CUMPLE"</formula>
    </cfRule>
  </conditionalFormatting>
  <conditionalFormatting sqref="K123">
    <cfRule type="expression" dxfId="4229" priority="2592">
      <formula>J123="NO CUMPLE"</formula>
    </cfRule>
    <cfRule type="expression" dxfId="4228" priority="2593">
      <formula>J123="CUMPLE"</formula>
    </cfRule>
  </conditionalFormatting>
  <conditionalFormatting sqref="K124:K125">
    <cfRule type="expression" dxfId="4227" priority="2590">
      <formula>J124="NO CUMPLE"</formula>
    </cfRule>
    <cfRule type="expression" dxfId="4226" priority="2591">
      <formula>J124="CUMPLE"</formula>
    </cfRule>
  </conditionalFormatting>
  <conditionalFormatting sqref="K145">
    <cfRule type="expression" dxfId="4225" priority="2588">
      <formula>J145="NO CUMPLE"</formula>
    </cfRule>
    <cfRule type="expression" dxfId="4224" priority="2589">
      <formula>J145="CUMPLE"</formula>
    </cfRule>
  </conditionalFormatting>
  <conditionalFormatting sqref="K146:K147">
    <cfRule type="expression" dxfId="4223" priority="2586">
      <formula>J146="NO CUMPLE"</formula>
    </cfRule>
    <cfRule type="expression" dxfId="4222" priority="2587">
      <formula>J146="CUMPLE"</formula>
    </cfRule>
  </conditionalFormatting>
  <conditionalFormatting sqref="J167">
    <cfRule type="cellIs" dxfId="4221" priority="2584" operator="equal">
      <formula>"NO CUMPLE"</formula>
    </cfRule>
    <cfRule type="cellIs" dxfId="4220" priority="2585" operator="equal">
      <formula>"CUMPLE"</formula>
    </cfRule>
  </conditionalFormatting>
  <conditionalFormatting sqref="K167">
    <cfRule type="expression" dxfId="4219" priority="2580">
      <formula>J167="NO CUMPLE"</formula>
    </cfRule>
    <cfRule type="expression" dxfId="4218" priority="2581">
      <formula>J167="CUMPLE"</formula>
    </cfRule>
  </conditionalFormatting>
  <conditionalFormatting sqref="K168:K169">
    <cfRule type="expression" dxfId="4217" priority="2578">
      <formula>J168="NO CUMPLE"</formula>
    </cfRule>
    <cfRule type="expression" dxfId="4216" priority="2579">
      <formula>J168="CUMPLE"</formula>
    </cfRule>
  </conditionalFormatting>
  <conditionalFormatting sqref="J189">
    <cfRule type="cellIs" dxfId="4215" priority="2576" operator="equal">
      <formula>"NO CUMPLE"</formula>
    </cfRule>
    <cfRule type="cellIs" dxfId="4214" priority="2577" operator="equal">
      <formula>"CUMPLE"</formula>
    </cfRule>
  </conditionalFormatting>
  <conditionalFormatting sqref="J190:J191">
    <cfRule type="cellIs" dxfId="4213" priority="2574" operator="equal">
      <formula>"NO CUMPLE"</formula>
    </cfRule>
    <cfRule type="cellIs" dxfId="4212" priority="2575" operator="equal">
      <formula>"CUMPLE"</formula>
    </cfRule>
  </conditionalFormatting>
  <conditionalFormatting sqref="K189">
    <cfRule type="expression" dxfId="4211" priority="2572">
      <formula>J189="NO CUMPLE"</formula>
    </cfRule>
    <cfRule type="expression" dxfId="4210" priority="2573">
      <formula>J189="CUMPLE"</formula>
    </cfRule>
  </conditionalFormatting>
  <conditionalFormatting sqref="K190:K191">
    <cfRule type="expression" dxfId="4209" priority="2570">
      <formula>J190="NO CUMPLE"</formula>
    </cfRule>
    <cfRule type="expression" dxfId="4208" priority="2571">
      <formula>J190="CUMPLE"</formula>
    </cfRule>
  </conditionalFormatting>
  <conditionalFormatting sqref="S211">
    <cfRule type="cellIs" dxfId="4207" priority="2568" operator="greaterThan">
      <formula>0</formula>
    </cfRule>
    <cfRule type="top10" dxfId="4206" priority="2569" rank="10"/>
  </conditionalFormatting>
  <conditionalFormatting sqref="B226">
    <cfRule type="cellIs" dxfId="4205" priority="2564" operator="equal">
      <formula>"NO CUMPLE CON LA EXPERIENCIA REQUERIDA"</formula>
    </cfRule>
    <cfRule type="cellIs" dxfId="4204" priority="2565" operator="equal">
      <formula>"CUMPLE CON LA EXPERIENCIA REQUERIDA"</formula>
    </cfRule>
  </conditionalFormatting>
  <conditionalFormatting sqref="H211 H214 H217 H220 H223">
    <cfRule type="notContainsBlanks" dxfId="4203" priority="2563">
      <formula>LEN(TRIM(H211))&gt;0</formula>
    </cfRule>
  </conditionalFormatting>
  <conditionalFormatting sqref="G211">
    <cfRule type="notContainsBlanks" dxfId="4202" priority="2562">
      <formula>LEN(TRIM(G211))&gt;0</formula>
    </cfRule>
  </conditionalFormatting>
  <conditionalFormatting sqref="F211">
    <cfRule type="notContainsBlanks" dxfId="4201" priority="2561">
      <formula>LEN(TRIM(F211))&gt;0</formula>
    </cfRule>
  </conditionalFormatting>
  <conditionalFormatting sqref="E211">
    <cfRule type="notContainsBlanks" dxfId="4200" priority="2560">
      <formula>LEN(TRIM(E211))&gt;0</formula>
    </cfRule>
  </conditionalFormatting>
  <conditionalFormatting sqref="D211">
    <cfRule type="notContainsBlanks" dxfId="4199" priority="2559">
      <formula>LEN(TRIM(D211))&gt;0</formula>
    </cfRule>
  </conditionalFormatting>
  <conditionalFormatting sqref="C211">
    <cfRule type="notContainsBlanks" dxfId="4198" priority="2558">
      <formula>LEN(TRIM(C211))&gt;0</formula>
    </cfRule>
  </conditionalFormatting>
  <conditionalFormatting sqref="I211">
    <cfRule type="notContainsBlanks" dxfId="4197" priority="2557">
      <formula>LEN(TRIM(I211))&gt;0</formula>
    </cfRule>
  </conditionalFormatting>
  <conditionalFormatting sqref="S214">
    <cfRule type="cellIs" dxfId="4196" priority="2553" operator="greaterThan">
      <formula>0</formula>
    </cfRule>
    <cfRule type="top10" dxfId="4195" priority="2554" rank="10"/>
  </conditionalFormatting>
  <conditionalFormatting sqref="S217">
    <cfRule type="cellIs" dxfId="4194" priority="2551" operator="greaterThan">
      <formula>0</formula>
    </cfRule>
    <cfRule type="top10" dxfId="4193" priority="2552" rank="10"/>
  </conditionalFormatting>
  <conditionalFormatting sqref="G217">
    <cfRule type="notContainsBlanks" dxfId="4192" priority="2550">
      <formula>LEN(TRIM(G217))&gt;0</formula>
    </cfRule>
  </conditionalFormatting>
  <conditionalFormatting sqref="F217">
    <cfRule type="notContainsBlanks" dxfId="4191" priority="2549">
      <formula>LEN(TRIM(F217))&gt;0</formula>
    </cfRule>
  </conditionalFormatting>
  <conditionalFormatting sqref="E217">
    <cfRule type="notContainsBlanks" dxfId="4190" priority="2548">
      <formula>LEN(TRIM(E217))&gt;0</formula>
    </cfRule>
  </conditionalFormatting>
  <conditionalFormatting sqref="D217">
    <cfRule type="notContainsBlanks" dxfId="4189" priority="2547">
      <formula>LEN(TRIM(D217))&gt;0</formula>
    </cfRule>
  </conditionalFormatting>
  <conditionalFormatting sqref="C217">
    <cfRule type="notContainsBlanks" dxfId="4188" priority="2546">
      <formula>LEN(TRIM(C217))&gt;0</formula>
    </cfRule>
  </conditionalFormatting>
  <conditionalFormatting sqref="I217">
    <cfRule type="notContainsBlanks" dxfId="4187" priority="2545">
      <formula>LEN(TRIM(I217))&gt;0</formula>
    </cfRule>
  </conditionalFormatting>
  <conditionalFormatting sqref="S220">
    <cfRule type="cellIs" dxfId="4186" priority="2543" operator="greaterThan">
      <formula>0</formula>
    </cfRule>
    <cfRule type="top10" dxfId="4185" priority="2544" rank="10"/>
  </conditionalFormatting>
  <conditionalFormatting sqref="S223">
    <cfRule type="cellIs" dxfId="4184" priority="2541" operator="greaterThan">
      <formula>0</formula>
    </cfRule>
    <cfRule type="top10" dxfId="4183" priority="2542" rank="10"/>
  </conditionalFormatting>
  <conditionalFormatting sqref="G223">
    <cfRule type="notContainsBlanks" dxfId="4182" priority="2540">
      <formula>LEN(TRIM(G223))&gt;0</formula>
    </cfRule>
  </conditionalFormatting>
  <conditionalFormatting sqref="F223">
    <cfRule type="notContainsBlanks" dxfId="4181" priority="2539">
      <formula>LEN(TRIM(F223))&gt;0</formula>
    </cfRule>
  </conditionalFormatting>
  <conditionalFormatting sqref="E223">
    <cfRule type="notContainsBlanks" dxfId="4180" priority="2538">
      <formula>LEN(TRIM(E223))&gt;0</formula>
    </cfRule>
  </conditionalFormatting>
  <conditionalFormatting sqref="D223">
    <cfRule type="notContainsBlanks" dxfId="4179" priority="2537">
      <formula>LEN(TRIM(D223))&gt;0</formula>
    </cfRule>
  </conditionalFormatting>
  <conditionalFormatting sqref="C223">
    <cfRule type="notContainsBlanks" dxfId="4178" priority="2536">
      <formula>LEN(TRIM(C223))&gt;0</formula>
    </cfRule>
  </conditionalFormatting>
  <conditionalFormatting sqref="I223">
    <cfRule type="notContainsBlanks" dxfId="4177" priority="2535">
      <formula>LEN(TRIM(I223))&gt;0</formula>
    </cfRule>
  </conditionalFormatting>
  <conditionalFormatting sqref="G214">
    <cfRule type="notContainsBlanks" dxfId="4176" priority="2534">
      <formula>LEN(TRIM(G214))&gt;0</formula>
    </cfRule>
  </conditionalFormatting>
  <conditionalFormatting sqref="F214">
    <cfRule type="notContainsBlanks" dxfId="4175" priority="2533">
      <formula>LEN(TRIM(F214))&gt;0</formula>
    </cfRule>
  </conditionalFormatting>
  <conditionalFormatting sqref="E214">
    <cfRule type="notContainsBlanks" dxfId="4174" priority="2532">
      <formula>LEN(TRIM(E214))&gt;0</formula>
    </cfRule>
  </conditionalFormatting>
  <conditionalFormatting sqref="D214">
    <cfRule type="notContainsBlanks" dxfId="4173" priority="2531">
      <formula>LEN(TRIM(D214))&gt;0</formula>
    </cfRule>
  </conditionalFormatting>
  <conditionalFormatting sqref="C214">
    <cfRule type="notContainsBlanks" dxfId="4172" priority="2530">
      <formula>LEN(TRIM(C214))&gt;0</formula>
    </cfRule>
  </conditionalFormatting>
  <conditionalFormatting sqref="G220">
    <cfRule type="notContainsBlanks" dxfId="4171" priority="2529">
      <formula>LEN(TRIM(G220))&gt;0</formula>
    </cfRule>
  </conditionalFormatting>
  <conditionalFormatting sqref="F220">
    <cfRule type="notContainsBlanks" dxfId="4170" priority="2528">
      <formula>LEN(TRIM(F220))&gt;0</formula>
    </cfRule>
  </conditionalFormatting>
  <conditionalFormatting sqref="E220">
    <cfRule type="notContainsBlanks" dxfId="4169" priority="2527">
      <formula>LEN(TRIM(E220))&gt;0</formula>
    </cfRule>
  </conditionalFormatting>
  <conditionalFormatting sqref="D220">
    <cfRule type="notContainsBlanks" dxfId="4168" priority="2526">
      <formula>LEN(TRIM(D220))&gt;0</formula>
    </cfRule>
  </conditionalFormatting>
  <conditionalFormatting sqref="C220">
    <cfRule type="notContainsBlanks" dxfId="4167" priority="2525">
      <formula>LEN(TRIM(C220))&gt;0</formula>
    </cfRule>
  </conditionalFormatting>
  <conditionalFormatting sqref="I214">
    <cfRule type="notContainsBlanks" dxfId="4166" priority="2524">
      <formula>LEN(TRIM(I214))&gt;0</formula>
    </cfRule>
  </conditionalFormatting>
  <conditionalFormatting sqref="I220">
    <cfRule type="notContainsBlanks" dxfId="4165" priority="2523">
      <formula>LEN(TRIM(I220))&gt;0</formula>
    </cfRule>
  </conditionalFormatting>
  <conditionalFormatting sqref="S226">
    <cfRule type="expression" dxfId="4164" priority="2521">
      <formula>$S$28&gt;0</formula>
    </cfRule>
    <cfRule type="cellIs" dxfId="4163" priority="2522" operator="equal">
      <formula>0</formula>
    </cfRule>
  </conditionalFormatting>
  <conditionalFormatting sqref="S227">
    <cfRule type="expression" dxfId="4162" priority="2519">
      <formula>$S$28&gt;0</formula>
    </cfRule>
    <cfRule type="cellIs" dxfId="4161" priority="2520" operator="equal">
      <formula>0</formula>
    </cfRule>
  </conditionalFormatting>
  <conditionalFormatting sqref="N223">
    <cfRule type="expression" dxfId="4160" priority="2480">
      <formula>N223=" "</formula>
    </cfRule>
    <cfRule type="expression" dxfId="4159" priority="2481">
      <formula>N223="NO PRESENTÓ CERTIFICADO"</formula>
    </cfRule>
    <cfRule type="expression" dxfId="4158" priority="2482">
      <formula>N223="PRESENTÓ CERTIFICADO"</formula>
    </cfRule>
  </conditionalFormatting>
  <conditionalFormatting sqref="O223">
    <cfRule type="cellIs" dxfId="4157" priority="2462" operator="equal">
      <formula>"PENDIENTE POR DESCRIPCIÓN"</formula>
    </cfRule>
    <cfRule type="cellIs" dxfId="4156" priority="2463" operator="equal">
      <formula>"DESCRIPCIÓN INSUFICIENTE"</formula>
    </cfRule>
    <cfRule type="cellIs" dxfId="4155" priority="2464" operator="equal">
      <formula>"NO ESTÁ ACORDE A ITEM 5.2.2 (T.R.)"</formula>
    </cfRule>
    <cfRule type="cellIs" dxfId="4154" priority="2465" operator="equal">
      <formula>"ACORDE A ITEM 5.2.2 (T.R.)"</formula>
    </cfRule>
    <cfRule type="cellIs" dxfId="4153" priority="2472" operator="equal">
      <formula>"PENDIENTE POR DESCRIPCIÓN"</formula>
    </cfRule>
    <cfRule type="cellIs" dxfId="4152" priority="2474" operator="equal">
      <formula>"DESCRIPCIÓN INSUFICIENTE"</formula>
    </cfRule>
    <cfRule type="cellIs" dxfId="4151" priority="2475" operator="equal">
      <formula>"NO ESTÁ ACORDE A ITEM 5.2.1 (T.R.)"</formula>
    </cfRule>
    <cfRule type="cellIs" dxfId="4150" priority="2476" operator="equal">
      <formula>"ACORDE A ITEM 5.2.1 (T.R.)"</formula>
    </cfRule>
  </conditionalFormatting>
  <conditionalFormatting sqref="Q223">
    <cfRule type="containsBlanks" dxfId="4149" priority="2467">
      <formula>LEN(TRIM(Q223))=0</formula>
    </cfRule>
    <cfRule type="cellIs" dxfId="4148" priority="2473" operator="equal">
      <formula>"REQUERIMIENTOS SUBSANADOS"</formula>
    </cfRule>
    <cfRule type="containsText" dxfId="4147" priority="2477" operator="containsText" text="NO SUBSANABLE">
      <formula>NOT(ISERROR(SEARCH("NO SUBSANABLE",Q223)))</formula>
    </cfRule>
    <cfRule type="containsText" dxfId="4146" priority="2478" operator="containsText" text="PENDIENTES POR SUBSANAR">
      <formula>NOT(ISERROR(SEARCH("PENDIENTES POR SUBSANAR",Q223)))</formula>
    </cfRule>
    <cfRule type="containsText" dxfId="4145" priority="2479" operator="containsText" text="SIN OBSERVACIÓN">
      <formula>NOT(ISERROR(SEARCH("SIN OBSERVACIÓN",Q223)))</formula>
    </cfRule>
  </conditionalFormatting>
  <conditionalFormatting sqref="R223">
    <cfRule type="containsBlanks" dxfId="4144" priority="2466">
      <formula>LEN(TRIM(R223))=0</formula>
    </cfRule>
    <cfRule type="cellIs" dxfId="4143" priority="2468" operator="equal">
      <formula>"NO CUMPLEN CON LO SOLICITADO"</formula>
    </cfRule>
    <cfRule type="cellIs" dxfId="4142" priority="2469" operator="equal">
      <formula>"CUMPLEN CON LO SOLICITADO"</formula>
    </cfRule>
    <cfRule type="cellIs" dxfId="4141" priority="2470" operator="equal">
      <formula>"PENDIENTES"</formula>
    </cfRule>
    <cfRule type="cellIs" dxfId="4140" priority="2471" operator="equal">
      <formula>"NINGUNO"</formula>
    </cfRule>
  </conditionalFormatting>
  <conditionalFormatting sqref="P214 P217 P220 P223">
    <cfRule type="expression" dxfId="4139" priority="2457">
      <formula>Q214="NO SUBSANABLE"</formula>
    </cfRule>
    <cfRule type="expression" dxfId="4138" priority="2458">
      <formula>Q214="REQUERIMIENTOS SUBSANADOS"</formula>
    </cfRule>
    <cfRule type="expression" dxfId="4137" priority="2459">
      <formula>Q214="PENDIENTES POR SUBSANAR"</formula>
    </cfRule>
    <cfRule type="expression" dxfId="4136" priority="2460">
      <formula>Q214="SIN OBSERVACIÓN"</formula>
    </cfRule>
    <cfRule type="containsBlanks" dxfId="4135" priority="2461">
      <formula>LEN(TRIM(P214))=0</formula>
    </cfRule>
  </conditionalFormatting>
  <conditionalFormatting sqref="N214">
    <cfRule type="expression" dxfId="4134" priority="2454">
      <formula>N214=" "</formula>
    </cfRule>
    <cfRule type="expression" dxfId="4133" priority="2455">
      <formula>N214="NO PRESENTÓ CERTIFICADO"</formula>
    </cfRule>
    <cfRule type="expression" dxfId="4132" priority="2456">
      <formula>N214="PRESENTÓ CERTIFICADO"</formula>
    </cfRule>
  </conditionalFormatting>
  <conditionalFormatting sqref="N217">
    <cfRule type="expression" dxfId="4131" priority="2451">
      <formula>N217=" "</formula>
    </cfRule>
    <cfRule type="expression" dxfId="4130" priority="2452">
      <formula>N217="NO PRESENTÓ CERTIFICADO"</formula>
    </cfRule>
    <cfRule type="expression" dxfId="4129" priority="2453">
      <formula>N217="PRESENTÓ CERTIFICADO"</formula>
    </cfRule>
  </conditionalFormatting>
  <conditionalFormatting sqref="N220">
    <cfRule type="expression" dxfId="4128" priority="2448">
      <formula>N220=" "</formula>
    </cfRule>
    <cfRule type="expression" dxfId="4127" priority="2449">
      <formula>N220="NO PRESENTÓ CERTIFICADO"</formula>
    </cfRule>
    <cfRule type="expression" dxfId="4126" priority="2450">
      <formula>N220="PRESENTÓ CERTIFICADO"</formula>
    </cfRule>
  </conditionalFormatting>
  <conditionalFormatting sqref="O214">
    <cfRule type="cellIs" dxfId="4125" priority="2440" operator="equal">
      <formula>"PENDIENTE POR DESCRIPCIÓN"</formula>
    </cfRule>
    <cfRule type="cellIs" dxfId="4124" priority="2441" operator="equal">
      <formula>"DESCRIPCIÓN INSUFICIENTE"</formula>
    </cfRule>
    <cfRule type="cellIs" dxfId="4123" priority="2442" operator="equal">
      <formula>"NO ESTÁ ACORDE A ITEM 5.2.2 (T.R.)"</formula>
    </cfRule>
    <cfRule type="cellIs" dxfId="4122" priority="2443" operator="equal">
      <formula>"ACORDE A ITEM 5.2.2 (T.R.)"</formula>
    </cfRule>
    <cfRule type="cellIs" dxfId="4121" priority="2444" operator="equal">
      <formula>"PENDIENTE POR DESCRIPCIÓN"</formula>
    </cfRule>
    <cfRule type="cellIs" dxfId="4120" priority="2445" operator="equal">
      <formula>"DESCRIPCIÓN INSUFICIENTE"</formula>
    </cfRule>
    <cfRule type="cellIs" dxfId="4119" priority="2446" operator="equal">
      <formula>"NO ESTÁ ACORDE A ITEM 5.2.1 (T.R.)"</formula>
    </cfRule>
    <cfRule type="cellIs" dxfId="4118" priority="2447" operator="equal">
      <formula>"ACORDE A ITEM 5.2.1 (T.R.)"</formula>
    </cfRule>
  </conditionalFormatting>
  <conditionalFormatting sqref="O217">
    <cfRule type="cellIs" dxfId="4117" priority="2432" operator="equal">
      <formula>"PENDIENTE POR DESCRIPCIÓN"</formula>
    </cfRule>
    <cfRule type="cellIs" dxfId="4116" priority="2433" operator="equal">
      <formula>"DESCRIPCIÓN INSUFICIENTE"</formula>
    </cfRule>
    <cfRule type="cellIs" dxfId="4115" priority="2434" operator="equal">
      <formula>"NO ESTÁ ACORDE A ITEM 5.2.2 (T.R.)"</formula>
    </cfRule>
    <cfRule type="cellIs" dxfId="4114" priority="2435" operator="equal">
      <formula>"ACORDE A ITEM 5.2.2 (T.R.)"</formula>
    </cfRule>
    <cfRule type="cellIs" dxfId="4113" priority="2436" operator="equal">
      <formula>"PENDIENTE POR DESCRIPCIÓN"</formula>
    </cfRule>
    <cfRule type="cellIs" dxfId="4112" priority="2437" operator="equal">
      <formula>"DESCRIPCIÓN INSUFICIENTE"</formula>
    </cfRule>
    <cfRule type="cellIs" dxfId="4111" priority="2438" operator="equal">
      <formula>"NO ESTÁ ACORDE A ITEM 5.2.1 (T.R.)"</formula>
    </cfRule>
    <cfRule type="cellIs" dxfId="4110" priority="2439" operator="equal">
      <formula>"ACORDE A ITEM 5.2.1 (T.R.)"</formula>
    </cfRule>
  </conditionalFormatting>
  <conditionalFormatting sqref="O220">
    <cfRule type="cellIs" dxfId="4109" priority="2424" operator="equal">
      <formula>"PENDIENTE POR DESCRIPCIÓN"</formula>
    </cfRule>
    <cfRule type="cellIs" dxfId="4108" priority="2425" operator="equal">
      <formula>"DESCRIPCIÓN INSUFICIENTE"</formula>
    </cfRule>
    <cfRule type="cellIs" dxfId="4107" priority="2426" operator="equal">
      <formula>"NO ESTÁ ACORDE A ITEM 5.2.2 (T.R.)"</formula>
    </cfRule>
    <cfRule type="cellIs" dxfId="4106" priority="2427" operator="equal">
      <formula>"ACORDE A ITEM 5.2.2 (T.R.)"</formula>
    </cfRule>
    <cfRule type="cellIs" dxfId="4105" priority="2428" operator="equal">
      <formula>"PENDIENTE POR DESCRIPCIÓN"</formula>
    </cfRule>
    <cfRule type="cellIs" dxfId="4104" priority="2429" operator="equal">
      <formula>"DESCRIPCIÓN INSUFICIENTE"</formula>
    </cfRule>
    <cfRule type="cellIs" dxfId="4103" priority="2430" operator="equal">
      <formula>"NO ESTÁ ACORDE A ITEM 5.2.1 (T.R.)"</formula>
    </cfRule>
    <cfRule type="cellIs" dxfId="4102" priority="2431" operator="equal">
      <formula>"ACORDE A ITEM 5.2.1 (T.R.)"</formula>
    </cfRule>
  </conditionalFormatting>
  <conditionalFormatting sqref="Q214">
    <cfRule type="containsBlanks" dxfId="4101" priority="2415">
      <formula>LEN(TRIM(Q214))=0</formula>
    </cfRule>
    <cfRule type="cellIs" dxfId="4100" priority="2420" operator="equal">
      <formula>"REQUERIMIENTOS SUBSANADOS"</formula>
    </cfRule>
    <cfRule type="containsText" dxfId="4099" priority="2421" operator="containsText" text="NO SUBSANABLE">
      <formula>NOT(ISERROR(SEARCH("NO SUBSANABLE",Q214)))</formula>
    </cfRule>
    <cfRule type="containsText" dxfId="4098" priority="2422" operator="containsText" text="PENDIENTES POR SUBSANAR">
      <formula>NOT(ISERROR(SEARCH("PENDIENTES POR SUBSANAR",Q214)))</formula>
    </cfRule>
    <cfRule type="containsText" dxfId="4097" priority="2423" operator="containsText" text="SIN OBSERVACIÓN">
      <formula>NOT(ISERROR(SEARCH("SIN OBSERVACIÓN",Q214)))</formula>
    </cfRule>
  </conditionalFormatting>
  <conditionalFormatting sqref="R214">
    <cfRule type="containsBlanks" dxfId="4096" priority="2414">
      <formula>LEN(TRIM(R214))=0</formula>
    </cfRule>
    <cfRule type="cellIs" dxfId="4095" priority="2416" operator="equal">
      <formula>"NO CUMPLEN CON LO SOLICITADO"</formula>
    </cfRule>
    <cfRule type="cellIs" dxfId="4094" priority="2417" operator="equal">
      <formula>"CUMPLEN CON LO SOLICITADO"</formula>
    </cfRule>
    <cfRule type="cellIs" dxfId="4093" priority="2418" operator="equal">
      <formula>"PENDIENTES"</formula>
    </cfRule>
    <cfRule type="cellIs" dxfId="4092" priority="2419" operator="equal">
      <formula>"NINGUNO"</formula>
    </cfRule>
  </conditionalFormatting>
  <conditionalFormatting sqref="Q217">
    <cfRule type="containsBlanks" dxfId="4091" priority="2405">
      <formula>LEN(TRIM(Q217))=0</formula>
    </cfRule>
    <cfRule type="cellIs" dxfId="4090" priority="2410" operator="equal">
      <formula>"REQUERIMIENTOS SUBSANADOS"</formula>
    </cfRule>
    <cfRule type="containsText" dxfId="4089" priority="2411" operator="containsText" text="NO SUBSANABLE">
      <formula>NOT(ISERROR(SEARCH("NO SUBSANABLE",Q217)))</formula>
    </cfRule>
    <cfRule type="containsText" dxfId="4088" priority="2412" operator="containsText" text="PENDIENTES POR SUBSANAR">
      <formula>NOT(ISERROR(SEARCH("PENDIENTES POR SUBSANAR",Q217)))</formula>
    </cfRule>
    <cfRule type="containsText" dxfId="4087" priority="2413" operator="containsText" text="SIN OBSERVACIÓN">
      <formula>NOT(ISERROR(SEARCH("SIN OBSERVACIÓN",Q217)))</formula>
    </cfRule>
  </conditionalFormatting>
  <conditionalFormatting sqref="R217">
    <cfRule type="containsBlanks" dxfId="4086" priority="2404">
      <formula>LEN(TRIM(R217))=0</formula>
    </cfRule>
    <cfRule type="cellIs" dxfId="4085" priority="2406" operator="equal">
      <formula>"NO CUMPLEN CON LO SOLICITADO"</formula>
    </cfRule>
    <cfRule type="cellIs" dxfId="4084" priority="2407" operator="equal">
      <formula>"CUMPLEN CON LO SOLICITADO"</formula>
    </cfRule>
    <cfRule type="cellIs" dxfId="4083" priority="2408" operator="equal">
      <formula>"PENDIENTES"</formula>
    </cfRule>
    <cfRule type="cellIs" dxfId="4082" priority="2409" operator="equal">
      <formula>"NINGUNO"</formula>
    </cfRule>
  </conditionalFormatting>
  <conditionalFormatting sqref="Q220">
    <cfRule type="containsBlanks" dxfId="4081" priority="2395">
      <formula>LEN(TRIM(Q220))=0</formula>
    </cfRule>
    <cfRule type="cellIs" dxfId="4080" priority="2400" operator="equal">
      <formula>"REQUERIMIENTOS SUBSANADOS"</formula>
    </cfRule>
    <cfRule type="containsText" dxfId="4079" priority="2401" operator="containsText" text="NO SUBSANABLE">
      <formula>NOT(ISERROR(SEARCH("NO SUBSANABLE",Q220)))</formula>
    </cfRule>
    <cfRule type="containsText" dxfId="4078" priority="2402" operator="containsText" text="PENDIENTES POR SUBSANAR">
      <formula>NOT(ISERROR(SEARCH("PENDIENTES POR SUBSANAR",Q220)))</formula>
    </cfRule>
    <cfRule type="containsText" dxfId="4077" priority="2403" operator="containsText" text="SIN OBSERVACIÓN">
      <formula>NOT(ISERROR(SEARCH("SIN OBSERVACIÓN",Q220)))</formula>
    </cfRule>
  </conditionalFormatting>
  <conditionalFormatting sqref="R220">
    <cfRule type="containsBlanks" dxfId="4076" priority="2394">
      <formula>LEN(TRIM(R220))=0</formula>
    </cfRule>
    <cfRule type="cellIs" dxfId="4075" priority="2396" operator="equal">
      <formula>"NO CUMPLEN CON LO SOLICITADO"</formula>
    </cfRule>
    <cfRule type="cellIs" dxfId="4074" priority="2397" operator="equal">
      <formula>"CUMPLEN CON LO SOLICITADO"</formula>
    </cfRule>
    <cfRule type="cellIs" dxfId="4073" priority="2398" operator="equal">
      <formula>"PENDIENTES"</formula>
    </cfRule>
    <cfRule type="cellIs" dxfId="4072" priority="2399" operator="equal">
      <formula>"NINGUNO"</formula>
    </cfRule>
  </conditionalFormatting>
  <conditionalFormatting sqref="M220">
    <cfRule type="expression" dxfId="4071" priority="2352">
      <formula>L220="NO CUMPLE"</formula>
    </cfRule>
    <cfRule type="expression" dxfId="4070" priority="2353">
      <formula>L220="CUMPLE"</formula>
    </cfRule>
  </conditionalFormatting>
  <conditionalFormatting sqref="L220:L221">
    <cfRule type="cellIs" dxfId="4069" priority="2350" operator="equal">
      <formula>"NO CUMPLE"</formula>
    </cfRule>
    <cfRule type="cellIs" dxfId="4068" priority="2351" operator="equal">
      <formula>"CUMPLE"</formula>
    </cfRule>
  </conditionalFormatting>
  <conditionalFormatting sqref="M221">
    <cfRule type="expression" dxfId="4067" priority="2348">
      <formula>L221="NO CUMPLE"</formula>
    </cfRule>
    <cfRule type="expression" dxfId="4066" priority="2349">
      <formula>L221="CUMPLE"</formula>
    </cfRule>
  </conditionalFormatting>
  <conditionalFormatting sqref="J214:J222">
    <cfRule type="cellIs" dxfId="4065" priority="2392" operator="equal">
      <formula>"NO CUMPLE"</formula>
    </cfRule>
    <cfRule type="cellIs" dxfId="4064" priority="2393" operator="equal">
      <formula>"CUMPLE"</formula>
    </cfRule>
  </conditionalFormatting>
  <conditionalFormatting sqref="K214">
    <cfRule type="expression" dxfId="4063" priority="2390">
      <formula>J214="NO CUMPLE"</formula>
    </cfRule>
    <cfRule type="expression" dxfId="4062" priority="2391">
      <formula>J214="CUMPLE"</formula>
    </cfRule>
  </conditionalFormatting>
  <conditionalFormatting sqref="K215:K216">
    <cfRule type="expression" dxfId="4061" priority="2388">
      <formula>J215="NO CUMPLE"</formula>
    </cfRule>
    <cfRule type="expression" dxfId="4060" priority="2389">
      <formula>J215="CUMPLE"</formula>
    </cfRule>
  </conditionalFormatting>
  <conditionalFormatting sqref="J223">
    <cfRule type="cellIs" dxfId="4059" priority="2386" operator="equal">
      <formula>"NO CUMPLE"</formula>
    </cfRule>
    <cfRule type="cellIs" dxfId="4058" priority="2387" operator="equal">
      <formula>"CUMPLE"</formula>
    </cfRule>
  </conditionalFormatting>
  <conditionalFormatting sqref="J224:J225">
    <cfRule type="cellIs" dxfId="4057" priority="2384" operator="equal">
      <formula>"NO CUMPLE"</formula>
    </cfRule>
    <cfRule type="cellIs" dxfId="4056" priority="2385" operator="equal">
      <formula>"CUMPLE"</formula>
    </cfRule>
  </conditionalFormatting>
  <conditionalFormatting sqref="K217">
    <cfRule type="expression" dxfId="4055" priority="2382">
      <formula>J217="NO CUMPLE"</formula>
    </cfRule>
    <cfRule type="expression" dxfId="4054" priority="2383">
      <formula>J217="CUMPLE"</formula>
    </cfRule>
  </conditionalFormatting>
  <conditionalFormatting sqref="K218:K219">
    <cfRule type="expression" dxfId="4053" priority="2380">
      <formula>J218="NO CUMPLE"</formula>
    </cfRule>
    <cfRule type="expression" dxfId="4052" priority="2381">
      <formula>J218="CUMPLE"</formula>
    </cfRule>
  </conditionalFormatting>
  <conditionalFormatting sqref="K220">
    <cfRule type="expression" dxfId="4051" priority="2378">
      <formula>J220="NO CUMPLE"</formula>
    </cfRule>
    <cfRule type="expression" dxfId="4050" priority="2379">
      <formula>J220="CUMPLE"</formula>
    </cfRule>
  </conditionalFormatting>
  <conditionalFormatting sqref="K221:K222">
    <cfRule type="expression" dxfId="4049" priority="2376">
      <formula>J221="NO CUMPLE"</formula>
    </cfRule>
    <cfRule type="expression" dxfId="4048" priority="2377">
      <formula>J221="CUMPLE"</formula>
    </cfRule>
  </conditionalFormatting>
  <conditionalFormatting sqref="K223">
    <cfRule type="expression" dxfId="4047" priority="2374">
      <formula>J223="NO CUMPLE"</formula>
    </cfRule>
    <cfRule type="expression" dxfId="4046" priority="2375">
      <formula>J223="CUMPLE"</formula>
    </cfRule>
  </conditionalFormatting>
  <conditionalFormatting sqref="K224:K225">
    <cfRule type="expression" dxfId="4045" priority="2372">
      <formula>J224="NO CUMPLE"</formula>
    </cfRule>
    <cfRule type="expression" dxfId="4044" priority="2373">
      <formula>J224="CUMPLE"</formula>
    </cfRule>
  </conditionalFormatting>
  <conditionalFormatting sqref="M215">
    <cfRule type="expression" dxfId="4043" priority="2360">
      <formula>L215="NO CUMPLE"</formula>
    </cfRule>
    <cfRule type="expression" dxfId="4042" priority="2361">
      <formula>L215="CUMPLE"</formula>
    </cfRule>
  </conditionalFormatting>
  <conditionalFormatting sqref="L214:L215">
    <cfRule type="cellIs" dxfId="4041" priority="2362" operator="equal">
      <formula>"NO CUMPLE"</formula>
    </cfRule>
    <cfRule type="cellIs" dxfId="4040" priority="2363" operator="equal">
      <formula>"CUMPLE"</formula>
    </cfRule>
  </conditionalFormatting>
  <conditionalFormatting sqref="M214">
    <cfRule type="expression" dxfId="4039" priority="2364">
      <formula>L214="NO CUMPLE"</formula>
    </cfRule>
    <cfRule type="expression" dxfId="4038" priority="2365">
      <formula>L214="CUMPLE"</formula>
    </cfRule>
  </conditionalFormatting>
  <conditionalFormatting sqref="M212">
    <cfRule type="expression" dxfId="4037" priority="2366">
      <formula>L212="NO CUMPLE"</formula>
    </cfRule>
    <cfRule type="expression" dxfId="4036" priority="2367">
      <formula>L212="CUMPLE"</formula>
    </cfRule>
  </conditionalFormatting>
  <conditionalFormatting sqref="M211">
    <cfRule type="expression" dxfId="4035" priority="2370">
      <formula>L211="NO CUMPLE"</formula>
    </cfRule>
    <cfRule type="expression" dxfId="4034" priority="2371">
      <formula>L211="CUMPLE"</formula>
    </cfRule>
  </conditionalFormatting>
  <conditionalFormatting sqref="L211:L212">
    <cfRule type="cellIs" dxfId="4033" priority="2368" operator="equal">
      <formula>"NO CUMPLE"</formula>
    </cfRule>
    <cfRule type="cellIs" dxfId="4032" priority="2369" operator="equal">
      <formula>"CUMPLE"</formula>
    </cfRule>
  </conditionalFormatting>
  <conditionalFormatting sqref="M218">
    <cfRule type="expression" dxfId="4031" priority="2354">
      <formula>L218="NO CUMPLE"</formula>
    </cfRule>
    <cfRule type="expression" dxfId="4030" priority="2355">
      <formula>L218="CUMPLE"</formula>
    </cfRule>
  </conditionalFormatting>
  <conditionalFormatting sqref="M217">
    <cfRule type="expression" dxfId="4029" priority="2358">
      <formula>L217="NO CUMPLE"</formula>
    </cfRule>
    <cfRule type="expression" dxfId="4028" priority="2359">
      <formula>L217="CUMPLE"</formula>
    </cfRule>
  </conditionalFormatting>
  <conditionalFormatting sqref="L217:L218">
    <cfRule type="cellIs" dxfId="4027" priority="2356" operator="equal">
      <formula>"NO CUMPLE"</formula>
    </cfRule>
    <cfRule type="cellIs" dxfId="4026" priority="2357" operator="equal">
      <formula>"CUMPLE"</formula>
    </cfRule>
  </conditionalFormatting>
  <conditionalFormatting sqref="M224">
    <cfRule type="expression" dxfId="4025" priority="2342">
      <formula>L224="NO CUMPLE"</formula>
    </cfRule>
    <cfRule type="expression" dxfId="4024" priority="2343">
      <formula>L224="CUMPLE"</formula>
    </cfRule>
  </conditionalFormatting>
  <conditionalFormatting sqref="M223">
    <cfRule type="expression" dxfId="4023" priority="2346">
      <formula>L223="NO CUMPLE"</formula>
    </cfRule>
    <cfRule type="expression" dxfId="4022" priority="2347">
      <formula>L223="CUMPLE"</formula>
    </cfRule>
  </conditionalFormatting>
  <conditionalFormatting sqref="L223:L224">
    <cfRule type="cellIs" dxfId="4021" priority="2344" operator="equal">
      <formula>"NO CUMPLE"</formula>
    </cfRule>
    <cfRule type="cellIs" dxfId="4020" priority="2345" operator="equal">
      <formula>"CUMPLE"</formula>
    </cfRule>
  </conditionalFormatting>
  <conditionalFormatting sqref="J211">
    <cfRule type="cellIs" dxfId="4019" priority="2340" operator="equal">
      <formula>"NO CUMPLE"</formula>
    </cfRule>
    <cfRule type="cellIs" dxfId="4018" priority="2341" operator="equal">
      <formula>"CUMPLE"</formula>
    </cfRule>
  </conditionalFormatting>
  <conditionalFormatting sqref="J212:J213">
    <cfRule type="cellIs" dxfId="4017" priority="2338" operator="equal">
      <formula>"NO CUMPLE"</formula>
    </cfRule>
    <cfRule type="cellIs" dxfId="4016" priority="2339" operator="equal">
      <formula>"CUMPLE"</formula>
    </cfRule>
  </conditionalFormatting>
  <conditionalFormatting sqref="K211">
    <cfRule type="expression" dxfId="4015" priority="2336">
      <formula>J211="NO CUMPLE"</formula>
    </cfRule>
    <cfRule type="expression" dxfId="4014" priority="2337">
      <formula>J211="CUMPLE"</formula>
    </cfRule>
  </conditionalFormatting>
  <conditionalFormatting sqref="K212:K213">
    <cfRule type="expression" dxfId="4013" priority="2334">
      <formula>J212="NO CUMPLE"</formula>
    </cfRule>
    <cfRule type="expression" dxfId="4012" priority="2335">
      <formula>J212="CUMPLE"</formula>
    </cfRule>
  </conditionalFormatting>
  <conditionalFormatting sqref="M41">
    <cfRule type="expression" dxfId="4011" priority="2316">
      <formula>L41="NO CUMPLE"</formula>
    </cfRule>
    <cfRule type="expression" dxfId="4010" priority="2317">
      <formula>L41="CUMPLE"</formula>
    </cfRule>
  </conditionalFormatting>
  <conditionalFormatting sqref="M42">
    <cfRule type="expression" dxfId="4009" priority="2314">
      <formula>L42="NO CUMPLE"</formula>
    </cfRule>
    <cfRule type="expression" dxfId="4008" priority="2315">
      <formula>L42="CUMPLE"</formula>
    </cfRule>
  </conditionalFormatting>
  <conditionalFormatting sqref="M17">
    <cfRule type="expression" dxfId="4007" priority="2326">
      <formula>L17="NO CUMPLE"</formula>
    </cfRule>
    <cfRule type="expression" dxfId="4006" priority="2327">
      <formula>L17="CUMPLE"</formula>
    </cfRule>
  </conditionalFormatting>
  <conditionalFormatting sqref="M16">
    <cfRule type="expression" dxfId="4005" priority="2328">
      <formula>L16="NO CUMPLE"</formula>
    </cfRule>
    <cfRule type="expression" dxfId="4004" priority="2329">
      <formula>L16="CUMPLE"</formula>
    </cfRule>
  </conditionalFormatting>
  <conditionalFormatting sqref="M36">
    <cfRule type="expression" dxfId="4003" priority="2322">
      <formula>L36="NO CUMPLE"</formula>
    </cfRule>
    <cfRule type="expression" dxfId="4002" priority="2323">
      <formula>L36="CUMPLE"</formula>
    </cfRule>
  </conditionalFormatting>
  <conditionalFormatting sqref="M35">
    <cfRule type="expression" dxfId="4001" priority="2324">
      <formula>L35="NO CUMPLE"</formula>
    </cfRule>
    <cfRule type="expression" dxfId="4000" priority="2325">
      <formula>L35="CUMPLE"</formula>
    </cfRule>
  </conditionalFormatting>
  <conditionalFormatting sqref="M39">
    <cfRule type="expression" dxfId="3999" priority="2318">
      <formula>L39="NO CUMPLE"</formula>
    </cfRule>
    <cfRule type="expression" dxfId="3998" priority="2319">
      <formula>L39="CUMPLE"</formula>
    </cfRule>
  </conditionalFormatting>
  <conditionalFormatting sqref="M38">
    <cfRule type="expression" dxfId="3997" priority="2320">
      <formula>L38="NO CUMPLE"</formula>
    </cfRule>
    <cfRule type="expression" dxfId="3996" priority="2321">
      <formula>L38="CUMPLE"</formula>
    </cfRule>
  </conditionalFormatting>
  <conditionalFormatting sqref="M45">
    <cfRule type="expression" dxfId="3995" priority="2310">
      <formula>L45="NO CUMPLE"</formula>
    </cfRule>
    <cfRule type="expression" dxfId="3994" priority="2311">
      <formula>L45="CUMPLE"</formula>
    </cfRule>
  </conditionalFormatting>
  <conditionalFormatting sqref="M44">
    <cfRule type="expression" dxfId="3993" priority="2312">
      <formula>L44="NO CUMPLE"</formula>
    </cfRule>
    <cfRule type="expression" dxfId="3992" priority="2313">
      <formula>L44="CUMPLE"</formula>
    </cfRule>
  </conditionalFormatting>
  <conditionalFormatting sqref="M48">
    <cfRule type="expression" dxfId="3991" priority="2306">
      <formula>L48="NO CUMPLE"</formula>
    </cfRule>
    <cfRule type="expression" dxfId="3990" priority="2307">
      <formula>L48="CUMPLE"</formula>
    </cfRule>
  </conditionalFormatting>
  <conditionalFormatting sqref="M47">
    <cfRule type="expression" dxfId="3989" priority="2308">
      <formula>L47="NO CUMPLE"</formula>
    </cfRule>
    <cfRule type="expression" dxfId="3988" priority="2309">
      <formula>L47="CUMPLE"</formula>
    </cfRule>
  </conditionalFormatting>
  <conditionalFormatting sqref="B248">
    <cfRule type="cellIs" dxfId="3987" priority="2300" operator="equal">
      <formula>"NO CUMPLE CON LA EXPERIENCIA REQUERIDA"</formula>
    </cfRule>
    <cfRule type="cellIs" dxfId="3986" priority="2301" operator="equal">
      <formula>"CUMPLE CON LA EXPERIENCIA REQUERIDA"</formula>
    </cfRule>
  </conditionalFormatting>
  <conditionalFormatting sqref="H233 H236 H239 H242 H245">
    <cfRule type="notContainsBlanks" dxfId="3985" priority="2299">
      <formula>LEN(TRIM(H233))&gt;0</formula>
    </cfRule>
  </conditionalFormatting>
  <conditionalFormatting sqref="G233">
    <cfRule type="notContainsBlanks" dxfId="3984" priority="2298">
      <formula>LEN(TRIM(G233))&gt;0</formula>
    </cfRule>
  </conditionalFormatting>
  <conditionalFormatting sqref="F233">
    <cfRule type="notContainsBlanks" dxfId="3983" priority="2297">
      <formula>LEN(TRIM(F233))&gt;0</formula>
    </cfRule>
  </conditionalFormatting>
  <conditionalFormatting sqref="E233">
    <cfRule type="notContainsBlanks" dxfId="3982" priority="2296">
      <formula>LEN(TRIM(E233))&gt;0</formula>
    </cfRule>
  </conditionalFormatting>
  <conditionalFormatting sqref="D233">
    <cfRule type="notContainsBlanks" dxfId="3981" priority="2295">
      <formula>LEN(TRIM(D233))&gt;0</formula>
    </cfRule>
  </conditionalFormatting>
  <conditionalFormatting sqref="C233">
    <cfRule type="notContainsBlanks" dxfId="3980" priority="2294">
      <formula>LEN(TRIM(C233))&gt;0</formula>
    </cfRule>
  </conditionalFormatting>
  <conditionalFormatting sqref="I233">
    <cfRule type="notContainsBlanks" dxfId="3979" priority="2293">
      <formula>LEN(TRIM(I233))&gt;0</formula>
    </cfRule>
  </conditionalFormatting>
  <conditionalFormatting sqref="S236">
    <cfRule type="cellIs" dxfId="3978" priority="2289" operator="greaterThan">
      <formula>0</formula>
    </cfRule>
    <cfRule type="top10" dxfId="3977" priority="2290" rank="10"/>
  </conditionalFormatting>
  <conditionalFormatting sqref="S239">
    <cfRule type="cellIs" dxfId="3976" priority="2287" operator="greaterThan">
      <formula>0</formula>
    </cfRule>
    <cfRule type="top10" dxfId="3975" priority="2288" rank="10"/>
  </conditionalFormatting>
  <conditionalFormatting sqref="G239">
    <cfRule type="notContainsBlanks" dxfId="3974" priority="2286">
      <formula>LEN(TRIM(G239))&gt;0</formula>
    </cfRule>
  </conditionalFormatting>
  <conditionalFormatting sqref="F239">
    <cfRule type="notContainsBlanks" dxfId="3973" priority="2285">
      <formula>LEN(TRIM(F239))&gt;0</formula>
    </cfRule>
  </conditionalFormatting>
  <conditionalFormatting sqref="E239">
    <cfRule type="notContainsBlanks" dxfId="3972" priority="2284">
      <formula>LEN(TRIM(E239))&gt;0</formula>
    </cfRule>
  </conditionalFormatting>
  <conditionalFormatting sqref="D239">
    <cfRule type="notContainsBlanks" dxfId="3971" priority="2283">
      <formula>LEN(TRIM(D239))&gt;0</formula>
    </cfRule>
  </conditionalFormatting>
  <conditionalFormatting sqref="C239">
    <cfRule type="notContainsBlanks" dxfId="3970" priority="2282">
      <formula>LEN(TRIM(C239))&gt;0</formula>
    </cfRule>
  </conditionalFormatting>
  <conditionalFormatting sqref="I239">
    <cfRule type="notContainsBlanks" dxfId="3969" priority="2281">
      <formula>LEN(TRIM(I239))&gt;0</formula>
    </cfRule>
  </conditionalFormatting>
  <conditionalFormatting sqref="S242">
    <cfRule type="cellIs" dxfId="3968" priority="2279" operator="greaterThan">
      <formula>0</formula>
    </cfRule>
    <cfRule type="top10" dxfId="3967" priority="2280" rank="10"/>
  </conditionalFormatting>
  <conditionalFormatting sqref="S245">
    <cfRule type="cellIs" dxfId="3966" priority="2277" operator="greaterThan">
      <formula>0</formula>
    </cfRule>
    <cfRule type="top10" dxfId="3965" priority="2278" rank="10"/>
  </conditionalFormatting>
  <conditionalFormatting sqref="G245">
    <cfRule type="notContainsBlanks" dxfId="3964" priority="2276">
      <formula>LEN(TRIM(G245))&gt;0</formula>
    </cfRule>
  </conditionalFormatting>
  <conditionalFormatting sqref="F245">
    <cfRule type="notContainsBlanks" dxfId="3963" priority="2275">
      <formula>LEN(TRIM(F245))&gt;0</formula>
    </cfRule>
  </conditionalFormatting>
  <conditionalFormatting sqref="E245">
    <cfRule type="notContainsBlanks" dxfId="3962" priority="2274">
      <formula>LEN(TRIM(E245))&gt;0</formula>
    </cfRule>
  </conditionalFormatting>
  <conditionalFormatting sqref="D245">
    <cfRule type="notContainsBlanks" dxfId="3961" priority="2273">
      <formula>LEN(TRIM(D245))&gt;0</formula>
    </cfRule>
  </conditionalFormatting>
  <conditionalFormatting sqref="C245">
    <cfRule type="notContainsBlanks" dxfId="3960" priority="2272">
      <formula>LEN(TRIM(C245))&gt;0</formula>
    </cfRule>
  </conditionalFormatting>
  <conditionalFormatting sqref="I245">
    <cfRule type="notContainsBlanks" dxfId="3959" priority="2271">
      <formula>LEN(TRIM(I245))&gt;0</formula>
    </cfRule>
  </conditionalFormatting>
  <conditionalFormatting sqref="G236">
    <cfRule type="notContainsBlanks" dxfId="3958" priority="2270">
      <formula>LEN(TRIM(G236))&gt;0</formula>
    </cfRule>
  </conditionalFormatting>
  <conditionalFormatting sqref="F236">
    <cfRule type="notContainsBlanks" dxfId="3957" priority="2269">
      <formula>LEN(TRIM(F236))&gt;0</formula>
    </cfRule>
  </conditionalFormatting>
  <conditionalFormatting sqref="E236">
    <cfRule type="notContainsBlanks" dxfId="3956" priority="2268">
      <formula>LEN(TRIM(E236))&gt;0</formula>
    </cfRule>
  </conditionalFormatting>
  <conditionalFormatting sqref="D236">
    <cfRule type="notContainsBlanks" dxfId="3955" priority="2267">
      <formula>LEN(TRIM(D236))&gt;0</formula>
    </cfRule>
  </conditionalFormatting>
  <conditionalFormatting sqref="C236">
    <cfRule type="notContainsBlanks" dxfId="3954" priority="2266">
      <formula>LEN(TRIM(C236))&gt;0</formula>
    </cfRule>
  </conditionalFormatting>
  <conditionalFormatting sqref="G242">
    <cfRule type="notContainsBlanks" dxfId="3953" priority="2265">
      <formula>LEN(TRIM(G242))&gt;0</formula>
    </cfRule>
  </conditionalFormatting>
  <conditionalFormatting sqref="F242">
    <cfRule type="notContainsBlanks" dxfId="3952" priority="2264">
      <formula>LEN(TRIM(F242))&gt;0</formula>
    </cfRule>
  </conditionalFormatting>
  <conditionalFormatting sqref="E242">
    <cfRule type="notContainsBlanks" dxfId="3951" priority="2263">
      <formula>LEN(TRIM(E242))&gt;0</formula>
    </cfRule>
  </conditionalFormatting>
  <conditionalFormatting sqref="D242">
    <cfRule type="notContainsBlanks" dxfId="3950" priority="2262">
      <formula>LEN(TRIM(D242))&gt;0</formula>
    </cfRule>
  </conditionalFormatting>
  <conditionalFormatting sqref="C242">
    <cfRule type="notContainsBlanks" dxfId="3949" priority="2261">
      <formula>LEN(TRIM(C242))&gt;0</formula>
    </cfRule>
  </conditionalFormatting>
  <conditionalFormatting sqref="I242">
    <cfRule type="notContainsBlanks" dxfId="3948" priority="2259">
      <formula>LEN(TRIM(I242))&gt;0</formula>
    </cfRule>
  </conditionalFormatting>
  <conditionalFormatting sqref="S248">
    <cfRule type="expression" dxfId="3947" priority="2257">
      <formula>$S$28&gt;0</formula>
    </cfRule>
    <cfRule type="cellIs" dxfId="3946" priority="2258" operator="equal">
      <formula>0</formula>
    </cfRule>
  </conditionalFormatting>
  <conditionalFormatting sqref="S249">
    <cfRule type="expression" dxfId="3945" priority="2255">
      <formula>$S$28&gt;0</formula>
    </cfRule>
    <cfRule type="cellIs" dxfId="3944" priority="2256" operator="equal">
      <formula>0</formula>
    </cfRule>
  </conditionalFormatting>
  <conditionalFormatting sqref="N245">
    <cfRule type="expression" dxfId="3943" priority="2216">
      <formula>N245=" "</formula>
    </cfRule>
    <cfRule type="expression" dxfId="3942" priority="2217">
      <formula>N245="NO PRESENTÓ CERTIFICADO"</formula>
    </cfRule>
    <cfRule type="expression" dxfId="3941" priority="2218">
      <formula>N245="PRESENTÓ CERTIFICADO"</formula>
    </cfRule>
  </conditionalFormatting>
  <conditionalFormatting sqref="O245">
    <cfRule type="cellIs" dxfId="3940" priority="2198" operator="equal">
      <formula>"PENDIENTE POR DESCRIPCIÓN"</formula>
    </cfRule>
    <cfRule type="cellIs" dxfId="3939" priority="2199" operator="equal">
      <formula>"DESCRIPCIÓN INSUFICIENTE"</formula>
    </cfRule>
    <cfRule type="cellIs" dxfId="3938" priority="2200" operator="equal">
      <formula>"NO ESTÁ ACORDE A ITEM 5.2.2 (T.R.)"</formula>
    </cfRule>
    <cfRule type="cellIs" dxfId="3937" priority="2201" operator="equal">
      <formula>"ACORDE A ITEM 5.2.2 (T.R.)"</formula>
    </cfRule>
    <cfRule type="cellIs" dxfId="3936" priority="2208" operator="equal">
      <formula>"PENDIENTE POR DESCRIPCIÓN"</formula>
    </cfRule>
    <cfRule type="cellIs" dxfId="3935" priority="2210" operator="equal">
      <formula>"DESCRIPCIÓN INSUFICIENTE"</formula>
    </cfRule>
    <cfRule type="cellIs" dxfId="3934" priority="2211" operator="equal">
      <formula>"NO ESTÁ ACORDE A ITEM 5.2.1 (T.R.)"</formula>
    </cfRule>
    <cfRule type="cellIs" dxfId="3933" priority="2212" operator="equal">
      <formula>"ACORDE A ITEM 5.2.1 (T.R.)"</formula>
    </cfRule>
  </conditionalFormatting>
  <conditionalFormatting sqref="Q245">
    <cfRule type="containsBlanks" dxfId="3932" priority="2203">
      <formula>LEN(TRIM(Q245))=0</formula>
    </cfRule>
    <cfRule type="cellIs" dxfId="3931" priority="2209" operator="equal">
      <formula>"REQUERIMIENTOS SUBSANADOS"</formula>
    </cfRule>
    <cfRule type="containsText" dxfId="3930" priority="2213" operator="containsText" text="NO SUBSANABLE">
      <formula>NOT(ISERROR(SEARCH("NO SUBSANABLE",Q245)))</formula>
    </cfRule>
    <cfRule type="containsText" dxfId="3929" priority="2214" operator="containsText" text="PENDIENTES POR SUBSANAR">
      <formula>NOT(ISERROR(SEARCH("PENDIENTES POR SUBSANAR",Q245)))</formula>
    </cfRule>
    <cfRule type="containsText" dxfId="3928" priority="2215" operator="containsText" text="SIN OBSERVACIÓN">
      <formula>NOT(ISERROR(SEARCH("SIN OBSERVACIÓN",Q245)))</formula>
    </cfRule>
  </conditionalFormatting>
  <conditionalFormatting sqref="R245">
    <cfRule type="containsBlanks" dxfId="3927" priority="2202">
      <formula>LEN(TRIM(R245))=0</formula>
    </cfRule>
    <cfRule type="cellIs" dxfId="3926" priority="2204" operator="equal">
      <formula>"NO CUMPLEN CON LO SOLICITADO"</formula>
    </cfRule>
    <cfRule type="cellIs" dxfId="3925" priority="2205" operator="equal">
      <formula>"CUMPLEN CON LO SOLICITADO"</formula>
    </cfRule>
    <cfRule type="cellIs" dxfId="3924" priority="2206" operator="equal">
      <formula>"PENDIENTES"</formula>
    </cfRule>
    <cfRule type="cellIs" dxfId="3923" priority="2207" operator="equal">
      <formula>"NINGUNO"</formula>
    </cfRule>
  </conditionalFormatting>
  <conditionalFormatting sqref="P242 P245">
    <cfRule type="expression" dxfId="3922" priority="2193">
      <formula>Q242="NO SUBSANABLE"</formula>
    </cfRule>
    <cfRule type="expression" dxfId="3921" priority="2194">
      <formula>Q242="REQUERIMIENTOS SUBSANADOS"</formula>
    </cfRule>
    <cfRule type="expression" dxfId="3920" priority="2195">
      <formula>Q242="PENDIENTES POR SUBSANAR"</formula>
    </cfRule>
    <cfRule type="expression" dxfId="3919" priority="2196">
      <formula>Q242="SIN OBSERVACIÓN"</formula>
    </cfRule>
    <cfRule type="containsBlanks" dxfId="3918" priority="2197">
      <formula>LEN(TRIM(P242))=0</formula>
    </cfRule>
  </conditionalFormatting>
  <conditionalFormatting sqref="N242">
    <cfRule type="expression" dxfId="3917" priority="2184">
      <formula>N242=" "</formula>
    </cfRule>
    <cfRule type="expression" dxfId="3916" priority="2185">
      <formula>N242="NO PRESENTÓ CERTIFICADO"</formula>
    </cfRule>
    <cfRule type="expression" dxfId="3915" priority="2186">
      <formula>N242="PRESENTÓ CERTIFICADO"</formula>
    </cfRule>
  </conditionalFormatting>
  <conditionalFormatting sqref="O242">
    <cfRule type="cellIs" dxfId="3914" priority="2160" operator="equal">
      <formula>"PENDIENTE POR DESCRIPCIÓN"</formula>
    </cfRule>
    <cfRule type="cellIs" dxfId="3913" priority="2161" operator="equal">
      <formula>"DESCRIPCIÓN INSUFICIENTE"</formula>
    </cfRule>
    <cfRule type="cellIs" dxfId="3912" priority="2162" operator="equal">
      <formula>"NO ESTÁ ACORDE A ITEM 5.2.2 (T.R.)"</formula>
    </cfRule>
    <cfRule type="cellIs" dxfId="3911" priority="2163" operator="equal">
      <formula>"ACORDE A ITEM 5.2.2 (T.R.)"</formula>
    </cfRule>
    <cfRule type="cellIs" dxfId="3910" priority="2164" operator="equal">
      <formula>"PENDIENTE POR DESCRIPCIÓN"</formula>
    </cfRule>
    <cfRule type="cellIs" dxfId="3909" priority="2165" operator="equal">
      <formula>"DESCRIPCIÓN INSUFICIENTE"</formula>
    </cfRule>
    <cfRule type="cellIs" dxfId="3908" priority="2166" operator="equal">
      <formula>"NO ESTÁ ACORDE A ITEM 5.2.1 (T.R.)"</formula>
    </cfRule>
    <cfRule type="cellIs" dxfId="3907" priority="2167" operator="equal">
      <formula>"ACORDE A ITEM 5.2.1 (T.R.)"</formula>
    </cfRule>
  </conditionalFormatting>
  <conditionalFormatting sqref="Q242">
    <cfRule type="containsBlanks" dxfId="3906" priority="2131">
      <formula>LEN(TRIM(Q242))=0</formula>
    </cfRule>
    <cfRule type="cellIs" dxfId="3905" priority="2136" operator="equal">
      <formula>"REQUERIMIENTOS SUBSANADOS"</formula>
    </cfRule>
    <cfRule type="containsText" dxfId="3904" priority="2137" operator="containsText" text="NO SUBSANABLE">
      <formula>NOT(ISERROR(SEARCH("NO SUBSANABLE",Q242)))</formula>
    </cfRule>
    <cfRule type="containsText" dxfId="3903" priority="2138" operator="containsText" text="PENDIENTES POR SUBSANAR">
      <formula>NOT(ISERROR(SEARCH("PENDIENTES POR SUBSANAR",Q242)))</formula>
    </cfRule>
    <cfRule type="containsText" dxfId="3902" priority="2139" operator="containsText" text="SIN OBSERVACIÓN">
      <formula>NOT(ISERROR(SEARCH("SIN OBSERVACIÓN",Q242)))</formula>
    </cfRule>
  </conditionalFormatting>
  <conditionalFormatting sqref="R242">
    <cfRule type="containsBlanks" dxfId="3901" priority="2130">
      <formula>LEN(TRIM(R242))=0</formula>
    </cfRule>
    <cfRule type="cellIs" dxfId="3900" priority="2132" operator="equal">
      <formula>"NO CUMPLEN CON LO SOLICITADO"</formula>
    </cfRule>
    <cfRule type="cellIs" dxfId="3899" priority="2133" operator="equal">
      <formula>"CUMPLEN CON LO SOLICITADO"</formula>
    </cfRule>
    <cfRule type="cellIs" dxfId="3898" priority="2134" operator="equal">
      <formula>"PENDIENTES"</formula>
    </cfRule>
    <cfRule type="cellIs" dxfId="3897" priority="2135" operator="equal">
      <formula>"NINGUNO"</formula>
    </cfRule>
  </conditionalFormatting>
  <conditionalFormatting sqref="M242">
    <cfRule type="expression" dxfId="3896" priority="2088">
      <formula>L242="NO CUMPLE"</formula>
    </cfRule>
    <cfRule type="expression" dxfId="3895" priority="2089">
      <formula>L242="CUMPLE"</formula>
    </cfRule>
  </conditionalFormatting>
  <conditionalFormatting sqref="L242:L243">
    <cfRule type="cellIs" dxfId="3894" priority="2086" operator="equal">
      <formula>"NO CUMPLE"</formula>
    </cfRule>
    <cfRule type="cellIs" dxfId="3893" priority="2087" operator="equal">
      <formula>"CUMPLE"</formula>
    </cfRule>
  </conditionalFormatting>
  <conditionalFormatting sqref="M243">
    <cfRule type="expression" dxfId="3892" priority="2084">
      <formula>L243="NO CUMPLE"</formula>
    </cfRule>
    <cfRule type="expression" dxfId="3891" priority="2085">
      <formula>L243="CUMPLE"</formula>
    </cfRule>
  </conditionalFormatting>
  <conditionalFormatting sqref="J242:J244">
    <cfRule type="cellIs" dxfId="3890" priority="2128" operator="equal">
      <formula>"NO CUMPLE"</formula>
    </cfRule>
    <cfRule type="cellIs" dxfId="3889" priority="2129" operator="equal">
      <formula>"CUMPLE"</formula>
    </cfRule>
  </conditionalFormatting>
  <conditionalFormatting sqref="K236">
    <cfRule type="expression" dxfId="3888" priority="2126">
      <formula>J236="NO CUMPLE"</formula>
    </cfRule>
    <cfRule type="expression" dxfId="3887" priority="2127">
      <formula>J236="CUMPLE"</formula>
    </cfRule>
  </conditionalFormatting>
  <conditionalFormatting sqref="K237:K238">
    <cfRule type="expression" dxfId="3886" priority="2124">
      <formula>J237="NO CUMPLE"</formula>
    </cfRule>
    <cfRule type="expression" dxfId="3885" priority="2125">
      <formula>J237="CUMPLE"</formula>
    </cfRule>
  </conditionalFormatting>
  <conditionalFormatting sqref="J245">
    <cfRule type="cellIs" dxfId="3884" priority="2122" operator="equal">
      <formula>"NO CUMPLE"</formula>
    </cfRule>
    <cfRule type="cellIs" dxfId="3883" priority="2123" operator="equal">
      <formula>"CUMPLE"</formula>
    </cfRule>
  </conditionalFormatting>
  <conditionalFormatting sqref="J246:J247">
    <cfRule type="cellIs" dxfId="3882" priority="2120" operator="equal">
      <formula>"NO CUMPLE"</formula>
    </cfRule>
    <cfRule type="cellIs" dxfId="3881" priority="2121" operator="equal">
      <formula>"CUMPLE"</formula>
    </cfRule>
  </conditionalFormatting>
  <conditionalFormatting sqref="K239">
    <cfRule type="expression" dxfId="3880" priority="2118">
      <formula>J239="NO CUMPLE"</formula>
    </cfRule>
    <cfRule type="expression" dxfId="3879" priority="2119">
      <formula>J239="CUMPLE"</formula>
    </cfRule>
  </conditionalFormatting>
  <conditionalFormatting sqref="K240:K241">
    <cfRule type="expression" dxfId="3878" priority="2116">
      <formula>J240="NO CUMPLE"</formula>
    </cfRule>
    <cfRule type="expression" dxfId="3877" priority="2117">
      <formula>J240="CUMPLE"</formula>
    </cfRule>
  </conditionalFormatting>
  <conditionalFormatting sqref="K242">
    <cfRule type="expression" dxfId="3876" priority="2114">
      <formula>J242="NO CUMPLE"</formula>
    </cfRule>
    <cfRule type="expression" dxfId="3875" priority="2115">
      <formula>J242="CUMPLE"</formula>
    </cfRule>
  </conditionalFormatting>
  <conditionalFormatting sqref="K243:K244">
    <cfRule type="expression" dxfId="3874" priority="2112">
      <formula>J243="NO CUMPLE"</formula>
    </cfRule>
    <cfRule type="expression" dxfId="3873" priority="2113">
      <formula>J243="CUMPLE"</formula>
    </cfRule>
  </conditionalFormatting>
  <conditionalFormatting sqref="K245">
    <cfRule type="expression" dxfId="3872" priority="2110">
      <formula>J245="NO CUMPLE"</formula>
    </cfRule>
    <cfRule type="expression" dxfId="3871" priority="2111">
      <formula>J245="CUMPLE"</formula>
    </cfRule>
  </conditionalFormatting>
  <conditionalFormatting sqref="K246:K247">
    <cfRule type="expression" dxfId="3870" priority="2108">
      <formula>J246="NO CUMPLE"</formula>
    </cfRule>
    <cfRule type="expression" dxfId="3869" priority="2109">
      <formula>J246="CUMPLE"</formula>
    </cfRule>
  </conditionalFormatting>
  <conditionalFormatting sqref="M237">
    <cfRule type="expression" dxfId="3868" priority="2096">
      <formula>L237="NO CUMPLE"</formula>
    </cfRule>
    <cfRule type="expression" dxfId="3867" priority="2097">
      <formula>L237="CUMPLE"</formula>
    </cfRule>
  </conditionalFormatting>
  <conditionalFormatting sqref="L236:L237">
    <cfRule type="cellIs" dxfId="3866" priority="2098" operator="equal">
      <formula>"NO CUMPLE"</formula>
    </cfRule>
    <cfRule type="cellIs" dxfId="3865" priority="2099" operator="equal">
      <formula>"CUMPLE"</formula>
    </cfRule>
  </conditionalFormatting>
  <conditionalFormatting sqref="M236">
    <cfRule type="expression" dxfId="3864" priority="2100">
      <formula>L236="NO CUMPLE"</formula>
    </cfRule>
    <cfRule type="expression" dxfId="3863" priority="2101">
      <formula>L236="CUMPLE"</formula>
    </cfRule>
  </conditionalFormatting>
  <conditionalFormatting sqref="M234">
    <cfRule type="expression" dxfId="3862" priority="2102">
      <formula>L234="NO CUMPLE"</formula>
    </cfRule>
    <cfRule type="expression" dxfId="3861" priority="2103">
      <formula>L234="CUMPLE"</formula>
    </cfRule>
  </conditionalFormatting>
  <conditionalFormatting sqref="M233">
    <cfRule type="expression" dxfId="3860" priority="2106">
      <formula>L233="NO CUMPLE"</formula>
    </cfRule>
    <cfRule type="expression" dxfId="3859" priority="2107">
      <formula>L233="CUMPLE"</formula>
    </cfRule>
  </conditionalFormatting>
  <conditionalFormatting sqref="L233:L234">
    <cfRule type="cellIs" dxfId="3858" priority="2104" operator="equal">
      <formula>"NO CUMPLE"</formula>
    </cfRule>
    <cfRule type="cellIs" dxfId="3857" priority="2105" operator="equal">
      <formula>"CUMPLE"</formula>
    </cfRule>
  </conditionalFormatting>
  <conditionalFormatting sqref="M240">
    <cfRule type="expression" dxfId="3856" priority="2090">
      <formula>L240="NO CUMPLE"</formula>
    </cfRule>
    <cfRule type="expression" dxfId="3855" priority="2091">
      <formula>L240="CUMPLE"</formula>
    </cfRule>
  </conditionalFormatting>
  <conditionalFormatting sqref="M239">
    <cfRule type="expression" dxfId="3854" priority="2094">
      <formula>L239="NO CUMPLE"</formula>
    </cfRule>
    <cfRule type="expression" dxfId="3853" priority="2095">
      <formula>L239="CUMPLE"</formula>
    </cfRule>
  </conditionalFormatting>
  <conditionalFormatting sqref="L239:L240">
    <cfRule type="cellIs" dxfId="3852" priority="2092" operator="equal">
      <formula>"NO CUMPLE"</formula>
    </cfRule>
    <cfRule type="cellIs" dxfId="3851" priority="2093" operator="equal">
      <formula>"CUMPLE"</formula>
    </cfRule>
  </conditionalFormatting>
  <conditionalFormatting sqref="M246">
    <cfRule type="expression" dxfId="3850" priority="2078">
      <formula>L246="NO CUMPLE"</formula>
    </cfRule>
    <cfRule type="expression" dxfId="3849" priority="2079">
      <formula>L246="CUMPLE"</formula>
    </cfRule>
  </conditionalFormatting>
  <conditionalFormatting sqref="M245">
    <cfRule type="expression" dxfId="3848" priority="2082">
      <formula>L245="NO CUMPLE"</formula>
    </cfRule>
    <cfRule type="expression" dxfId="3847" priority="2083">
      <formula>L245="CUMPLE"</formula>
    </cfRule>
  </conditionalFormatting>
  <conditionalFormatting sqref="L245:L246">
    <cfRule type="cellIs" dxfId="3846" priority="2080" operator="equal">
      <formula>"NO CUMPLE"</formula>
    </cfRule>
    <cfRule type="cellIs" dxfId="3845" priority="2081" operator="equal">
      <formula>"CUMPLE"</formula>
    </cfRule>
  </conditionalFormatting>
  <conditionalFormatting sqref="J233">
    <cfRule type="cellIs" dxfId="3844" priority="2076" operator="equal">
      <formula>"NO CUMPLE"</formula>
    </cfRule>
    <cfRule type="cellIs" dxfId="3843" priority="2077" operator="equal">
      <formula>"CUMPLE"</formula>
    </cfRule>
  </conditionalFormatting>
  <conditionalFormatting sqref="J234:J235">
    <cfRule type="cellIs" dxfId="3842" priority="2074" operator="equal">
      <formula>"NO CUMPLE"</formula>
    </cfRule>
    <cfRule type="cellIs" dxfId="3841" priority="2075" operator="equal">
      <formula>"CUMPLE"</formula>
    </cfRule>
  </conditionalFormatting>
  <conditionalFormatting sqref="K233">
    <cfRule type="expression" dxfId="3840" priority="2072">
      <formula>J233="NO CUMPLE"</formula>
    </cfRule>
    <cfRule type="expression" dxfId="3839" priority="2073">
      <formula>J233="CUMPLE"</formula>
    </cfRule>
  </conditionalFormatting>
  <conditionalFormatting sqref="K234:K235">
    <cfRule type="expression" dxfId="3838" priority="2070">
      <formula>J234="NO CUMPLE"</formula>
    </cfRule>
    <cfRule type="expression" dxfId="3837" priority="2071">
      <formula>J234="CUMPLE"</formula>
    </cfRule>
  </conditionalFormatting>
  <conditionalFormatting sqref="S255">
    <cfRule type="cellIs" dxfId="3836" priority="2068" operator="greaterThan">
      <formula>0</formula>
    </cfRule>
    <cfRule type="top10" dxfId="3835" priority="2069" rank="10"/>
  </conditionalFormatting>
  <conditionalFormatting sqref="B270">
    <cfRule type="cellIs" dxfId="3834" priority="2064" operator="equal">
      <formula>"NO CUMPLE CON LA EXPERIENCIA REQUERIDA"</formula>
    </cfRule>
    <cfRule type="cellIs" dxfId="3833" priority="2065" operator="equal">
      <formula>"CUMPLE CON LA EXPERIENCIA REQUERIDA"</formula>
    </cfRule>
  </conditionalFormatting>
  <conditionalFormatting sqref="H255">
    <cfRule type="notContainsBlanks" dxfId="3832" priority="2063">
      <formula>LEN(TRIM(H255))&gt;0</formula>
    </cfRule>
  </conditionalFormatting>
  <conditionalFormatting sqref="G255">
    <cfRule type="notContainsBlanks" dxfId="3831" priority="2062">
      <formula>LEN(TRIM(G255))&gt;0</formula>
    </cfRule>
  </conditionalFormatting>
  <conditionalFormatting sqref="F255">
    <cfRule type="notContainsBlanks" dxfId="3830" priority="2061">
      <formula>LEN(TRIM(F255))&gt;0</formula>
    </cfRule>
  </conditionalFormatting>
  <conditionalFormatting sqref="E255">
    <cfRule type="notContainsBlanks" dxfId="3829" priority="2060">
      <formula>LEN(TRIM(E255))&gt;0</formula>
    </cfRule>
  </conditionalFormatting>
  <conditionalFormatting sqref="D255">
    <cfRule type="notContainsBlanks" dxfId="3828" priority="2059">
      <formula>LEN(TRIM(D255))&gt;0</formula>
    </cfRule>
  </conditionalFormatting>
  <conditionalFormatting sqref="C255">
    <cfRule type="notContainsBlanks" dxfId="3827" priority="2058">
      <formula>LEN(TRIM(C255))&gt;0</formula>
    </cfRule>
  </conditionalFormatting>
  <conditionalFormatting sqref="I255">
    <cfRule type="notContainsBlanks" dxfId="3826" priority="2057">
      <formula>LEN(TRIM(I255))&gt;0</formula>
    </cfRule>
  </conditionalFormatting>
  <conditionalFormatting sqref="S258">
    <cfRule type="cellIs" dxfId="3825" priority="2053" operator="greaterThan">
      <formula>0</formula>
    </cfRule>
    <cfRule type="top10" dxfId="3824" priority="2054" rank="10"/>
  </conditionalFormatting>
  <conditionalFormatting sqref="S261">
    <cfRule type="cellIs" dxfId="3823" priority="2051" operator="greaterThan">
      <formula>0</formula>
    </cfRule>
    <cfRule type="top10" dxfId="3822" priority="2052" rank="10"/>
  </conditionalFormatting>
  <conditionalFormatting sqref="G261">
    <cfRule type="notContainsBlanks" dxfId="3821" priority="2050">
      <formula>LEN(TRIM(G261))&gt;0</formula>
    </cfRule>
  </conditionalFormatting>
  <conditionalFormatting sqref="F261">
    <cfRule type="notContainsBlanks" dxfId="3820" priority="2049">
      <formula>LEN(TRIM(F261))&gt;0</formula>
    </cfRule>
  </conditionalFormatting>
  <conditionalFormatting sqref="E261">
    <cfRule type="notContainsBlanks" dxfId="3819" priority="2048">
      <formula>LEN(TRIM(E261))&gt;0</formula>
    </cfRule>
  </conditionalFormatting>
  <conditionalFormatting sqref="D261">
    <cfRule type="notContainsBlanks" dxfId="3818" priority="2047">
      <formula>LEN(TRIM(D261))&gt;0</formula>
    </cfRule>
  </conditionalFormatting>
  <conditionalFormatting sqref="C261">
    <cfRule type="notContainsBlanks" dxfId="3817" priority="2046">
      <formula>LEN(TRIM(C261))&gt;0</formula>
    </cfRule>
  </conditionalFormatting>
  <conditionalFormatting sqref="S264">
    <cfRule type="cellIs" dxfId="3816" priority="2043" operator="greaterThan">
      <formula>0</formula>
    </cfRule>
    <cfRule type="top10" dxfId="3815" priority="2044" rank="10"/>
  </conditionalFormatting>
  <conditionalFormatting sqref="S267">
    <cfRule type="cellIs" dxfId="3814" priority="2041" operator="greaterThan">
      <formula>0</formula>
    </cfRule>
    <cfRule type="top10" dxfId="3813" priority="2042" rank="10"/>
  </conditionalFormatting>
  <conditionalFormatting sqref="G267">
    <cfRule type="notContainsBlanks" dxfId="3812" priority="2040">
      <formula>LEN(TRIM(G267))&gt;0</formula>
    </cfRule>
  </conditionalFormatting>
  <conditionalFormatting sqref="F267">
    <cfRule type="notContainsBlanks" dxfId="3811" priority="2039">
      <formula>LEN(TRIM(F267))&gt;0</formula>
    </cfRule>
  </conditionalFormatting>
  <conditionalFormatting sqref="E267">
    <cfRule type="notContainsBlanks" dxfId="3810" priority="2038">
      <formula>LEN(TRIM(E267))&gt;0</formula>
    </cfRule>
  </conditionalFormatting>
  <conditionalFormatting sqref="D267">
    <cfRule type="notContainsBlanks" dxfId="3809" priority="2037">
      <formula>LEN(TRIM(D267))&gt;0</formula>
    </cfRule>
  </conditionalFormatting>
  <conditionalFormatting sqref="C267">
    <cfRule type="notContainsBlanks" dxfId="3808" priority="2036">
      <formula>LEN(TRIM(C267))&gt;0</formula>
    </cfRule>
  </conditionalFormatting>
  <conditionalFormatting sqref="G258">
    <cfRule type="notContainsBlanks" dxfId="3807" priority="2034">
      <formula>LEN(TRIM(G258))&gt;0</formula>
    </cfRule>
  </conditionalFormatting>
  <conditionalFormatting sqref="F258">
    <cfRule type="notContainsBlanks" dxfId="3806" priority="2033">
      <formula>LEN(TRIM(F258))&gt;0</formula>
    </cfRule>
  </conditionalFormatting>
  <conditionalFormatting sqref="E258">
    <cfRule type="notContainsBlanks" dxfId="3805" priority="2032">
      <formula>LEN(TRIM(E258))&gt;0</formula>
    </cfRule>
  </conditionalFormatting>
  <conditionalFormatting sqref="D258">
    <cfRule type="notContainsBlanks" dxfId="3804" priority="2031">
      <formula>LEN(TRIM(D258))&gt;0</formula>
    </cfRule>
  </conditionalFormatting>
  <conditionalFormatting sqref="C258">
    <cfRule type="notContainsBlanks" dxfId="3803" priority="2030">
      <formula>LEN(TRIM(C258))&gt;0</formula>
    </cfRule>
  </conditionalFormatting>
  <conditionalFormatting sqref="G264">
    <cfRule type="notContainsBlanks" dxfId="3802" priority="2029">
      <formula>LEN(TRIM(G264))&gt;0</formula>
    </cfRule>
  </conditionalFormatting>
  <conditionalFormatting sqref="F264">
    <cfRule type="notContainsBlanks" dxfId="3801" priority="2028">
      <formula>LEN(TRIM(F264))&gt;0</formula>
    </cfRule>
  </conditionalFormatting>
  <conditionalFormatting sqref="E264">
    <cfRule type="notContainsBlanks" dxfId="3800" priority="2027">
      <formula>LEN(TRIM(E264))&gt;0</formula>
    </cfRule>
  </conditionalFormatting>
  <conditionalFormatting sqref="D264">
    <cfRule type="notContainsBlanks" dxfId="3799" priority="2026">
      <formula>LEN(TRIM(D264))&gt;0</formula>
    </cfRule>
  </conditionalFormatting>
  <conditionalFormatting sqref="C264">
    <cfRule type="notContainsBlanks" dxfId="3798" priority="2025">
      <formula>LEN(TRIM(C264))&gt;0</formula>
    </cfRule>
  </conditionalFormatting>
  <conditionalFormatting sqref="S270">
    <cfRule type="expression" dxfId="3797" priority="2021">
      <formula>$S$28&gt;0</formula>
    </cfRule>
    <cfRule type="cellIs" dxfId="3796" priority="2022" operator="equal">
      <formula>0</formula>
    </cfRule>
  </conditionalFormatting>
  <conditionalFormatting sqref="S271">
    <cfRule type="expression" dxfId="3795" priority="2019">
      <formula>$S$28&gt;0</formula>
    </cfRule>
    <cfRule type="cellIs" dxfId="3794" priority="2020" operator="equal">
      <formula>0</formula>
    </cfRule>
  </conditionalFormatting>
  <conditionalFormatting sqref="N255">
    <cfRule type="expression" dxfId="3793" priority="2006">
      <formula>N255=" "</formula>
    </cfRule>
    <cfRule type="expression" dxfId="3792" priority="2007">
      <formula>N255="NO PRESENTÓ CERTIFICADO"</formula>
    </cfRule>
    <cfRule type="expression" dxfId="3791" priority="2008">
      <formula>N255="PRESENTÓ CERTIFICADO"</formula>
    </cfRule>
  </conditionalFormatting>
  <conditionalFormatting sqref="O255">
    <cfRule type="cellIs" dxfId="3790" priority="1988" operator="equal">
      <formula>"PENDIENTE POR DESCRIPCIÓN"</formula>
    </cfRule>
    <cfRule type="cellIs" dxfId="3789" priority="1989" operator="equal">
      <formula>"DESCRIPCIÓN INSUFICIENTE"</formula>
    </cfRule>
    <cfRule type="cellIs" dxfId="3788" priority="1990" operator="equal">
      <formula>"NO ESTÁ ACORDE A ITEM 5.2.2 (T.R.)"</formula>
    </cfRule>
    <cfRule type="cellIs" dxfId="3787" priority="1991" operator="equal">
      <formula>"ACORDE A ITEM 5.2.2 (T.R.)"</formula>
    </cfRule>
    <cfRule type="cellIs" dxfId="3786" priority="1998" operator="equal">
      <formula>"PENDIENTE POR DESCRIPCIÓN"</formula>
    </cfRule>
    <cfRule type="cellIs" dxfId="3785" priority="2000" operator="equal">
      <formula>"DESCRIPCIÓN INSUFICIENTE"</formula>
    </cfRule>
    <cfRule type="cellIs" dxfId="3784" priority="2001" operator="equal">
      <formula>"NO ESTÁ ACORDE A ITEM 5.2.1 (T.R.)"</formula>
    </cfRule>
    <cfRule type="cellIs" dxfId="3783" priority="2002" operator="equal">
      <formula>"ACORDE A ITEM 5.2.1 (T.R.)"</formula>
    </cfRule>
  </conditionalFormatting>
  <conditionalFormatting sqref="Q255">
    <cfRule type="containsBlanks" dxfId="3782" priority="1993">
      <formula>LEN(TRIM(Q255))=0</formula>
    </cfRule>
    <cfRule type="cellIs" dxfId="3781" priority="1999" operator="equal">
      <formula>"REQUERIMIENTOS SUBSANADOS"</formula>
    </cfRule>
    <cfRule type="containsText" dxfId="3780" priority="2003" operator="containsText" text="NO SUBSANABLE">
      <formula>NOT(ISERROR(SEARCH("NO SUBSANABLE",Q255)))</formula>
    </cfRule>
    <cfRule type="containsText" dxfId="3779" priority="2004" operator="containsText" text="PENDIENTES POR SUBSANAR">
      <formula>NOT(ISERROR(SEARCH("PENDIENTES POR SUBSANAR",Q255)))</formula>
    </cfRule>
    <cfRule type="containsText" dxfId="3778" priority="2005" operator="containsText" text="SIN OBSERVACIÓN">
      <formula>NOT(ISERROR(SEARCH("SIN OBSERVACIÓN",Q255)))</formula>
    </cfRule>
  </conditionalFormatting>
  <conditionalFormatting sqref="R255">
    <cfRule type="containsBlanks" dxfId="3777" priority="1992">
      <formula>LEN(TRIM(R255))=0</formula>
    </cfRule>
    <cfRule type="cellIs" dxfId="3776" priority="1994" operator="equal">
      <formula>"NO CUMPLEN CON LO SOLICITADO"</formula>
    </cfRule>
    <cfRule type="cellIs" dxfId="3775" priority="1995" operator="equal">
      <formula>"CUMPLEN CON LO SOLICITADO"</formula>
    </cfRule>
    <cfRule type="cellIs" dxfId="3774" priority="1996" operator="equal">
      <formula>"PENDIENTES"</formula>
    </cfRule>
    <cfRule type="cellIs" dxfId="3773" priority="1997" operator="equal">
      <formula>"NINGUNO"</formula>
    </cfRule>
  </conditionalFormatting>
  <conditionalFormatting sqref="P255">
    <cfRule type="expression" dxfId="3772" priority="1983">
      <formula>Q255="NO SUBSANABLE"</formula>
    </cfRule>
    <cfRule type="expression" dxfId="3771" priority="1984">
      <formula>Q255="REQUERIMIENTOS SUBSANADOS"</formula>
    </cfRule>
    <cfRule type="expression" dxfId="3770" priority="1985">
      <formula>Q255="PENDIENTES POR SUBSANAR"</formula>
    </cfRule>
    <cfRule type="expression" dxfId="3769" priority="1986">
      <formula>Q255="SIN OBSERVACIÓN"</formula>
    </cfRule>
    <cfRule type="containsBlanks" dxfId="3768" priority="1987">
      <formula>LEN(TRIM(P255))=0</formula>
    </cfRule>
  </conditionalFormatting>
  <conditionalFormatting sqref="M264">
    <cfRule type="expression" dxfId="3767" priority="1852">
      <formula>L264="NO CUMPLE"</formula>
    </cfRule>
    <cfRule type="expression" dxfId="3766" priority="1853">
      <formula>L264="CUMPLE"</formula>
    </cfRule>
  </conditionalFormatting>
  <conditionalFormatting sqref="L264:L265">
    <cfRule type="cellIs" dxfId="3765" priority="1850" operator="equal">
      <formula>"NO CUMPLE"</formula>
    </cfRule>
    <cfRule type="cellIs" dxfId="3764" priority="1851" operator="equal">
      <formula>"CUMPLE"</formula>
    </cfRule>
  </conditionalFormatting>
  <conditionalFormatting sqref="M265">
    <cfRule type="expression" dxfId="3763" priority="1848">
      <formula>L265="NO CUMPLE"</formula>
    </cfRule>
    <cfRule type="expression" dxfId="3762" priority="1849">
      <formula>L265="CUMPLE"</formula>
    </cfRule>
  </conditionalFormatting>
  <conditionalFormatting sqref="J258:J266">
    <cfRule type="cellIs" dxfId="3761" priority="1892" operator="equal">
      <formula>"NO CUMPLE"</formula>
    </cfRule>
    <cfRule type="cellIs" dxfId="3760" priority="1893" operator="equal">
      <formula>"CUMPLE"</formula>
    </cfRule>
  </conditionalFormatting>
  <conditionalFormatting sqref="K258">
    <cfRule type="expression" dxfId="3759" priority="1890">
      <formula>J258="NO CUMPLE"</formula>
    </cfRule>
    <cfRule type="expression" dxfId="3758" priority="1891">
      <formula>J258="CUMPLE"</formula>
    </cfRule>
  </conditionalFormatting>
  <conditionalFormatting sqref="K259:K260">
    <cfRule type="expression" dxfId="3757" priority="1888">
      <formula>J259="NO CUMPLE"</formula>
    </cfRule>
    <cfRule type="expression" dxfId="3756" priority="1889">
      <formula>J259="CUMPLE"</formula>
    </cfRule>
  </conditionalFormatting>
  <conditionalFormatting sqref="J268:J269">
    <cfRule type="cellIs" dxfId="3755" priority="1884" operator="equal">
      <formula>"NO CUMPLE"</formula>
    </cfRule>
    <cfRule type="cellIs" dxfId="3754" priority="1885" operator="equal">
      <formula>"CUMPLE"</formula>
    </cfRule>
  </conditionalFormatting>
  <conditionalFormatting sqref="K261">
    <cfRule type="expression" dxfId="3753" priority="1882">
      <formula>J261="NO CUMPLE"</formula>
    </cfRule>
    <cfRule type="expression" dxfId="3752" priority="1883">
      <formula>J261="CUMPLE"</formula>
    </cfRule>
  </conditionalFormatting>
  <conditionalFormatting sqref="K262:K263">
    <cfRule type="expression" dxfId="3751" priority="1880">
      <formula>J262="NO CUMPLE"</formula>
    </cfRule>
    <cfRule type="expression" dxfId="3750" priority="1881">
      <formula>J262="CUMPLE"</formula>
    </cfRule>
  </conditionalFormatting>
  <conditionalFormatting sqref="K264">
    <cfRule type="expression" dxfId="3749" priority="1878">
      <formula>J264="NO CUMPLE"</formula>
    </cfRule>
    <cfRule type="expression" dxfId="3748" priority="1879">
      <formula>J264="CUMPLE"</formula>
    </cfRule>
  </conditionalFormatting>
  <conditionalFormatting sqref="K265:K266">
    <cfRule type="expression" dxfId="3747" priority="1876">
      <formula>J265="NO CUMPLE"</formula>
    </cfRule>
    <cfRule type="expression" dxfId="3746" priority="1877">
      <formula>J265="CUMPLE"</formula>
    </cfRule>
  </conditionalFormatting>
  <conditionalFormatting sqref="K267">
    <cfRule type="expression" dxfId="3745" priority="1874">
      <formula>J267="NO CUMPLE"</formula>
    </cfRule>
    <cfRule type="expression" dxfId="3744" priority="1875">
      <formula>J267="CUMPLE"</formula>
    </cfRule>
  </conditionalFormatting>
  <conditionalFormatting sqref="K268:K269">
    <cfRule type="expression" dxfId="3743" priority="1872">
      <formula>J268="NO CUMPLE"</formula>
    </cfRule>
    <cfRule type="expression" dxfId="3742" priority="1873">
      <formula>J268="CUMPLE"</formula>
    </cfRule>
  </conditionalFormatting>
  <conditionalFormatting sqref="M259">
    <cfRule type="expression" dxfId="3741" priority="1860">
      <formula>L259="NO CUMPLE"</formula>
    </cfRule>
    <cfRule type="expression" dxfId="3740" priority="1861">
      <formula>L259="CUMPLE"</formula>
    </cfRule>
  </conditionalFormatting>
  <conditionalFormatting sqref="L258:L259">
    <cfRule type="cellIs" dxfId="3739" priority="1862" operator="equal">
      <formula>"NO CUMPLE"</formula>
    </cfRule>
    <cfRule type="cellIs" dxfId="3738" priority="1863" operator="equal">
      <formula>"CUMPLE"</formula>
    </cfRule>
  </conditionalFormatting>
  <conditionalFormatting sqref="M258">
    <cfRule type="expression" dxfId="3737" priority="1864">
      <formula>L258="NO CUMPLE"</formula>
    </cfRule>
    <cfRule type="expression" dxfId="3736" priority="1865">
      <formula>L258="CUMPLE"</formula>
    </cfRule>
  </conditionalFormatting>
  <conditionalFormatting sqref="M256">
    <cfRule type="expression" dxfId="3735" priority="1866">
      <formula>L256="NO CUMPLE"</formula>
    </cfRule>
    <cfRule type="expression" dxfId="3734" priority="1867">
      <formula>L256="CUMPLE"</formula>
    </cfRule>
  </conditionalFormatting>
  <conditionalFormatting sqref="M255">
    <cfRule type="expression" dxfId="3733" priority="1870">
      <formula>L255="NO CUMPLE"</formula>
    </cfRule>
    <cfRule type="expression" dxfId="3732" priority="1871">
      <formula>L255="CUMPLE"</formula>
    </cfRule>
  </conditionalFormatting>
  <conditionalFormatting sqref="L255:L256">
    <cfRule type="cellIs" dxfId="3731" priority="1868" operator="equal">
      <formula>"NO CUMPLE"</formula>
    </cfRule>
    <cfRule type="cellIs" dxfId="3730" priority="1869" operator="equal">
      <formula>"CUMPLE"</formula>
    </cfRule>
  </conditionalFormatting>
  <conditionalFormatting sqref="M262">
    <cfRule type="expression" dxfId="3729" priority="1854">
      <formula>L262="NO CUMPLE"</formula>
    </cfRule>
    <cfRule type="expression" dxfId="3728" priority="1855">
      <formula>L262="CUMPLE"</formula>
    </cfRule>
  </conditionalFormatting>
  <conditionalFormatting sqref="M261">
    <cfRule type="expression" dxfId="3727" priority="1858">
      <formula>L261="NO CUMPLE"</formula>
    </cfRule>
    <cfRule type="expression" dxfId="3726" priority="1859">
      <formula>L261="CUMPLE"</formula>
    </cfRule>
  </conditionalFormatting>
  <conditionalFormatting sqref="L261:L262">
    <cfRule type="cellIs" dxfId="3725" priority="1856" operator="equal">
      <formula>"NO CUMPLE"</formula>
    </cfRule>
    <cfRule type="cellIs" dxfId="3724" priority="1857" operator="equal">
      <formula>"CUMPLE"</formula>
    </cfRule>
  </conditionalFormatting>
  <conditionalFormatting sqref="M268">
    <cfRule type="expression" dxfId="3723" priority="1842">
      <formula>L268="NO CUMPLE"</formula>
    </cfRule>
    <cfRule type="expression" dxfId="3722" priority="1843">
      <formula>L268="CUMPLE"</formula>
    </cfRule>
  </conditionalFormatting>
  <conditionalFormatting sqref="M267">
    <cfRule type="expression" dxfId="3721" priority="1846">
      <formula>L267="NO CUMPLE"</formula>
    </cfRule>
    <cfRule type="expression" dxfId="3720" priority="1847">
      <formula>L267="CUMPLE"</formula>
    </cfRule>
  </conditionalFormatting>
  <conditionalFormatting sqref="L267:L268">
    <cfRule type="cellIs" dxfId="3719" priority="1844" operator="equal">
      <formula>"NO CUMPLE"</formula>
    </cfRule>
    <cfRule type="cellIs" dxfId="3718" priority="1845" operator="equal">
      <formula>"CUMPLE"</formula>
    </cfRule>
  </conditionalFormatting>
  <conditionalFormatting sqref="K255">
    <cfRule type="expression" dxfId="3717" priority="1836">
      <formula>J255="NO CUMPLE"</formula>
    </cfRule>
    <cfRule type="expression" dxfId="3716" priority="1837">
      <formula>J255="CUMPLE"</formula>
    </cfRule>
  </conditionalFormatting>
  <conditionalFormatting sqref="K256:K257">
    <cfRule type="expression" dxfId="3715" priority="1834">
      <formula>J256="NO CUMPLE"</formula>
    </cfRule>
    <cfRule type="expression" dxfId="3714" priority="1835">
      <formula>J256="CUMPLE"</formula>
    </cfRule>
  </conditionalFormatting>
  <conditionalFormatting sqref="S277">
    <cfRule type="cellIs" dxfId="3713" priority="1832" operator="greaterThan">
      <formula>0</formula>
    </cfRule>
    <cfRule type="top10" dxfId="3712" priority="1833" rank="10"/>
  </conditionalFormatting>
  <conditionalFormatting sqref="B292">
    <cfRule type="cellIs" dxfId="3711" priority="1828" operator="equal">
      <formula>"NO CUMPLE CON LA EXPERIENCIA REQUERIDA"</formula>
    </cfRule>
    <cfRule type="cellIs" dxfId="3710" priority="1829" operator="equal">
      <formula>"CUMPLE CON LA EXPERIENCIA REQUERIDA"</formula>
    </cfRule>
  </conditionalFormatting>
  <conditionalFormatting sqref="H277 H280 H283 H286 H289">
    <cfRule type="notContainsBlanks" dxfId="3709" priority="1827">
      <formula>LEN(TRIM(H277))&gt;0</formula>
    </cfRule>
  </conditionalFormatting>
  <conditionalFormatting sqref="G277">
    <cfRule type="notContainsBlanks" dxfId="3708" priority="1826">
      <formula>LEN(TRIM(G277))&gt;0</formula>
    </cfRule>
  </conditionalFormatting>
  <conditionalFormatting sqref="F277">
    <cfRule type="notContainsBlanks" dxfId="3707" priority="1825">
      <formula>LEN(TRIM(F277))&gt;0</formula>
    </cfRule>
  </conditionalFormatting>
  <conditionalFormatting sqref="E277">
    <cfRule type="notContainsBlanks" dxfId="3706" priority="1824">
      <formula>LEN(TRIM(E277))&gt;0</formula>
    </cfRule>
  </conditionalFormatting>
  <conditionalFormatting sqref="D277">
    <cfRule type="notContainsBlanks" dxfId="3705" priority="1823">
      <formula>LEN(TRIM(D277))&gt;0</formula>
    </cfRule>
  </conditionalFormatting>
  <conditionalFormatting sqref="C277">
    <cfRule type="notContainsBlanks" dxfId="3704" priority="1822">
      <formula>LEN(TRIM(C277))&gt;0</formula>
    </cfRule>
  </conditionalFormatting>
  <conditionalFormatting sqref="I277">
    <cfRule type="notContainsBlanks" dxfId="3703" priority="1821">
      <formula>LEN(TRIM(I277))&gt;0</formula>
    </cfRule>
  </conditionalFormatting>
  <conditionalFormatting sqref="S280">
    <cfRule type="cellIs" dxfId="3702" priority="1817" operator="greaterThan">
      <formula>0</formula>
    </cfRule>
    <cfRule type="top10" dxfId="3701" priority="1818" rank="10"/>
  </conditionalFormatting>
  <conditionalFormatting sqref="S283">
    <cfRule type="cellIs" dxfId="3700" priority="1815" operator="greaterThan">
      <formula>0</formula>
    </cfRule>
    <cfRule type="top10" dxfId="3699" priority="1816" rank="10"/>
  </conditionalFormatting>
  <conditionalFormatting sqref="G283">
    <cfRule type="notContainsBlanks" dxfId="3698" priority="1814">
      <formula>LEN(TRIM(G283))&gt;0</formula>
    </cfRule>
  </conditionalFormatting>
  <conditionalFormatting sqref="F283">
    <cfRule type="notContainsBlanks" dxfId="3697" priority="1813">
      <formula>LEN(TRIM(F283))&gt;0</formula>
    </cfRule>
  </conditionalFormatting>
  <conditionalFormatting sqref="E283">
    <cfRule type="notContainsBlanks" dxfId="3696" priority="1812">
      <formula>LEN(TRIM(E283))&gt;0</formula>
    </cfRule>
  </conditionalFormatting>
  <conditionalFormatting sqref="D283">
    <cfRule type="notContainsBlanks" dxfId="3695" priority="1811">
      <formula>LEN(TRIM(D283))&gt;0</formula>
    </cfRule>
  </conditionalFormatting>
  <conditionalFormatting sqref="C283">
    <cfRule type="notContainsBlanks" dxfId="3694" priority="1810">
      <formula>LEN(TRIM(C283))&gt;0</formula>
    </cfRule>
  </conditionalFormatting>
  <conditionalFormatting sqref="I283">
    <cfRule type="notContainsBlanks" dxfId="3693" priority="1809">
      <formula>LEN(TRIM(I283))&gt;0</formula>
    </cfRule>
  </conditionalFormatting>
  <conditionalFormatting sqref="S286">
    <cfRule type="cellIs" dxfId="3692" priority="1807" operator="greaterThan">
      <formula>0</formula>
    </cfRule>
    <cfRule type="top10" dxfId="3691" priority="1808" rank="10"/>
  </conditionalFormatting>
  <conditionalFormatting sqref="S289">
    <cfRule type="cellIs" dxfId="3690" priority="1805" operator="greaterThan">
      <formula>0</formula>
    </cfRule>
    <cfRule type="top10" dxfId="3689" priority="1806" rank="10"/>
  </conditionalFormatting>
  <conditionalFormatting sqref="G289">
    <cfRule type="notContainsBlanks" dxfId="3688" priority="1804">
      <formula>LEN(TRIM(G289))&gt;0</formula>
    </cfRule>
  </conditionalFormatting>
  <conditionalFormatting sqref="F289">
    <cfRule type="notContainsBlanks" dxfId="3687" priority="1803">
      <formula>LEN(TRIM(F289))&gt;0</formula>
    </cfRule>
  </conditionalFormatting>
  <conditionalFormatting sqref="E289">
    <cfRule type="notContainsBlanks" dxfId="3686" priority="1802">
      <formula>LEN(TRIM(E289))&gt;0</formula>
    </cfRule>
  </conditionalFormatting>
  <conditionalFormatting sqref="D289">
    <cfRule type="notContainsBlanks" dxfId="3685" priority="1801">
      <formula>LEN(TRIM(D289))&gt;0</formula>
    </cfRule>
  </conditionalFormatting>
  <conditionalFormatting sqref="C289">
    <cfRule type="notContainsBlanks" dxfId="3684" priority="1800">
      <formula>LEN(TRIM(C289))&gt;0</formula>
    </cfRule>
  </conditionalFormatting>
  <conditionalFormatting sqref="I289">
    <cfRule type="notContainsBlanks" dxfId="3683" priority="1799">
      <formula>LEN(TRIM(I289))&gt;0</formula>
    </cfRule>
  </conditionalFormatting>
  <conditionalFormatting sqref="G280">
    <cfRule type="notContainsBlanks" dxfId="3682" priority="1798">
      <formula>LEN(TRIM(G280))&gt;0</formula>
    </cfRule>
  </conditionalFormatting>
  <conditionalFormatting sqref="F280">
    <cfRule type="notContainsBlanks" dxfId="3681" priority="1797">
      <formula>LEN(TRIM(F280))&gt;0</formula>
    </cfRule>
  </conditionalFormatting>
  <conditionalFormatting sqref="E280">
    <cfRule type="notContainsBlanks" dxfId="3680" priority="1796">
      <formula>LEN(TRIM(E280))&gt;0</formula>
    </cfRule>
  </conditionalFormatting>
  <conditionalFormatting sqref="D280">
    <cfRule type="notContainsBlanks" dxfId="3679" priority="1795">
      <formula>LEN(TRIM(D280))&gt;0</formula>
    </cfRule>
  </conditionalFormatting>
  <conditionalFormatting sqref="C280">
    <cfRule type="notContainsBlanks" dxfId="3678" priority="1794">
      <formula>LEN(TRIM(C280))&gt;0</formula>
    </cfRule>
  </conditionalFormatting>
  <conditionalFormatting sqref="G286">
    <cfRule type="notContainsBlanks" dxfId="3677" priority="1793">
      <formula>LEN(TRIM(G286))&gt;0</formula>
    </cfRule>
  </conditionalFormatting>
  <conditionalFormatting sqref="F286">
    <cfRule type="notContainsBlanks" dxfId="3676" priority="1792">
      <formula>LEN(TRIM(F286))&gt;0</formula>
    </cfRule>
  </conditionalFormatting>
  <conditionalFormatting sqref="E286">
    <cfRule type="notContainsBlanks" dxfId="3675" priority="1791">
      <formula>LEN(TRIM(E286))&gt;0</formula>
    </cfRule>
  </conditionalFormatting>
  <conditionalFormatting sqref="D286">
    <cfRule type="notContainsBlanks" dxfId="3674" priority="1790">
      <formula>LEN(TRIM(D286))&gt;0</formula>
    </cfRule>
  </conditionalFormatting>
  <conditionalFormatting sqref="C286">
    <cfRule type="notContainsBlanks" dxfId="3673" priority="1789">
      <formula>LEN(TRIM(C286))&gt;0</formula>
    </cfRule>
  </conditionalFormatting>
  <conditionalFormatting sqref="I280">
    <cfRule type="notContainsBlanks" dxfId="3672" priority="1788">
      <formula>LEN(TRIM(I280))&gt;0</formula>
    </cfRule>
  </conditionalFormatting>
  <conditionalFormatting sqref="I286">
    <cfRule type="notContainsBlanks" dxfId="3671" priority="1787">
      <formula>LEN(TRIM(I286))&gt;0</formula>
    </cfRule>
  </conditionalFormatting>
  <conditionalFormatting sqref="S292">
    <cfRule type="expression" dxfId="3670" priority="1785">
      <formula>$S$28&gt;0</formula>
    </cfRule>
    <cfRule type="cellIs" dxfId="3669" priority="1786" operator="equal">
      <formula>0</formula>
    </cfRule>
  </conditionalFormatting>
  <conditionalFormatting sqref="S293">
    <cfRule type="expression" dxfId="3668" priority="1783">
      <formula>$S$28&gt;0</formula>
    </cfRule>
    <cfRule type="cellIs" dxfId="3667" priority="1784" operator="equal">
      <formula>0</formula>
    </cfRule>
  </conditionalFormatting>
  <conditionalFormatting sqref="N277">
    <cfRule type="expression" dxfId="3666" priority="1770">
      <formula>N277=" "</formula>
    </cfRule>
    <cfRule type="expression" dxfId="3665" priority="1771">
      <formula>N277="NO PRESENTÓ CERTIFICADO"</formula>
    </cfRule>
    <cfRule type="expression" dxfId="3664" priority="1772">
      <formula>N277="PRESENTÓ CERTIFICADO"</formula>
    </cfRule>
  </conditionalFormatting>
  <conditionalFormatting sqref="O277">
    <cfRule type="cellIs" dxfId="3663" priority="1752" operator="equal">
      <formula>"PENDIENTE POR DESCRIPCIÓN"</formula>
    </cfRule>
    <cfRule type="cellIs" dxfId="3662" priority="1753" operator="equal">
      <formula>"DESCRIPCIÓN INSUFICIENTE"</formula>
    </cfRule>
    <cfRule type="cellIs" dxfId="3661" priority="1754" operator="equal">
      <formula>"NO ESTÁ ACORDE A ITEM 5.2.2 (T.R.)"</formula>
    </cfRule>
    <cfRule type="cellIs" dxfId="3660" priority="1755" operator="equal">
      <formula>"ACORDE A ITEM 5.2.2 (T.R.)"</formula>
    </cfRule>
    <cfRule type="cellIs" dxfId="3659" priority="1762" operator="equal">
      <formula>"PENDIENTE POR DESCRIPCIÓN"</formula>
    </cfRule>
    <cfRule type="cellIs" dxfId="3658" priority="1764" operator="equal">
      <formula>"DESCRIPCIÓN INSUFICIENTE"</formula>
    </cfRule>
    <cfRule type="cellIs" dxfId="3657" priority="1765" operator="equal">
      <formula>"NO ESTÁ ACORDE A ITEM 5.2.1 (T.R.)"</formula>
    </cfRule>
    <cfRule type="cellIs" dxfId="3656" priority="1766" operator="equal">
      <formula>"ACORDE A ITEM 5.2.1 (T.R.)"</formula>
    </cfRule>
  </conditionalFormatting>
  <conditionalFormatting sqref="P277">
    <cfRule type="expression" dxfId="3655" priority="1747">
      <formula>Q277="NO SUBSANABLE"</formula>
    </cfRule>
    <cfRule type="expression" dxfId="3654" priority="1748">
      <formula>Q277="REQUERIMIENTOS SUBSANADOS"</formula>
    </cfRule>
    <cfRule type="expression" dxfId="3653" priority="1749">
      <formula>Q277="PENDIENTES POR SUBSANAR"</formula>
    </cfRule>
    <cfRule type="expression" dxfId="3652" priority="1750">
      <formula>Q277="SIN OBSERVACIÓN"</formula>
    </cfRule>
    <cfRule type="containsBlanks" dxfId="3651" priority="1751">
      <formula>LEN(TRIM(P277))=0</formula>
    </cfRule>
  </conditionalFormatting>
  <conditionalFormatting sqref="N289">
    <cfRule type="expression" dxfId="3650" priority="1744">
      <formula>N289=" "</formula>
    </cfRule>
    <cfRule type="expression" dxfId="3649" priority="1745">
      <formula>N289="NO PRESENTÓ CERTIFICADO"</formula>
    </cfRule>
    <cfRule type="expression" dxfId="3648" priority="1746">
      <formula>N289="PRESENTÓ CERTIFICADO"</formula>
    </cfRule>
  </conditionalFormatting>
  <conditionalFormatting sqref="O289">
    <cfRule type="cellIs" dxfId="3647" priority="1726" operator="equal">
      <formula>"PENDIENTE POR DESCRIPCIÓN"</formula>
    </cfRule>
    <cfRule type="cellIs" dxfId="3646" priority="1727" operator="equal">
      <formula>"DESCRIPCIÓN INSUFICIENTE"</formula>
    </cfRule>
    <cfRule type="cellIs" dxfId="3645" priority="1728" operator="equal">
      <formula>"NO ESTÁ ACORDE A ITEM 5.2.2 (T.R.)"</formula>
    </cfRule>
    <cfRule type="cellIs" dxfId="3644" priority="1729" operator="equal">
      <formula>"ACORDE A ITEM 5.2.2 (T.R.)"</formula>
    </cfRule>
    <cfRule type="cellIs" dxfId="3643" priority="1736" operator="equal">
      <formula>"PENDIENTE POR DESCRIPCIÓN"</formula>
    </cfRule>
    <cfRule type="cellIs" dxfId="3642" priority="1738" operator="equal">
      <formula>"DESCRIPCIÓN INSUFICIENTE"</formula>
    </cfRule>
    <cfRule type="cellIs" dxfId="3641" priority="1739" operator="equal">
      <formula>"NO ESTÁ ACORDE A ITEM 5.2.1 (T.R.)"</formula>
    </cfRule>
    <cfRule type="cellIs" dxfId="3640" priority="1740" operator="equal">
      <formula>"ACORDE A ITEM 5.2.1 (T.R.)"</formula>
    </cfRule>
  </conditionalFormatting>
  <conditionalFormatting sqref="Q289">
    <cfRule type="containsBlanks" dxfId="3639" priority="1731">
      <formula>LEN(TRIM(Q289))=0</formula>
    </cfRule>
    <cfRule type="cellIs" dxfId="3638" priority="1737" operator="equal">
      <formula>"REQUERIMIENTOS SUBSANADOS"</formula>
    </cfRule>
    <cfRule type="containsText" dxfId="3637" priority="1741" operator="containsText" text="NO SUBSANABLE">
      <formula>NOT(ISERROR(SEARCH("NO SUBSANABLE",Q289)))</formula>
    </cfRule>
    <cfRule type="containsText" dxfId="3636" priority="1742" operator="containsText" text="PENDIENTES POR SUBSANAR">
      <formula>NOT(ISERROR(SEARCH("PENDIENTES POR SUBSANAR",Q289)))</formula>
    </cfRule>
    <cfRule type="containsText" dxfId="3635" priority="1743" operator="containsText" text="SIN OBSERVACIÓN">
      <formula>NOT(ISERROR(SEARCH("SIN OBSERVACIÓN",Q289)))</formula>
    </cfRule>
  </conditionalFormatting>
  <conditionalFormatting sqref="R289">
    <cfRule type="containsBlanks" dxfId="3634" priority="1730">
      <formula>LEN(TRIM(R289))=0</formula>
    </cfRule>
    <cfRule type="cellIs" dxfId="3633" priority="1732" operator="equal">
      <formula>"NO CUMPLEN CON LO SOLICITADO"</formula>
    </cfRule>
    <cfRule type="cellIs" dxfId="3632" priority="1733" operator="equal">
      <formula>"CUMPLEN CON LO SOLICITADO"</formula>
    </cfRule>
    <cfRule type="cellIs" dxfId="3631" priority="1734" operator="equal">
      <formula>"PENDIENTES"</formula>
    </cfRule>
    <cfRule type="cellIs" dxfId="3630" priority="1735" operator="equal">
      <formula>"NINGUNO"</formula>
    </cfRule>
  </conditionalFormatting>
  <conditionalFormatting sqref="P280 P283 P286 P289">
    <cfRule type="expression" dxfId="3629" priority="1721">
      <formula>Q280="NO SUBSANABLE"</formula>
    </cfRule>
    <cfRule type="expression" dxfId="3628" priority="1722">
      <formula>Q280="REQUERIMIENTOS SUBSANADOS"</formula>
    </cfRule>
    <cfRule type="expression" dxfId="3627" priority="1723">
      <formula>Q280="PENDIENTES POR SUBSANAR"</formula>
    </cfRule>
    <cfRule type="expression" dxfId="3626" priority="1724">
      <formula>Q280="SIN OBSERVACIÓN"</formula>
    </cfRule>
    <cfRule type="containsBlanks" dxfId="3625" priority="1725">
      <formula>LEN(TRIM(P280))=0</formula>
    </cfRule>
  </conditionalFormatting>
  <conditionalFormatting sqref="N286">
    <cfRule type="expression" dxfId="3624" priority="1712">
      <formula>N286=" "</formula>
    </cfRule>
    <cfRule type="expression" dxfId="3623" priority="1713">
      <formula>N286="NO PRESENTÓ CERTIFICADO"</formula>
    </cfRule>
    <cfRule type="expression" dxfId="3622" priority="1714">
      <formula>N286="PRESENTÓ CERTIFICADO"</formula>
    </cfRule>
  </conditionalFormatting>
  <conditionalFormatting sqref="O286">
    <cfRule type="cellIs" dxfId="3621" priority="1688" operator="equal">
      <formula>"PENDIENTE POR DESCRIPCIÓN"</formula>
    </cfRule>
    <cfRule type="cellIs" dxfId="3620" priority="1689" operator="equal">
      <formula>"DESCRIPCIÓN INSUFICIENTE"</formula>
    </cfRule>
    <cfRule type="cellIs" dxfId="3619" priority="1690" operator="equal">
      <formula>"NO ESTÁ ACORDE A ITEM 5.2.2 (T.R.)"</formula>
    </cfRule>
    <cfRule type="cellIs" dxfId="3618" priority="1691" operator="equal">
      <formula>"ACORDE A ITEM 5.2.2 (T.R.)"</formula>
    </cfRule>
    <cfRule type="cellIs" dxfId="3617" priority="1692" operator="equal">
      <formula>"PENDIENTE POR DESCRIPCIÓN"</formula>
    </cfRule>
    <cfRule type="cellIs" dxfId="3616" priority="1693" operator="equal">
      <formula>"DESCRIPCIÓN INSUFICIENTE"</formula>
    </cfRule>
    <cfRule type="cellIs" dxfId="3615" priority="1694" operator="equal">
      <formula>"NO ESTÁ ACORDE A ITEM 5.2.1 (T.R.)"</formula>
    </cfRule>
    <cfRule type="cellIs" dxfId="3614" priority="1695" operator="equal">
      <formula>"ACORDE A ITEM 5.2.1 (T.R.)"</formula>
    </cfRule>
  </conditionalFormatting>
  <conditionalFormatting sqref="Q283">
    <cfRule type="containsBlanks" dxfId="3613" priority="1669">
      <formula>LEN(TRIM(Q283))=0</formula>
    </cfRule>
    <cfRule type="cellIs" dxfId="3612" priority="1674" operator="equal">
      <formula>"REQUERIMIENTOS SUBSANADOS"</formula>
    </cfRule>
    <cfRule type="containsText" dxfId="3611" priority="1675" operator="containsText" text="NO SUBSANABLE">
      <formula>NOT(ISERROR(SEARCH("NO SUBSANABLE",Q283)))</formula>
    </cfRule>
    <cfRule type="containsText" dxfId="3610" priority="1676" operator="containsText" text="PENDIENTES POR SUBSANAR">
      <formula>NOT(ISERROR(SEARCH("PENDIENTES POR SUBSANAR",Q283)))</formula>
    </cfRule>
    <cfRule type="containsText" dxfId="3609" priority="1677" operator="containsText" text="SIN OBSERVACIÓN">
      <formula>NOT(ISERROR(SEARCH("SIN OBSERVACIÓN",Q283)))</formula>
    </cfRule>
  </conditionalFormatting>
  <conditionalFormatting sqref="R283">
    <cfRule type="containsBlanks" dxfId="3608" priority="1668">
      <formula>LEN(TRIM(R283))=0</formula>
    </cfRule>
    <cfRule type="cellIs" dxfId="3607" priority="1670" operator="equal">
      <formula>"NO CUMPLEN CON LO SOLICITADO"</formula>
    </cfRule>
    <cfRule type="cellIs" dxfId="3606" priority="1671" operator="equal">
      <formula>"CUMPLEN CON LO SOLICITADO"</formula>
    </cfRule>
    <cfRule type="cellIs" dxfId="3605" priority="1672" operator="equal">
      <formula>"PENDIENTES"</formula>
    </cfRule>
    <cfRule type="cellIs" dxfId="3604" priority="1673" operator="equal">
      <formula>"NINGUNO"</formula>
    </cfRule>
  </conditionalFormatting>
  <conditionalFormatting sqref="Q286">
    <cfRule type="containsBlanks" dxfId="3603" priority="1659">
      <formula>LEN(TRIM(Q286))=0</formula>
    </cfRule>
    <cfRule type="cellIs" dxfId="3602" priority="1664" operator="equal">
      <formula>"REQUERIMIENTOS SUBSANADOS"</formula>
    </cfRule>
    <cfRule type="containsText" dxfId="3601" priority="1665" operator="containsText" text="NO SUBSANABLE">
      <formula>NOT(ISERROR(SEARCH("NO SUBSANABLE",Q286)))</formula>
    </cfRule>
    <cfRule type="containsText" dxfId="3600" priority="1666" operator="containsText" text="PENDIENTES POR SUBSANAR">
      <formula>NOT(ISERROR(SEARCH("PENDIENTES POR SUBSANAR",Q286)))</formula>
    </cfRule>
    <cfRule type="containsText" dxfId="3599" priority="1667" operator="containsText" text="SIN OBSERVACIÓN">
      <formula>NOT(ISERROR(SEARCH("SIN OBSERVACIÓN",Q286)))</formula>
    </cfRule>
  </conditionalFormatting>
  <conditionalFormatting sqref="R286">
    <cfRule type="containsBlanks" dxfId="3598" priority="1658">
      <formula>LEN(TRIM(R286))=0</formula>
    </cfRule>
    <cfRule type="cellIs" dxfId="3597" priority="1660" operator="equal">
      <formula>"NO CUMPLEN CON LO SOLICITADO"</formula>
    </cfRule>
    <cfRule type="cellIs" dxfId="3596" priority="1661" operator="equal">
      <formula>"CUMPLEN CON LO SOLICITADO"</formula>
    </cfRule>
    <cfRule type="cellIs" dxfId="3595" priority="1662" operator="equal">
      <formula>"PENDIENTES"</formula>
    </cfRule>
    <cfRule type="cellIs" dxfId="3594" priority="1663" operator="equal">
      <formula>"NINGUNO"</formula>
    </cfRule>
  </conditionalFormatting>
  <conditionalFormatting sqref="M286">
    <cfRule type="expression" dxfId="3593" priority="1616">
      <formula>L286="NO CUMPLE"</formula>
    </cfRule>
    <cfRule type="expression" dxfId="3592" priority="1617">
      <formula>L286="CUMPLE"</formula>
    </cfRule>
  </conditionalFormatting>
  <conditionalFormatting sqref="L286:L287">
    <cfRule type="cellIs" dxfId="3591" priority="1614" operator="equal">
      <formula>"NO CUMPLE"</formula>
    </cfRule>
    <cfRule type="cellIs" dxfId="3590" priority="1615" operator="equal">
      <formula>"CUMPLE"</formula>
    </cfRule>
  </conditionalFormatting>
  <conditionalFormatting sqref="M287">
    <cfRule type="expression" dxfId="3589" priority="1612">
      <formula>L287="NO CUMPLE"</formula>
    </cfRule>
    <cfRule type="expression" dxfId="3588" priority="1613">
      <formula>L287="CUMPLE"</formula>
    </cfRule>
  </conditionalFormatting>
  <conditionalFormatting sqref="J280:J288">
    <cfRule type="cellIs" dxfId="3587" priority="1656" operator="equal">
      <formula>"NO CUMPLE"</formula>
    </cfRule>
    <cfRule type="cellIs" dxfId="3586" priority="1657" operator="equal">
      <formula>"CUMPLE"</formula>
    </cfRule>
  </conditionalFormatting>
  <conditionalFormatting sqref="K280">
    <cfRule type="expression" dxfId="3585" priority="1654">
      <formula>J280="NO CUMPLE"</formula>
    </cfRule>
    <cfRule type="expression" dxfId="3584" priority="1655">
      <formula>J280="CUMPLE"</formula>
    </cfRule>
  </conditionalFormatting>
  <conditionalFormatting sqref="K281:K282">
    <cfRule type="expression" dxfId="3583" priority="1652">
      <formula>J281="NO CUMPLE"</formula>
    </cfRule>
    <cfRule type="expression" dxfId="3582" priority="1653">
      <formula>J281="CUMPLE"</formula>
    </cfRule>
  </conditionalFormatting>
  <conditionalFormatting sqref="J289">
    <cfRule type="cellIs" dxfId="3581" priority="1650" operator="equal">
      <formula>"NO CUMPLE"</formula>
    </cfRule>
    <cfRule type="cellIs" dxfId="3580" priority="1651" operator="equal">
      <formula>"CUMPLE"</formula>
    </cfRule>
  </conditionalFormatting>
  <conditionalFormatting sqref="J290:J291">
    <cfRule type="cellIs" dxfId="3579" priority="1648" operator="equal">
      <formula>"NO CUMPLE"</formula>
    </cfRule>
    <cfRule type="cellIs" dxfId="3578" priority="1649" operator="equal">
      <formula>"CUMPLE"</formula>
    </cfRule>
  </conditionalFormatting>
  <conditionalFormatting sqref="K283">
    <cfRule type="expression" dxfId="3577" priority="1646">
      <formula>J283="NO CUMPLE"</formula>
    </cfRule>
    <cfRule type="expression" dxfId="3576" priority="1647">
      <formula>J283="CUMPLE"</formula>
    </cfRule>
  </conditionalFormatting>
  <conditionalFormatting sqref="K284:K285">
    <cfRule type="expression" dxfId="3575" priority="1644">
      <formula>J284="NO CUMPLE"</formula>
    </cfRule>
    <cfRule type="expression" dxfId="3574" priority="1645">
      <formula>J284="CUMPLE"</formula>
    </cfRule>
  </conditionalFormatting>
  <conditionalFormatting sqref="K286">
    <cfRule type="expression" dxfId="3573" priority="1642">
      <formula>J286="NO CUMPLE"</formula>
    </cfRule>
    <cfRule type="expression" dxfId="3572" priority="1643">
      <formula>J286="CUMPLE"</formula>
    </cfRule>
  </conditionalFormatting>
  <conditionalFormatting sqref="K287:K288">
    <cfRule type="expression" dxfId="3571" priority="1640">
      <formula>J287="NO CUMPLE"</formula>
    </cfRule>
    <cfRule type="expression" dxfId="3570" priority="1641">
      <formula>J287="CUMPLE"</formula>
    </cfRule>
  </conditionalFormatting>
  <conditionalFormatting sqref="K289">
    <cfRule type="expression" dxfId="3569" priority="1638">
      <formula>J289="NO CUMPLE"</formula>
    </cfRule>
    <cfRule type="expression" dxfId="3568" priority="1639">
      <formula>J289="CUMPLE"</formula>
    </cfRule>
  </conditionalFormatting>
  <conditionalFormatting sqref="K290:K291">
    <cfRule type="expression" dxfId="3567" priority="1636">
      <formula>J290="NO CUMPLE"</formula>
    </cfRule>
    <cfRule type="expression" dxfId="3566" priority="1637">
      <formula>J290="CUMPLE"</formula>
    </cfRule>
  </conditionalFormatting>
  <conditionalFormatting sqref="M281">
    <cfRule type="expression" dxfId="3565" priority="1624">
      <formula>L281="NO CUMPLE"</formula>
    </cfRule>
    <cfRule type="expression" dxfId="3564" priority="1625">
      <formula>L281="CUMPLE"</formula>
    </cfRule>
  </conditionalFormatting>
  <conditionalFormatting sqref="L280:L281">
    <cfRule type="cellIs" dxfId="3563" priority="1626" operator="equal">
      <formula>"NO CUMPLE"</formula>
    </cfRule>
    <cfRule type="cellIs" dxfId="3562" priority="1627" operator="equal">
      <formula>"CUMPLE"</formula>
    </cfRule>
  </conditionalFormatting>
  <conditionalFormatting sqref="M280">
    <cfRule type="expression" dxfId="3561" priority="1628">
      <formula>L280="NO CUMPLE"</formula>
    </cfRule>
    <cfRule type="expression" dxfId="3560" priority="1629">
      <formula>L280="CUMPLE"</formula>
    </cfRule>
  </conditionalFormatting>
  <conditionalFormatting sqref="M278">
    <cfRule type="expression" dxfId="3559" priority="1630">
      <formula>L278="NO CUMPLE"</formula>
    </cfRule>
    <cfRule type="expression" dxfId="3558" priority="1631">
      <formula>L278="CUMPLE"</formula>
    </cfRule>
  </conditionalFormatting>
  <conditionalFormatting sqref="M277">
    <cfRule type="expression" dxfId="3557" priority="1634">
      <formula>L277="NO CUMPLE"</formula>
    </cfRule>
    <cfRule type="expression" dxfId="3556" priority="1635">
      <formula>L277="CUMPLE"</formula>
    </cfRule>
  </conditionalFormatting>
  <conditionalFormatting sqref="L277:L278">
    <cfRule type="cellIs" dxfId="3555" priority="1632" operator="equal">
      <formula>"NO CUMPLE"</formula>
    </cfRule>
    <cfRule type="cellIs" dxfId="3554" priority="1633" operator="equal">
      <formula>"CUMPLE"</formula>
    </cfRule>
  </conditionalFormatting>
  <conditionalFormatting sqref="M284">
    <cfRule type="expression" dxfId="3553" priority="1618">
      <formula>L284="NO CUMPLE"</formula>
    </cfRule>
    <cfRule type="expression" dxfId="3552" priority="1619">
      <formula>L284="CUMPLE"</formula>
    </cfRule>
  </conditionalFormatting>
  <conditionalFormatting sqref="M283">
    <cfRule type="expression" dxfId="3551" priority="1622">
      <formula>L283="NO CUMPLE"</formula>
    </cfRule>
    <cfRule type="expression" dxfId="3550" priority="1623">
      <formula>L283="CUMPLE"</formula>
    </cfRule>
  </conditionalFormatting>
  <conditionalFormatting sqref="L283:L284">
    <cfRule type="cellIs" dxfId="3549" priority="1620" operator="equal">
      <formula>"NO CUMPLE"</formula>
    </cfRule>
    <cfRule type="cellIs" dxfId="3548" priority="1621" operator="equal">
      <formula>"CUMPLE"</formula>
    </cfRule>
  </conditionalFormatting>
  <conditionalFormatting sqref="M290">
    <cfRule type="expression" dxfId="3547" priority="1606">
      <formula>L290="NO CUMPLE"</formula>
    </cfRule>
    <cfRule type="expression" dxfId="3546" priority="1607">
      <formula>L290="CUMPLE"</formula>
    </cfRule>
  </conditionalFormatting>
  <conditionalFormatting sqref="M289">
    <cfRule type="expression" dxfId="3545" priority="1610">
      <formula>L289="NO CUMPLE"</formula>
    </cfRule>
    <cfRule type="expression" dxfId="3544" priority="1611">
      <formula>L289="CUMPLE"</formula>
    </cfRule>
  </conditionalFormatting>
  <conditionalFormatting sqref="L289:L290">
    <cfRule type="cellIs" dxfId="3543" priority="1608" operator="equal">
      <formula>"NO CUMPLE"</formula>
    </cfRule>
    <cfRule type="cellIs" dxfId="3542" priority="1609" operator="equal">
      <formula>"CUMPLE"</formula>
    </cfRule>
  </conditionalFormatting>
  <conditionalFormatting sqref="J277">
    <cfRule type="cellIs" dxfId="3541" priority="1604" operator="equal">
      <formula>"NO CUMPLE"</formula>
    </cfRule>
    <cfRule type="cellIs" dxfId="3540" priority="1605" operator="equal">
      <formula>"CUMPLE"</formula>
    </cfRule>
  </conditionalFormatting>
  <conditionalFormatting sqref="J278:J279">
    <cfRule type="cellIs" dxfId="3539" priority="1602" operator="equal">
      <formula>"NO CUMPLE"</formula>
    </cfRule>
    <cfRule type="cellIs" dxfId="3538" priority="1603" operator="equal">
      <formula>"CUMPLE"</formula>
    </cfRule>
  </conditionalFormatting>
  <conditionalFormatting sqref="K277">
    <cfRule type="expression" dxfId="3537" priority="1600">
      <formula>J277="NO CUMPLE"</formula>
    </cfRule>
    <cfRule type="expression" dxfId="3536" priority="1601">
      <formula>J277="CUMPLE"</formula>
    </cfRule>
  </conditionalFormatting>
  <conditionalFormatting sqref="K278:K279">
    <cfRule type="expression" dxfId="3535" priority="1598">
      <formula>J278="NO CUMPLE"</formula>
    </cfRule>
    <cfRule type="expression" dxfId="3534" priority="1599">
      <formula>J278="CUMPLE"</formula>
    </cfRule>
  </conditionalFormatting>
  <conditionalFormatting sqref="S299">
    <cfRule type="cellIs" dxfId="3533" priority="1596" operator="greaterThan">
      <formula>0</formula>
    </cfRule>
    <cfRule type="top10" dxfId="3532" priority="1597" rank="10"/>
  </conditionalFormatting>
  <conditionalFormatting sqref="B314">
    <cfRule type="cellIs" dxfId="3531" priority="1592" operator="equal">
      <formula>"NO CUMPLE CON LA EXPERIENCIA REQUERIDA"</formula>
    </cfRule>
    <cfRule type="cellIs" dxfId="3530" priority="1593" operator="equal">
      <formula>"CUMPLE CON LA EXPERIENCIA REQUERIDA"</formula>
    </cfRule>
  </conditionalFormatting>
  <conditionalFormatting sqref="H299 H302 H305 H308 H311">
    <cfRule type="notContainsBlanks" dxfId="3529" priority="1591">
      <formula>LEN(TRIM(H299))&gt;0</formula>
    </cfRule>
  </conditionalFormatting>
  <conditionalFormatting sqref="G299">
    <cfRule type="notContainsBlanks" dxfId="3528" priority="1590">
      <formula>LEN(TRIM(G299))&gt;0</formula>
    </cfRule>
  </conditionalFormatting>
  <conditionalFormatting sqref="F299">
    <cfRule type="notContainsBlanks" dxfId="3527" priority="1589">
      <formula>LEN(TRIM(F299))&gt;0</formula>
    </cfRule>
  </conditionalFormatting>
  <conditionalFormatting sqref="E299">
    <cfRule type="notContainsBlanks" dxfId="3526" priority="1588">
      <formula>LEN(TRIM(E299))&gt;0</formula>
    </cfRule>
  </conditionalFormatting>
  <conditionalFormatting sqref="D299">
    <cfRule type="notContainsBlanks" dxfId="3525" priority="1587">
      <formula>LEN(TRIM(D299))&gt;0</formula>
    </cfRule>
  </conditionalFormatting>
  <conditionalFormatting sqref="C299">
    <cfRule type="notContainsBlanks" dxfId="3524" priority="1586">
      <formula>LEN(TRIM(C299))&gt;0</formula>
    </cfRule>
  </conditionalFormatting>
  <conditionalFormatting sqref="I299">
    <cfRule type="notContainsBlanks" dxfId="3523" priority="1585">
      <formula>LEN(TRIM(I299))&gt;0</formula>
    </cfRule>
  </conditionalFormatting>
  <conditionalFormatting sqref="S302">
    <cfRule type="cellIs" dxfId="3522" priority="1581" operator="greaterThan">
      <formula>0</formula>
    </cfRule>
    <cfRule type="top10" dxfId="3521" priority="1582" rank="10"/>
  </conditionalFormatting>
  <conditionalFormatting sqref="S305">
    <cfRule type="cellIs" dxfId="3520" priority="1579" operator="greaterThan">
      <formula>0</formula>
    </cfRule>
    <cfRule type="top10" dxfId="3519" priority="1580" rank="10"/>
  </conditionalFormatting>
  <conditionalFormatting sqref="G305">
    <cfRule type="notContainsBlanks" dxfId="3518" priority="1578">
      <formula>LEN(TRIM(G305))&gt;0</formula>
    </cfRule>
  </conditionalFormatting>
  <conditionalFormatting sqref="F305">
    <cfRule type="notContainsBlanks" dxfId="3517" priority="1577">
      <formula>LEN(TRIM(F305))&gt;0</formula>
    </cfRule>
  </conditionalFormatting>
  <conditionalFormatting sqref="E305">
    <cfRule type="notContainsBlanks" dxfId="3516" priority="1576">
      <formula>LEN(TRIM(E305))&gt;0</formula>
    </cfRule>
  </conditionalFormatting>
  <conditionalFormatting sqref="D305">
    <cfRule type="notContainsBlanks" dxfId="3515" priority="1575">
      <formula>LEN(TRIM(D305))&gt;0</formula>
    </cfRule>
  </conditionalFormatting>
  <conditionalFormatting sqref="C305">
    <cfRule type="notContainsBlanks" dxfId="3514" priority="1574">
      <formula>LEN(TRIM(C305))&gt;0</formula>
    </cfRule>
  </conditionalFormatting>
  <conditionalFormatting sqref="I305">
    <cfRule type="notContainsBlanks" dxfId="3513" priority="1573">
      <formula>LEN(TRIM(I305))&gt;0</formula>
    </cfRule>
  </conditionalFormatting>
  <conditionalFormatting sqref="S308">
    <cfRule type="cellIs" dxfId="3512" priority="1571" operator="greaterThan">
      <formula>0</formula>
    </cfRule>
    <cfRule type="top10" dxfId="3511" priority="1572" rank="10"/>
  </conditionalFormatting>
  <conditionalFormatting sqref="S311">
    <cfRule type="cellIs" dxfId="3510" priority="1569" operator="greaterThan">
      <formula>0</formula>
    </cfRule>
    <cfRule type="top10" dxfId="3509" priority="1570" rank="10"/>
  </conditionalFormatting>
  <conditionalFormatting sqref="G311">
    <cfRule type="notContainsBlanks" dxfId="3508" priority="1568">
      <formula>LEN(TRIM(G311))&gt;0</formula>
    </cfRule>
  </conditionalFormatting>
  <conditionalFormatting sqref="F311">
    <cfRule type="notContainsBlanks" dxfId="3507" priority="1567">
      <formula>LEN(TRIM(F311))&gt;0</formula>
    </cfRule>
  </conditionalFormatting>
  <conditionalFormatting sqref="E311">
    <cfRule type="notContainsBlanks" dxfId="3506" priority="1566">
      <formula>LEN(TRIM(E311))&gt;0</formula>
    </cfRule>
  </conditionalFormatting>
  <conditionalFormatting sqref="D311">
    <cfRule type="notContainsBlanks" dxfId="3505" priority="1565">
      <formula>LEN(TRIM(D311))&gt;0</formula>
    </cfRule>
  </conditionalFormatting>
  <conditionalFormatting sqref="C311">
    <cfRule type="notContainsBlanks" dxfId="3504" priority="1564">
      <formula>LEN(TRIM(C311))&gt;0</formula>
    </cfRule>
  </conditionalFormatting>
  <conditionalFormatting sqref="I311">
    <cfRule type="notContainsBlanks" dxfId="3503" priority="1563">
      <formula>LEN(TRIM(I311))&gt;0</formula>
    </cfRule>
  </conditionalFormatting>
  <conditionalFormatting sqref="G302">
    <cfRule type="notContainsBlanks" dxfId="3502" priority="1562">
      <formula>LEN(TRIM(G302))&gt;0</formula>
    </cfRule>
  </conditionalFormatting>
  <conditionalFormatting sqref="F302">
    <cfRule type="notContainsBlanks" dxfId="3501" priority="1561">
      <formula>LEN(TRIM(F302))&gt;0</formula>
    </cfRule>
  </conditionalFormatting>
  <conditionalFormatting sqref="E302">
    <cfRule type="notContainsBlanks" dxfId="3500" priority="1560">
      <formula>LEN(TRIM(E302))&gt;0</formula>
    </cfRule>
  </conditionalFormatting>
  <conditionalFormatting sqref="D302">
    <cfRule type="notContainsBlanks" dxfId="3499" priority="1559">
      <formula>LEN(TRIM(D302))&gt;0</formula>
    </cfRule>
  </conditionalFormatting>
  <conditionalFormatting sqref="C302">
    <cfRule type="notContainsBlanks" dxfId="3498" priority="1558">
      <formula>LEN(TRIM(C302))&gt;0</formula>
    </cfRule>
  </conditionalFormatting>
  <conditionalFormatting sqref="G308">
    <cfRule type="notContainsBlanks" dxfId="3497" priority="1557">
      <formula>LEN(TRIM(G308))&gt;0</formula>
    </cfRule>
  </conditionalFormatting>
  <conditionalFormatting sqref="F308">
    <cfRule type="notContainsBlanks" dxfId="3496" priority="1556">
      <formula>LEN(TRIM(F308))&gt;0</formula>
    </cfRule>
  </conditionalFormatting>
  <conditionalFormatting sqref="E308">
    <cfRule type="notContainsBlanks" dxfId="3495" priority="1555">
      <formula>LEN(TRIM(E308))&gt;0</formula>
    </cfRule>
  </conditionalFormatting>
  <conditionalFormatting sqref="D308">
    <cfRule type="notContainsBlanks" dxfId="3494" priority="1554">
      <formula>LEN(TRIM(D308))&gt;0</formula>
    </cfRule>
  </conditionalFormatting>
  <conditionalFormatting sqref="C308">
    <cfRule type="notContainsBlanks" dxfId="3493" priority="1553">
      <formula>LEN(TRIM(C308))&gt;0</formula>
    </cfRule>
  </conditionalFormatting>
  <conditionalFormatting sqref="I302">
    <cfRule type="notContainsBlanks" dxfId="3492" priority="1552">
      <formula>LEN(TRIM(I302))&gt;0</formula>
    </cfRule>
  </conditionalFormatting>
  <conditionalFormatting sqref="I308">
    <cfRule type="notContainsBlanks" dxfId="3491" priority="1551">
      <formula>LEN(TRIM(I308))&gt;0</formula>
    </cfRule>
  </conditionalFormatting>
  <conditionalFormatting sqref="S314">
    <cfRule type="expression" dxfId="3490" priority="1549">
      <formula>$S$28&gt;0</formula>
    </cfRule>
    <cfRule type="cellIs" dxfId="3489" priority="1550" operator="equal">
      <formula>0</formula>
    </cfRule>
  </conditionalFormatting>
  <conditionalFormatting sqref="S315">
    <cfRule type="expression" dxfId="3488" priority="1547">
      <formula>$S$28&gt;0</formula>
    </cfRule>
    <cfRule type="cellIs" dxfId="3487" priority="1548" operator="equal">
      <formula>0</formula>
    </cfRule>
  </conditionalFormatting>
  <conditionalFormatting sqref="N299">
    <cfRule type="expression" dxfId="3486" priority="1534">
      <formula>N299=" "</formula>
    </cfRule>
    <cfRule type="expression" dxfId="3485" priority="1535">
      <formula>N299="NO PRESENTÓ CERTIFICADO"</formula>
    </cfRule>
    <cfRule type="expression" dxfId="3484" priority="1536">
      <formula>N299="PRESENTÓ CERTIFICADO"</formula>
    </cfRule>
  </conditionalFormatting>
  <conditionalFormatting sqref="O299">
    <cfRule type="cellIs" dxfId="3483" priority="1516" operator="equal">
      <formula>"PENDIENTE POR DESCRIPCIÓN"</formula>
    </cfRule>
    <cfRule type="cellIs" dxfId="3482" priority="1517" operator="equal">
      <formula>"DESCRIPCIÓN INSUFICIENTE"</formula>
    </cfRule>
    <cfRule type="cellIs" dxfId="3481" priority="1518" operator="equal">
      <formula>"NO ESTÁ ACORDE A ITEM 5.2.2 (T.R.)"</formula>
    </cfRule>
    <cfRule type="cellIs" dxfId="3480" priority="1519" operator="equal">
      <formula>"ACORDE A ITEM 5.2.2 (T.R.)"</formula>
    </cfRule>
    <cfRule type="cellIs" dxfId="3479" priority="1526" operator="equal">
      <formula>"PENDIENTE POR DESCRIPCIÓN"</formula>
    </cfRule>
    <cfRule type="cellIs" dxfId="3478" priority="1528" operator="equal">
      <formula>"DESCRIPCIÓN INSUFICIENTE"</formula>
    </cfRule>
    <cfRule type="cellIs" dxfId="3477" priority="1529" operator="equal">
      <formula>"NO ESTÁ ACORDE A ITEM 5.2.1 (T.R.)"</formula>
    </cfRule>
    <cfRule type="cellIs" dxfId="3476" priority="1530" operator="equal">
      <formula>"ACORDE A ITEM 5.2.1 (T.R.)"</formula>
    </cfRule>
  </conditionalFormatting>
  <conditionalFormatting sqref="Q299">
    <cfRule type="containsBlanks" dxfId="3475" priority="1521">
      <formula>LEN(TRIM(Q299))=0</formula>
    </cfRule>
    <cfRule type="cellIs" dxfId="3474" priority="1527" operator="equal">
      <formula>"REQUERIMIENTOS SUBSANADOS"</formula>
    </cfRule>
    <cfRule type="containsText" dxfId="3473" priority="1531" operator="containsText" text="NO SUBSANABLE">
      <formula>NOT(ISERROR(SEARCH("NO SUBSANABLE",Q299)))</formula>
    </cfRule>
    <cfRule type="containsText" dxfId="3472" priority="1532" operator="containsText" text="PENDIENTES POR SUBSANAR">
      <formula>NOT(ISERROR(SEARCH("PENDIENTES POR SUBSANAR",Q299)))</formula>
    </cfRule>
    <cfRule type="containsText" dxfId="3471" priority="1533" operator="containsText" text="SIN OBSERVACIÓN">
      <formula>NOT(ISERROR(SEARCH("SIN OBSERVACIÓN",Q299)))</formula>
    </cfRule>
  </conditionalFormatting>
  <conditionalFormatting sqref="R299">
    <cfRule type="containsBlanks" dxfId="3470" priority="1520">
      <formula>LEN(TRIM(R299))=0</formula>
    </cfRule>
    <cfRule type="cellIs" dxfId="3469" priority="1522" operator="equal">
      <formula>"NO CUMPLEN CON LO SOLICITADO"</formula>
    </cfRule>
    <cfRule type="cellIs" dxfId="3468" priority="1523" operator="equal">
      <formula>"CUMPLEN CON LO SOLICITADO"</formula>
    </cfRule>
    <cfRule type="cellIs" dxfId="3467" priority="1524" operator="equal">
      <formula>"PENDIENTES"</formula>
    </cfRule>
    <cfRule type="cellIs" dxfId="3466" priority="1525" operator="equal">
      <formula>"NINGUNO"</formula>
    </cfRule>
  </conditionalFormatting>
  <conditionalFormatting sqref="P299">
    <cfRule type="expression" dxfId="3465" priority="1511">
      <formula>Q299="NO SUBSANABLE"</formula>
    </cfRule>
    <cfRule type="expression" dxfId="3464" priority="1512">
      <formula>Q299="REQUERIMIENTOS SUBSANADOS"</formula>
    </cfRule>
    <cfRule type="expression" dxfId="3463" priority="1513">
      <formula>Q299="PENDIENTES POR SUBSANAR"</formula>
    </cfRule>
    <cfRule type="expression" dxfId="3462" priority="1514">
      <formula>Q299="SIN OBSERVACIÓN"</formula>
    </cfRule>
    <cfRule type="containsBlanks" dxfId="3461" priority="1515">
      <formula>LEN(TRIM(P299))=0</formula>
    </cfRule>
  </conditionalFormatting>
  <conditionalFormatting sqref="N311">
    <cfRule type="expression" dxfId="3460" priority="1508">
      <formula>N311=" "</formula>
    </cfRule>
    <cfRule type="expression" dxfId="3459" priority="1509">
      <formula>N311="NO PRESENTÓ CERTIFICADO"</formula>
    </cfRule>
    <cfRule type="expression" dxfId="3458" priority="1510">
      <formula>N311="PRESENTÓ CERTIFICADO"</formula>
    </cfRule>
  </conditionalFormatting>
  <conditionalFormatting sqref="O311">
    <cfRule type="cellIs" dxfId="3457" priority="1490" operator="equal">
      <formula>"PENDIENTE POR DESCRIPCIÓN"</formula>
    </cfRule>
    <cfRule type="cellIs" dxfId="3456" priority="1491" operator="equal">
      <formula>"DESCRIPCIÓN INSUFICIENTE"</formula>
    </cfRule>
    <cfRule type="cellIs" dxfId="3455" priority="1492" operator="equal">
      <formula>"NO ESTÁ ACORDE A ITEM 5.2.2 (T.R.)"</formula>
    </cfRule>
    <cfRule type="cellIs" dxfId="3454" priority="1493" operator="equal">
      <formula>"ACORDE A ITEM 5.2.2 (T.R.)"</formula>
    </cfRule>
    <cfRule type="cellIs" dxfId="3453" priority="1500" operator="equal">
      <formula>"PENDIENTE POR DESCRIPCIÓN"</formula>
    </cfRule>
    <cfRule type="cellIs" dxfId="3452" priority="1502" operator="equal">
      <formula>"DESCRIPCIÓN INSUFICIENTE"</formula>
    </cfRule>
    <cfRule type="cellIs" dxfId="3451" priority="1503" operator="equal">
      <formula>"NO ESTÁ ACORDE A ITEM 5.2.1 (T.R.)"</formula>
    </cfRule>
    <cfRule type="cellIs" dxfId="3450" priority="1504" operator="equal">
      <formula>"ACORDE A ITEM 5.2.1 (T.R.)"</formula>
    </cfRule>
  </conditionalFormatting>
  <conditionalFormatting sqref="Q311">
    <cfRule type="containsBlanks" dxfId="3449" priority="1495">
      <formula>LEN(TRIM(Q311))=0</formula>
    </cfRule>
    <cfRule type="cellIs" dxfId="3448" priority="1501" operator="equal">
      <formula>"REQUERIMIENTOS SUBSANADOS"</formula>
    </cfRule>
    <cfRule type="containsText" dxfId="3447" priority="1505" operator="containsText" text="NO SUBSANABLE">
      <formula>NOT(ISERROR(SEARCH("NO SUBSANABLE",Q311)))</formula>
    </cfRule>
    <cfRule type="containsText" dxfId="3446" priority="1506" operator="containsText" text="PENDIENTES POR SUBSANAR">
      <formula>NOT(ISERROR(SEARCH("PENDIENTES POR SUBSANAR",Q311)))</formula>
    </cfRule>
    <cfRule type="containsText" dxfId="3445" priority="1507" operator="containsText" text="SIN OBSERVACIÓN">
      <formula>NOT(ISERROR(SEARCH("SIN OBSERVACIÓN",Q311)))</formula>
    </cfRule>
  </conditionalFormatting>
  <conditionalFormatting sqref="R311">
    <cfRule type="containsBlanks" dxfId="3444" priority="1494">
      <formula>LEN(TRIM(R311))=0</formula>
    </cfRule>
    <cfRule type="cellIs" dxfId="3443" priority="1496" operator="equal">
      <formula>"NO CUMPLEN CON LO SOLICITADO"</formula>
    </cfRule>
    <cfRule type="cellIs" dxfId="3442" priority="1497" operator="equal">
      <formula>"CUMPLEN CON LO SOLICITADO"</formula>
    </cfRule>
    <cfRule type="cellIs" dxfId="3441" priority="1498" operator="equal">
      <formula>"PENDIENTES"</formula>
    </cfRule>
    <cfRule type="cellIs" dxfId="3440" priority="1499" operator="equal">
      <formula>"NINGUNO"</formula>
    </cfRule>
  </conditionalFormatting>
  <conditionalFormatting sqref="P302 P305 P308 P311">
    <cfRule type="expression" dxfId="3439" priority="1485">
      <formula>Q302="NO SUBSANABLE"</formula>
    </cfRule>
    <cfRule type="expression" dxfId="3438" priority="1486">
      <formula>Q302="REQUERIMIENTOS SUBSANADOS"</formula>
    </cfRule>
    <cfRule type="expression" dxfId="3437" priority="1487">
      <formula>Q302="PENDIENTES POR SUBSANAR"</formula>
    </cfRule>
    <cfRule type="expression" dxfId="3436" priority="1488">
      <formula>Q302="SIN OBSERVACIÓN"</formula>
    </cfRule>
    <cfRule type="containsBlanks" dxfId="3435" priority="1489">
      <formula>LEN(TRIM(P302))=0</formula>
    </cfRule>
  </conditionalFormatting>
  <conditionalFormatting sqref="N302">
    <cfRule type="expression" dxfId="3434" priority="1482">
      <formula>N302=" "</formula>
    </cfRule>
    <cfRule type="expression" dxfId="3433" priority="1483">
      <formula>N302="NO PRESENTÓ CERTIFICADO"</formula>
    </cfRule>
    <cfRule type="expression" dxfId="3432" priority="1484">
      <formula>N302="PRESENTÓ CERTIFICADO"</formula>
    </cfRule>
  </conditionalFormatting>
  <conditionalFormatting sqref="N305">
    <cfRule type="expression" dxfId="3431" priority="1479">
      <formula>N305=" "</formula>
    </cfRule>
    <cfRule type="expression" dxfId="3430" priority="1480">
      <formula>N305="NO PRESENTÓ CERTIFICADO"</formula>
    </cfRule>
    <cfRule type="expression" dxfId="3429" priority="1481">
      <formula>N305="PRESENTÓ CERTIFICADO"</formula>
    </cfRule>
  </conditionalFormatting>
  <conditionalFormatting sqref="N308">
    <cfRule type="expression" dxfId="3428" priority="1476">
      <formula>N308=" "</formula>
    </cfRule>
    <cfRule type="expression" dxfId="3427" priority="1477">
      <formula>N308="NO PRESENTÓ CERTIFICADO"</formula>
    </cfRule>
    <cfRule type="expression" dxfId="3426" priority="1478">
      <formula>N308="PRESENTÓ CERTIFICADO"</formula>
    </cfRule>
  </conditionalFormatting>
  <conditionalFormatting sqref="O302">
    <cfRule type="cellIs" dxfId="3425" priority="1468" operator="equal">
      <formula>"PENDIENTE POR DESCRIPCIÓN"</formula>
    </cfRule>
    <cfRule type="cellIs" dxfId="3424" priority="1469" operator="equal">
      <formula>"DESCRIPCIÓN INSUFICIENTE"</formula>
    </cfRule>
    <cfRule type="cellIs" dxfId="3423" priority="1470" operator="equal">
      <formula>"NO ESTÁ ACORDE A ITEM 5.2.2 (T.R.)"</formula>
    </cfRule>
    <cfRule type="cellIs" dxfId="3422" priority="1471" operator="equal">
      <formula>"ACORDE A ITEM 5.2.2 (T.R.)"</formula>
    </cfRule>
    <cfRule type="cellIs" dxfId="3421" priority="1472" operator="equal">
      <formula>"PENDIENTE POR DESCRIPCIÓN"</formula>
    </cfRule>
    <cfRule type="cellIs" dxfId="3420" priority="1473" operator="equal">
      <formula>"DESCRIPCIÓN INSUFICIENTE"</formula>
    </cfRule>
    <cfRule type="cellIs" dxfId="3419" priority="1474" operator="equal">
      <formula>"NO ESTÁ ACORDE A ITEM 5.2.1 (T.R.)"</formula>
    </cfRule>
    <cfRule type="cellIs" dxfId="3418" priority="1475" operator="equal">
      <formula>"ACORDE A ITEM 5.2.1 (T.R.)"</formula>
    </cfRule>
  </conditionalFormatting>
  <conditionalFormatting sqref="O305">
    <cfRule type="cellIs" dxfId="3417" priority="1460" operator="equal">
      <formula>"PENDIENTE POR DESCRIPCIÓN"</formula>
    </cfRule>
    <cfRule type="cellIs" dxfId="3416" priority="1461" operator="equal">
      <formula>"DESCRIPCIÓN INSUFICIENTE"</formula>
    </cfRule>
    <cfRule type="cellIs" dxfId="3415" priority="1462" operator="equal">
      <formula>"NO ESTÁ ACORDE A ITEM 5.2.2 (T.R.)"</formula>
    </cfRule>
    <cfRule type="cellIs" dxfId="3414" priority="1463" operator="equal">
      <formula>"ACORDE A ITEM 5.2.2 (T.R.)"</formula>
    </cfRule>
    <cfRule type="cellIs" dxfId="3413" priority="1464" operator="equal">
      <formula>"PENDIENTE POR DESCRIPCIÓN"</formula>
    </cfRule>
    <cfRule type="cellIs" dxfId="3412" priority="1465" operator="equal">
      <formula>"DESCRIPCIÓN INSUFICIENTE"</formula>
    </cfRule>
    <cfRule type="cellIs" dxfId="3411" priority="1466" operator="equal">
      <formula>"NO ESTÁ ACORDE A ITEM 5.2.1 (T.R.)"</formula>
    </cfRule>
    <cfRule type="cellIs" dxfId="3410" priority="1467" operator="equal">
      <formula>"ACORDE A ITEM 5.2.1 (T.R.)"</formula>
    </cfRule>
  </conditionalFormatting>
  <conditionalFormatting sqref="O308">
    <cfRule type="cellIs" dxfId="3409" priority="1452" operator="equal">
      <formula>"PENDIENTE POR DESCRIPCIÓN"</formula>
    </cfRule>
    <cfRule type="cellIs" dxfId="3408" priority="1453" operator="equal">
      <formula>"DESCRIPCIÓN INSUFICIENTE"</formula>
    </cfRule>
    <cfRule type="cellIs" dxfId="3407" priority="1454" operator="equal">
      <formula>"NO ESTÁ ACORDE A ITEM 5.2.2 (T.R.)"</formula>
    </cfRule>
    <cfRule type="cellIs" dxfId="3406" priority="1455" operator="equal">
      <formula>"ACORDE A ITEM 5.2.2 (T.R.)"</formula>
    </cfRule>
    <cfRule type="cellIs" dxfId="3405" priority="1456" operator="equal">
      <formula>"PENDIENTE POR DESCRIPCIÓN"</formula>
    </cfRule>
    <cfRule type="cellIs" dxfId="3404" priority="1457" operator="equal">
      <formula>"DESCRIPCIÓN INSUFICIENTE"</formula>
    </cfRule>
    <cfRule type="cellIs" dxfId="3403" priority="1458" operator="equal">
      <formula>"NO ESTÁ ACORDE A ITEM 5.2.1 (T.R.)"</formula>
    </cfRule>
    <cfRule type="cellIs" dxfId="3402" priority="1459" operator="equal">
      <formula>"ACORDE A ITEM 5.2.1 (T.R.)"</formula>
    </cfRule>
  </conditionalFormatting>
  <conditionalFormatting sqref="Q302">
    <cfRule type="containsBlanks" dxfId="3401" priority="1443">
      <formula>LEN(TRIM(Q302))=0</formula>
    </cfRule>
    <cfRule type="cellIs" dxfId="3400" priority="1448" operator="equal">
      <formula>"REQUERIMIENTOS SUBSANADOS"</formula>
    </cfRule>
    <cfRule type="containsText" dxfId="3399" priority="1449" operator="containsText" text="NO SUBSANABLE">
      <formula>NOT(ISERROR(SEARCH("NO SUBSANABLE",Q302)))</formula>
    </cfRule>
    <cfRule type="containsText" dxfId="3398" priority="1450" operator="containsText" text="PENDIENTES POR SUBSANAR">
      <formula>NOT(ISERROR(SEARCH("PENDIENTES POR SUBSANAR",Q302)))</formula>
    </cfRule>
    <cfRule type="containsText" dxfId="3397" priority="1451" operator="containsText" text="SIN OBSERVACIÓN">
      <formula>NOT(ISERROR(SEARCH("SIN OBSERVACIÓN",Q302)))</formula>
    </cfRule>
  </conditionalFormatting>
  <conditionalFormatting sqref="R302">
    <cfRule type="containsBlanks" dxfId="3396" priority="1442">
      <formula>LEN(TRIM(R302))=0</formula>
    </cfRule>
    <cfRule type="cellIs" dxfId="3395" priority="1444" operator="equal">
      <formula>"NO CUMPLEN CON LO SOLICITADO"</formula>
    </cfRule>
    <cfRule type="cellIs" dxfId="3394" priority="1445" operator="equal">
      <formula>"CUMPLEN CON LO SOLICITADO"</formula>
    </cfRule>
    <cfRule type="cellIs" dxfId="3393" priority="1446" operator="equal">
      <formula>"PENDIENTES"</formula>
    </cfRule>
    <cfRule type="cellIs" dxfId="3392" priority="1447" operator="equal">
      <formula>"NINGUNO"</formula>
    </cfRule>
  </conditionalFormatting>
  <conditionalFormatting sqref="Q305">
    <cfRule type="containsBlanks" dxfId="3391" priority="1433">
      <formula>LEN(TRIM(Q305))=0</formula>
    </cfRule>
    <cfRule type="cellIs" dxfId="3390" priority="1438" operator="equal">
      <formula>"REQUERIMIENTOS SUBSANADOS"</formula>
    </cfRule>
    <cfRule type="containsText" dxfId="3389" priority="1439" operator="containsText" text="NO SUBSANABLE">
      <formula>NOT(ISERROR(SEARCH("NO SUBSANABLE",Q305)))</formula>
    </cfRule>
    <cfRule type="containsText" dxfId="3388" priority="1440" operator="containsText" text="PENDIENTES POR SUBSANAR">
      <formula>NOT(ISERROR(SEARCH("PENDIENTES POR SUBSANAR",Q305)))</formula>
    </cfRule>
    <cfRule type="containsText" dxfId="3387" priority="1441" operator="containsText" text="SIN OBSERVACIÓN">
      <formula>NOT(ISERROR(SEARCH("SIN OBSERVACIÓN",Q305)))</formula>
    </cfRule>
  </conditionalFormatting>
  <conditionalFormatting sqref="R305">
    <cfRule type="containsBlanks" dxfId="3386" priority="1432">
      <formula>LEN(TRIM(R305))=0</formula>
    </cfRule>
    <cfRule type="cellIs" dxfId="3385" priority="1434" operator="equal">
      <formula>"NO CUMPLEN CON LO SOLICITADO"</formula>
    </cfRule>
    <cfRule type="cellIs" dxfId="3384" priority="1435" operator="equal">
      <formula>"CUMPLEN CON LO SOLICITADO"</formula>
    </cfRule>
    <cfRule type="cellIs" dxfId="3383" priority="1436" operator="equal">
      <formula>"PENDIENTES"</formula>
    </cfRule>
    <cfRule type="cellIs" dxfId="3382" priority="1437" operator="equal">
      <formula>"NINGUNO"</formula>
    </cfRule>
  </conditionalFormatting>
  <conditionalFormatting sqref="Q308">
    <cfRule type="containsBlanks" dxfId="3381" priority="1423">
      <formula>LEN(TRIM(Q308))=0</formula>
    </cfRule>
    <cfRule type="cellIs" dxfId="3380" priority="1428" operator="equal">
      <formula>"REQUERIMIENTOS SUBSANADOS"</formula>
    </cfRule>
    <cfRule type="containsText" dxfId="3379" priority="1429" operator="containsText" text="NO SUBSANABLE">
      <formula>NOT(ISERROR(SEARCH("NO SUBSANABLE",Q308)))</formula>
    </cfRule>
    <cfRule type="containsText" dxfId="3378" priority="1430" operator="containsText" text="PENDIENTES POR SUBSANAR">
      <formula>NOT(ISERROR(SEARCH("PENDIENTES POR SUBSANAR",Q308)))</formula>
    </cfRule>
    <cfRule type="containsText" dxfId="3377" priority="1431" operator="containsText" text="SIN OBSERVACIÓN">
      <formula>NOT(ISERROR(SEARCH("SIN OBSERVACIÓN",Q308)))</formula>
    </cfRule>
  </conditionalFormatting>
  <conditionalFormatting sqref="R308">
    <cfRule type="containsBlanks" dxfId="3376" priority="1422">
      <formula>LEN(TRIM(R308))=0</formula>
    </cfRule>
    <cfRule type="cellIs" dxfId="3375" priority="1424" operator="equal">
      <formula>"NO CUMPLEN CON LO SOLICITADO"</formula>
    </cfRule>
    <cfRule type="cellIs" dxfId="3374" priority="1425" operator="equal">
      <formula>"CUMPLEN CON LO SOLICITADO"</formula>
    </cfRule>
    <cfRule type="cellIs" dxfId="3373" priority="1426" operator="equal">
      <formula>"PENDIENTES"</formula>
    </cfRule>
    <cfRule type="cellIs" dxfId="3372" priority="1427" operator="equal">
      <formula>"NINGUNO"</formula>
    </cfRule>
  </conditionalFormatting>
  <conditionalFormatting sqref="M308">
    <cfRule type="expression" dxfId="3371" priority="1380">
      <formula>L308="NO CUMPLE"</formula>
    </cfRule>
    <cfRule type="expression" dxfId="3370" priority="1381">
      <formula>L308="CUMPLE"</formula>
    </cfRule>
  </conditionalFormatting>
  <conditionalFormatting sqref="L308:L309">
    <cfRule type="cellIs" dxfId="3369" priority="1378" operator="equal">
      <formula>"NO CUMPLE"</formula>
    </cfRule>
    <cfRule type="cellIs" dxfId="3368" priority="1379" operator="equal">
      <formula>"CUMPLE"</formula>
    </cfRule>
  </conditionalFormatting>
  <conditionalFormatting sqref="M309">
    <cfRule type="expression" dxfId="3367" priority="1376">
      <formula>L309="NO CUMPLE"</formula>
    </cfRule>
    <cfRule type="expression" dxfId="3366" priority="1377">
      <formula>L309="CUMPLE"</formula>
    </cfRule>
  </conditionalFormatting>
  <conditionalFormatting sqref="J302:J310">
    <cfRule type="cellIs" dxfId="3365" priority="1420" operator="equal">
      <formula>"NO CUMPLE"</formula>
    </cfRule>
    <cfRule type="cellIs" dxfId="3364" priority="1421" operator="equal">
      <formula>"CUMPLE"</formula>
    </cfRule>
  </conditionalFormatting>
  <conditionalFormatting sqref="K302">
    <cfRule type="expression" dxfId="3363" priority="1418">
      <formula>J302="NO CUMPLE"</formula>
    </cfRule>
    <cfRule type="expression" dxfId="3362" priority="1419">
      <formula>J302="CUMPLE"</formula>
    </cfRule>
  </conditionalFormatting>
  <conditionalFormatting sqref="K303:K304">
    <cfRule type="expression" dxfId="3361" priority="1416">
      <formula>J303="NO CUMPLE"</formula>
    </cfRule>
    <cfRule type="expression" dxfId="3360" priority="1417">
      <formula>J303="CUMPLE"</formula>
    </cfRule>
  </conditionalFormatting>
  <conditionalFormatting sqref="J311">
    <cfRule type="cellIs" dxfId="3359" priority="1414" operator="equal">
      <formula>"NO CUMPLE"</formula>
    </cfRule>
    <cfRule type="cellIs" dxfId="3358" priority="1415" operator="equal">
      <formula>"CUMPLE"</formula>
    </cfRule>
  </conditionalFormatting>
  <conditionalFormatting sqref="J312:J313">
    <cfRule type="cellIs" dxfId="3357" priority="1412" operator="equal">
      <formula>"NO CUMPLE"</formula>
    </cfRule>
    <cfRule type="cellIs" dxfId="3356" priority="1413" operator="equal">
      <formula>"CUMPLE"</formula>
    </cfRule>
  </conditionalFormatting>
  <conditionalFormatting sqref="K305">
    <cfRule type="expression" dxfId="3355" priority="1410">
      <formula>J305="NO CUMPLE"</formula>
    </cfRule>
    <cfRule type="expression" dxfId="3354" priority="1411">
      <formula>J305="CUMPLE"</formula>
    </cfRule>
  </conditionalFormatting>
  <conditionalFormatting sqref="K306:K307">
    <cfRule type="expression" dxfId="3353" priority="1408">
      <formula>J306="NO CUMPLE"</formula>
    </cfRule>
    <cfRule type="expression" dxfId="3352" priority="1409">
      <formula>J306="CUMPLE"</formula>
    </cfRule>
  </conditionalFormatting>
  <conditionalFormatting sqref="K308">
    <cfRule type="expression" dxfId="3351" priority="1406">
      <formula>J308="NO CUMPLE"</formula>
    </cfRule>
    <cfRule type="expression" dxfId="3350" priority="1407">
      <formula>J308="CUMPLE"</formula>
    </cfRule>
  </conditionalFormatting>
  <conditionalFormatting sqref="K309:K310">
    <cfRule type="expression" dxfId="3349" priority="1404">
      <formula>J309="NO CUMPLE"</formula>
    </cfRule>
    <cfRule type="expression" dxfId="3348" priority="1405">
      <formula>J309="CUMPLE"</formula>
    </cfRule>
  </conditionalFormatting>
  <conditionalFormatting sqref="K311">
    <cfRule type="expression" dxfId="3347" priority="1402">
      <formula>J311="NO CUMPLE"</formula>
    </cfRule>
    <cfRule type="expression" dxfId="3346" priority="1403">
      <formula>J311="CUMPLE"</formula>
    </cfRule>
  </conditionalFormatting>
  <conditionalFormatting sqref="K312:K313">
    <cfRule type="expression" dxfId="3345" priority="1400">
      <formula>J312="NO CUMPLE"</formula>
    </cfRule>
    <cfRule type="expression" dxfId="3344" priority="1401">
      <formula>J312="CUMPLE"</formula>
    </cfRule>
  </conditionalFormatting>
  <conditionalFormatting sqref="M303">
    <cfRule type="expression" dxfId="3343" priority="1388">
      <formula>L303="NO CUMPLE"</formula>
    </cfRule>
    <cfRule type="expression" dxfId="3342" priority="1389">
      <formula>L303="CUMPLE"</formula>
    </cfRule>
  </conditionalFormatting>
  <conditionalFormatting sqref="L302:L303">
    <cfRule type="cellIs" dxfId="3341" priority="1390" operator="equal">
      <formula>"NO CUMPLE"</formula>
    </cfRule>
    <cfRule type="cellIs" dxfId="3340" priority="1391" operator="equal">
      <formula>"CUMPLE"</formula>
    </cfRule>
  </conditionalFormatting>
  <conditionalFormatting sqref="M302">
    <cfRule type="expression" dxfId="3339" priority="1392">
      <formula>L302="NO CUMPLE"</formula>
    </cfRule>
    <cfRule type="expression" dxfId="3338" priority="1393">
      <formula>L302="CUMPLE"</formula>
    </cfRule>
  </conditionalFormatting>
  <conditionalFormatting sqref="M300">
    <cfRule type="expression" dxfId="3337" priority="1394">
      <formula>L300="NO CUMPLE"</formula>
    </cfRule>
    <cfRule type="expression" dxfId="3336" priority="1395">
      <formula>L300="CUMPLE"</formula>
    </cfRule>
  </conditionalFormatting>
  <conditionalFormatting sqref="M299">
    <cfRule type="expression" dxfId="3335" priority="1398">
      <formula>L299="NO CUMPLE"</formula>
    </cfRule>
    <cfRule type="expression" dxfId="3334" priority="1399">
      <formula>L299="CUMPLE"</formula>
    </cfRule>
  </conditionalFormatting>
  <conditionalFormatting sqref="L299:L300">
    <cfRule type="cellIs" dxfId="3333" priority="1396" operator="equal">
      <formula>"NO CUMPLE"</formula>
    </cfRule>
    <cfRule type="cellIs" dxfId="3332" priority="1397" operator="equal">
      <formula>"CUMPLE"</formula>
    </cfRule>
  </conditionalFormatting>
  <conditionalFormatting sqref="M306">
    <cfRule type="expression" dxfId="3331" priority="1382">
      <formula>L306="NO CUMPLE"</formula>
    </cfRule>
    <cfRule type="expression" dxfId="3330" priority="1383">
      <formula>L306="CUMPLE"</formula>
    </cfRule>
  </conditionalFormatting>
  <conditionalFormatting sqref="M305">
    <cfRule type="expression" dxfId="3329" priority="1386">
      <formula>L305="NO CUMPLE"</formula>
    </cfRule>
    <cfRule type="expression" dxfId="3328" priority="1387">
      <formula>L305="CUMPLE"</formula>
    </cfRule>
  </conditionalFormatting>
  <conditionalFormatting sqref="L305:L306">
    <cfRule type="cellIs" dxfId="3327" priority="1384" operator="equal">
      <formula>"NO CUMPLE"</formula>
    </cfRule>
    <cfRule type="cellIs" dxfId="3326" priority="1385" operator="equal">
      <formula>"CUMPLE"</formula>
    </cfRule>
  </conditionalFormatting>
  <conditionalFormatting sqref="M312">
    <cfRule type="expression" dxfId="3325" priority="1370">
      <formula>L312="NO CUMPLE"</formula>
    </cfRule>
    <cfRule type="expression" dxfId="3324" priority="1371">
      <formula>L312="CUMPLE"</formula>
    </cfRule>
  </conditionalFormatting>
  <conditionalFormatting sqref="M311">
    <cfRule type="expression" dxfId="3323" priority="1374">
      <formula>L311="NO CUMPLE"</formula>
    </cfRule>
    <cfRule type="expression" dxfId="3322" priority="1375">
      <formula>L311="CUMPLE"</formula>
    </cfRule>
  </conditionalFormatting>
  <conditionalFormatting sqref="L311:L312">
    <cfRule type="cellIs" dxfId="3321" priority="1372" operator="equal">
      <formula>"NO CUMPLE"</formula>
    </cfRule>
    <cfRule type="cellIs" dxfId="3320" priority="1373" operator="equal">
      <formula>"CUMPLE"</formula>
    </cfRule>
  </conditionalFormatting>
  <conditionalFormatting sqref="J299">
    <cfRule type="cellIs" dxfId="3319" priority="1368" operator="equal">
      <formula>"NO CUMPLE"</formula>
    </cfRule>
    <cfRule type="cellIs" dxfId="3318" priority="1369" operator="equal">
      <formula>"CUMPLE"</formula>
    </cfRule>
  </conditionalFormatting>
  <conditionalFormatting sqref="J300:J301">
    <cfRule type="cellIs" dxfId="3317" priority="1366" operator="equal">
      <formula>"NO CUMPLE"</formula>
    </cfRule>
    <cfRule type="cellIs" dxfId="3316" priority="1367" operator="equal">
      <formula>"CUMPLE"</formula>
    </cfRule>
  </conditionalFormatting>
  <conditionalFormatting sqref="K299">
    <cfRule type="expression" dxfId="3315" priority="1364">
      <formula>J299="NO CUMPLE"</formula>
    </cfRule>
    <cfRule type="expression" dxfId="3314" priority="1365">
      <formula>J299="CUMPLE"</formula>
    </cfRule>
  </conditionalFormatting>
  <conditionalFormatting sqref="K300:K301">
    <cfRule type="expression" dxfId="3313" priority="1362">
      <formula>J300="NO CUMPLE"</formula>
    </cfRule>
    <cfRule type="expression" dxfId="3312" priority="1363">
      <formula>J300="CUMPLE"</formula>
    </cfRule>
  </conditionalFormatting>
  <conditionalFormatting sqref="T116">
    <cfRule type="cellIs" dxfId="3311" priority="1348" operator="equal">
      <formula>"NO CUMPLE"</formula>
    </cfRule>
    <cfRule type="cellIs" dxfId="3310" priority="1349" operator="equal">
      <formula>"CUMPLE"</formula>
    </cfRule>
  </conditionalFormatting>
  <conditionalFormatting sqref="T101">
    <cfRule type="cellIs" dxfId="3309" priority="1346" operator="equal">
      <formula>"NO"</formula>
    </cfRule>
    <cfRule type="cellIs" dxfId="3308" priority="1347" operator="equal">
      <formula>"SI"</formula>
    </cfRule>
  </conditionalFormatting>
  <conditionalFormatting sqref="T138">
    <cfRule type="cellIs" dxfId="3307" priority="1332" operator="equal">
      <formula>"NO CUMPLE"</formula>
    </cfRule>
    <cfRule type="cellIs" dxfId="3306" priority="1333" operator="equal">
      <formula>"CUMPLE"</formula>
    </cfRule>
  </conditionalFormatting>
  <conditionalFormatting sqref="T123">
    <cfRule type="cellIs" dxfId="3305" priority="1330" operator="equal">
      <formula>"NO"</formula>
    </cfRule>
    <cfRule type="cellIs" dxfId="3304" priority="1331" operator="equal">
      <formula>"SI"</formula>
    </cfRule>
  </conditionalFormatting>
  <conditionalFormatting sqref="T160">
    <cfRule type="cellIs" dxfId="3303" priority="1316" operator="equal">
      <formula>"NO CUMPLE"</formula>
    </cfRule>
    <cfRule type="cellIs" dxfId="3302" priority="1317" operator="equal">
      <formula>"CUMPLE"</formula>
    </cfRule>
  </conditionalFormatting>
  <conditionalFormatting sqref="T145">
    <cfRule type="cellIs" dxfId="3301" priority="1314" operator="equal">
      <formula>"NO"</formula>
    </cfRule>
    <cfRule type="cellIs" dxfId="3300" priority="1315" operator="equal">
      <formula>"SI"</formula>
    </cfRule>
  </conditionalFormatting>
  <conditionalFormatting sqref="U151:U153">
    <cfRule type="cellIs" dxfId="3299" priority="1308" operator="equal">
      <formula>0</formula>
    </cfRule>
    <cfRule type="cellIs" dxfId="3298" priority="1309" operator="equal">
      <formula>1</formula>
    </cfRule>
  </conditionalFormatting>
  <conditionalFormatting sqref="U154:U156">
    <cfRule type="cellIs" dxfId="3297" priority="1306" operator="equal">
      <formula>0</formula>
    </cfRule>
    <cfRule type="cellIs" dxfId="3296" priority="1307" operator="equal">
      <formula>1</formula>
    </cfRule>
  </conditionalFormatting>
  <conditionalFormatting sqref="U157:U159">
    <cfRule type="cellIs" dxfId="3295" priority="1304" operator="equal">
      <formula>0</formula>
    </cfRule>
    <cfRule type="cellIs" dxfId="3294" priority="1305" operator="equal">
      <formula>1</formula>
    </cfRule>
  </conditionalFormatting>
  <conditionalFormatting sqref="T182">
    <cfRule type="cellIs" dxfId="3293" priority="1300" operator="equal">
      <formula>"NO CUMPLE"</formula>
    </cfRule>
    <cfRule type="cellIs" dxfId="3292" priority="1301" operator="equal">
      <formula>"CUMPLE"</formula>
    </cfRule>
  </conditionalFormatting>
  <conditionalFormatting sqref="T167">
    <cfRule type="cellIs" dxfId="3291" priority="1298" operator="equal">
      <formula>"NO"</formula>
    </cfRule>
    <cfRule type="cellIs" dxfId="3290" priority="1299" operator="equal">
      <formula>"SI"</formula>
    </cfRule>
  </conditionalFormatting>
  <conditionalFormatting sqref="T204">
    <cfRule type="cellIs" dxfId="3289" priority="1284" operator="equal">
      <formula>"NO CUMPLE"</formula>
    </cfRule>
    <cfRule type="cellIs" dxfId="3288" priority="1285" operator="equal">
      <formula>"CUMPLE"</formula>
    </cfRule>
  </conditionalFormatting>
  <conditionalFormatting sqref="T189">
    <cfRule type="cellIs" dxfId="3287" priority="1282" operator="equal">
      <formula>"NO"</formula>
    </cfRule>
    <cfRule type="cellIs" dxfId="3286" priority="1283" operator="equal">
      <formula>"SI"</formula>
    </cfRule>
  </conditionalFormatting>
  <conditionalFormatting sqref="U192:U194">
    <cfRule type="cellIs" dxfId="3285" priority="1278" operator="equal">
      <formula>0</formula>
    </cfRule>
    <cfRule type="cellIs" dxfId="3284" priority="1279" operator="equal">
      <formula>1</formula>
    </cfRule>
  </conditionalFormatting>
  <conditionalFormatting sqref="U195:U197">
    <cfRule type="cellIs" dxfId="3283" priority="1276" operator="equal">
      <formula>0</formula>
    </cfRule>
    <cfRule type="cellIs" dxfId="3282" priority="1277" operator="equal">
      <formula>1</formula>
    </cfRule>
  </conditionalFormatting>
  <conditionalFormatting sqref="U198:U200">
    <cfRule type="cellIs" dxfId="3281" priority="1274" operator="equal">
      <formula>0</formula>
    </cfRule>
    <cfRule type="cellIs" dxfId="3280" priority="1275" operator="equal">
      <formula>1</formula>
    </cfRule>
  </conditionalFormatting>
  <conditionalFormatting sqref="U201:U203">
    <cfRule type="cellIs" dxfId="3279" priority="1272" operator="equal">
      <formula>0</formula>
    </cfRule>
    <cfRule type="cellIs" dxfId="3278" priority="1273" operator="equal">
      <formula>1</formula>
    </cfRule>
  </conditionalFormatting>
  <conditionalFormatting sqref="T226">
    <cfRule type="cellIs" dxfId="3277" priority="1268" operator="equal">
      <formula>"NO CUMPLE"</formula>
    </cfRule>
    <cfRule type="cellIs" dxfId="3276" priority="1269" operator="equal">
      <formula>"CUMPLE"</formula>
    </cfRule>
  </conditionalFormatting>
  <conditionalFormatting sqref="T211">
    <cfRule type="cellIs" dxfId="3275" priority="1266" operator="equal">
      <formula>"NO"</formula>
    </cfRule>
    <cfRule type="cellIs" dxfId="3274" priority="1267" operator="equal">
      <formula>"SI"</formula>
    </cfRule>
  </conditionalFormatting>
  <conditionalFormatting sqref="U214:U216">
    <cfRule type="cellIs" dxfId="3273" priority="1262" operator="equal">
      <formula>0</formula>
    </cfRule>
    <cfRule type="cellIs" dxfId="3272" priority="1263" operator="equal">
      <formula>1</formula>
    </cfRule>
  </conditionalFormatting>
  <conditionalFormatting sqref="U217:U219">
    <cfRule type="cellIs" dxfId="3271" priority="1260" operator="equal">
      <formula>0</formula>
    </cfRule>
    <cfRule type="cellIs" dxfId="3270" priority="1261" operator="equal">
      <formula>1</formula>
    </cfRule>
  </conditionalFormatting>
  <conditionalFormatting sqref="U220:U222">
    <cfRule type="cellIs" dxfId="3269" priority="1258" operator="equal">
      <formula>0</formula>
    </cfRule>
    <cfRule type="cellIs" dxfId="3268" priority="1259" operator="equal">
      <formula>1</formula>
    </cfRule>
  </conditionalFormatting>
  <conditionalFormatting sqref="U223:U225">
    <cfRule type="cellIs" dxfId="3267" priority="1256" operator="equal">
      <formula>0</formula>
    </cfRule>
    <cfRule type="cellIs" dxfId="3266" priority="1257" operator="equal">
      <formula>1</formula>
    </cfRule>
  </conditionalFormatting>
  <conditionalFormatting sqref="T248">
    <cfRule type="cellIs" dxfId="3265" priority="1252" operator="equal">
      <formula>"NO CUMPLE"</formula>
    </cfRule>
    <cfRule type="cellIs" dxfId="3264" priority="1253" operator="equal">
      <formula>"CUMPLE"</formula>
    </cfRule>
  </conditionalFormatting>
  <conditionalFormatting sqref="T233">
    <cfRule type="cellIs" dxfId="3263" priority="1250" operator="equal">
      <formula>"NO"</formula>
    </cfRule>
    <cfRule type="cellIs" dxfId="3262" priority="1251" operator="equal">
      <formula>"SI"</formula>
    </cfRule>
  </conditionalFormatting>
  <conditionalFormatting sqref="U242:U244">
    <cfRule type="cellIs" dxfId="3261" priority="1242" operator="equal">
      <formula>0</formula>
    </cfRule>
    <cfRule type="cellIs" dxfId="3260" priority="1243" operator="equal">
      <formula>1</formula>
    </cfRule>
  </conditionalFormatting>
  <conditionalFormatting sqref="U245:U247">
    <cfRule type="cellIs" dxfId="3259" priority="1240" operator="equal">
      <formula>0</formula>
    </cfRule>
    <cfRule type="cellIs" dxfId="3258" priority="1241" operator="equal">
      <formula>1</formula>
    </cfRule>
  </conditionalFormatting>
  <conditionalFormatting sqref="T270">
    <cfRule type="cellIs" dxfId="3257" priority="1236" operator="equal">
      <formula>"NO CUMPLE"</formula>
    </cfRule>
    <cfRule type="cellIs" dxfId="3256" priority="1237" operator="equal">
      <formula>"CUMPLE"</formula>
    </cfRule>
  </conditionalFormatting>
  <conditionalFormatting sqref="T255">
    <cfRule type="cellIs" dxfId="3255" priority="1234" operator="equal">
      <formula>"NO"</formula>
    </cfRule>
    <cfRule type="cellIs" dxfId="3254" priority="1235" operator="equal">
      <formula>"SI"</formula>
    </cfRule>
  </conditionalFormatting>
  <conditionalFormatting sqref="U255:U257">
    <cfRule type="cellIs" dxfId="3253" priority="1232" operator="equal">
      <formula>0</formula>
    </cfRule>
    <cfRule type="cellIs" dxfId="3252" priority="1233" operator="equal">
      <formula>1</formula>
    </cfRule>
  </conditionalFormatting>
  <conditionalFormatting sqref="V255">
    <cfRule type="cellIs" dxfId="3251" priority="1222" operator="equal">
      <formula>"NO"</formula>
    </cfRule>
    <cfRule type="cellIs" dxfId="3250" priority="1223" operator="equal">
      <formula>"SI"</formula>
    </cfRule>
  </conditionalFormatting>
  <conditionalFormatting sqref="T292">
    <cfRule type="cellIs" dxfId="3249" priority="1220" operator="equal">
      <formula>"NO CUMPLE"</formula>
    </cfRule>
    <cfRule type="cellIs" dxfId="3248" priority="1221" operator="equal">
      <formula>"CUMPLE"</formula>
    </cfRule>
  </conditionalFormatting>
  <conditionalFormatting sqref="T277">
    <cfRule type="cellIs" dxfId="3247" priority="1218" operator="equal">
      <formula>"NO"</formula>
    </cfRule>
    <cfRule type="cellIs" dxfId="3246" priority="1219" operator="equal">
      <formula>"SI"</formula>
    </cfRule>
  </conditionalFormatting>
  <conditionalFormatting sqref="U277:U279">
    <cfRule type="cellIs" dxfId="3245" priority="1216" operator="equal">
      <formula>0</formula>
    </cfRule>
    <cfRule type="cellIs" dxfId="3244" priority="1217" operator="equal">
      <formula>1</formula>
    </cfRule>
  </conditionalFormatting>
  <conditionalFormatting sqref="U286:U288">
    <cfRule type="cellIs" dxfId="3243" priority="1210" operator="equal">
      <formula>0</formula>
    </cfRule>
    <cfRule type="cellIs" dxfId="3242" priority="1211" operator="equal">
      <formula>1</formula>
    </cfRule>
  </conditionalFormatting>
  <conditionalFormatting sqref="U289:U291">
    <cfRule type="cellIs" dxfId="3241" priority="1208" operator="equal">
      <formula>0</formula>
    </cfRule>
    <cfRule type="cellIs" dxfId="3240" priority="1209" operator="equal">
      <formula>1</formula>
    </cfRule>
  </conditionalFormatting>
  <conditionalFormatting sqref="V277">
    <cfRule type="cellIs" dxfId="3239" priority="1206" operator="equal">
      <formula>"NO"</formula>
    </cfRule>
    <cfRule type="cellIs" dxfId="3238" priority="1207" operator="equal">
      <formula>"SI"</formula>
    </cfRule>
  </conditionalFormatting>
  <conditionalFormatting sqref="T314">
    <cfRule type="cellIs" dxfId="3237" priority="1204" operator="equal">
      <formula>"NO CUMPLE"</formula>
    </cfRule>
    <cfRule type="cellIs" dxfId="3236" priority="1205" operator="equal">
      <formula>"CUMPLE"</formula>
    </cfRule>
  </conditionalFormatting>
  <conditionalFormatting sqref="T299">
    <cfRule type="cellIs" dxfId="3235" priority="1202" operator="equal">
      <formula>"NO"</formula>
    </cfRule>
    <cfRule type="cellIs" dxfId="3234" priority="1203" operator="equal">
      <formula>"SI"</formula>
    </cfRule>
  </conditionalFormatting>
  <conditionalFormatting sqref="U299:U301">
    <cfRule type="cellIs" dxfId="3233" priority="1200" operator="equal">
      <formula>0</formula>
    </cfRule>
    <cfRule type="cellIs" dxfId="3232" priority="1201" operator="equal">
      <formula>1</formula>
    </cfRule>
  </conditionalFormatting>
  <conditionalFormatting sqref="U302:U304">
    <cfRule type="cellIs" dxfId="3231" priority="1198" operator="equal">
      <formula>0</formula>
    </cfRule>
    <cfRule type="cellIs" dxfId="3230" priority="1199" operator="equal">
      <formula>1</formula>
    </cfRule>
  </conditionalFormatting>
  <conditionalFormatting sqref="U305:U307">
    <cfRule type="cellIs" dxfId="3229" priority="1196" operator="equal">
      <formula>0</formula>
    </cfRule>
    <cfRule type="cellIs" dxfId="3228" priority="1197" operator="equal">
      <formula>1</formula>
    </cfRule>
  </conditionalFormatting>
  <conditionalFormatting sqref="U308:U310">
    <cfRule type="cellIs" dxfId="3227" priority="1194" operator="equal">
      <formula>0</formula>
    </cfRule>
    <cfRule type="cellIs" dxfId="3226" priority="1195" operator="equal">
      <formula>1</formula>
    </cfRule>
  </conditionalFormatting>
  <conditionalFormatting sqref="U311:U313">
    <cfRule type="cellIs" dxfId="3225" priority="1192" operator="equal">
      <formula>0</formula>
    </cfRule>
    <cfRule type="cellIs" dxfId="3224" priority="1193" operator="equal">
      <formula>1</formula>
    </cfRule>
  </conditionalFormatting>
  <conditionalFormatting sqref="K16">
    <cfRule type="expression" dxfId="3223" priority="1188">
      <formula>J16="NO CUMPLE"</formula>
    </cfRule>
    <cfRule type="expression" dxfId="3222" priority="1189">
      <formula>J16="CUMPLE"</formula>
    </cfRule>
  </conditionalFormatting>
  <conditionalFormatting sqref="K17:K18">
    <cfRule type="expression" dxfId="3221" priority="1186">
      <formula>J17="NO CUMPLE"</formula>
    </cfRule>
    <cfRule type="expression" dxfId="3220" priority="1187">
      <formula>J17="CUMPLE"</formula>
    </cfRule>
  </conditionalFormatting>
  <conditionalFormatting sqref="K19">
    <cfRule type="expression" dxfId="3219" priority="1184">
      <formula>J19="NO CUMPLE"</formula>
    </cfRule>
    <cfRule type="expression" dxfId="3218" priority="1185">
      <formula>J19="CUMPLE"</formula>
    </cfRule>
  </conditionalFormatting>
  <conditionalFormatting sqref="K20:K21">
    <cfRule type="expression" dxfId="3217" priority="1182">
      <formula>J20="NO CUMPLE"</formula>
    </cfRule>
    <cfRule type="expression" dxfId="3216" priority="1183">
      <formula>J20="CUMPLE"</formula>
    </cfRule>
  </conditionalFormatting>
  <conditionalFormatting sqref="K22">
    <cfRule type="expression" dxfId="3215" priority="1180">
      <formula>J22="NO CUMPLE"</formula>
    </cfRule>
    <cfRule type="expression" dxfId="3214" priority="1181">
      <formula>J22="CUMPLE"</formula>
    </cfRule>
  </conditionalFormatting>
  <conditionalFormatting sqref="K23:K24">
    <cfRule type="expression" dxfId="3213" priority="1178">
      <formula>J23="NO CUMPLE"</formula>
    </cfRule>
    <cfRule type="expression" dxfId="3212" priority="1179">
      <formula>J23="CUMPLE"</formula>
    </cfRule>
  </conditionalFormatting>
  <conditionalFormatting sqref="K25">
    <cfRule type="expression" dxfId="3211" priority="1176">
      <formula>J25="NO CUMPLE"</formula>
    </cfRule>
    <cfRule type="expression" dxfId="3210" priority="1177">
      <formula>J25="CUMPLE"</formula>
    </cfRule>
  </conditionalFormatting>
  <conditionalFormatting sqref="K26:K27">
    <cfRule type="expression" dxfId="3209" priority="1174">
      <formula>J26="NO CUMPLE"</formula>
    </cfRule>
    <cfRule type="expression" dxfId="3208" priority="1175">
      <formula>J26="CUMPLE"</formula>
    </cfRule>
  </conditionalFormatting>
  <conditionalFormatting sqref="N280">
    <cfRule type="expression" dxfId="3207" priority="1171">
      <formula>N280=" "</formula>
    </cfRule>
    <cfRule type="expression" dxfId="3206" priority="1172">
      <formula>N280="NO PRESENTÓ CERTIFICADO"</formula>
    </cfRule>
    <cfRule type="expression" dxfId="3205" priority="1173">
      <formula>N280="PRESENTÓ CERTIFICADO"</formula>
    </cfRule>
  </conditionalFormatting>
  <conditionalFormatting sqref="O280">
    <cfRule type="cellIs" dxfId="3204" priority="1163" operator="equal">
      <formula>"PENDIENTE POR DESCRIPCIÓN"</formula>
    </cfRule>
    <cfRule type="cellIs" dxfId="3203" priority="1164" operator="equal">
      <formula>"DESCRIPCIÓN INSUFICIENTE"</formula>
    </cfRule>
    <cfRule type="cellIs" dxfId="3202" priority="1165" operator="equal">
      <formula>"NO ESTÁ ACORDE A ITEM 5.2.2 (T.R.)"</formula>
    </cfRule>
    <cfRule type="cellIs" dxfId="3201" priority="1166" operator="equal">
      <formula>"ACORDE A ITEM 5.2.2 (T.R.)"</formula>
    </cfRule>
    <cfRule type="cellIs" dxfId="3200" priority="1167" operator="equal">
      <formula>"PENDIENTE POR DESCRIPCIÓN"</formula>
    </cfRule>
    <cfRule type="cellIs" dxfId="3199" priority="1168" operator="equal">
      <formula>"DESCRIPCIÓN INSUFICIENTE"</formula>
    </cfRule>
    <cfRule type="cellIs" dxfId="3198" priority="1169" operator="equal">
      <formula>"NO ESTÁ ACORDE A ITEM 5.2.1 (T.R.)"</formula>
    </cfRule>
    <cfRule type="cellIs" dxfId="3197" priority="1170" operator="equal">
      <formula>"ACORDE A ITEM 5.2.1 (T.R.)"</formula>
    </cfRule>
  </conditionalFormatting>
  <conditionalFormatting sqref="N283">
    <cfRule type="expression" dxfId="3196" priority="1155">
      <formula>N283=" "</formula>
    </cfRule>
    <cfRule type="expression" dxfId="3195" priority="1156">
      <formula>N283="NO PRESENTÓ CERTIFICADO"</formula>
    </cfRule>
    <cfRule type="expression" dxfId="3194" priority="1157">
      <formula>N283="PRESENTÓ CERTIFICADO"</formula>
    </cfRule>
  </conditionalFormatting>
  <conditionalFormatting sqref="O283">
    <cfRule type="cellIs" dxfId="3193" priority="1147" operator="equal">
      <formula>"PENDIENTE POR DESCRIPCIÓN"</formula>
    </cfRule>
    <cfRule type="cellIs" dxfId="3192" priority="1148" operator="equal">
      <formula>"DESCRIPCIÓN INSUFICIENTE"</formula>
    </cfRule>
    <cfRule type="cellIs" dxfId="3191" priority="1149" operator="equal">
      <formula>"NO ESTÁ ACORDE A ITEM 5.2.2 (T.R.)"</formula>
    </cfRule>
    <cfRule type="cellIs" dxfId="3190" priority="1150" operator="equal">
      <formula>"ACORDE A ITEM 5.2.2 (T.R.)"</formula>
    </cfRule>
    <cfRule type="cellIs" dxfId="3189" priority="1151" operator="equal">
      <formula>"PENDIENTE POR DESCRIPCIÓN"</formula>
    </cfRule>
    <cfRule type="cellIs" dxfId="3188" priority="1152" operator="equal">
      <formula>"DESCRIPCIÓN INSUFICIENTE"</formula>
    </cfRule>
    <cfRule type="cellIs" dxfId="3187" priority="1153" operator="equal">
      <formula>"NO ESTÁ ACORDE A ITEM 5.2.1 (T.R.)"</formula>
    </cfRule>
    <cfRule type="cellIs" dxfId="3186" priority="1154" operator="equal">
      <formula>"ACORDE A ITEM 5.2.1 (T.R.)"</formula>
    </cfRule>
  </conditionalFormatting>
  <conditionalFormatting sqref="Q277">
    <cfRule type="containsBlanks" dxfId="3185" priority="1138">
      <formula>LEN(TRIM(Q277))=0</formula>
    </cfRule>
    <cfRule type="cellIs" dxfId="3184" priority="1143" operator="equal">
      <formula>"REQUERIMIENTOS SUBSANADOS"</formula>
    </cfRule>
    <cfRule type="containsText" dxfId="3183" priority="1144" operator="containsText" text="NO SUBSANABLE">
      <formula>NOT(ISERROR(SEARCH("NO SUBSANABLE",Q277)))</formula>
    </cfRule>
    <cfRule type="containsText" dxfId="3182" priority="1145" operator="containsText" text="PENDIENTES POR SUBSANAR">
      <formula>NOT(ISERROR(SEARCH("PENDIENTES POR SUBSANAR",Q277)))</formula>
    </cfRule>
    <cfRule type="containsText" dxfId="3181" priority="1146" operator="containsText" text="SIN OBSERVACIÓN">
      <formula>NOT(ISERROR(SEARCH("SIN OBSERVACIÓN",Q277)))</formula>
    </cfRule>
  </conditionalFormatting>
  <conditionalFormatting sqref="R277">
    <cfRule type="containsBlanks" dxfId="3180" priority="1137">
      <formula>LEN(TRIM(R277))=0</formula>
    </cfRule>
    <cfRule type="cellIs" dxfId="3179" priority="1139" operator="equal">
      <formula>"NO CUMPLEN CON LO SOLICITADO"</formula>
    </cfRule>
    <cfRule type="cellIs" dxfId="3178" priority="1140" operator="equal">
      <formula>"CUMPLEN CON LO SOLICITADO"</formula>
    </cfRule>
    <cfRule type="cellIs" dxfId="3177" priority="1141" operator="equal">
      <formula>"PENDIENTES"</formula>
    </cfRule>
    <cfRule type="cellIs" dxfId="3176" priority="1142" operator="equal">
      <formula>"NINGUNO"</formula>
    </cfRule>
  </conditionalFormatting>
  <conditionalFormatting sqref="Q280">
    <cfRule type="containsBlanks" dxfId="3175" priority="1128">
      <formula>LEN(TRIM(Q280))=0</formula>
    </cfRule>
    <cfRule type="cellIs" dxfId="3174" priority="1133" operator="equal">
      <formula>"REQUERIMIENTOS SUBSANADOS"</formula>
    </cfRule>
    <cfRule type="containsText" dxfId="3173" priority="1134" operator="containsText" text="NO SUBSANABLE">
      <formula>NOT(ISERROR(SEARCH("NO SUBSANABLE",Q280)))</formula>
    </cfRule>
    <cfRule type="containsText" dxfId="3172" priority="1135" operator="containsText" text="PENDIENTES POR SUBSANAR">
      <formula>NOT(ISERROR(SEARCH("PENDIENTES POR SUBSANAR",Q280)))</formula>
    </cfRule>
    <cfRule type="containsText" dxfId="3171" priority="1136" operator="containsText" text="SIN OBSERVACIÓN">
      <formula>NOT(ISERROR(SEARCH("SIN OBSERVACIÓN",Q280)))</formula>
    </cfRule>
  </conditionalFormatting>
  <conditionalFormatting sqref="R280">
    <cfRule type="containsBlanks" dxfId="3170" priority="1127">
      <formula>LEN(TRIM(R280))=0</formula>
    </cfRule>
    <cfRule type="cellIs" dxfId="3169" priority="1129" operator="equal">
      <formula>"NO CUMPLEN CON LO SOLICITADO"</formula>
    </cfRule>
    <cfRule type="cellIs" dxfId="3168" priority="1130" operator="equal">
      <formula>"CUMPLEN CON LO SOLICITADO"</formula>
    </cfRule>
    <cfRule type="cellIs" dxfId="3167" priority="1131" operator="equal">
      <formula>"PENDIENTES"</formula>
    </cfRule>
    <cfRule type="cellIs" dxfId="3166" priority="1132" operator="equal">
      <formula>"NINGUNO"</formula>
    </cfRule>
  </conditionalFormatting>
  <conditionalFormatting sqref="U280:U285">
    <cfRule type="cellIs" dxfId="3165" priority="1125" operator="equal">
      <formula>0</formula>
    </cfRule>
    <cfRule type="cellIs" dxfId="3164" priority="1126" operator="equal">
      <formula>1</formula>
    </cfRule>
  </conditionalFormatting>
  <conditionalFormatting sqref="H258 H261 H264 H267">
    <cfRule type="notContainsBlanks" dxfId="3163" priority="1124">
      <formula>LEN(TRIM(H258))&gt;0</formula>
    </cfRule>
  </conditionalFormatting>
  <conditionalFormatting sqref="I258 I261 I264 I267">
    <cfRule type="notContainsBlanks" dxfId="3162" priority="1123">
      <formula>LEN(TRIM(I258))&gt;0</formula>
    </cfRule>
  </conditionalFormatting>
  <conditionalFormatting sqref="N258">
    <cfRule type="expression" dxfId="3161" priority="1120">
      <formula>N258=" "</formula>
    </cfRule>
    <cfRule type="expression" dxfId="3160" priority="1121">
      <formula>N258="NO PRESENTÓ CERTIFICADO"</formula>
    </cfRule>
    <cfRule type="expression" dxfId="3159" priority="1122">
      <formula>N258="PRESENTÓ CERTIFICADO"</formula>
    </cfRule>
  </conditionalFormatting>
  <conditionalFormatting sqref="O258">
    <cfRule type="cellIs" dxfId="3158" priority="1102" operator="equal">
      <formula>"PENDIENTE POR DESCRIPCIÓN"</formula>
    </cfRule>
    <cfRule type="cellIs" dxfId="3157" priority="1103" operator="equal">
      <formula>"DESCRIPCIÓN INSUFICIENTE"</formula>
    </cfRule>
    <cfRule type="cellIs" dxfId="3156" priority="1104" operator="equal">
      <formula>"NO ESTÁ ACORDE A ITEM 5.2.2 (T.R.)"</formula>
    </cfRule>
    <cfRule type="cellIs" dxfId="3155" priority="1105" operator="equal">
      <formula>"ACORDE A ITEM 5.2.2 (T.R.)"</formula>
    </cfRule>
    <cfRule type="cellIs" dxfId="3154" priority="1112" operator="equal">
      <formula>"PENDIENTE POR DESCRIPCIÓN"</formula>
    </cfRule>
    <cfRule type="cellIs" dxfId="3153" priority="1114" operator="equal">
      <formula>"DESCRIPCIÓN INSUFICIENTE"</formula>
    </cfRule>
    <cfRule type="cellIs" dxfId="3152" priority="1115" operator="equal">
      <formula>"NO ESTÁ ACORDE A ITEM 5.2.1 (T.R.)"</formula>
    </cfRule>
    <cfRule type="cellIs" dxfId="3151" priority="1116" operator="equal">
      <formula>"ACORDE A ITEM 5.2.1 (T.R.)"</formula>
    </cfRule>
  </conditionalFormatting>
  <conditionalFormatting sqref="Q258">
    <cfRule type="containsBlanks" dxfId="3150" priority="1107">
      <formula>LEN(TRIM(Q258))=0</formula>
    </cfRule>
    <cfRule type="cellIs" dxfId="3149" priority="1113" operator="equal">
      <formula>"REQUERIMIENTOS SUBSANADOS"</formula>
    </cfRule>
    <cfRule type="containsText" dxfId="3148" priority="1117" operator="containsText" text="NO SUBSANABLE">
      <formula>NOT(ISERROR(SEARCH("NO SUBSANABLE",Q258)))</formula>
    </cfRule>
    <cfRule type="containsText" dxfId="3147" priority="1118" operator="containsText" text="PENDIENTES POR SUBSANAR">
      <formula>NOT(ISERROR(SEARCH("PENDIENTES POR SUBSANAR",Q258)))</formula>
    </cfRule>
    <cfRule type="containsText" dxfId="3146" priority="1119" operator="containsText" text="SIN OBSERVACIÓN">
      <formula>NOT(ISERROR(SEARCH("SIN OBSERVACIÓN",Q258)))</formula>
    </cfRule>
  </conditionalFormatting>
  <conditionalFormatting sqref="R258">
    <cfRule type="containsBlanks" dxfId="3145" priority="1106">
      <formula>LEN(TRIM(R258))=0</formula>
    </cfRule>
    <cfRule type="cellIs" dxfId="3144" priority="1108" operator="equal">
      <formula>"NO CUMPLEN CON LO SOLICITADO"</formula>
    </cfRule>
    <cfRule type="cellIs" dxfId="3143" priority="1109" operator="equal">
      <formula>"CUMPLEN CON LO SOLICITADO"</formula>
    </cfRule>
    <cfRule type="cellIs" dxfId="3142" priority="1110" operator="equal">
      <formula>"PENDIENTES"</formula>
    </cfRule>
    <cfRule type="cellIs" dxfId="3141" priority="1111" operator="equal">
      <formula>"NINGUNO"</formula>
    </cfRule>
  </conditionalFormatting>
  <conditionalFormatting sqref="P258">
    <cfRule type="expression" dxfId="3140" priority="1097">
      <formula>Q258="NO SUBSANABLE"</formula>
    </cfRule>
    <cfRule type="expression" dxfId="3139" priority="1098">
      <formula>Q258="REQUERIMIENTOS SUBSANADOS"</formula>
    </cfRule>
    <cfRule type="expression" dxfId="3138" priority="1099">
      <formula>Q258="PENDIENTES POR SUBSANAR"</formula>
    </cfRule>
    <cfRule type="expression" dxfId="3137" priority="1100">
      <formula>Q258="SIN OBSERVACIÓN"</formula>
    </cfRule>
    <cfRule type="containsBlanks" dxfId="3136" priority="1101">
      <formula>LEN(TRIM(P258))=0</formula>
    </cfRule>
  </conditionalFormatting>
  <conditionalFormatting sqref="V258">
    <cfRule type="cellIs" dxfId="3135" priority="1095" operator="equal">
      <formula>"NO"</formula>
    </cfRule>
    <cfRule type="cellIs" dxfId="3134" priority="1096" operator="equal">
      <formula>"SI"</formula>
    </cfRule>
  </conditionalFormatting>
  <conditionalFormatting sqref="N261">
    <cfRule type="expression" dxfId="3133" priority="1092">
      <formula>N261=" "</formula>
    </cfRule>
    <cfRule type="expression" dxfId="3132" priority="1093">
      <formula>N261="NO PRESENTÓ CERTIFICADO"</formula>
    </cfRule>
    <cfRule type="expression" dxfId="3131" priority="1094">
      <formula>N261="PRESENTÓ CERTIFICADO"</formula>
    </cfRule>
  </conditionalFormatting>
  <conditionalFormatting sqref="O261">
    <cfRule type="cellIs" dxfId="3130" priority="1074" operator="equal">
      <formula>"PENDIENTE POR DESCRIPCIÓN"</formula>
    </cfRule>
    <cfRule type="cellIs" dxfId="3129" priority="1075" operator="equal">
      <formula>"DESCRIPCIÓN INSUFICIENTE"</formula>
    </cfRule>
    <cfRule type="cellIs" dxfId="3128" priority="1076" operator="equal">
      <formula>"NO ESTÁ ACORDE A ITEM 5.2.2 (T.R.)"</formula>
    </cfRule>
    <cfRule type="cellIs" dxfId="3127" priority="1077" operator="equal">
      <formula>"ACORDE A ITEM 5.2.2 (T.R.)"</formula>
    </cfRule>
    <cfRule type="cellIs" dxfId="3126" priority="1084" operator="equal">
      <formula>"PENDIENTE POR DESCRIPCIÓN"</formula>
    </cfRule>
    <cfRule type="cellIs" dxfId="3125" priority="1086" operator="equal">
      <formula>"DESCRIPCIÓN INSUFICIENTE"</formula>
    </cfRule>
    <cfRule type="cellIs" dxfId="3124" priority="1087" operator="equal">
      <formula>"NO ESTÁ ACORDE A ITEM 5.2.1 (T.R.)"</formula>
    </cfRule>
    <cfRule type="cellIs" dxfId="3123" priority="1088" operator="equal">
      <formula>"ACORDE A ITEM 5.2.1 (T.R.)"</formula>
    </cfRule>
  </conditionalFormatting>
  <conditionalFormatting sqref="Q261">
    <cfRule type="containsBlanks" dxfId="3122" priority="1079">
      <formula>LEN(TRIM(Q261))=0</formula>
    </cfRule>
    <cfRule type="cellIs" dxfId="3121" priority="1085" operator="equal">
      <formula>"REQUERIMIENTOS SUBSANADOS"</formula>
    </cfRule>
    <cfRule type="containsText" dxfId="3120" priority="1089" operator="containsText" text="NO SUBSANABLE">
      <formula>NOT(ISERROR(SEARCH("NO SUBSANABLE",Q261)))</formula>
    </cfRule>
    <cfRule type="containsText" dxfId="3119" priority="1090" operator="containsText" text="PENDIENTES POR SUBSANAR">
      <formula>NOT(ISERROR(SEARCH("PENDIENTES POR SUBSANAR",Q261)))</formula>
    </cfRule>
    <cfRule type="containsText" dxfId="3118" priority="1091" operator="containsText" text="SIN OBSERVACIÓN">
      <formula>NOT(ISERROR(SEARCH("SIN OBSERVACIÓN",Q261)))</formula>
    </cfRule>
  </conditionalFormatting>
  <conditionalFormatting sqref="R261">
    <cfRule type="containsBlanks" dxfId="3117" priority="1078">
      <formula>LEN(TRIM(R261))=0</formula>
    </cfRule>
    <cfRule type="cellIs" dxfId="3116" priority="1080" operator="equal">
      <formula>"NO CUMPLEN CON LO SOLICITADO"</formula>
    </cfRule>
    <cfRule type="cellIs" dxfId="3115" priority="1081" operator="equal">
      <formula>"CUMPLEN CON LO SOLICITADO"</formula>
    </cfRule>
    <cfRule type="cellIs" dxfId="3114" priority="1082" operator="equal">
      <formula>"PENDIENTES"</formula>
    </cfRule>
    <cfRule type="cellIs" dxfId="3113" priority="1083" operator="equal">
      <formula>"NINGUNO"</formula>
    </cfRule>
  </conditionalFormatting>
  <conditionalFormatting sqref="P261">
    <cfRule type="expression" dxfId="3112" priority="1069">
      <formula>Q261="NO SUBSANABLE"</formula>
    </cfRule>
    <cfRule type="expression" dxfId="3111" priority="1070">
      <formula>Q261="REQUERIMIENTOS SUBSANADOS"</formula>
    </cfRule>
    <cfRule type="expression" dxfId="3110" priority="1071">
      <formula>Q261="PENDIENTES POR SUBSANAR"</formula>
    </cfRule>
    <cfRule type="expression" dxfId="3109" priority="1072">
      <formula>Q261="SIN OBSERVACIÓN"</formula>
    </cfRule>
    <cfRule type="containsBlanks" dxfId="3108" priority="1073">
      <formula>LEN(TRIM(P261))=0</formula>
    </cfRule>
  </conditionalFormatting>
  <conditionalFormatting sqref="V261">
    <cfRule type="cellIs" dxfId="3107" priority="1067" operator="equal">
      <formula>"NO"</formula>
    </cfRule>
    <cfRule type="cellIs" dxfId="3106" priority="1068" operator="equal">
      <formula>"SI"</formula>
    </cfRule>
  </conditionalFormatting>
  <conditionalFormatting sqref="N264">
    <cfRule type="expression" dxfId="3105" priority="1064">
      <formula>N264=" "</formula>
    </cfRule>
    <cfRule type="expression" dxfId="3104" priority="1065">
      <formula>N264="NO PRESENTÓ CERTIFICADO"</formula>
    </cfRule>
    <cfRule type="expression" dxfId="3103" priority="1066">
      <formula>N264="PRESENTÓ CERTIFICADO"</formula>
    </cfRule>
  </conditionalFormatting>
  <conditionalFormatting sqref="O264">
    <cfRule type="cellIs" dxfId="3102" priority="1046" operator="equal">
      <formula>"PENDIENTE POR DESCRIPCIÓN"</formula>
    </cfRule>
    <cfRule type="cellIs" dxfId="3101" priority="1047" operator="equal">
      <formula>"DESCRIPCIÓN INSUFICIENTE"</formula>
    </cfRule>
    <cfRule type="cellIs" dxfId="3100" priority="1048" operator="equal">
      <formula>"NO ESTÁ ACORDE A ITEM 5.2.2 (T.R.)"</formula>
    </cfRule>
    <cfRule type="cellIs" dxfId="3099" priority="1049" operator="equal">
      <formula>"ACORDE A ITEM 5.2.2 (T.R.)"</formula>
    </cfRule>
    <cfRule type="cellIs" dxfId="3098" priority="1056" operator="equal">
      <formula>"PENDIENTE POR DESCRIPCIÓN"</formula>
    </cfRule>
    <cfRule type="cellIs" dxfId="3097" priority="1058" operator="equal">
      <formula>"DESCRIPCIÓN INSUFICIENTE"</formula>
    </cfRule>
    <cfRule type="cellIs" dxfId="3096" priority="1059" operator="equal">
      <formula>"NO ESTÁ ACORDE A ITEM 5.2.1 (T.R.)"</formula>
    </cfRule>
    <cfRule type="cellIs" dxfId="3095" priority="1060" operator="equal">
      <formula>"ACORDE A ITEM 5.2.1 (T.R.)"</formula>
    </cfRule>
  </conditionalFormatting>
  <conditionalFormatting sqref="Q264">
    <cfRule type="containsBlanks" dxfId="3094" priority="1051">
      <formula>LEN(TRIM(Q264))=0</formula>
    </cfRule>
    <cfRule type="cellIs" dxfId="3093" priority="1057" operator="equal">
      <formula>"REQUERIMIENTOS SUBSANADOS"</formula>
    </cfRule>
    <cfRule type="containsText" dxfId="3092" priority="1061" operator="containsText" text="NO SUBSANABLE">
      <formula>NOT(ISERROR(SEARCH("NO SUBSANABLE",Q264)))</formula>
    </cfRule>
    <cfRule type="containsText" dxfId="3091" priority="1062" operator="containsText" text="PENDIENTES POR SUBSANAR">
      <formula>NOT(ISERROR(SEARCH("PENDIENTES POR SUBSANAR",Q264)))</formula>
    </cfRule>
    <cfRule type="containsText" dxfId="3090" priority="1063" operator="containsText" text="SIN OBSERVACIÓN">
      <formula>NOT(ISERROR(SEARCH("SIN OBSERVACIÓN",Q264)))</formula>
    </cfRule>
  </conditionalFormatting>
  <conditionalFormatting sqref="R264">
    <cfRule type="containsBlanks" dxfId="3089" priority="1050">
      <formula>LEN(TRIM(R264))=0</formula>
    </cfRule>
    <cfRule type="cellIs" dxfId="3088" priority="1052" operator="equal">
      <formula>"NO CUMPLEN CON LO SOLICITADO"</formula>
    </cfRule>
    <cfRule type="cellIs" dxfId="3087" priority="1053" operator="equal">
      <formula>"CUMPLEN CON LO SOLICITADO"</formula>
    </cfRule>
    <cfRule type="cellIs" dxfId="3086" priority="1054" operator="equal">
      <formula>"PENDIENTES"</formula>
    </cfRule>
    <cfRule type="cellIs" dxfId="3085" priority="1055" operator="equal">
      <formula>"NINGUNO"</formula>
    </cfRule>
  </conditionalFormatting>
  <conditionalFormatting sqref="P264">
    <cfRule type="expression" dxfId="3084" priority="1041">
      <formula>Q264="NO SUBSANABLE"</formula>
    </cfRule>
    <cfRule type="expression" dxfId="3083" priority="1042">
      <formula>Q264="REQUERIMIENTOS SUBSANADOS"</formula>
    </cfRule>
    <cfRule type="expression" dxfId="3082" priority="1043">
      <formula>Q264="PENDIENTES POR SUBSANAR"</formula>
    </cfRule>
    <cfRule type="expression" dxfId="3081" priority="1044">
      <formula>Q264="SIN OBSERVACIÓN"</formula>
    </cfRule>
    <cfRule type="containsBlanks" dxfId="3080" priority="1045">
      <formula>LEN(TRIM(P264))=0</formula>
    </cfRule>
  </conditionalFormatting>
  <conditionalFormatting sqref="N267">
    <cfRule type="expression" dxfId="3079" priority="1038">
      <formula>N267=" "</formula>
    </cfRule>
    <cfRule type="expression" dxfId="3078" priority="1039">
      <formula>N267="NO PRESENTÓ CERTIFICADO"</formula>
    </cfRule>
    <cfRule type="expression" dxfId="3077" priority="1040">
      <formula>N267="PRESENTÓ CERTIFICADO"</formula>
    </cfRule>
  </conditionalFormatting>
  <conditionalFormatting sqref="O267">
    <cfRule type="cellIs" dxfId="3076" priority="1020" operator="equal">
      <formula>"PENDIENTE POR DESCRIPCIÓN"</formula>
    </cfRule>
    <cfRule type="cellIs" dxfId="3075" priority="1021" operator="equal">
      <formula>"DESCRIPCIÓN INSUFICIENTE"</formula>
    </cfRule>
    <cfRule type="cellIs" dxfId="3074" priority="1022" operator="equal">
      <formula>"NO ESTÁ ACORDE A ITEM 5.2.2 (T.R.)"</formula>
    </cfRule>
    <cfRule type="cellIs" dxfId="3073" priority="1023" operator="equal">
      <formula>"ACORDE A ITEM 5.2.2 (T.R.)"</formula>
    </cfRule>
    <cfRule type="cellIs" dxfId="3072" priority="1030" operator="equal">
      <formula>"PENDIENTE POR DESCRIPCIÓN"</formula>
    </cfRule>
    <cfRule type="cellIs" dxfId="3071" priority="1032" operator="equal">
      <formula>"DESCRIPCIÓN INSUFICIENTE"</formula>
    </cfRule>
    <cfRule type="cellIs" dxfId="3070" priority="1033" operator="equal">
      <formula>"NO ESTÁ ACORDE A ITEM 5.2.1 (T.R.)"</formula>
    </cfRule>
    <cfRule type="cellIs" dxfId="3069" priority="1034" operator="equal">
      <formula>"ACORDE A ITEM 5.2.1 (T.R.)"</formula>
    </cfRule>
  </conditionalFormatting>
  <conditionalFormatting sqref="Q267">
    <cfRule type="containsBlanks" dxfId="3068" priority="1025">
      <formula>LEN(TRIM(Q267))=0</formula>
    </cfRule>
    <cfRule type="cellIs" dxfId="3067" priority="1031" operator="equal">
      <formula>"REQUERIMIENTOS SUBSANADOS"</formula>
    </cfRule>
    <cfRule type="containsText" dxfId="3066" priority="1035" operator="containsText" text="NO SUBSANABLE">
      <formula>NOT(ISERROR(SEARCH("NO SUBSANABLE",Q267)))</formula>
    </cfRule>
    <cfRule type="containsText" dxfId="3065" priority="1036" operator="containsText" text="PENDIENTES POR SUBSANAR">
      <formula>NOT(ISERROR(SEARCH("PENDIENTES POR SUBSANAR",Q267)))</formula>
    </cfRule>
    <cfRule type="containsText" dxfId="3064" priority="1037" operator="containsText" text="SIN OBSERVACIÓN">
      <formula>NOT(ISERROR(SEARCH("SIN OBSERVACIÓN",Q267)))</formula>
    </cfRule>
  </conditionalFormatting>
  <conditionalFormatting sqref="R267">
    <cfRule type="containsBlanks" dxfId="3063" priority="1024">
      <formula>LEN(TRIM(R267))=0</formula>
    </cfRule>
    <cfRule type="cellIs" dxfId="3062" priority="1026" operator="equal">
      <formula>"NO CUMPLEN CON LO SOLICITADO"</formula>
    </cfRule>
    <cfRule type="cellIs" dxfId="3061" priority="1027" operator="equal">
      <formula>"CUMPLEN CON LO SOLICITADO"</formula>
    </cfRule>
    <cfRule type="cellIs" dxfId="3060" priority="1028" operator="equal">
      <formula>"PENDIENTES"</formula>
    </cfRule>
    <cfRule type="cellIs" dxfId="3059" priority="1029" operator="equal">
      <formula>"NINGUNO"</formula>
    </cfRule>
  </conditionalFormatting>
  <conditionalFormatting sqref="P267">
    <cfRule type="expression" dxfId="3058" priority="1015">
      <formula>Q267="NO SUBSANABLE"</formula>
    </cfRule>
    <cfRule type="expression" dxfId="3057" priority="1016">
      <formula>Q267="REQUERIMIENTOS SUBSANADOS"</formula>
    </cfRule>
    <cfRule type="expression" dxfId="3056" priority="1017">
      <formula>Q267="PENDIENTES POR SUBSANAR"</formula>
    </cfRule>
    <cfRule type="expression" dxfId="3055" priority="1018">
      <formula>Q267="SIN OBSERVACIÓN"</formula>
    </cfRule>
    <cfRule type="containsBlanks" dxfId="3054" priority="1019">
      <formula>LEN(TRIM(P267))=0</formula>
    </cfRule>
  </conditionalFormatting>
  <conditionalFormatting sqref="J267">
    <cfRule type="cellIs" dxfId="3053" priority="1013" operator="equal">
      <formula>"NO CUMPLE"</formula>
    </cfRule>
    <cfRule type="cellIs" dxfId="3052" priority="1014" operator="equal">
      <formula>"CUMPLE"</formula>
    </cfRule>
  </conditionalFormatting>
  <conditionalFormatting sqref="J256">
    <cfRule type="cellIs" dxfId="3051" priority="1011" operator="equal">
      <formula>"NO CUMPLE"</formula>
    </cfRule>
    <cfRule type="cellIs" dxfId="3050" priority="1012" operator="equal">
      <formula>"CUMPLE"</formula>
    </cfRule>
  </conditionalFormatting>
  <conditionalFormatting sqref="J255">
    <cfRule type="cellIs" dxfId="3049" priority="1009" operator="equal">
      <formula>"NO CUMPLE"</formula>
    </cfRule>
    <cfRule type="cellIs" dxfId="3048" priority="1010" operator="equal">
      <formula>"CUMPLE"</formula>
    </cfRule>
  </conditionalFormatting>
  <conditionalFormatting sqref="J257">
    <cfRule type="cellIs" dxfId="3047" priority="1007" operator="equal">
      <formula>"NO CUMPLE"</formula>
    </cfRule>
    <cfRule type="cellIs" dxfId="3046" priority="1008" operator="equal">
      <formula>"CUMPLE"</formula>
    </cfRule>
  </conditionalFormatting>
  <conditionalFormatting sqref="U258:U269">
    <cfRule type="cellIs" dxfId="3045" priority="1005" operator="equal">
      <formula>0</formula>
    </cfRule>
    <cfRule type="cellIs" dxfId="3044" priority="1006" operator="equal">
      <formula>1</formula>
    </cfRule>
  </conditionalFormatting>
  <conditionalFormatting sqref="I236">
    <cfRule type="notContainsBlanks" dxfId="3043" priority="1004">
      <formula>LEN(TRIM(I236))&gt;0</formula>
    </cfRule>
  </conditionalFormatting>
  <conditionalFormatting sqref="V233">
    <cfRule type="cellIs" dxfId="3042" priority="1002" operator="equal">
      <formula>"NO"</formula>
    </cfRule>
    <cfRule type="cellIs" dxfId="3041" priority="1003" operator="equal">
      <formula>"SI"</formula>
    </cfRule>
  </conditionalFormatting>
  <conditionalFormatting sqref="N233">
    <cfRule type="expression" dxfId="3040" priority="999">
      <formula>N233=" "</formula>
    </cfRule>
    <cfRule type="expression" dxfId="3039" priority="1000">
      <formula>N233="NO PRESENTÓ CERTIFICADO"</formula>
    </cfRule>
    <cfRule type="expression" dxfId="3038" priority="1001">
      <formula>N233="PRESENTÓ CERTIFICADO"</formula>
    </cfRule>
  </conditionalFormatting>
  <conditionalFormatting sqref="O233">
    <cfRule type="cellIs" dxfId="3037" priority="981" operator="equal">
      <formula>"PENDIENTE POR DESCRIPCIÓN"</formula>
    </cfRule>
    <cfRule type="cellIs" dxfId="3036" priority="982" operator="equal">
      <formula>"DESCRIPCIÓN INSUFICIENTE"</formula>
    </cfRule>
    <cfRule type="cellIs" dxfId="3035" priority="983" operator="equal">
      <formula>"NO ESTÁ ACORDE A ITEM 5.2.2 (T.R.)"</formula>
    </cfRule>
    <cfRule type="cellIs" dxfId="3034" priority="984" operator="equal">
      <formula>"ACORDE A ITEM 5.2.2 (T.R.)"</formula>
    </cfRule>
    <cfRule type="cellIs" dxfId="3033" priority="991" operator="equal">
      <formula>"PENDIENTE POR DESCRIPCIÓN"</formula>
    </cfRule>
    <cfRule type="cellIs" dxfId="3032" priority="993" operator="equal">
      <formula>"DESCRIPCIÓN INSUFICIENTE"</formula>
    </cfRule>
    <cfRule type="cellIs" dxfId="3031" priority="994" operator="equal">
      <formula>"NO ESTÁ ACORDE A ITEM 5.2.1 (T.R.)"</formula>
    </cfRule>
    <cfRule type="cellIs" dxfId="3030" priority="995" operator="equal">
      <formula>"ACORDE A ITEM 5.2.1 (T.R.)"</formula>
    </cfRule>
  </conditionalFormatting>
  <conditionalFormatting sqref="Q233">
    <cfRule type="containsBlanks" dxfId="3029" priority="986">
      <formula>LEN(TRIM(Q233))=0</formula>
    </cfRule>
    <cfRule type="cellIs" dxfId="3028" priority="992" operator="equal">
      <formula>"REQUERIMIENTOS SUBSANADOS"</formula>
    </cfRule>
    <cfRule type="containsText" dxfId="3027" priority="996" operator="containsText" text="NO SUBSANABLE">
      <formula>NOT(ISERROR(SEARCH("NO SUBSANABLE",Q233)))</formula>
    </cfRule>
    <cfRule type="containsText" dxfId="3026" priority="997" operator="containsText" text="PENDIENTES POR SUBSANAR">
      <formula>NOT(ISERROR(SEARCH("PENDIENTES POR SUBSANAR",Q233)))</formula>
    </cfRule>
    <cfRule type="containsText" dxfId="3025" priority="998" operator="containsText" text="SIN OBSERVACIÓN">
      <formula>NOT(ISERROR(SEARCH("SIN OBSERVACIÓN",Q233)))</formula>
    </cfRule>
  </conditionalFormatting>
  <conditionalFormatting sqref="R233">
    <cfRule type="containsBlanks" dxfId="3024" priority="985">
      <formula>LEN(TRIM(R233))=0</formula>
    </cfRule>
    <cfRule type="cellIs" dxfId="3023" priority="987" operator="equal">
      <formula>"NO CUMPLEN CON LO SOLICITADO"</formula>
    </cfRule>
    <cfRule type="cellIs" dxfId="3022" priority="988" operator="equal">
      <formula>"CUMPLEN CON LO SOLICITADO"</formula>
    </cfRule>
    <cfRule type="cellIs" dxfId="3021" priority="989" operator="equal">
      <formula>"PENDIENTES"</formula>
    </cfRule>
    <cfRule type="cellIs" dxfId="3020" priority="990" operator="equal">
      <formula>"NINGUNO"</formula>
    </cfRule>
  </conditionalFormatting>
  <conditionalFormatting sqref="P233">
    <cfRule type="expression" dxfId="3019" priority="976">
      <formula>Q233="NO SUBSANABLE"</formula>
    </cfRule>
    <cfRule type="expression" dxfId="3018" priority="977">
      <formula>Q233="REQUERIMIENTOS SUBSANADOS"</formula>
    </cfRule>
    <cfRule type="expression" dxfId="3017" priority="978">
      <formula>Q233="PENDIENTES POR SUBSANAR"</formula>
    </cfRule>
    <cfRule type="expression" dxfId="3016" priority="979">
      <formula>Q233="SIN OBSERVACIÓN"</formula>
    </cfRule>
    <cfRule type="containsBlanks" dxfId="3015" priority="980">
      <formula>LEN(TRIM(P233))=0</formula>
    </cfRule>
  </conditionalFormatting>
  <conditionalFormatting sqref="N236">
    <cfRule type="expression" dxfId="3014" priority="973">
      <formula>N236=" "</formula>
    </cfRule>
    <cfRule type="expression" dxfId="3013" priority="974">
      <formula>N236="NO PRESENTÓ CERTIFICADO"</formula>
    </cfRule>
    <cfRule type="expression" dxfId="3012" priority="975">
      <formula>N236="PRESENTÓ CERTIFICADO"</formula>
    </cfRule>
  </conditionalFormatting>
  <conditionalFormatting sqref="O236">
    <cfRule type="cellIs" dxfId="3011" priority="955" operator="equal">
      <formula>"PENDIENTE POR DESCRIPCIÓN"</formula>
    </cfRule>
    <cfRule type="cellIs" dxfId="3010" priority="956" operator="equal">
      <formula>"DESCRIPCIÓN INSUFICIENTE"</formula>
    </cfRule>
    <cfRule type="cellIs" dxfId="3009" priority="957" operator="equal">
      <formula>"NO ESTÁ ACORDE A ITEM 5.2.2 (T.R.)"</formula>
    </cfRule>
    <cfRule type="cellIs" dxfId="3008" priority="958" operator="equal">
      <formula>"ACORDE A ITEM 5.2.2 (T.R.)"</formula>
    </cfRule>
    <cfRule type="cellIs" dxfId="3007" priority="965" operator="equal">
      <formula>"PENDIENTE POR DESCRIPCIÓN"</formula>
    </cfRule>
    <cfRule type="cellIs" dxfId="3006" priority="967" operator="equal">
      <formula>"DESCRIPCIÓN INSUFICIENTE"</formula>
    </cfRule>
    <cfRule type="cellIs" dxfId="3005" priority="968" operator="equal">
      <formula>"NO ESTÁ ACORDE A ITEM 5.2.1 (T.R.)"</formula>
    </cfRule>
    <cfRule type="cellIs" dxfId="3004" priority="969" operator="equal">
      <formula>"ACORDE A ITEM 5.2.1 (T.R.)"</formula>
    </cfRule>
  </conditionalFormatting>
  <conditionalFormatting sqref="Q236">
    <cfRule type="containsBlanks" dxfId="3003" priority="960">
      <formula>LEN(TRIM(Q236))=0</formula>
    </cfRule>
    <cfRule type="cellIs" dxfId="3002" priority="966" operator="equal">
      <formula>"REQUERIMIENTOS SUBSANADOS"</formula>
    </cfRule>
    <cfRule type="containsText" dxfId="3001" priority="970" operator="containsText" text="NO SUBSANABLE">
      <formula>NOT(ISERROR(SEARCH("NO SUBSANABLE",Q236)))</formula>
    </cfRule>
    <cfRule type="containsText" dxfId="3000" priority="971" operator="containsText" text="PENDIENTES POR SUBSANAR">
      <formula>NOT(ISERROR(SEARCH("PENDIENTES POR SUBSANAR",Q236)))</formula>
    </cfRule>
    <cfRule type="containsText" dxfId="2999" priority="972" operator="containsText" text="SIN OBSERVACIÓN">
      <formula>NOT(ISERROR(SEARCH("SIN OBSERVACIÓN",Q236)))</formula>
    </cfRule>
  </conditionalFormatting>
  <conditionalFormatting sqref="R236">
    <cfRule type="containsBlanks" dxfId="2998" priority="959">
      <formula>LEN(TRIM(R236))=0</formula>
    </cfRule>
    <cfRule type="cellIs" dxfId="2997" priority="961" operator="equal">
      <formula>"NO CUMPLEN CON LO SOLICITADO"</formula>
    </cfRule>
    <cfRule type="cellIs" dxfId="2996" priority="962" operator="equal">
      <formula>"CUMPLEN CON LO SOLICITADO"</formula>
    </cfRule>
    <cfRule type="cellIs" dxfId="2995" priority="963" operator="equal">
      <formula>"PENDIENTES"</formula>
    </cfRule>
    <cfRule type="cellIs" dxfId="2994" priority="964" operator="equal">
      <formula>"NINGUNO"</formula>
    </cfRule>
  </conditionalFormatting>
  <conditionalFormatting sqref="P236">
    <cfRule type="expression" dxfId="2993" priority="950">
      <formula>Q236="NO SUBSANABLE"</formula>
    </cfRule>
    <cfRule type="expression" dxfId="2992" priority="951">
      <formula>Q236="REQUERIMIENTOS SUBSANADOS"</formula>
    </cfRule>
    <cfRule type="expression" dxfId="2991" priority="952">
      <formula>Q236="PENDIENTES POR SUBSANAR"</formula>
    </cfRule>
    <cfRule type="expression" dxfId="2990" priority="953">
      <formula>Q236="SIN OBSERVACIÓN"</formula>
    </cfRule>
    <cfRule type="containsBlanks" dxfId="2989" priority="954">
      <formula>LEN(TRIM(P236))=0</formula>
    </cfRule>
  </conditionalFormatting>
  <conditionalFormatting sqref="V236">
    <cfRule type="cellIs" dxfId="2988" priority="948" operator="equal">
      <formula>"NO"</formula>
    </cfRule>
    <cfRule type="cellIs" dxfId="2987" priority="949" operator="equal">
      <formula>"SI"</formula>
    </cfRule>
  </conditionalFormatting>
  <conditionalFormatting sqref="N239">
    <cfRule type="expression" dxfId="2986" priority="945">
      <formula>N239=" "</formula>
    </cfRule>
    <cfRule type="expression" dxfId="2985" priority="946">
      <formula>N239="NO PRESENTÓ CERTIFICADO"</formula>
    </cfRule>
    <cfRule type="expression" dxfId="2984" priority="947">
      <formula>N239="PRESENTÓ CERTIFICADO"</formula>
    </cfRule>
  </conditionalFormatting>
  <conditionalFormatting sqref="O239">
    <cfRule type="cellIs" dxfId="2983" priority="927" operator="equal">
      <formula>"PENDIENTE POR DESCRIPCIÓN"</formula>
    </cfRule>
    <cfRule type="cellIs" dxfId="2982" priority="928" operator="equal">
      <formula>"DESCRIPCIÓN INSUFICIENTE"</formula>
    </cfRule>
    <cfRule type="cellIs" dxfId="2981" priority="929" operator="equal">
      <formula>"NO ESTÁ ACORDE A ITEM 5.2.2 (T.R.)"</formula>
    </cfRule>
    <cfRule type="cellIs" dxfId="2980" priority="930" operator="equal">
      <formula>"ACORDE A ITEM 5.2.2 (T.R.)"</formula>
    </cfRule>
    <cfRule type="cellIs" dxfId="2979" priority="937" operator="equal">
      <formula>"PENDIENTE POR DESCRIPCIÓN"</formula>
    </cfRule>
    <cfRule type="cellIs" dxfId="2978" priority="939" operator="equal">
      <formula>"DESCRIPCIÓN INSUFICIENTE"</formula>
    </cfRule>
    <cfRule type="cellIs" dxfId="2977" priority="940" operator="equal">
      <formula>"NO ESTÁ ACORDE A ITEM 5.2.1 (T.R.)"</formula>
    </cfRule>
    <cfRule type="cellIs" dxfId="2976" priority="941" operator="equal">
      <formula>"ACORDE A ITEM 5.2.1 (T.R.)"</formula>
    </cfRule>
  </conditionalFormatting>
  <conditionalFormatting sqref="Q239">
    <cfRule type="containsBlanks" dxfId="2975" priority="932">
      <formula>LEN(TRIM(Q239))=0</formula>
    </cfRule>
    <cfRule type="cellIs" dxfId="2974" priority="938" operator="equal">
      <formula>"REQUERIMIENTOS SUBSANADOS"</formula>
    </cfRule>
    <cfRule type="containsText" dxfId="2973" priority="942" operator="containsText" text="NO SUBSANABLE">
      <formula>NOT(ISERROR(SEARCH("NO SUBSANABLE",Q239)))</formula>
    </cfRule>
    <cfRule type="containsText" dxfId="2972" priority="943" operator="containsText" text="PENDIENTES POR SUBSANAR">
      <formula>NOT(ISERROR(SEARCH("PENDIENTES POR SUBSANAR",Q239)))</formula>
    </cfRule>
    <cfRule type="containsText" dxfId="2971" priority="944" operator="containsText" text="SIN OBSERVACIÓN">
      <formula>NOT(ISERROR(SEARCH("SIN OBSERVACIÓN",Q239)))</formula>
    </cfRule>
  </conditionalFormatting>
  <conditionalFormatting sqref="R239">
    <cfRule type="containsBlanks" dxfId="2970" priority="931">
      <formula>LEN(TRIM(R239))=0</formula>
    </cfRule>
    <cfRule type="cellIs" dxfId="2969" priority="933" operator="equal">
      <formula>"NO CUMPLEN CON LO SOLICITADO"</formula>
    </cfRule>
    <cfRule type="cellIs" dxfId="2968" priority="934" operator="equal">
      <formula>"CUMPLEN CON LO SOLICITADO"</formula>
    </cfRule>
    <cfRule type="cellIs" dxfId="2967" priority="935" operator="equal">
      <formula>"PENDIENTES"</formula>
    </cfRule>
    <cfRule type="cellIs" dxfId="2966" priority="936" operator="equal">
      <formula>"NINGUNO"</formula>
    </cfRule>
  </conditionalFormatting>
  <conditionalFormatting sqref="P239">
    <cfRule type="expression" dxfId="2965" priority="922">
      <formula>Q239="NO SUBSANABLE"</formula>
    </cfRule>
    <cfRule type="expression" dxfId="2964" priority="923">
      <formula>Q239="REQUERIMIENTOS SUBSANADOS"</formula>
    </cfRule>
    <cfRule type="expression" dxfId="2963" priority="924">
      <formula>Q239="PENDIENTES POR SUBSANAR"</formula>
    </cfRule>
    <cfRule type="expression" dxfId="2962" priority="925">
      <formula>Q239="SIN OBSERVACIÓN"</formula>
    </cfRule>
    <cfRule type="containsBlanks" dxfId="2961" priority="926">
      <formula>LEN(TRIM(P239))=0</formula>
    </cfRule>
  </conditionalFormatting>
  <conditionalFormatting sqref="V239">
    <cfRule type="cellIs" dxfId="2960" priority="920" operator="equal">
      <formula>"NO"</formula>
    </cfRule>
    <cfRule type="cellIs" dxfId="2959" priority="921" operator="equal">
      <formula>"SI"</formula>
    </cfRule>
  </conditionalFormatting>
  <conditionalFormatting sqref="J236">
    <cfRule type="cellIs" dxfId="2958" priority="918" operator="equal">
      <formula>"NO CUMPLE"</formula>
    </cfRule>
    <cfRule type="cellIs" dxfId="2957" priority="919" operator="equal">
      <formula>"CUMPLE"</formula>
    </cfRule>
  </conditionalFormatting>
  <conditionalFormatting sqref="J237">
    <cfRule type="cellIs" dxfId="2956" priority="916" operator="equal">
      <formula>"NO CUMPLE"</formula>
    </cfRule>
    <cfRule type="cellIs" dxfId="2955" priority="917" operator="equal">
      <formula>"CUMPLE"</formula>
    </cfRule>
  </conditionalFormatting>
  <conditionalFormatting sqref="J238">
    <cfRule type="cellIs" dxfId="2954" priority="914" operator="equal">
      <formula>"NO CUMPLE"</formula>
    </cfRule>
    <cfRule type="cellIs" dxfId="2953" priority="915" operator="equal">
      <formula>"CUMPLE"</formula>
    </cfRule>
  </conditionalFormatting>
  <conditionalFormatting sqref="J239">
    <cfRule type="cellIs" dxfId="2952" priority="912" operator="equal">
      <formula>"NO CUMPLE"</formula>
    </cfRule>
    <cfRule type="cellIs" dxfId="2951" priority="913" operator="equal">
      <formula>"CUMPLE"</formula>
    </cfRule>
  </conditionalFormatting>
  <conditionalFormatting sqref="J240">
    <cfRule type="cellIs" dxfId="2950" priority="910" operator="equal">
      <formula>"NO CUMPLE"</formula>
    </cfRule>
    <cfRule type="cellIs" dxfId="2949" priority="911" operator="equal">
      <formula>"CUMPLE"</formula>
    </cfRule>
  </conditionalFormatting>
  <conditionalFormatting sqref="J241">
    <cfRule type="cellIs" dxfId="2948" priority="908" operator="equal">
      <formula>"NO CUMPLE"</formula>
    </cfRule>
    <cfRule type="cellIs" dxfId="2947" priority="909" operator="equal">
      <formula>"CUMPLE"</formula>
    </cfRule>
  </conditionalFormatting>
  <conditionalFormatting sqref="S233">
    <cfRule type="cellIs" dxfId="2946" priority="906" operator="greaterThan">
      <formula>0</formula>
    </cfRule>
    <cfRule type="top10" dxfId="2945" priority="907" rank="10"/>
  </conditionalFormatting>
  <conditionalFormatting sqref="U233:U235">
    <cfRule type="cellIs" dxfId="2944" priority="904" operator="equal">
      <formula>0</formula>
    </cfRule>
    <cfRule type="cellIs" dxfId="2943" priority="905" operator="equal">
      <formula>1</formula>
    </cfRule>
  </conditionalFormatting>
  <conditionalFormatting sqref="U236:U238">
    <cfRule type="cellIs" dxfId="2942" priority="902" operator="equal">
      <formula>0</formula>
    </cfRule>
    <cfRule type="cellIs" dxfId="2941" priority="903" operator="equal">
      <formula>1</formula>
    </cfRule>
  </conditionalFormatting>
  <conditionalFormatting sqref="U239:U241">
    <cfRule type="cellIs" dxfId="2940" priority="900" operator="equal">
      <formula>0</formula>
    </cfRule>
    <cfRule type="cellIs" dxfId="2939" priority="901" operator="equal">
      <formula>1</formula>
    </cfRule>
  </conditionalFormatting>
  <conditionalFormatting sqref="V211">
    <cfRule type="cellIs" dxfId="2938" priority="898" operator="equal">
      <formula>"NO"</formula>
    </cfRule>
    <cfRule type="cellIs" dxfId="2937" priority="899" operator="equal">
      <formula>"SI"</formula>
    </cfRule>
  </conditionalFormatting>
  <conditionalFormatting sqref="N211">
    <cfRule type="expression" dxfId="2936" priority="895">
      <formula>N211=" "</formula>
    </cfRule>
    <cfRule type="expression" dxfId="2935" priority="896">
      <formula>N211="NO PRESENTÓ CERTIFICADO"</formula>
    </cfRule>
    <cfRule type="expression" dxfId="2934" priority="897">
      <formula>N211="PRESENTÓ CERTIFICADO"</formula>
    </cfRule>
  </conditionalFormatting>
  <conditionalFormatting sqref="O211">
    <cfRule type="cellIs" dxfId="2933" priority="877" operator="equal">
      <formula>"PENDIENTE POR DESCRIPCIÓN"</formula>
    </cfRule>
    <cfRule type="cellIs" dxfId="2932" priority="878" operator="equal">
      <formula>"DESCRIPCIÓN INSUFICIENTE"</formula>
    </cfRule>
    <cfRule type="cellIs" dxfId="2931" priority="879" operator="equal">
      <formula>"NO ESTÁ ACORDE A ITEM 5.2.2 (T.R.)"</formula>
    </cfRule>
    <cfRule type="cellIs" dxfId="2930" priority="880" operator="equal">
      <formula>"ACORDE A ITEM 5.2.2 (T.R.)"</formula>
    </cfRule>
    <cfRule type="cellIs" dxfId="2929" priority="887" operator="equal">
      <formula>"PENDIENTE POR DESCRIPCIÓN"</formula>
    </cfRule>
    <cfRule type="cellIs" dxfId="2928" priority="889" operator="equal">
      <formula>"DESCRIPCIÓN INSUFICIENTE"</formula>
    </cfRule>
    <cfRule type="cellIs" dxfId="2927" priority="890" operator="equal">
      <formula>"NO ESTÁ ACORDE A ITEM 5.2.1 (T.R.)"</formula>
    </cfRule>
    <cfRule type="cellIs" dxfId="2926" priority="891" operator="equal">
      <formula>"ACORDE A ITEM 5.2.1 (T.R.)"</formula>
    </cfRule>
  </conditionalFormatting>
  <conditionalFormatting sqref="Q211">
    <cfRule type="containsBlanks" dxfId="2925" priority="882">
      <formula>LEN(TRIM(Q211))=0</formula>
    </cfRule>
    <cfRule type="cellIs" dxfId="2924" priority="888" operator="equal">
      <formula>"REQUERIMIENTOS SUBSANADOS"</formula>
    </cfRule>
    <cfRule type="containsText" dxfId="2923" priority="892" operator="containsText" text="NO SUBSANABLE">
      <formula>NOT(ISERROR(SEARCH("NO SUBSANABLE",Q211)))</formula>
    </cfRule>
    <cfRule type="containsText" dxfId="2922" priority="893" operator="containsText" text="PENDIENTES POR SUBSANAR">
      <formula>NOT(ISERROR(SEARCH("PENDIENTES POR SUBSANAR",Q211)))</formula>
    </cfRule>
    <cfRule type="containsText" dxfId="2921" priority="894" operator="containsText" text="SIN OBSERVACIÓN">
      <formula>NOT(ISERROR(SEARCH("SIN OBSERVACIÓN",Q211)))</formula>
    </cfRule>
  </conditionalFormatting>
  <conditionalFormatting sqref="R211">
    <cfRule type="containsBlanks" dxfId="2920" priority="881">
      <formula>LEN(TRIM(R211))=0</formula>
    </cfRule>
    <cfRule type="cellIs" dxfId="2919" priority="883" operator="equal">
      <formula>"NO CUMPLEN CON LO SOLICITADO"</formula>
    </cfRule>
    <cfRule type="cellIs" dxfId="2918" priority="884" operator="equal">
      <formula>"CUMPLEN CON LO SOLICITADO"</formula>
    </cfRule>
    <cfRule type="cellIs" dxfId="2917" priority="885" operator="equal">
      <formula>"PENDIENTES"</formula>
    </cfRule>
    <cfRule type="cellIs" dxfId="2916" priority="886" operator="equal">
      <formula>"NINGUNO"</formula>
    </cfRule>
  </conditionalFormatting>
  <conditionalFormatting sqref="P211">
    <cfRule type="expression" dxfId="2915" priority="872">
      <formula>Q211="NO SUBSANABLE"</formula>
    </cfRule>
    <cfRule type="expression" dxfId="2914" priority="873">
      <formula>Q211="REQUERIMIENTOS SUBSANADOS"</formula>
    </cfRule>
    <cfRule type="expression" dxfId="2913" priority="874">
      <formula>Q211="PENDIENTES POR SUBSANAR"</formula>
    </cfRule>
    <cfRule type="expression" dxfId="2912" priority="875">
      <formula>Q211="SIN OBSERVACIÓN"</formula>
    </cfRule>
    <cfRule type="containsBlanks" dxfId="2911" priority="876">
      <formula>LEN(TRIM(P211))=0</formula>
    </cfRule>
  </conditionalFormatting>
  <conditionalFormatting sqref="V189">
    <cfRule type="cellIs" dxfId="2910" priority="870" operator="equal">
      <formula>"NO"</formula>
    </cfRule>
    <cfRule type="cellIs" dxfId="2909" priority="871" operator="equal">
      <formula>"SI"</formula>
    </cfRule>
  </conditionalFormatting>
  <conditionalFormatting sqref="S189">
    <cfRule type="cellIs" dxfId="2908" priority="868" operator="greaterThan">
      <formula>0</formula>
    </cfRule>
    <cfRule type="top10" dxfId="2907" priority="869" rank="10"/>
  </conditionalFormatting>
  <conditionalFormatting sqref="N189">
    <cfRule type="expression" dxfId="2906" priority="865">
      <formula>N189=" "</formula>
    </cfRule>
    <cfRule type="expression" dxfId="2905" priority="866">
      <formula>N189="NO PRESENTÓ CERTIFICADO"</formula>
    </cfRule>
    <cfRule type="expression" dxfId="2904" priority="867">
      <formula>N189="PRESENTÓ CERTIFICADO"</formula>
    </cfRule>
  </conditionalFormatting>
  <conditionalFormatting sqref="O189">
    <cfRule type="cellIs" dxfId="2903" priority="847" operator="equal">
      <formula>"PENDIENTE POR DESCRIPCIÓN"</formula>
    </cfRule>
    <cfRule type="cellIs" dxfId="2902" priority="848" operator="equal">
      <formula>"DESCRIPCIÓN INSUFICIENTE"</formula>
    </cfRule>
    <cfRule type="cellIs" dxfId="2901" priority="849" operator="equal">
      <formula>"NO ESTÁ ACORDE A ITEM 5.2.2 (T.R.)"</formula>
    </cfRule>
    <cfRule type="cellIs" dxfId="2900" priority="850" operator="equal">
      <formula>"ACORDE A ITEM 5.2.2 (T.R.)"</formula>
    </cfRule>
    <cfRule type="cellIs" dxfId="2899" priority="857" operator="equal">
      <formula>"PENDIENTE POR DESCRIPCIÓN"</formula>
    </cfRule>
    <cfRule type="cellIs" dxfId="2898" priority="859" operator="equal">
      <formula>"DESCRIPCIÓN INSUFICIENTE"</formula>
    </cfRule>
    <cfRule type="cellIs" dxfId="2897" priority="860" operator="equal">
      <formula>"NO ESTÁ ACORDE A ITEM 5.2.1 (T.R.)"</formula>
    </cfRule>
    <cfRule type="cellIs" dxfId="2896" priority="861" operator="equal">
      <formula>"ACORDE A ITEM 5.2.1 (T.R.)"</formula>
    </cfRule>
  </conditionalFormatting>
  <conditionalFormatting sqref="Q189">
    <cfRule type="containsBlanks" dxfId="2895" priority="852">
      <formula>LEN(TRIM(Q189))=0</formula>
    </cfRule>
    <cfRule type="cellIs" dxfId="2894" priority="858" operator="equal">
      <formula>"REQUERIMIENTOS SUBSANADOS"</formula>
    </cfRule>
    <cfRule type="containsText" dxfId="2893" priority="862" operator="containsText" text="NO SUBSANABLE">
      <formula>NOT(ISERROR(SEARCH("NO SUBSANABLE",Q189)))</formula>
    </cfRule>
    <cfRule type="containsText" dxfId="2892" priority="863" operator="containsText" text="PENDIENTES POR SUBSANAR">
      <formula>NOT(ISERROR(SEARCH("PENDIENTES POR SUBSANAR",Q189)))</formula>
    </cfRule>
    <cfRule type="containsText" dxfId="2891" priority="864" operator="containsText" text="SIN OBSERVACIÓN">
      <formula>NOT(ISERROR(SEARCH("SIN OBSERVACIÓN",Q189)))</formula>
    </cfRule>
  </conditionalFormatting>
  <conditionalFormatting sqref="R189">
    <cfRule type="containsBlanks" dxfId="2890" priority="851">
      <formula>LEN(TRIM(R189))=0</formula>
    </cfRule>
    <cfRule type="cellIs" dxfId="2889" priority="853" operator="equal">
      <formula>"NO CUMPLEN CON LO SOLICITADO"</formula>
    </cfRule>
    <cfRule type="cellIs" dxfId="2888" priority="854" operator="equal">
      <formula>"CUMPLEN CON LO SOLICITADO"</formula>
    </cfRule>
    <cfRule type="cellIs" dxfId="2887" priority="855" operator="equal">
      <formula>"PENDIENTES"</formula>
    </cfRule>
    <cfRule type="cellIs" dxfId="2886" priority="856" operator="equal">
      <formula>"NINGUNO"</formula>
    </cfRule>
  </conditionalFormatting>
  <conditionalFormatting sqref="P189">
    <cfRule type="expression" dxfId="2885" priority="842">
      <formula>Q189="NO SUBSANABLE"</formula>
    </cfRule>
    <cfRule type="expression" dxfId="2884" priority="843">
      <formula>Q189="REQUERIMIENTOS SUBSANADOS"</formula>
    </cfRule>
    <cfRule type="expression" dxfId="2883" priority="844">
      <formula>Q189="PENDIENTES POR SUBSANAR"</formula>
    </cfRule>
    <cfRule type="expression" dxfId="2882" priority="845">
      <formula>Q189="SIN OBSERVACIÓN"</formula>
    </cfRule>
    <cfRule type="containsBlanks" dxfId="2881" priority="846">
      <formula>LEN(TRIM(P189))=0</formula>
    </cfRule>
  </conditionalFormatting>
  <conditionalFormatting sqref="U211:U213">
    <cfRule type="cellIs" dxfId="2880" priority="840" operator="equal">
      <formula>0</formula>
    </cfRule>
    <cfRule type="cellIs" dxfId="2879" priority="841" operator="equal">
      <formula>1</formula>
    </cfRule>
  </conditionalFormatting>
  <conditionalFormatting sqref="U189:U191">
    <cfRule type="cellIs" dxfId="2878" priority="838" operator="equal">
      <formula>0</formula>
    </cfRule>
    <cfRule type="cellIs" dxfId="2877" priority="839" operator="equal">
      <formula>1</formula>
    </cfRule>
  </conditionalFormatting>
  <conditionalFormatting sqref="H170 H173">
    <cfRule type="notContainsBlanks" dxfId="2876" priority="837">
      <formula>LEN(TRIM(H170))&gt;0</formula>
    </cfRule>
  </conditionalFormatting>
  <conditionalFormatting sqref="V179">
    <cfRule type="cellIs" dxfId="2875" priority="835" operator="equal">
      <formula>"NO"</formula>
    </cfRule>
    <cfRule type="cellIs" dxfId="2874" priority="836" operator="equal">
      <formula>"SI"</formula>
    </cfRule>
  </conditionalFormatting>
  <conditionalFormatting sqref="N179">
    <cfRule type="expression" dxfId="2873" priority="832">
      <formula>N179=" "</formula>
    </cfRule>
    <cfRule type="expression" dxfId="2872" priority="833">
      <formula>N179="NO PRESENTÓ CERTIFICADO"</formula>
    </cfRule>
    <cfRule type="expression" dxfId="2871" priority="834">
      <formula>N179="PRESENTÓ CERTIFICADO"</formula>
    </cfRule>
  </conditionalFormatting>
  <conditionalFormatting sqref="O179">
    <cfRule type="cellIs" dxfId="2870" priority="814" operator="equal">
      <formula>"PENDIENTE POR DESCRIPCIÓN"</formula>
    </cfRule>
    <cfRule type="cellIs" dxfId="2869" priority="815" operator="equal">
      <formula>"DESCRIPCIÓN INSUFICIENTE"</formula>
    </cfRule>
    <cfRule type="cellIs" dxfId="2868" priority="816" operator="equal">
      <formula>"NO ESTÁ ACORDE A ITEM 5.2.2 (T.R.)"</formula>
    </cfRule>
    <cfRule type="cellIs" dxfId="2867" priority="817" operator="equal">
      <formula>"ACORDE A ITEM 5.2.2 (T.R.)"</formula>
    </cfRule>
    <cfRule type="cellIs" dxfId="2866" priority="824" operator="equal">
      <formula>"PENDIENTE POR DESCRIPCIÓN"</formula>
    </cfRule>
    <cfRule type="cellIs" dxfId="2865" priority="826" operator="equal">
      <formula>"DESCRIPCIÓN INSUFICIENTE"</formula>
    </cfRule>
    <cfRule type="cellIs" dxfId="2864" priority="827" operator="equal">
      <formula>"NO ESTÁ ACORDE A ITEM 5.2.1 (T.R.)"</formula>
    </cfRule>
    <cfRule type="cellIs" dxfId="2863" priority="828" operator="equal">
      <formula>"ACORDE A ITEM 5.2.1 (T.R.)"</formula>
    </cfRule>
  </conditionalFormatting>
  <conditionalFormatting sqref="Q179">
    <cfRule type="containsBlanks" dxfId="2862" priority="819">
      <formula>LEN(TRIM(Q179))=0</formula>
    </cfRule>
    <cfRule type="cellIs" dxfId="2861" priority="825" operator="equal">
      <formula>"REQUERIMIENTOS SUBSANADOS"</formula>
    </cfRule>
    <cfRule type="containsText" dxfId="2860" priority="829" operator="containsText" text="NO SUBSANABLE">
      <formula>NOT(ISERROR(SEARCH("NO SUBSANABLE",Q179)))</formula>
    </cfRule>
    <cfRule type="containsText" dxfId="2859" priority="830" operator="containsText" text="PENDIENTES POR SUBSANAR">
      <formula>NOT(ISERROR(SEARCH("PENDIENTES POR SUBSANAR",Q179)))</formula>
    </cfRule>
    <cfRule type="containsText" dxfId="2858" priority="831" operator="containsText" text="SIN OBSERVACIÓN">
      <formula>NOT(ISERROR(SEARCH("SIN OBSERVACIÓN",Q179)))</formula>
    </cfRule>
  </conditionalFormatting>
  <conditionalFormatting sqref="R179">
    <cfRule type="containsBlanks" dxfId="2857" priority="818">
      <formula>LEN(TRIM(R179))=0</formula>
    </cfRule>
    <cfRule type="cellIs" dxfId="2856" priority="820" operator="equal">
      <formula>"NO CUMPLEN CON LO SOLICITADO"</formula>
    </cfRule>
    <cfRule type="cellIs" dxfId="2855" priority="821" operator="equal">
      <formula>"CUMPLEN CON LO SOLICITADO"</formula>
    </cfRule>
    <cfRule type="cellIs" dxfId="2854" priority="822" operator="equal">
      <formula>"PENDIENTES"</formula>
    </cfRule>
    <cfRule type="cellIs" dxfId="2853" priority="823" operator="equal">
      <formula>"NINGUNO"</formula>
    </cfRule>
  </conditionalFormatting>
  <conditionalFormatting sqref="P179">
    <cfRule type="expression" dxfId="2852" priority="809">
      <formula>Q179="NO SUBSANABLE"</formula>
    </cfRule>
    <cfRule type="expression" dxfId="2851" priority="810">
      <formula>Q179="REQUERIMIENTOS SUBSANADOS"</formula>
    </cfRule>
    <cfRule type="expression" dxfId="2850" priority="811">
      <formula>Q179="PENDIENTES POR SUBSANAR"</formula>
    </cfRule>
    <cfRule type="expression" dxfId="2849" priority="812">
      <formula>Q179="SIN OBSERVACIÓN"</formula>
    </cfRule>
    <cfRule type="containsBlanks" dxfId="2848" priority="813">
      <formula>LEN(TRIM(P179))=0</formula>
    </cfRule>
  </conditionalFormatting>
  <conditionalFormatting sqref="N170">
    <cfRule type="expression" dxfId="2847" priority="806">
      <formula>N170=" "</formula>
    </cfRule>
    <cfRule type="expression" dxfId="2846" priority="807">
      <formula>N170="NO PRESENTÓ CERTIFICADO"</formula>
    </cfRule>
    <cfRule type="expression" dxfId="2845" priority="808">
      <formula>N170="PRESENTÓ CERTIFICADO"</formula>
    </cfRule>
  </conditionalFormatting>
  <conditionalFormatting sqref="O170">
    <cfRule type="cellIs" dxfId="2844" priority="788" operator="equal">
      <formula>"PENDIENTE POR DESCRIPCIÓN"</formula>
    </cfRule>
    <cfRule type="cellIs" dxfId="2843" priority="789" operator="equal">
      <formula>"DESCRIPCIÓN INSUFICIENTE"</formula>
    </cfRule>
    <cfRule type="cellIs" dxfId="2842" priority="790" operator="equal">
      <formula>"NO ESTÁ ACORDE A ITEM 5.2.2 (T.R.)"</formula>
    </cfRule>
    <cfRule type="cellIs" dxfId="2841" priority="791" operator="equal">
      <formula>"ACORDE A ITEM 5.2.2 (T.R.)"</formula>
    </cfRule>
    <cfRule type="cellIs" dxfId="2840" priority="798" operator="equal">
      <formula>"PENDIENTE POR DESCRIPCIÓN"</formula>
    </cfRule>
    <cfRule type="cellIs" dxfId="2839" priority="800" operator="equal">
      <formula>"DESCRIPCIÓN INSUFICIENTE"</formula>
    </cfRule>
    <cfRule type="cellIs" dxfId="2838" priority="801" operator="equal">
      <formula>"NO ESTÁ ACORDE A ITEM 5.2.1 (T.R.)"</formula>
    </cfRule>
    <cfRule type="cellIs" dxfId="2837" priority="802" operator="equal">
      <formula>"ACORDE A ITEM 5.2.1 (T.R.)"</formula>
    </cfRule>
  </conditionalFormatting>
  <conditionalFormatting sqref="Q170">
    <cfRule type="containsBlanks" dxfId="2836" priority="793">
      <formula>LEN(TRIM(Q170))=0</formula>
    </cfRule>
    <cfRule type="cellIs" dxfId="2835" priority="799" operator="equal">
      <formula>"REQUERIMIENTOS SUBSANADOS"</formula>
    </cfRule>
    <cfRule type="containsText" dxfId="2834" priority="803" operator="containsText" text="NO SUBSANABLE">
      <formula>NOT(ISERROR(SEARCH("NO SUBSANABLE",Q170)))</formula>
    </cfRule>
    <cfRule type="containsText" dxfId="2833" priority="804" operator="containsText" text="PENDIENTES POR SUBSANAR">
      <formula>NOT(ISERROR(SEARCH("PENDIENTES POR SUBSANAR",Q170)))</formula>
    </cfRule>
    <cfRule type="containsText" dxfId="2832" priority="805" operator="containsText" text="SIN OBSERVACIÓN">
      <formula>NOT(ISERROR(SEARCH("SIN OBSERVACIÓN",Q170)))</formula>
    </cfRule>
  </conditionalFormatting>
  <conditionalFormatting sqref="R170">
    <cfRule type="containsBlanks" dxfId="2831" priority="792">
      <formula>LEN(TRIM(R170))=0</formula>
    </cfRule>
    <cfRule type="cellIs" dxfId="2830" priority="794" operator="equal">
      <formula>"NO CUMPLEN CON LO SOLICITADO"</formula>
    </cfRule>
    <cfRule type="cellIs" dxfId="2829" priority="795" operator="equal">
      <formula>"CUMPLEN CON LO SOLICITADO"</formula>
    </cfRule>
    <cfRule type="cellIs" dxfId="2828" priority="796" operator="equal">
      <formula>"PENDIENTES"</formula>
    </cfRule>
    <cfRule type="cellIs" dxfId="2827" priority="797" operator="equal">
      <formula>"NINGUNO"</formula>
    </cfRule>
  </conditionalFormatting>
  <conditionalFormatting sqref="P170">
    <cfRule type="expression" dxfId="2826" priority="783">
      <formula>Q170="NO SUBSANABLE"</formula>
    </cfRule>
    <cfRule type="expression" dxfId="2825" priority="784">
      <formula>Q170="REQUERIMIENTOS SUBSANADOS"</formula>
    </cfRule>
    <cfRule type="expression" dxfId="2824" priority="785">
      <formula>Q170="PENDIENTES POR SUBSANAR"</formula>
    </cfRule>
    <cfRule type="expression" dxfId="2823" priority="786">
      <formula>Q170="SIN OBSERVACIÓN"</formula>
    </cfRule>
    <cfRule type="containsBlanks" dxfId="2822" priority="787">
      <formula>LEN(TRIM(P170))=0</formula>
    </cfRule>
  </conditionalFormatting>
  <conditionalFormatting sqref="N167">
    <cfRule type="expression" dxfId="2821" priority="780">
      <formula>N167=" "</formula>
    </cfRule>
    <cfRule type="expression" dxfId="2820" priority="781">
      <formula>N167="NO PRESENTÓ CERTIFICADO"</formula>
    </cfRule>
    <cfRule type="expression" dxfId="2819" priority="782">
      <formula>N167="PRESENTÓ CERTIFICADO"</formula>
    </cfRule>
  </conditionalFormatting>
  <conditionalFormatting sqref="O167">
    <cfRule type="cellIs" dxfId="2818" priority="762" operator="equal">
      <formula>"PENDIENTE POR DESCRIPCIÓN"</formula>
    </cfRule>
    <cfRule type="cellIs" dxfId="2817" priority="763" operator="equal">
      <formula>"DESCRIPCIÓN INSUFICIENTE"</formula>
    </cfRule>
    <cfRule type="cellIs" dxfId="2816" priority="764" operator="equal">
      <formula>"NO ESTÁ ACORDE A ITEM 5.2.2 (T.R.)"</formula>
    </cfRule>
    <cfRule type="cellIs" dxfId="2815" priority="765" operator="equal">
      <formula>"ACORDE A ITEM 5.2.2 (T.R.)"</formula>
    </cfRule>
    <cfRule type="cellIs" dxfId="2814" priority="772" operator="equal">
      <formula>"PENDIENTE POR DESCRIPCIÓN"</formula>
    </cfRule>
    <cfRule type="cellIs" dxfId="2813" priority="774" operator="equal">
      <formula>"DESCRIPCIÓN INSUFICIENTE"</formula>
    </cfRule>
    <cfRule type="cellIs" dxfId="2812" priority="775" operator="equal">
      <formula>"NO ESTÁ ACORDE A ITEM 5.2.1 (T.R.)"</formula>
    </cfRule>
    <cfRule type="cellIs" dxfId="2811" priority="776" operator="equal">
      <formula>"ACORDE A ITEM 5.2.1 (T.R.)"</formula>
    </cfRule>
  </conditionalFormatting>
  <conditionalFormatting sqref="Q167">
    <cfRule type="containsBlanks" dxfId="2810" priority="767">
      <formula>LEN(TRIM(Q167))=0</formula>
    </cfRule>
    <cfRule type="cellIs" dxfId="2809" priority="773" operator="equal">
      <formula>"REQUERIMIENTOS SUBSANADOS"</formula>
    </cfRule>
    <cfRule type="containsText" dxfId="2808" priority="777" operator="containsText" text="NO SUBSANABLE">
      <formula>NOT(ISERROR(SEARCH("NO SUBSANABLE",Q167)))</formula>
    </cfRule>
    <cfRule type="containsText" dxfId="2807" priority="778" operator="containsText" text="PENDIENTES POR SUBSANAR">
      <formula>NOT(ISERROR(SEARCH("PENDIENTES POR SUBSANAR",Q167)))</formula>
    </cfRule>
    <cfRule type="containsText" dxfId="2806" priority="779" operator="containsText" text="SIN OBSERVACIÓN">
      <formula>NOT(ISERROR(SEARCH("SIN OBSERVACIÓN",Q167)))</formula>
    </cfRule>
  </conditionalFormatting>
  <conditionalFormatting sqref="R167">
    <cfRule type="containsBlanks" dxfId="2805" priority="766">
      <formula>LEN(TRIM(R167))=0</formula>
    </cfRule>
    <cfRule type="cellIs" dxfId="2804" priority="768" operator="equal">
      <formula>"NO CUMPLEN CON LO SOLICITADO"</formula>
    </cfRule>
    <cfRule type="cellIs" dxfId="2803" priority="769" operator="equal">
      <formula>"CUMPLEN CON LO SOLICITADO"</formula>
    </cfRule>
    <cfRule type="cellIs" dxfId="2802" priority="770" operator="equal">
      <formula>"PENDIENTES"</formula>
    </cfRule>
    <cfRule type="cellIs" dxfId="2801" priority="771" operator="equal">
      <formula>"NINGUNO"</formula>
    </cfRule>
  </conditionalFormatting>
  <conditionalFormatting sqref="P167">
    <cfRule type="expression" dxfId="2800" priority="757">
      <formula>Q167="NO SUBSANABLE"</formula>
    </cfRule>
    <cfRule type="expression" dxfId="2799" priority="758">
      <formula>Q167="REQUERIMIENTOS SUBSANADOS"</formula>
    </cfRule>
    <cfRule type="expression" dxfId="2798" priority="759">
      <formula>Q167="PENDIENTES POR SUBSANAR"</formula>
    </cfRule>
    <cfRule type="expression" dxfId="2797" priority="760">
      <formula>Q167="SIN OBSERVACIÓN"</formula>
    </cfRule>
    <cfRule type="containsBlanks" dxfId="2796" priority="761">
      <formula>LEN(TRIM(P167))=0</formula>
    </cfRule>
  </conditionalFormatting>
  <conditionalFormatting sqref="V167">
    <cfRule type="cellIs" dxfId="2795" priority="755" operator="equal">
      <formula>"NO"</formula>
    </cfRule>
    <cfRule type="cellIs" dxfId="2794" priority="756" operator="equal">
      <formula>"SI"</formula>
    </cfRule>
  </conditionalFormatting>
  <conditionalFormatting sqref="N176">
    <cfRule type="expression" dxfId="2793" priority="752">
      <formula>N176=" "</formula>
    </cfRule>
    <cfRule type="expression" dxfId="2792" priority="753">
      <formula>N176="NO PRESENTÓ CERTIFICADO"</formula>
    </cfRule>
    <cfRule type="expression" dxfId="2791" priority="754">
      <formula>N176="PRESENTÓ CERTIFICADO"</formula>
    </cfRule>
  </conditionalFormatting>
  <conditionalFormatting sqref="O176">
    <cfRule type="cellIs" dxfId="2790" priority="734" operator="equal">
      <formula>"PENDIENTE POR DESCRIPCIÓN"</formula>
    </cfRule>
    <cfRule type="cellIs" dxfId="2789" priority="735" operator="equal">
      <formula>"DESCRIPCIÓN INSUFICIENTE"</formula>
    </cfRule>
    <cfRule type="cellIs" dxfId="2788" priority="736" operator="equal">
      <formula>"NO ESTÁ ACORDE A ITEM 5.2.2 (T.R.)"</formula>
    </cfRule>
    <cfRule type="cellIs" dxfId="2787" priority="737" operator="equal">
      <formula>"ACORDE A ITEM 5.2.2 (T.R.)"</formula>
    </cfRule>
    <cfRule type="cellIs" dxfId="2786" priority="744" operator="equal">
      <formula>"PENDIENTE POR DESCRIPCIÓN"</formula>
    </cfRule>
    <cfRule type="cellIs" dxfId="2785" priority="746" operator="equal">
      <formula>"DESCRIPCIÓN INSUFICIENTE"</formula>
    </cfRule>
    <cfRule type="cellIs" dxfId="2784" priority="747" operator="equal">
      <formula>"NO ESTÁ ACORDE A ITEM 5.2.1 (T.R.)"</formula>
    </cfRule>
    <cfRule type="cellIs" dxfId="2783" priority="748" operator="equal">
      <formula>"ACORDE A ITEM 5.2.1 (T.R.)"</formula>
    </cfRule>
  </conditionalFormatting>
  <conditionalFormatting sqref="Q176">
    <cfRule type="containsBlanks" dxfId="2782" priority="739">
      <formula>LEN(TRIM(Q176))=0</formula>
    </cfRule>
    <cfRule type="cellIs" dxfId="2781" priority="745" operator="equal">
      <formula>"REQUERIMIENTOS SUBSANADOS"</formula>
    </cfRule>
    <cfRule type="containsText" dxfId="2780" priority="749" operator="containsText" text="NO SUBSANABLE">
      <formula>NOT(ISERROR(SEARCH("NO SUBSANABLE",Q176)))</formula>
    </cfRule>
    <cfRule type="containsText" dxfId="2779" priority="750" operator="containsText" text="PENDIENTES POR SUBSANAR">
      <formula>NOT(ISERROR(SEARCH("PENDIENTES POR SUBSANAR",Q176)))</formula>
    </cfRule>
    <cfRule type="containsText" dxfId="2778" priority="751" operator="containsText" text="SIN OBSERVACIÓN">
      <formula>NOT(ISERROR(SEARCH("SIN OBSERVACIÓN",Q176)))</formula>
    </cfRule>
  </conditionalFormatting>
  <conditionalFormatting sqref="R176">
    <cfRule type="containsBlanks" dxfId="2777" priority="738">
      <formula>LEN(TRIM(R176))=0</formula>
    </cfRule>
    <cfRule type="cellIs" dxfId="2776" priority="740" operator="equal">
      <formula>"NO CUMPLEN CON LO SOLICITADO"</formula>
    </cfRule>
    <cfRule type="cellIs" dxfId="2775" priority="741" operator="equal">
      <formula>"CUMPLEN CON LO SOLICITADO"</formula>
    </cfRule>
    <cfRule type="cellIs" dxfId="2774" priority="742" operator="equal">
      <formula>"PENDIENTES"</formula>
    </cfRule>
    <cfRule type="cellIs" dxfId="2773" priority="743" operator="equal">
      <formula>"NINGUNO"</formula>
    </cfRule>
  </conditionalFormatting>
  <conditionalFormatting sqref="N173">
    <cfRule type="expression" dxfId="2772" priority="726">
      <formula>N173=" "</formula>
    </cfRule>
    <cfRule type="expression" dxfId="2771" priority="727">
      <formula>N173="NO PRESENTÓ CERTIFICADO"</formula>
    </cfRule>
    <cfRule type="expression" dxfId="2770" priority="728">
      <formula>N173="PRESENTÓ CERTIFICADO"</formula>
    </cfRule>
  </conditionalFormatting>
  <conditionalFormatting sqref="O173">
    <cfRule type="cellIs" dxfId="2769" priority="708" operator="equal">
      <formula>"PENDIENTE POR DESCRIPCIÓN"</formula>
    </cfRule>
    <cfRule type="cellIs" dxfId="2768" priority="709" operator="equal">
      <formula>"DESCRIPCIÓN INSUFICIENTE"</formula>
    </cfRule>
    <cfRule type="cellIs" dxfId="2767" priority="710" operator="equal">
      <formula>"NO ESTÁ ACORDE A ITEM 5.2.2 (T.R.)"</formula>
    </cfRule>
    <cfRule type="cellIs" dxfId="2766" priority="711" operator="equal">
      <formula>"ACORDE A ITEM 5.2.2 (T.R.)"</formula>
    </cfRule>
    <cfRule type="cellIs" dxfId="2765" priority="718" operator="equal">
      <formula>"PENDIENTE POR DESCRIPCIÓN"</formula>
    </cfRule>
    <cfRule type="cellIs" dxfId="2764" priority="720" operator="equal">
      <formula>"DESCRIPCIÓN INSUFICIENTE"</formula>
    </cfRule>
    <cfRule type="cellIs" dxfId="2763" priority="721" operator="equal">
      <formula>"NO ESTÁ ACORDE A ITEM 5.2.1 (T.R.)"</formula>
    </cfRule>
    <cfRule type="cellIs" dxfId="2762" priority="722" operator="equal">
      <formula>"ACORDE A ITEM 5.2.1 (T.R.)"</formula>
    </cfRule>
  </conditionalFormatting>
  <conditionalFormatting sqref="Q173">
    <cfRule type="containsBlanks" dxfId="2761" priority="713">
      <formula>LEN(TRIM(Q173))=0</formula>
    </cfRule>
    <cfRule type="cellIs" dxfId="2760" priority="719" operator="equal">
      <formula>"REQUERIMIENTOS SUBSANADOS"</formula>
    </cfRule>
    <cfRule type="containsText" dxfId="2759" priority="723" operator="containsText" text="NO SUBSANABLE">
      <formula>NOT(ISERROR(SEARCH("NO SUBSANABLE",Q173)))</formula>
    </cfRule>
    <cfRule type="containsText" dxfId="2758" priority="724" operator="containsText" text="PENDIENTES POR SUBSANAR">
      <formula>NOT(ISERROR(SEARCH("PENDIENTES POR SUBSANAR",Q173)))</formula>
    </cfRule>
    <cfRule type="containsText" dxfId="2757" priority="725" operator="containsText" text="SIN OBSERVACIÓN">
      <formula>NOT(ISERROR(SEARCH("SIN OBSERVACIÓN",Q173)))</formula>
    </cfRule>
  </conditionalFormatting>
  <conditionalFormatting sqref="R173">
    <cfRule type="containsBlanks" dxfId="2756" priority="712">
      <formula>LEN(TRIM(R173))=0</formula>
    </cfRule>
    <cfRule type="cellIs" dxfId="2755" priority="714" operator="equal">
      <formula>"NO CUMPLEN CON LO SOLICITADO"</formula>
    </cfRule>
    <cfRule type="cellIs" dxfId="2754" priority="715" operator="equal">
      <formula>"CUMPLEN CON LO SOLICITADO"</formula>
    </cfRule>
    <cfRule type="cellIs" dxfId="2753" priority="716" operator="equal">
      <formula>"PENDIENTES"</formula>
    </cfRule>
    <cfRule type="cellIs" dxfId="2752" priority="717" operator="equal">
      <formula>"NINGUNO"</formula>
    </cfRule>
  </conditionalFormatting>
  <conditionalFormatting sqref="P173">
    <cfRule type="expression" dxfId="2751" priority="703">
      <formula>Q173="NO SUBSANABLE"</formula>
    </cfRule>
    <cfRule type="expression" dxfId="2750" priority="704">
      <formula>Q173="REQUERIMIENTOS SUBSANADOS"</formula>
    </cfRule>
    <cfRule type="expression" dxfId="2749" priority="705">
      <formula>Q173="PENDIENTES POR SUBSANAR"</formula>
    </cfRule>
    <cfRule type="expression" dxfId="2748" priority="706">
      <formula>Q173="SIN OBSERVACIÓN"</formula>
    </cfRule>
    <cfRule type="containsBlanks" dxfId="2747" priority="707">
      <formula>LEN(TRIM(P173))=0</formula>
    </cfRule>
  </conditionalFormatting>
  <conditionalFormatting sqref="J168">
    <cfRule type="cellIs" dxfId="2746" priority="701" operator="equal">
      <formula>"NO CUMPLE"</formula>
    </cfRule>
    <cfRule type="cellIs" dxfId="2745" priority="702" operator="equal">
      <formula>"CUMPLE"</formula>
    </cfRule>
  </conditionalFormatting>
  <conditionalFormatting sqref="J169">
    <cfRule type="cellIs" dxfId="2744" priority="699" operator="equal">
      <formula>"NO CUMPLE"</formula>
    </cfRule>
    <cfRule type="cellIs" dxfId="2743" priority="700" operator="equal">
      <formula>"CUMPLE"</formula>
    </cfRule>
  </conditionalFormatting>
  <conditionalFormatting sqref="J170:J172">
    <cfRule type="cellIs" dxfId="2742" priority="697" operator="equal">
      <formula>"NO CUMPLE"</formula>
    </cfRule>
    <cfRule type="cellIs" dxfId="2741" priority="698" operator="equal">
      <formula>"CUMPLE"</formula>
    </cfRule>
  </conditionalFormatting>
  <conditionalFormatting sqref="J173:J175">
    <cfRule type="cellIs" dxfId="2740" priority="695" operator="equal">
      <formula>"NO CUMPLE"</formula>
    </cfRule>
    <cfRule type="cellIs" dxfId="2739" priority="696" operator="equal">
      <formula>"CUMPLE"</formula>
    </cfRule>
  </conditionalFormatting>
  <conditionalFormatting sqref="J176:J178">
    <cfRule type="cellIs" dxfId="2738" priority="693" operator="equal">
      <formula>"NO CUMPLE"</formula>
    </cfRule>
    <cfRule type="cellIs" dxfId="2737" priority="694" operator="equal">
      <formula>"CUMPLE"</formula>
    </cfRule>
  </conditionalFormatting>
  <conditionalFormatting sqref="P176">
    <cfRule type="expression" dxfId="2736" priority="688">
      <formula>Q176="NO SUBSANABLE"</formula>
    </cfRule>
    <cfRule type="expression" dxfId="2735" priority="689">
      <formula>Q176="REQUERIMIENTOS SUBSANADOS"</formula>
    </cfRule>
    <cfRule type="expression" dxfId="2734" priority="690">
      <formula>Q176="PENDIENTES POR SUBSANAR"</formula>
    </cfRule>
    <cfRule type="expression" dxfId="2733" priority="691">
      <formula>Q176="SIN OBSERVACIÓN"</formula>
    </cfRule>
    <cfRule type="containsBlanks" dxfId="2732" priority="692">
      <formula>LEN(TRIM(P176))=0</formula>
    </cfRule>
  </conditionalFormatting>
  <conditionalFormatting sqref="J179">
    <cfRule type="cellIs" dxfId="2731" priority="686" operator="equal">
      <formula>"NO CUMPLE"</formula>
    </cfRule>
    <cfRule type="cellIs" dxfId="2730" priority="687" operator="equal">
      <formula>"CUMPLE"</formula>
    </cfRule>
  </conditionalFormatting>
  <conditionalFormatting sqref="J180">
    <cfRule type="cellIs" dxfId="2729" priority="684" operator="equal">
      <formula>"NO CUMPLE"</formula>
    </cfRule>
    <cfRule type="cellIs" dxfId="2728" priority="685" operator="equal">
      <formula>"CUMPLE"</formula>
    </cfRule>
  </conditionalFormatting>
  <conditionalFormatting sqref="F148">
    <cfRule type="notContainsBlanks" dxfId="2727" priority="683">
      <formula>LEN(TRIM(F148))&gt;0</formula>
    </cfRule>
  </conditionalFormatting>
  <conditionalFormatting sqref="V157">
    <cfRule type="cellIs" dxfId="2726" priority="681" operator="equal">
      <formula>"NO"</formula>
    </cfRule>
    <cfRule type="cellIs" dxfId="2725" priority="682" operator="equal">
      <formula>"SI"</formula>
    </cfRule>
  </conditionalFormatting>
  <conditionalFormatting sqref="V145">
    <cfRule type="cellIs" dxfId="2724" priority="679" operator="equal">
      <formula>"NO"</formula>
    </cfRule>
    <cfRule type="cellIs" dxfId="2723" priority="680" operator="equal">
      <formula>"SI"</formula>
    </cfRule>
  </conditionalFormatting>
  <conditionalFormatting sqref="V148">
    <cfRule type="cellIs" dxfId="2722" priority="677" operator="equal">
      <formula>"NO"</formula>
    </cfRule>
    <cfRule type="cellIs" dxfId="2721" priority="678" operator="equal">
      <formula>"SI"</formula>
    </cfRule>
  </conditionalFormatting>
  <conditionalFormatting sqref="N145">
    <cfRule type="expression" dxfId="2720" priority="674">
      <formula>N145=" "</formula>
    </cfRule>
    <cfRule type="expression" dxfId="2719" priority="675">
      <formula>N145="NO PRESENTÓ CERTIFICADO"</formula>
    </cfRule>
    <cfRule type="expression" dxfId="2718" priority="676">
      <formula>N145="PRESENTÓ CERTIFICADO"</formula>
    </cfRule>
  </conditionalFormatting>
  <conditionalFormatting sqref="O145">
    <cfRule type="cellIs" dxfId="2717" priority="656" operator="equal">
      <formula>"PENDIENTE POR DESCRIPCIÓN"</formula>
    </cfRule>
    <cfRule type="cellIs" dxfId="2716" priority="657" operator="equal">
      <formula>"DESCRIPCIÓN INSUFICIENTE"</formula>
    </cfRule>
    <cfRule type="cellIs" dxfId="2715" priority="658" operator="equal">
      <formula>"NO ESTÁ ACORDE A ITEM 5.2.2 (T.R.)"</formula>
    </cfRule>
    <cfRule type="cellIs" dxfId="2714" priority="659" operator="equal">
      <formula>"ACORDE A ITEM 5.2.2 (T.R.)"</formula>
    </cfRule>
    <cfRule type="cellIs" dxfId="2713" priority="666" operator="equal">
      <formula>"PENDIENTE POR DESCRIPCIÓN"</formula>
    </cfRule>
    <cfRule type="cellIs" dxfId="2712" priority="668" operator="equal">
      <formula>"DESCRIPCIÓN INSUFICIENTE"</formula>
    </cfRule>
    <cfRule type="cellIs" dxfId="2711" priority="669" operator="equal">
      <formula>"NO ESTÁ ACORDE A ITEM 5.2.1 (T.R.)"</formula>
    </cfRule>
    <cfRule type="cellIs" dxfId="2710" priority="670" operator="equal">
      <formula>"ACORDE A ITEM 5.2.1 (T.R.)"</formula>
    </cfRule>
  </conditionalFormatting>
  <conditionalFormatting sqref="Q145">
    <cfRule type="containsBlanks" dxfId="2709" priority="661">
      <formula>LEN(TRIM(Q145))=0</formula>
    </cfRule>
    <cfRule type="cellIs" dxfId="2708" priority="667" operator="equal">
      <formula>"REQUERIMIENTOS SUBSANADOS"</formula>
    </cfRule>
    <cfRule type="containsText" dxfId="2707" priority="671" operator="containsText" text="NO SUBSANABLE">
      <formula>NOT(ISERROR(SEARCH("NO SUBSANABLE",Q145)))</formula>
    </cfRule>
    <cfRule type="containsText" dxfId="2706" priority="672" operator="containsText" text="PENDIENTES POR SUBSANAR">
      <formula>NOT(ISERROR(SEARCH("PENDIENTES POR SUBSANAR",Q145)))</formula>
    </cfRule>
    <cfRule type="containsText" dxfId="2705" priority="673" operator="containsText" text="SIN OBSERVACIÓN">
      <formula>NOT(ISERROR(SEARCH("SIN OBSERVACIÓN",Q145)))</formula>
    </cfRule>
  </conditionalFormatting>
  <conditionalFormatting sqref="R145">
    <cfRule type="containsBlanks" dxfId="2704" priority="660">
      <formula>LEN(TRIM(R145))=0</formula>
    </cfRule>
    <cfRule type="cellIs" dxfId="2703" priority="662" operator="equal">
      <formula>"NO CUMPLEN CON LO SOLICITADO"</formula>
    </cfRule>
    <cfRule type="cellIs" dxfId="2702" priority="663" operator="equal">
      <formula>"CUMPLEN CON LO SOLICITADO"</formula>
    </cfRule>
    <cfRule type="cellIs" dxfId="2701" priority="664" operator="equal">
      <formula>"PENDIENTES"</formula>
    </cfRule>
    <cfRule type="cellIs" dxfId="2700" priority="665" operator="equal">
      <formula>"NINGUNO"</formula>
    </cfRule>
  </conditionalFormatting>
  <conditionalFormatting sqref="P145">
    <cfRule type="expression" dxfId="2699" priority="651">
      <formula>Q145="NO SUBSANABLE"</formula>
    </cfRule>
    <cfRule type="expression" dxfId="2698" priority="652">
      <formula>Q145="REQUERIMIENTOS SUBSANADOS"</formula>
    </cfRule>
    <cfRule type="expression" dxfId="2697" priority="653">
      <formula>Q145="PENDIENTES POR SUBSANAR"</formula>
    </cfRule>
    <cfRule type="expression" dxfId="2696" priority="654">
      <formula>Q145="SIN OBSERVACIÓN"</formula>
    </cfRule>
    <cfRule type="containsBlanks" dxfId="2695" priority="655">
      <formula>LEN(TRIM(P145))=0</formula>
    </cfRule>
  </conditionalFormatting>
  <conditionalFormatting sqref="N148">
    <cfRule type="expression" dxfId="2694" priority="648">
      <formula>N148=" "</formula>
    </cfRule>
    <cfRule type="expression" dxfId="2693" priority="649">
      <formula>N148="NO PRESENTÓ CERTIFICADO"</formula>
    </cfRule>
    <cfRule type="expression" dxfId="2692" priority="650">
      <formula>N148="PRESENTÓ CERTIFICADO"</formula>
    </cfRule>
  </conditionalFormatting>
  <conditionalFormatting sqref="O148">
    <cfRule type="cellIs" dxfId="2691" priority="630" operator="equal">
      <formula>"PENDIENTE POR DESCRIPCIÓN"</formula>
    </cfRule>
    <cfRule type="cellIs" dxfId="2690" priority="631" operator="equal">
      <formula>"DESCRIPCIÓN INSUFICIENTE"</formula>
    </cfRule>
    <cfRule type="cellIs" dxfId="2689" priority="632" operator="equal">
      <formula>"NO ESTÁ ACORDE A ITEM 5.2.2 (T.R.)"</formula>
    </cfRule>
    <cfRule type="cellIs" dxfId="2688" priority="633" operator="equal">
      <formula>"ACORDE A ITEM 5.2.2 (T.R.)"</formula>
    </cfRule>
    <cfRule type="cellIs" dxfId="2687" priority="640" operator="equal">
      <formula>"PENDIENTE POR DESCRIPCIÓN"</formula>
    </cfRule>
    <cfRule type="cellIs" dxfId="2686" priority="642" operator="equal">
      <formula>"DESCRIPCIÓN INSUFICIENTE"</formula>
    </cfRule>
    <cfRule type="cellIs" dxfId="2685" priority="643" operator="equal">
      <formula>"NO ESTÁ ACORDE A ITEM 5.2.1 (T.R.)"</formula>
    </cfRule>
    <cfRule type="cellIs" dxfId="2684" priority="644" operator="equal">
      <formula>"ACORDE A ITEM 5.2.1 (T.R.)"</formula>
    </cfRule>
  </conditionalFormatting>
  <conditionalFormatting sqref="Q148">
    <cfRule type="containsBlanks" dxfId="2683" priority="635">
      <formula>LEN(TRIM(Q148))=0</formula>
    </cfRule>
    <cfRule type="cellIs" dxfId="2682" priority="641" operator="equal">
      <formula>"REQUERIMIENTOS SUBSANADOS"</formula>
    </cfRule>
    <cfRule type="containsText" dxfId="2681" priority="645" operator="containsText" text="NO SUBSANABLE">
      <formula>NOT(ISERROR(SEARCH("NO SUBSANABLE",Q148)))</formula>
    </cfRule>
    <cfRule type="containsText" dxfId="2680" priority="646" operator="containsText" text="PENDIENTES POR SUBSANAR">
      <formula>NOT(ISERROR(SEARCH("PENDIENTES POR SUBSANAR",Q148)))</formula>
    </cfRule>
    <cfRule type="containsText" dxfId="2679" priority="647" operator="containsText" text="SIN OBSERVACIÓN">
      <formula>NOT(ISERROR(SEARCH("SIN OBSERVACIÓN",Q148)))</formula>
    </cfRule>
  </conditionalFormatting>
  <conditionalFormatting sqref="R148">
    <cfRule type="containsBlanks" dxfId="2678" priority="634">
      <formula>LEN(TRIM(R148))=0</formula>
    </cfRule>
    <cfRule type="cellIs" dxfId="2677" priority="636" operator="equal">
      <formula>"NO CUMPLEN CON LO SOLICITADO"</formula>
    </cfRule>
    <cfRule type="cellIs" dxfId="2676" priority="637" operator="equal">
      <formula>"CUMPLEN CON LO SOLICITADO"</formula>
    </cfRule>
    <cfRule type="cellIs" dxfId="2675" priority="638" operator="equal">
      <formula>"PENDIENTES"</formula>
    </cfRule>
    <cfRule type="cellIs" dxfId="2674" priority="639" operator="equal">
      <formula>"NINGUNO"</formula>
    </cfRule>
  </conditionalFormatting>
  <conditionalFormatting sqref="P148">
    <cfRule type="expression" dxfId="2673" priority="625">
      <formula>Q148="NO SUBSANABLE"</formula>
    </cfRule>
    <cfRule type="expression" dxfId="2672" priority="626">
      <formula>Q148="REQUERIMIENTOS SUBSANADOS"</formula>
    </cfRule>
    <cfRule type="expression" dxfId="2671" priority="627">
      <formula>Q148="PENDIENTES POR SUBSANAR"</formula>
    </cfRule>
    <cfRule type="expression" dxfId="2670" priority="628">
      <formula>Q148="SIN OBSERVACIÓN"</formula>
    </cfRule>
    <cfRule type="containsBlanks" dxfId="2669" priority="629">
      <formula>LEN(TRIM(P148))=0</formula>
    </cfRule>
  </conditionalFormatting>
  <conditionalFormatting sqref="H126 H129">
    <cfRule type="notContainsBlanks" dxfId="2668" priority="624">
      <formula>LEN(TRIM(H126))&gt;0</formula>
    </cfRule>
  </conditionalFormatting>
  <conditionalFormatting sqref="I126 I129">
    <cfRule type="notContainsBlanks" dxfId="2667" priority="623">
      <formula>LEN(TRIM(I126))&gt;0</formula>
    </cfRule>
  </conditionalFormatting>
  <conditionalFormatting sqref="V123">
    <cfRule type="cellIs" dxfId="2666" priority="621" operator="equal">
      <formula>"NO"</formula>
    </cfRule>
    <cfRule type="cellIs" dxfId="2665" priority="622" operator="equal">
      <formula>"SI"</formula>
    </cfRule>
  </conditionalFormatting>
  <conditionalFormatting sqref="V126 V129 V132 V135">
    <cfRule type="cellIs" dxfId="2664" priority="619" operator="equal">
      <formula>"NO"</formula>
    </cfRule>
    <cfRule type="cellIs" dxfId="2663" priority="620" operator="equal">
      <formula>"SI"</formula>
    </cfRule>
  </conditionalFormatting>
  <conditionalFormatting sqref="N123">
    <cfRule type="expression" dxfId="2662" priority="616">
      <formula>N123=" "</formula>
    </cfRule>
    <cfRule type="expression" dxfId="2661" priority="617">
      <formula>N123="NO PRESENTÓ CERTIFICADO"</formula>
    </cfRule>
    <cfRule type="expression" dxfId="2660" priority="618">
      <formula>N123="PRESENTÓ CERTIFICADO"</formula>
    </cfRule>
  </conditionalFormatting>
  <conditionalFormatting sqref="O123">
    <cfRule type="cellIs" dxfId="2659" priority="608" operator="equal">
      <formula>"PENDIENTE POR DESCRIPCIÓN"</formula>
    </cfRule>
    <cfRule type="cellIs" dxfId="2658" priority="609" operator="equal">
      <formula>"DESCRIPCIÓN INSUFICIENTE"</formula>
    </cfRule>
    <cfRule type="cellIs" dxfId="2657" priority="610" operator="equal">
      <formula>"NO ESTÁ ACORDE A ITEM 5.2.2 (T.R.)"</formula>
    </cfRule>
    <cfRule type="cellIs" dxfId="2656" priority="611" operator="equal">
      <formula>"ACORDE A ITEM 5.2.2 (T.R.)"</formula>
    </cfRule>
    <cfRule type="cellIs" dxfId="2655" priority="612" operator="equal">
      <formula>"PENDIENTE POR DESCRIPCIÓN"</formula>
    </cfRule>
    <cfRule type="cellIs" dxfId="2654" priority="613" operator="equal">
      <formula>"DESCRIPCIÓN INSUFICIENTE"</formula>
    </cfRule>
    <cfRule type="cellIs" dxfId="2653" priority="614" operator="equal">
      <formula>"NO ESTÁ ACORDE A ITEM 5.2.1 (T.R.)"</formula>
    </cfRule>
    <cfRule type="cellIs" dxfId="2652" priority="615" operator="equal">
      <formula>"ACORDE A ITEM 5.2.1 (T.R.)"</formula>
    </cfRule>
  </conditionalFormatting>
  <conditionalFormatting sqref="N126">
    <cfRule type="expression" dxfId="2651" priority="595">
      <formula>N126=" "</formula>
    </cfRule>
    <cfRule type="expression" dxfId="2650" priority="596">
      <formula>N126="NO PRESENTÓ CERTIFICADO"</formula>
    </cfRule>
    <cfRule type="expression" dxfId="2649" priority="597">
      <formula>N126="PRESENTÓ CERTIFICADO"</formula>
    </cfRule>
  </conditionalFormatting>
  <conditionalFormatting sqref="O126">
    <cfRule type="cellIs" dxfId="2648" priority="577" operator="equal">
      <formula>"PENDIENTE POR DESCRIPCIÓN"</formula>
    </cfRule>
    <cfRule type="cellIs" dxfId="2647" priority="578" operator="equal">
      <formula>"DESCRIPCIÓN INSUFICIENTE"</formula>
    </cfRule>
    <cfRule type="cellIs" dxfId="2646" priority="579" operator="equal">
      <formula>"NO ESTÁ ACORDE A ITEM 5.2.2 (T.R.)"</formula>
    </cfRule>
    <cfRule type="cellIs" dxfId="2645" priority="580" operator="equal">
      <formula>"ACORDE A ITEM 5.2.2 (T.R.)"</formula>
    </cfRule>
    <cfRule type="cellIs" dxfId="2644" priority="587" operator="equal">
      <formula>"PENDIENTE POR DESCRIPCIÓN"</formula>
    </cfRule>
    <cfRule type="cellIs" dxfId="2643" priority="589" operator="equal">
      <formula>"DESCRIPCIÓN INSUFICIENTE"</formula>
    </cfRule>
    <cfRule type="cellIs" dxfId="2642" priority="590" operator="equal">
      <formula>"NO ESTÁ ACORDE A ITEM 5.2.1 (T.R.)"</formula>
    </cfRule>
    <cfRule type="cellIs" dxfId="2641" priority="591" operator="equal">
      <formula>"ACORDE A ITEM 5.2.1 (T.R.)"</formula>
    </cfRule>
  </conditionalFormatting>
  <conditionalFormatting sqref="Q126">
    <cfRule type="containsBlanks" dxfId="2640" priority="582">
      <formula>LEN(TRIM(Q126))=0</formula>
    </cfRule>
    <cfRule type="cellIs" dxfId="2639" priority="588" operator="equal">
      <formula>"REQUERIMIENTOS SUBSANADOS"</formula>
    </cfRule>
    <cfRule type="containsText" dxfId="2638" priority="592" operator="containsText" text="NO SUBSANABLE">
      <formula>NOT(ISERROR(SEARCH("NO SUBSANABLE",Q126)))</formula>
    </cfRule>
    <cfRule type="containsText" dxfId="2637" priority="593" operator="containsText" text="PENDIENTES POR SUBSANAR">
      <formula>NOT(ISERROR(SEARCH("PENDIENTES POR SUBSANAR",Q126)))</formula>
    </cfRule>
    <cfRule type="containsText" dxfId="2636" priority="594" operator="containsText" text="SIN OBSERVACIÓN">
      <formula>NOT(ISERROR(SEARCH("SIN OBSERVACIÓN",Q126)))</formula>
    </cfRule>
  </conditionalFormatting>
  <conditionalFormatting sqref="R126">
    <cfRule type="containsBlanks" dxfId="2635" priority="581">
      <formula>LEN(TRIM(R126))=0</formula>
    </cfRule>
    <cfRule type="cellIs" dxfId="2634" priority="583" operator="equal">
      <formula>"NO CUMPLEN CON LO SOLICITADO"</formula>
    </cfRule>
    <cfRule type="cellIs" dxfId="2633" priority="584" operator="equal">
      <formula>"CUMPLEN CON LO SOLICITADO"</formula>
    </cfRule>
    <cfRule type="cellIs" dxfId="2632" priority="585" operator="equal">
      <formula>"PENDIENTES"</formula>
    </cfRule>
    <cfRule type="cellIs" dxfId="2631" priority="586" operator="equal">
      <formula>"NINGUNO"</formula>
    </cfRule>
  </conditionalFormatting>
  <conditionalFormatting sqref="P126">
    <cfRule type="expression" dxfId="2630" priority="572">
      <formula>Q126="NO SUBSANABLE"</formula>
    </cfRule>
    <cfRule type="expression" dxfId="2629" priority="573">
      <formula>Q126="REQUERIMIENTOS SUBSANADOS"</formula>
    </cfRule>
    <cfRule type="expression" dxfId="2628" priority="574">
      <formula>Q126="PENDIENTES POR SUBSANAR"</formula>
    </cfRule>
    <cfRule type="expression" dxfId="2627" priority="575">
      <formula>Q126="SIN OBSERVACIÓN"</formula>
    </cfRule>
    <cfRule type="containsBlanks" dxfId="2626" priority="576">
      <formula>LEN(TRIM(P126))=0</formula>
    </cfRule>
  </conditionalFormatting>
  <conditionalFormatting sqref="N129">
    <cfRule type="expression" dxfId="2625" priority="569">
      <formula>N129=" "</formula>
    </cfRule>
    <cfRule type="expression" dxfId="2624" priority="570">
      <formula>N129="NO PRESENTÓ CERTIFICADO"</formula>
    </cfRule>
    <cfRule type="expression" dxfId="2623" priority="571">
      <formula>N129="PRESENTÓ CERTIFICADO"</formula>
    </cfRule>
  </conditionalFormatting>
  <conditionalFormatting sqref="O129">
    <cfRule type="cellIs" dxfId="2622" priority="551" operator="equal">
      <formula>"PENDIENTE POR DESCRIPCIÓN"</formula>
    </cfRule>
    <cfRule type="cellIs" dxfId="2621" priority="552" operator="equal">
      <formula>"DESCRIPCIÓN INSUFICIENTE"</formula>
    </cfRule>
    <cfRule type="cellIs" dxfId="2620" priority="553" operator="equal">
      <formula>"NO ESTÁ ACORDE A ITEM 5.2.2 (T.R.)"</formula>
    </cfRule>
    <cfRule type="cellIs" dxfId="2619" priority="554" operator="equal">
      <formula>"ACORDE A ITEM 5.2.2 (T.R.)"</formula>
    </cfRule>
    <cfRule type="cellIs" dxfId="2618" priority="561" operator="equal">
      <formula>"PENDIENTE POR DESCRIPCIÓN"</formula>
    </cfRule>
    <cfRule type="cellIs" dxfId="2617" priority="563" operator="equal">
      <formula>"DESCRIPCIÓN INSUFICIENTE"</formula>
    </cfRule>
    <cfRule type="cellIs" dxfId="2616" priority="564" operator="equal">
      <formula>"NO ESTÁ ACORDE A ITEM 5.2.1 (T.R.)"</formula>
    </cfRule>
    <cfRule type="cellIs" dxfId="2615" priority="565" operator="equal">
      <formula>"ACORDE A ITEM 5.2.1 (T.R.)"</formula>
    </cfRule>
  </conditionalFormatting>
  <conditionalFormatting sqref="Q129">
    <cfRule type="containsBlanks" dxfId="2614" priority="556">
      <formula>LEN(TRIM(Q129))=0</formula>
    </cfRule>
    <cfRule type="cellIs" dxfId="2613" priority="562" operator="equal">
      <formula>"REQUERIMIENTOS SUBSANADOS"</formula>
    </cfRule>
    <cfRule type="containsText" dxfId="2612" priority="566" operator="containsText" text="NO SUBSANABLE">
      <formula>NOT(ISERROR(SEARCH("NO SUBSANABLE",Q129)))</formula>
    </cfRule>
    <cfRule type="containsText" dxfId="2611" priority="567" operator="containsText" text="PENDIENTES POR SUBSANAR">
      <formula>NOT(ISERROR(SEARCH("PENDIENTES POR SUBSANAR",Q129)))</formula>
    </cfRule>
    <cfRule type="containsText" dxfId="2610" priority="568" operator="containsText" text="SIN OBSERVACIÓN">
      <formula>NOT(ISERROR(SEARCH("SIN OBSERVACIÓN",Q129)))</formula>
    </cfRule>
  </conditionalFormatting>
  <conditionalFormatting sqref="R129">
    <cfRule type="containsBlanks" dxfId="2609" priority="555">
      <formula>LEN(TRIM(R129))=0</formula>
    </cfRule>
    <cfRule type="cellIs" dxfId="2608" priority="557" operator="equal">
      <formula>"NO CUMPLEN CON LO SOLICITADO"</formula>
    </cfRule>
    <cfRule type="cellIs" dxfId="2607" priority="558" operator="equal">
      <formula>"CUMPLEN CON LO SOLICITADO"</formula>
    </cfRule>
    <cfRule type="cellIs" dxfId="2606" priority="559" operator="equal">
      <formula>"PENDIENTES"</formula>
    </cfRule>
    <cfRule type="cellIs" dxfId="2605" priority="560" operator="equal">
      <formula>"NINGUNO"</formula>
    </cfRule>
  </conditionalFormatting>
  <conditionalFormatting sqref="P129">
    <cfRule type="expression" dxfId="2604" priority="546">
      <formula>Q129="NO SUBSANABLE"</formula>
    </cfRule>
    <cfRule type="expression" dxfId="2603" priority="547">
      <formula>Q129="REQUERIMIENTOS SUBSANADOS"</formula>
    </cfRule>
    <cfRule type="expression" dxfId="2602" priority="548">
      <formula>Q129="PENDIENTES POR SUBSANAR"</formula>
    </cfRule>
    <cfRule type="expression" dxfId="2601" priority="549">
      <formula>Q129="SIN OBSERVACIÓN"</formula>
    </cfRule>
    <cfRule type="containsBlanks" dxfId="2600" priority="550">
      <formula>LEN(TRIM(P129))=0</formula>
    </cfRule>
  </conditionalFormatting>
  <conditionalFormatting sqref="N132">
    <cfRule type="expression" dxfId="2599" priority="543">
      <formula>N132=" "</formula>
    </cfRule>
    <cfRule type="expression" dxfId="2598" priority="544">
      <formula>N132="NO PRESENTÓ CERTIFICADO"</formula>
    </cfRule>
    <cfRule type="expression" dxfId="2597" priority="545">
      <formula>N132="PRESENTÓ CERTIFICADO"</formula>
    </cfRule>
  </conditionalFormatting>
  <conditionalFormatting sqref="O132">
    <cfRule type="cellIs" dxfId="2596" priority="525" operator="equal">
      <formula>"PENDIENTE POR DESCRIPCIÓN"</formula>
    </cfRule>
    <cfRule type="cellIs" dxfId="2595" priority="526" operator="equal">
      <formula>"DESCRIPCIÓN INSUFICIENTE"</formula>
    </cfRule>
    <cfRule type="cellIs" dxfId="2594" priority="527" operator="equal">
      <formula>"NO ESTÁ ACORDE A ITEM 5.2.2 (T.R.)"</formula>
    </cfRule>
    <cfRule type="cellIs" dxfId="2593" priority="528" operator="equal">
      <formula>"ACORDE A ITEM 5.2.2 (T.R.)"</formula>
    </cfRule>
    <cfRule type="cellIs" dxfId="2592" priority="535" operator="equal">
      <formula>"PENDIENTE POR DESCRIPCIÓN"</formula>
    </cfRule>
    <cfRule type="cellIs" dxfId="2591" priority="537" operator="equal">
      <formula>"DESCRIPCIÓN INSUFICIENTE"</formula>
    </cfRule>
    <cfRule type="cellIs" dxfId="2590" priority="538" operator="equal">
      <formula>"NO ESTÁ ACORDE A ITEM 5.2.1 (T.R.)"</formula>
    </cfRule>
    <cfRule type="cellIs" dxfId="2589" priority="539" operator="equal">
      <formula>"ACORDE A ITEM 5.2.1 (T.R.)"</formula>
    </cfRule>
  </conditionalFormatting>
  <conditionalFormatting sqref="Q132">
    <cfRule type="containsBlanks" dxfId="2588" priority="530">
      <formula>LEN(TRIM(Q132))=0</formula>
    </cfRule>
    <cfRule type="cellIs" dxfId="2587" priority="536" operator="equal">
      <formula>"REQUERIMIENTOS SUBSANADOS"</formula>
    </cfRule>
    <cfRule type="containsText" dxfId="2586" priority="540" operator="containsText" text="NO SUBSANABLE">
      <formula>NOT(ISERROR(SEARCH("NO SUBSANABLE",Q132)))</formula>
    </cfRule>
    <cfRule type="containsText" dxfId="2585" priority="541" operator="containsText" text="PENDIENTES POR SUBSANAR">
      <formula>NOT(ISERROR(SEARCH("PENDIENTES POR SUBSANAR",Q132)))</formula>
    </cfRule>
    <cfRule type="containsText" dxfId="2584" priority="542" operator="containsText" text="SIN OBSERVACIÓN">
      <formula>NOT(ISERROR(SEARCH("SIN OBSERVACIÓN",Q132)))</formula>
    </cfRule>
  </conditionalFormatting>
  <conditionalFormatting sqref="R132">
    <cfRule type="containsBlanks" dxfId="2583" priority="529">
      <formula>LEN(TRIM(R132))=0</formula>
    </cfRule>
    <cfRule type="cellIs" dxfId="2582" priority="531" operator="equal">
      <formula>"NO CUMPLEN CON LO SOLICITADO"</formula>
    </cfRule>
    <cfRule type="cellIs" dxfId="2581" priority="532" operator="equal">
      <formula>"CUMPLEN CON LO SOLICITADO"</formula>
    </cfRule>
    <cfRule type="cellIs" dxfId="2580" priority="533" operator="equal">
      <formula>"PENDIENTES"</formula>
    </cfRule>
    <cfRule type="cellIs" dxfId="2579" priority="534" operator="equal">
      <formula>"NINGUNO"</formula>
    </cfRule>
  </conditionalFormatting>
  <conditionalFormatting sqref="P132">
    <cfRule type="expression" dxfId="2578" priority="520">
      <formula>Q132="NO SUBSANABLE"</formula>
    </cfRule>
    <cfRule type="expression" dxfId="2577" priority="521">
      <formula>Q132="REQUERIMIENTOS SUBSANADOS"</formula>
    </cfRule>
    <cfRule type="expression" dxfId="2576" priority="522">
      <formula>Q132="PENDIENTES POR SUBSANAR"</formula>
    </cfRule>
    <cfRule type="expression" dxfId="2575" priority="523">
      <formula>Q132="SIN OBSERVACIÓN"</formula>
    </cfRule>
    <cfRule type="containsBlanks" dxfId="2574" priority="524">
      <formula>LEN(TRIM(P132))=0</formula>
    </cfRule>
  </conditionalFormatting>
  <conditionalFormatting sqref="U167:U169">
    <cfRule type="cellIs" dxfId="2573" priority="518" operator="equal">
      <formula>0</formula>
    </cfRule>
    <cfRule type="cellIs" dxfId="2572" priority="519" operator="equal">
      <formula>1</formula>
    </cfRule>
  </conditionalFormatting>
  <conditionalFormatting sqref="U170:U181">
    <cfRule type="cellIs" dxfId="2571" priority="516" operator="equal">
      <formula>0</formula>
    </cfRule>
    <cfRule type="cellIs" dxfId="2570" priority="517" operator="equal">
      <formula>1</formula>
    </cfRule>
  </conditionalFormatting>
  <conditionalFormatting sqref="U145:U147">
    <cfRule type="cellIs" dxfId="2569" priority="514" operator="equal">
      <formula>0</formula>
    </cfRule>
    <cfRule type="cellIs" dxfId="2568" priority="515" operator="equal">
      <formula>1</formula>
    </cfRule>
  </conditionalFormatting>
  <conditionalFormatting sqref="U148:U150">
    <cfRule type="cellIs" dxfId="2567" priority="512" operator="equal">
      <formula>0</formula>
    </cfRule>
    <cfRule type="cellIs" dxfId="2566" priority="513" operator="equal">
      <formula>1</formula>
    </cfRule>
  </conditionalFormatting>
  <conditionalFormatting sqref="U123:U137">
    <cfRule type="cellIs" dxfId="2565" priority="510" operator="equal">
      <formula>0</formula>
    </cfRule>
    <cfRule type="cellIs" dxfId="2564" priority="511" operator="equal">
      <formula>1</formula>
    </cfRule>
  </conditionalFormatting>
  <conditionalFormatting sqref="H104 H107">
    <cfRule type="notContainsBlanks" dxfId="2563" priority="509">
      <formula>LEN(TRIM(H104))&gt;0</formula>
    </cfRule>
  </conditionalFormatting>
  <conditionalFormatting sqref="I104 I107">
    <cfRule type="notContainsBlanks" dxfId="2562" priority="508">
      <formula>LEN(TRIM(I104))&gt;0</formula>
    </cfRule>
  </conditionalFormatting>
  <conditionalFormatting sqref="V101">
    <cfRule type="cellIs" dxfId="2561" priority="506" operator="equal">
      <formula>"NO"</formula>
    </cfRule>
    <cfRule type="cellIs" dxfId="2560" priority="507" operator="equal">
      <formula>"SI"</formula>
    </cfRule>
  </conditionalFormatting>
  <conditionalFormatting sqref="V104 V107 V110 V113">
    <cfRule type="cellIs" dxfId="2559" priority="504" operator="equal">
      <formula>"NO"</formula>
    </cfRule>
    <cfRule type="cellIs" dxfId="2558" priority="505" operator="equal">
      <formula>"SI"</formula>
    </cfRule>
  </conditionalFormatting>
  <conditionalFormatting sqref="N101">
    <cfRule type="expression" dxfId="2557" priority="501">
      <formula>N101=" "</formula>
    </cfRule>
    <cfRule type="expression" dxfId="2556" priority="502">
      <formula>N101="NO PRESENTÓ CERTIFICADO"</formula>
    </cfRule>
    <cfRule type="expression" dxfId="2555" priority="503">
      <formula>N101="PRESENTÓ CERTIFICADO"</formula>
    </cfRule>
  </conditionalFormatting>
  <conditionalFormatting sqref="O101">
    <cfRule type="cellIs" dxfId="2554" priority="483" operator="equal">
      <formula>"PENDIENTE POR DESCRIPCIÓN"</formula>
    </cfRule>
    <cfRule type="cellIs" dxfId="2553" priority="484" operator="equal">
      <formula>"DESCRIPCIÓN INSUFICIENTE"</formula>
    </cfRule>
    <cfRule type="cellIs" dxfId="2552" priority="485" operator="equal">
      <formula>"NO ESTÁ ACORDE A ITEM 5.2.2 (T.R.)"</formula>
    </cfRule>
    <cfRule type="cellIs" dxfId="2551" priority="486" operator="equal">
      <formula>"ACORDE A ITEM 5.2.2 (T.R.)"</formula>
    </cfRule>
    <cfRule type="cellIs" dxfId="2550" priority="493" operator="equal">
      <formula>"PENDIENTE POR DESCRIPCIÓN"</formula>
    </cfRule>
    <cfRule type="cellIs" dxfId="2549" priority="495" operator="equal">
      <formula>"DESCRIPCIÓN INSUFICIENTE"</formula>
    </cfRule>
    <cfRule type="cellIs" dxfId="2548" priority="496" operator="equal">
      <formula>"NO ESTÁ ACORDE A ITEM 5.2.1 (T.R.)"</formula>
    </cfRule>
    <cfRule type="cellIs" dxfId="2547" priority="497" operator="equal">
      <formula>"ACORDE A ITEM 5.2.1 (T.R.)"</formula>
    </cfRule>
  </conditionalFormatting>
  <conditionalFormatting sqref="Q101">
    <cfRule type="containsBlanks" dxfId="2546" priority="488">
      <formula>LEN(TRIM(Q101))=0</formula>
    </cfRule>
    <cfRule type="cellIs" dxfId="2545" priority="494" operator="equal">
      <formula>"REQUERIMIENTOS SUBSANADOS"</formula>
    </cfRule>
    <cfRule type="containsText" dxfId="2544" priority="498" operator="containsText" text="NO SUBSANABLE">
      <formula>NOT(ISERROR(SEARCH("NO SUBSANABLE",Q101)))</formula>
    </cfRule>
    <cfRule type="containsText" dxfId="2543" priority="499" operator="containsText" text="PENDIENTES POR SUBSANAR">
      <formula>NOT(ISERROR(SEARCH("PENDIENTES POR SUBSANAR",Q101)))</formula>
    </cfRule>
    <cfRule type="containsText" dxfId="2542" priority="500" operator="containsText" text="SIN OBSERVACIÓN">
      <formula>NOT(ISERROR(SEARCH("SIN OBSERVACIÓN",Q101)))</formula>
    </cfRule>
  </conditionalFormatting>
  <conditionalFormatting sqref="R101">
    <cfRule type="containsBlanks" dxfId="2541" priority="487">
      <formula>LEN(TRIM(R101))=0</formula>
    </cfRule>
    <cfRule type="cellIs" dxfId="2540" priority="489" operator="equal">
      <formula>"NO CUMPLEN CON LO SOLICITADO"</formula>
    </cfRule>
    <cfRule type="cellIs" dxfId="2539" priority="490" operator="equal">
      <formula>"CUMPLEN CON LO SOLICITADO"</formula>
    </cfRule>
    <cfRule type="cellIs" dxfId="2538" priority="491" operator="equal">
      <formula>"PENDIENTES"</formula>
    </cfRule>
    <cfRule type="cellIs" dxfId="2537" priority="492" operator="equal">
      <formula>"NINGUNO"</formula>
    </cfRule>
  </conditionalFormatting>
  <conditionalFormatting sqref="P101">
    <cfRule type="expression" dxfId="2536" priority="478">
      <formula>Q101="NO SUBSANABLE"</formula>
    </cfRule>
    <cfRule type="expression" dxfId="2535" priority="479">
      <formula>Q101="REQUERIMIENTOS SUBSANADOS"</formula>
    </cfRule>
    <cfRule type="expression" dxfId="2534" priority="480">
      <formula>Q101="PENDIENTES POR SUBSANAR"</formula>
    </cfRule>
    <cfRule type="expression" dxfId="2533" priority="481">
      <formula>Q101="SIN OBSERVACIÓN"</formula>
    </cfRule>
    <cfRule type="containsBlanks" dxfId="2532" priority="482">
      <formula>LEN(TRIM(P101))=0</formula>
    </cfRule>
  </conditionalFormatting>
  <conditionalFormatting sqref="N104">
    <cfRule type="expression" dxfId="2531" priority="475">
      <formula>N104=" "</formula>
    </cfRule>
    <cfRule type="expression" dxfId="2530" priority="476">
      <formula>N104="NO PRESENTÓ CERTIFICADO"</formula>
    </cfRule>
    <cfRule type="expression" dxfId="2529" priority="477">
      <formula>N104="PRESENTÓ CERTIFICADO"</formula>
    </cfRule>
  </conditionalFormatting>
  <conditionalFormatting sqref="O104">
    <cfRule type="cellIs" dxfId="2528" priority="457" operator="equal">
      <formula>"PENDIENTE POR DESCRIPCIÓN"</formula>
    </cfRule>
    <cfRule type="cellIs" dxfId="2527" priority="458" operator="equal">
      <formula>"DESCRIPCIÓN INSUFICIENTE"</formula>
    </cfRule>
    <cfRule type="cellIs" dxfId="2526" priority="459" operator="equal">
      <formula>"NO ESTÁ ACORDE A ITEM 5.2.2 (T.R.)"</formula>
    </cfRule>
    <cfRule type="cellIs" dxfId="2525" priority="460" operator="equal">
      <formula>"ACORDE A ITEM 5.2.2 (T.R.)"</formula>
    </cfRule>
    <cfRule type="cellIs" dxfId="2524" priority="467" operator="equal">
      <formula>"PENDIENTE POR DESCRIPCIÓN"</formula>
    </cfRule>
    <cfRule type="cellIs" dxfId="2523" priority="469" operator="equal">
      <formula>"DESCRIPCIÓN INSUFICIENTE"</formula>
    </cfRule>
    <cfRule type="cellIs" dxfId="2522" priority="470" operator="equal">
      <formula>"NO ESTÁ ACORDE A ITEM 5.2.1 (T.R.)"</formula>
    </cfRule>
    <cfRule type="cellIs" dxfId="2521" priority="471" operator="equal">
      <formula>"ACORDE A ITEM 5.2.1 (T.R.)"</formula>
    </cfRule>
  </conditionalFormatting>
  <conditionalFormatting sqref="Q104">
    <cfRule type="containsBlanks" dxfId="2520" priority="462">
      <formula>LEN(TRIM(Q104))=0</formula>
    </cfRule>
    <cfRule type="cellIs" dxfId="2519" priority="468" operator="equal">
      <formula>"REQUERIMIENTOS SUBSANADOS"</formula>
    </cfRule>
    <cfRule type="containsText" dxfId="2518" priority="472" operator="containsText" text="NO SUBSANABLE">
      <formula>NOT(ISERROR(SEARCH("NO SUBSANABLE",Q104)))</formula>
    </cfRule>
    <cfRule type="containsText" dxfId="2517" priority="473" operator="containsText" text="PENDIENTES POR SUBSANAR">
      <formula>NOT(ISERROR(SEARCH("PENDIENTES POR SUBSANAR",Q104)))</formula>
    </cfRule>
    <cfRule type="containsText" dxfId="2516" priority="474" operator="containsText" text="SIN OBSERVACIÓN">
      <formula>NOT(ISERROR(SEARCH("SIN OBSERVACIÓN",Q104)))</formula>
    </cfRule>
  </conditionalFormatting>
  <conditionalFormatting sqref="R104">
    <cfRule type="containsBlanks" dxfId="2515" priority="461">
      <formula>LEN(TRIM(R104))=0</formula>
    </cfRule>
    <cfRule type="cellIs" dxfId="2514" priority="463" operator="equal">
      <formula>"NO CUMPLEN CON LO SOLICITADO"</formula>
    </cfRule>
    <cfRule type="cellIs" dxfId="2513" priority="464" operator="equal">
      <formula>"CUMPLEN CON LO SOLICITADO"</formula>
    </cfRule>
    <cfRule type="cellIs" dxfId="2512" priority="465" operator="equal">
      <formula>"PENDIENTES"</formula>
    </cfRule>
    <cfRule type="cellIs" dxfId="2511" priority="466" operator="equal">
      <formula>"NINGUNO"</formula>
    </cfRule>
  </conditionalFormatting>
  <conditionalFormatting sqref="P104">
    <cfRule type="expression" dxfId="2510" priority="452">
      <formula>Q104="NO SUBSANABLE"</formula>
    </cfRule>
    <cfRule type="expression" dxfId="2509" priority="453">
      <formula>Q104="REQUERIMIENTOS SUBSANADOS"</formula>
    </cfRule>
    <cfRule type="expression" dxfId="2508" priority="454">
      <formula>Q104="PENDIENTES POR SUBSANAR"</formula>
    </cfRule>
    <cfRule type="expression" dxfId="2507" priority="455">
      <formula>Q104="SIN OBSERVACIÓN"</formula>
    </cfRule>
    <cfRule type="containsBlanks" dxfId="2506" priority="456">
      <formula>LEN(TRIM(P104))=0</formula>
    </cfRule>
  </conditionalFormatting>
  <conditionalFormatting sqref="N107">
    <cfRule type="expression" dxfId="2505" priority="449">
      <formula>N107=" "</formula>
    </cfRule>
    <cfRule type="expression" dxfId="2504" priority="450">
      <formula>N107="NO PRESENTÓ CERTIFICADO"</formula>
    </cfRule>
    <cfRule type="expression" dxfId="2503" priority="451">
      <formula>N107="PRESENTÓ CERTIFICADO"</formula>
    </cfRule>
  </conditionalFormatting>
  <conditionalFormatting sqref="O107">
    <cfRule type="cellIs" dxfId="2502" priority="441" operator="equal">
      <formula>"PENDIENTE POR DESCRIPCIÓN"</formula>
    </cfRule>
    <cfRule type="cellIs" dxfId="2501" priority="442" operator="equal">
      <formula>"DESCRIPCIÓN INSUFICIENTE"</formula>
    </cfRule>
    <cfRule type="cellIs" dxfId="2500" priority="443" operator="equal">
      <formula>"NO ESTÁ ACORDE A ITEM 5.2.2 (T.R.)"</formula>
    </cfRule>
    <cfRule type="cellIs" dxfId="2499" priority="444" operator="equal">
      <formula>"ACORDE A ITEM 5.2.2 (T.R.)"</formula>
    </cfRule>
    <cfRule type="cellIs" dxfId="2498" priority="445" operator="equal">
      <formula>"PENDIENTE POR DESCRIPCIÓN"</formula>
    </cfRule>
    <cfRule type="cellIs" dxfId="2497" priority="446" operator="equal">
      <formula>"DESCRIPCIÓN INSUFICIENTE"</formula>
    </cfRule>
    <cfRule type="cellIs" dxfId="2496" priority="447" operator="equal">
      <formula>"NO ESTÁ ACORDE A ITEM 5.2.1 (T.R.)"</formula>
    </cfRule>
    <cfRule type="cellIs" dxfId="2495" priority="448" operator="equal">
      <formula>"ACORDE A ITEM 5.2.1 (T.R.)"</formula>
    </cfRule>
  </conditionalFormatting>
  <conditionalFormatting sqref="Q107">
    <cfRule type="containsBlanks" dxfId="2494" priority="432">
      <formula>LEN(TRIM(Q107))=0</formula>
    </cfRule>
    <cfRule type="cellIs" dxfId="2493" priority="437" operator="equal">
      <formula>"REQUERIMIENTOS SUBSANADOS"</formula>
    </cfRule>
    <cfRule type="containsText" dxfId="2492" priority="438" operator="containsText" text="NO SUBSANABLE">
      <formula>NOT(ISERROR(SEARCH("NO SUBSANABLE",Q107)))</formula>
    </cfRule>
    <cfRule type="containsText" dxfId="2491" priority="439" operator="containsText" text="PENDIENTES POR SUBSANAR">
      <formula>NOT(ISERROR(SEARCH("PENDIENTES POR SUBSANAR",Q107)))</formula>
    </cfRule>
    <cfRule type="containsText" dxfId="2490" priority="440" operator="containsText" text="SIN OBSERVACIÓN">
      <formula>NOT(ISERROR(SEARCH("SIN OBSERVACIÓN",Q107)))</formula>
    </cfRule>
  </conditionalFormatting>
  <conditionalFormatting sqref="R107">
    <cfRule type="containsBlanks" dxfId="2489" priority="431">
      <formula>LEN(TRIM(R107))=0</formula>
    </cfRule>
    <cfRule type="cellIs" dxfId="2488" priority="433" operator="equal">
      <formula>"NO CUMPLEN CON LO SOLICITADO"</formula>
    </cfRule>
    <cfRule type="cellIs" dxfId="2487" priority="434" operator="equal">
      <formula>"CUMPLEN CON LO SOLICITADO"</formula>
    </cfRule>
    <cfRule type="cellIs" dxfId="2486" priority="435" operator="equal">
      <formula>"PENDIENTES"</formula>
    </cfRule>
    <cfRule type="cellIs" dxfId="2485" priority="436" operator="equal">
      <formula>"NINGUNO"</formula>
    </cfRule>
  </conditionalFormatting>
  <conditionalFormatting sqref="N110">
    <cfRule type="expression" dxfId="2484" priority="428">
      <formula>N110=" "</formula>
    </cfRule>
    <cfRule type="expression" dxfId="2483" priority="429">
      <formula>N110="NO PRESENTÓ CERTIFICADO"</formula>
    </cfRule>
    <cfRule type="expression" dxfId="2482" priority="430">
      <formula>N110="PRESENTÓ CERTIFICADO"</formula>
    </cfRule>
  </conditionalFormatting>
  <conditionalFormatting sqref="O110">
    <cfRule type="cellIs" dxfId="2481" priority="410" operator="equal">
      <formula>"PENDIENTE POR DESCRIPCIÓN"</formula>
    </cfRule>
    <cfRule type="cellIs" dxfId="2480" priority="411" operator="equal">
      <formula>"DESCRIPCIÓN INSUFICIENTE"</formula>
    </cfRule>
    <cfRule type="cellIs" dxfId="2479" priority="412" operator="equal">
      <formula>"NO ESTÁ ACORDE A ITEM 5.2.2 (T.R.)"</formula>
    </cfRule>
    <cfRule type="cellIs" dxfId="2478" priority="413" operator="equal">
      <formula>"ACORDE A ITEM 5.2.2 (T.R.)"</formula>
    </cfRule>
    <cfRule type="cellIs" dxfId="2477" priority="420" operator="equal">
      <formula>"PENDIENTE POR DESCRIPCIÓN"</formula>
    </cfRule>
    <cfRule type="cellIs" dxfId="2476" priority="422" operator="equal">
      <formula>"DESCRIPCIÓN INSUFICIENTE"</formula>
    </cfRule>
    <cfRule type="cellIs" dxfId="2475" priority="423" operator="equal">
      <formula>"NO ESTÁ ACORDE A ITEM 5.2.1 (T.R.)"</formula>
    </cfRule>
    <cfRule type="cellIs" dxfId="2474" priority="424" operator="equal">
      <formula>"ACORDE A ITEM 5.2.1 (T.R.)"</formula>
    </cfRule>
  </conditionalFormatting>
  <conditionalFormatting sqref="Q110">
    <cfRule type="containsBlanks" dxfId="2473" priority="415">
      <formula>LEN(TRIM(Q110))=0</formula>
    </cfRule>
    <cfRule type="cellIs" dxfId="2472" priority="421" operator="equal">
      <formula>"REQUERIMIENTOS SUBSANADOS"</formula>
    </cfRule>
    <cfRule type="containsText" dxfId="2471" priority="425" operator="containsText" text="NO SUBSANABLE">
      <formula>NOT(ISERROR(SEARCH("NO SUBSANABLE",Q110)))</formula>
    </cfRule>
    <cfRule type="containsText" dxfId="2470" priority="426" operator="containsText" text="PENDIENTES POR SUBSANAR">
      <formula>NOT(ISERROR(SEARCH("PENDIENTES POR SUBSANAR",Q110)))</formula>
    </cfRule>
    <cfRule type="containsText" dxfId="2469" priority="427" operator="containsText" text="SIN OBSERVACIÓN">
      <formula>NOT(ISERROR(SEARCH("SIN OBSERVACIÓN",Q110)))</formula>
    </cfRule>
  </conditionalFormatting>
  <conditionalFormatting sqref="R110">
    <cfRule type="containsBlanks" dxfId="2468" priority="414">
      <formula>LEN(TRIM(R110))=0</formula>
    </cfRule>
    <cfRule type="cellIs" dxfId="2467" priority="416" operator="equal">
      <formula>"NO CUMPLEN CON LO SOLICITADO"</formula>
    </cfRule>
    <cfRule type="cellIs" dxfId="2466" priority="417" operator="equal">
      <formula>"CUMPLEN CON LO SOLICITADO"</formula>
    </cfRule>
    <cfRule type="cellIs" dxfId="2465" priority="418" operator="equal">
      <formula>"PENDIENTES"</formula>
    </cfRule>
    <cfRule type="cellIs" dxfId="2464" priority="419" operator="equal">
      <formula>"NINGUNO"</formula>
    </cfRule>
  </conditionalFormatting>
  <conditionalFormatting sqref="P110">
    <cfRule type="expression" dxfId="2463" priority="405">
      <formula>Q110="NO SUBSANABLE"</formula>
    </cfRule>
    <cfRule type="expression" dxfId="2462" priority="406">
      <formula>Q110="REQUERIMIENTOS SUBSANADOS"</formula>
    </cfRule>
    <cfRule type="expression" dxfId="2461" priority="407">
      <formula>Q110="PENDIENTES POR SUBSANAR"</formula>
    </cfRule>
    <cfRule type="expression" dxfId="2460" priority="408">
      <formula>Q110="SIN OBSERVACIÓN"</formula>
    </cfRule>
    <cfRule type="containsBlanks" dxfId="2459" priority="409">
      <formula>LEN(TRIM(P110))=0</formula>
    </cfRule>
  </conditionalFormatting>
  <conditionalFormatting sqref="N113">
    <cfRule type="expression" dxfId="2458" priority="402">
      <formula>N113=" "</formula>
    </cfRule>
    <cfRule type="expression" dxfId="2457" priority="403">
      <formula>N113="NO PRESENTÓ CERTIFICADO"</formula>
    </cfRule>
    <cfRule type="expression" dxfId="2456" priority="404">
      <formula>N113="PRESENTÓ CERTIFICADO"</formula>
    </cfRule>
  </conditionalFormatting>
  <conditionalFormatting sqref="O113">
    <cfRule type="cellIs" dxfId="2455" priority="384" operator="equal">
      <formula>"PENDIENTE POR DESCRIPCIÓN"</formula>
    </cfRule>
    <cfRule type="cellIs" dxfId="2454" priority="385" operator="equal">
      <formula>"DESCRIPCIÓN INSUFICIENTE"</formula>
    </cfRule>
    <cfRule type="cellIs" dxfId="2453" priority="386" operator="equal">
      <formula>"NO ESTÁ ACORDE A ITEM 5.2.2 (T.R.)"</formula>
    </cfRule>
    <cfRule type="cellIs" dxfId="2452" priority="387" operator="equal">
      <formula>"ACORDE A ITEM 5.2.2 (T.R.)"</formula>
    </cfRule>
    <cfRule type="cellIs" dxfId="2451" priority="394" operator="equal">
      <formula>"PENDIENTE POR DESCRIPCIÓN"</formula>
    </cfRule>
    <cfRule type="cellIs" dxfId="2450" priority="396" operator="equal">
      <formula>"DESCRIPCIÓN INSUFICIENTE"</formula>
    </cfRule>
    <cfRule type="cellIs" dxfId="2449" priority="397" operator="equal">
      <formula>"NO ESTÁ ACORDE A ITEM 5.2.1 (T.R.)"</formula>
    </cfRule>
    <cfRule type="cellIs" dxfId="2448" priority="398" operator="equal">
      <formula>"ACORDE A ITEM 5.2.1 (T.R.)"</formula>
    </cfRule>
  </conditionalFormatting>
  <conditionalFormatting sqref="Q113">
    <cfRule type="containsBlanks" dxfId="2447" priority="389">
      <formula>LEN(TRIM(Q113))=0</formula>
    </cfRule>
    <cfRule type="cellIs" dxfId="2446" priority="395" operator="equal">
      <formula>"REQUERIMIENTOS SUBSANADOS"</formula>
    </cfRule>
    <cfRule type="containsText" dxfId="2445" priority="399" operator="containsText" text="NO SUBSANABLE">
      <formula>NOT(ISERROR(SEARCH("NO SUBSANABLE",Q113)))</formula>
    </cfRule>
    <cfRule type="containsText" dxfId="2444" priority="400" operator="containsText" text="PENDIENTES POR SUBSANAR">
      <formula>NOT(ISERROR(SEARCH("PENDIENTES POR SUBSANAR",Q113)))</formula>
    </cfRule>
    <cfRule type="containsText" dxfId="2443" priority="401" operator="containsText" text="SIN OBSERVACIÓN">
      <formula>NOT(ISERROR(SEARCH("SIN OBSERVACIÓN",Q113)))</formula>
    </cfRule>
  </conditionalFormatting>
  <conditionalFormatting sqref="R113">
    <cfRule type="containsBlanks" dxfId="2442" priority="388">
      <formula>LEN(TRIM(R113))=0</formula>
    </cfRule>
    <cfRule type="cellIs" dxfId="2441" priority="390" operator="equal">
      <formula>"NO CUMPLEN CON LO SOLICITADO"</formula>
    </cfRule>
    <cfRule type="cellIs" dxfId="2440" priority="391" operator="equal">
      <formula>"CUMPLEN CON LO SOLICITADO"</formula>
    </cfRule>
    <cfRule type="cellIs" dxfId="2439" priority="392" operator="equal">
      <formula>"PENDIENTES"</formula>
    </cfRule>
    <cfRule type="cellIs" dxfId="2438" priority="393" operator="equal">
      <formula>"NINGUNO"</formula>
    </cfRule>
  </conditionalFormatting>
  <conditionalFormatting sqref="P113">
    <cfRule type="expression" dxfId="2437" priority="379">
      <formula>Q113="NO SUBSANABLE"</formula>
    </cfRule>
    <cfRule type="expression" dxfId="2436" priority="380">
      <formula>Q113="REQUERIMIENTOS SUBSANADOS"</formula>
    </cfRule>
    <cfRule type="expression" dxfId="2435" priority="381">
      <formula>Q113="PENDIENTES POR SUBSANAR"</formula>
    </cfRule>
    <cfRule type="expression" dxfId="2434" priority="382">
      <formula>Q113="SIN OBSERVACIÓN"</formula>
    </cfRule>
    <cfRule type="containsBlanks" dxfId="2433" priority="383">
      <formula>LEN(TRIM(P113))=0</formula>
    </cfRule>
  </conditionalFormatting>
  <conditionalFormatting sqref="J113">
    <cfRule type="cellIs" dxfId="2432" priority="377" operator="equal">
      <formula>"NO CUMPLE"</formula>
    </cfRule>
    <cfRule type="cellIs" dxfId="2431" priority="378" operator="equal">
      <formula>"CUMPLE"</formula>
    </cfRule>
  </conditionalFormatting>
  <conditionalFormatting sqref="J114">
    <cfRule type="cellIs" dxfId="2430" priority="375" operator="equal">
      <formula>"NO CUMPLE"</formula>
    </cfRule>
    <cfRule type="cellIs" dxfId="2429" priority="376" operator="equal">
      <formula>"CUMPLE"</formula>
    </cfRule>
  </conditionalFormatting>
  <conditionalFormatting sqref="J115">
    <cfRule type="cellIs" dxfId="2428" priority="373" operator="equal">
      <formula>"NO CUMPLE"</formula>
    </cfRule>
    <cfRule type="cellIs" dxfId="2427" priority="374" operator="equal">
      <formula>"CUMPLE"</formula>
    </cfRule>
  </conditionalFormatting>
  <conditionalFormatting sqref="H13">
    <cfRule type="notContainsBlanks" dxfId="2426" priority="372">
      <formula>LEN(TRIM(H13))&gt;0</formula>
    </cfRule>
  </conditionalFormatting>
  <conditionalFormatting sqref="G13">
    <cfRule type="notContainsBlanks" dxfId="2425" priority="371">
      <formula>LEN(TRIM(G13))&gt;0</formula>
    </cfRule>
  </conditionalFormatting>
  <conditionalFormatting sqref="F13">
    <cfRule type="notContainsBlanks" dxfId="2424" priority="370">
      <formula>LEN(TRIM(F13))&gt;0</formula>
    </cfRule>
  </conditionalFormatting>
  <conditionalFormatting sqref="E13">
    <cfRule type="notContainsBlanks" dxfId="2423" priority="369">
      <formula>LEN(TRIM(E13))&gt;0</formula>
    </cfRule>
  </conditionalFormatting>
  <conditionalFormatting sqref="D13">
    <cfRule type="notContainsBlanks" dxfId="2422" priority="368">
      <formula>LEN(TRIM(D13))&gt;0</formula>
    </cfRule>
  </conditionalFormatting>
  <conditionalFormatting sqref="C13">
    <cfRule type="notContainsBlanks" dxfId="2421" priority="367">
      <formula>LEN(TRIM(C13))&gt;0</formula>
    </cfRule>
  </conditionalFormatting>
  <conditionalFormatting sqref="I13">
    <cfRule type="notContainsBlanks" dxfId="2420" priority="366">
      <formula>LEN(TRIM(I13))&gt;0</formula>
    </cfRule>
  </conditionalFormatting>
  <conditionalFormatting sqref="J13:J15">
    <cfRule type="cellIs" dxfId="2419" priority="364" operator="equal">
      <formula>"NO CUMPLE"</formula>
    </cfRule>
    <cfRule type="cellIs" dxfId="2418" priority="365" operator="equal">
      <formula>"CUMPLE"</formula>
    </cfRule>
  </conditionalFormatting>
  <conditionalFormatting sqref="N13">
    <cfRule type="expression" dxfId="2417" priority="361">
      <formula>N13=" "</formula>
    </cfRule>
    <cfRule type="expression" dxfId="2416" priority="362">
      <formula>N13="NO PRESENTÓ CERTIFICADO"</formula>
    </cfRule>
    <cfRule type="expression" dxfId="2415" priority="363">
      <formula>N13="PRESENTÓ CERTIFICADO"</formula>
    </cfRule>
  </conditionalFormatting>
  <conditionalFormatting sqref="P13">
    <cfRule type="expression" dxfId="2414" priority="348">
      <formula>Q13="NO SUBSANABLE"</formula>
    </cfRule>
    <cfRule type="expression" dxfId="2413" priority="350">
      <formula>Q13="REQUERIMIENTOS SUBSANADOS"</formula>
    </cfRule>
    <cfRule type="expression" dxfId="2412" priority="351">
      <formula>Q13="PENDIENTES POR SUBSANAR"</formula>
    </cfRule>
    <cfRule type="expression" dxfId="2411" priority="356">
      <formula>Q13="SIN OBSERVACIÓN"</formula>
    </cfRule>
    <cfRule type="containsBlanks" dxfId="2410" priority="357">
      <formula>LEN(TRIM(P13))=0</formula>
    </cfRule>
  </conditionalFormatting>
  <conditionalFormatting sqref="O13">
    <cfRule type="cellIs" dxfId="2409" priority="338" operator="equal">
      <formula>"PENDIENTE POR DESCRIPCIÓN"</formula>
    </cfRule>
    <cfRule type="cellIs" dxfId="2408" priority="339" operator="equal">
      <formula>"DESCRIPCIÓN INSUFICIENTE"</formula>
    </cfRule>
    <cfRule type="cellIs" dxfId="2407" priority="340" operator="equal">
      <formula>"NO ESTÁ ACORDE A ITEM 5.2.2 (T.R.)"</formula>
    </cfRule>
    <cfRule type="cellIs" dxfId="2406" priority="341" operator="equal">
      <formula>"ACORDE A ITEM 5.2.2 (T.R.)"</formula>
    </cfRule>
    <cfRule type="cellIs" dxfId="2405" priority="349" operator="equal">
      <formula>"PENDIENTE POR DESCRIPCIÓN"</formula>
    </cfRule>
    <cfRule type="cellIs" dxfId="2404" priority="353" operator="equal">
      <formula>"DESCRIPCIÓN INSUFICIENTE"</formula>
    </cfRule>
    <cfRule type="cellIs" dxfId="2403" priority="354" operator="equal">
      <formula>"NO ESTÁ ACORDE A ITEM 5.2.1 (T.R.)"</formula>
    </cfRule>
    <cfRule type="cellIs" dxfId="2402" priority="355" operator="equal">
      <formula>"ACORDE A ITEM 5.2.1 (T.R.)"</formula>
    </cfRule>
  </conditionalFormatting>
  <conditionalFormatting sqref="Q13">
    <cfRule type="containsBlanks" dxfId="2401" priority="343">
      <formula>LEN(TRIM(Q13))=0</formula>
    </cfRule>
    <cfRule type="cellIs" dxfId="2400" priority="352" operator="equal">
      <formula>"REQUERIMIENTOS SUBSANADOS"</formula>
    </cfRule>
    <cfRule type="containsText" dxfId="2399" priority="358" operator="containsText" text="NO SUBSANABLE">
      <formula>NOT(ISERROR(SEARCH("NO SUBSANABLE",Q13)))</formula>
    </cfRule>
    <cfRule type="containsText" dxfId="2398" priority="359" operator="containsText" text="PENDIENTES POR SUBSANAR">
      <formula>NOT(ISERROR(SEARCH("PENDIENTES POR SUBSANAR",Q13)))</formula>
    </cfRule>
    <cfRule type="containsText" dxfId="2397" priority="360" operator="containsText" text="SIN OBSERVACIÓN">
      <formula>NOT(ISERROR(SEARCH("SIN OBSERVACIÓN",Q13)))</formula>
    </cfRule>
  </conditionalFormatting>
  <conditionalFormatting sqref="R13">
    <cfRule type="containsBlanks" dxfId="2396" priority="342">
      <formula>LEN(TRIM(R13))=0</formula>
    </cfRule>
    <cfRule type="cellIs" dxfId="2395" priority="344" operator="equal">
      <formula>"NO CUMPLEN CON LO SOLICITADO"</formula>
    </cfRule>
    <cfRule type="cellIs" dxfId="2394" priority="345" operator="equal">
      <formula>"CUMPLEN CON LO SOLICITADO"</formula>
    </cfRule>
    <cfRule type="cellIs" dxfId="2393" priority="346" operator="equal">
      <formula>"PENDIENTES"</formula>
    </cfRule>
    <cfRule type="cellIs" dxfId="2392" priority="347" operator="equal">
      <formula>"NINGUNO"</formula>
    </cfRule>
  </conditionalFormatting>
  <conditionalFormatting sqref="U101:U115">
    <cfRule type="cellIs" dxfId="2391" priority="334" operator="equal">
      <formula>0</formula>
    </cfRule>
    <cfRule type="cellIs" dxfId="2390" priority="335" operator="equal">
      <formula>1</formula>
    </cfRule>
  </conditionalFormatting>
  <conditionalFormatting sqref="U79:U93">
    <cfRule type="cellIs" dxfId="2389" priority="332" operator="equal">
      <formula>0</formula>
    </cfRule>
    <cfRule type="cellIs" dxfId="2388" priority="333" operator="equal">
      <formula>1</formula>
    </cfRule>
  </conditionalFormatting>
  <conditionalFormatting sqref="U57:U71">
    <cfRule type="cellIs" dxfId="2387" priority="330" operator="equal">
      <formula>0</formula>
    </cfRule>
    <cfRule type="cellIs" dxfId="2386" priority="331" operator="equal">
      <formula>1</formula>
    </cfRule>
  </conditionalFormatting>
  <conditionalFormatting sqref="U35:U49">
    <cfRule type="cellIs" dxfId="2385" priority="328" operator="equal">
      <formula>0</formula>
    </cfRule>
    <cfRule type="cellIs" dxfId="2384" priority="329" operator="equal">
      <formula>1</formula>
    </cfRule>
  </conditionalFormatting>
  <conditionalFormatting sqref="U13:U15">
    <cfRule type="cellIs" dxfId="2383" priority="326" operator="equal">
      <formula>0</formula>
    </cfRule>
    <cfRule type="cellIs" dxfId="2382" priority="327" operator="equal">
      <formula>1</formula>
    </cfRule>
  </conditionalFormatting>
  <conditionalFormatting sqref="H35 H38">
    <cfRule type="notContainsBlanks" dxfId="2381" priority="325">
      <formula>LEN(TRIM(H35))&gt;0</formula>
    </cfRule>
  </conditionalFormatting>
  <conditionalFormatting sqref="G35">
    <cfRule type="notContainsBlanks" dxfId="2380" priority="324">
      <formula>LEN(TRIM(G35))&gt;0</formula>
    </cfRule>
  </conditionalFormatting>
  <conditionalFormatting sqref="F35">
    <cfRule type="notContainsBlanks" dxfId="2379" priority="323">
      <formula>LEN(TRIM(F35))&gt;0</formula>
    </cfRule>
  </conditionalFormatting>
  <conditionalFormatting sqref="E35">
    <cfRule type="notContainsBlanks" dxfId="2378" priority="322">
      <formula>LEN(TRIM(E35))&gt;0</formula>
    </cfRule>
  </conditionalFormatting>
  <conditionalFormatting sqref="D35">
    <cfRule type="notContainsBlanks" dxfId="2377" priority="321">
      <formula>LEN(TRIM(D35))&gt;0</formula>
    </cfRule>
  </conditionalFormatting>
  <conditionalFormatting sqref="C35">
    <cfRule type="notContainsBlanks" dxfId="2376" priority="320">
      <formula>LEN(TRIM(C35))&gt;0</formula>
    </cfRule>
  </conditionalFormatting>
  <conditionalFormatting sqref="I35">
    <cfRule type="notContainsBlanks" dxfId="2375" priority="319">
      <formula>LEN(TRIM(I35))&gt;0</formula>
    </cfRule>
  </conditionalFormatting>
  <conditionalFormatting sqref="G38">
    <cfRule type="notContainsBlanks" dxfId="2374" priority="318">
      <formula>LEN(TRIM(G38))&gt;0</formula>
    </cfRule>
  </conditionalFormatting>
  <conditionalFormatting sqref="F38">
    <cfRule type="notContainsBlanks" dxfId="2373" priority="317">
      <formula>LEN(TRIM(F38))&gt;0</formula>
    </cfRule>
  </conditionalFormatting>
  <conditionalFormatting sqref="E38">
    <cfRule type="notContainsBlanks" dxfId="2372" priority="316">
      <formula>LEN(TRIM(E38))&gt;0</formula>
    </cfRule>
  </conditionalFormatting>
  <conditionalFormatting sqref="D38">
    <cfRule type="notContainsBlanks" dxfId="2371" priority="315">
      <formula>LEN(TRIM(D38))&gt;0</formula>
    </cfRule>
  </conditionalFormatting>
  <conditionalFormatting sqref="C38">
    <cfRule type="notContainsBlanks" dxfId="2370" priority="314">
      <formula>LEN(TRIM(C38))&gt;0</formula>
    </cfRule>
  </conditionalFormatting>
  <conditionalFormatting sqref="I38">
    <cfRule type="notContainsBlanks" dxfId="2369" priority="313">
      <formula>LEN(TRIM(I38))&gt;0</formula>
    </cfRule>
  </conditionalFormatting>
  <conditionalFormatting sqref="J35:J40">
    <cfRule type="cellIs" dxfId="2368" priority="311" operator="equal">
      <formula>"NO CUMPLE"</formula>
    </cfRule>
    <cfRule type="cellIs" dxfId="2367" priority="312" operator="equal">
      <formula>"CUMPLE"</formula>
    </cfRule>
  </conditionalFormatting>
  <conditionalFormatting sqref="N35">
    <cfRule type="expression" dxfId="2366" priority="308">
      <formula>N35=" "</formula>
    </cfRule>
    <cfRule type="expression" dxfId="2365" priority="309">
      <formula>N35="NO PRESENTÓ CERTIFICADO"</formula>
    </cfRule>
    <cfRule type="expression" dxfId="2364" priority="310">
      <formula>N35="PRESENTÓ CERTIFICADO"</formula>
    </cfRule>
  </conditionalFormatting>
  <conditionalFormatting sqref="O35">
    <cfRule type="cellIs" dxfId="2363" priority="290" operator="equal">
      <formula>"PENDIENTE POR DESCRIPCIÓN"</formula>
    </cfRule>
    <cfRule type="cellIs" dxfId="2362" priority="291" operator="equal">
      <formula>"DESCRIPCIÓN INSUFICIENTE"</formula>
    </cfRule>
    <cfRule type="cellIs" dxfId="2361" priority="292" operator="equal">
      <formula>"NO ESTÁ ACORDE A ITEM 5.2.2 (T.R.)"</formula>
    </cfRule>
    <cfRule type="cellIs" dxfId="2360" priority="293" operator="equal">
      <formula>"ACORDE A ITEM 5.2.2 (T.R.)"</formula>
    </cfRule>
    <cfRule type="cellIs" dxfId="2359" priority="300" operator="equal">
      <formula>"PENDIENTE POR DESCRIPCIÓN"</formula>
    </cfRule>
    <cfRule type="cellIs" dxfId="2358" priority="302" operator="equal">
      <formula>"DESCRIPCIÓN INSUFICIENTE"</formula>
    </cfRule>
    <cfRule type="cellIs" dxfId="2357" priority="303" operator="equal">
      <formula>"NO ESTÁ ACORDE A ITEM 5.2.1 (T.R.)"</formula>
    </cfRule>
    <cfRule type="cellIs" dxfId="2356" priority="304" operator="equal">
      <formula>"ACORDE A ITEM 5.2.1 (T.R.)"</formula>
    </cfRule>
  </conditionalFormatting>
  <conditionalFormatting sqref="Q35">
    <cfRule type="containsBlanks" dxfId="2355" priority="295">
      <formula>LEN(TRIM(Q35))=0</formula>
    </cfRule>
    <cfRule type="cellIs" dxfId="2354" priority="301" operator="equal">
      <formula>"REQUERIMIENTOS SUBSANADOS"</formula>
    </cfRule>
    <cfRule type="containsText" dxfId="2353" priority="305" operator="containsText" text="NO SUBSANABLE">
      <formula>NOT(ISERROR(SEARCH("NO SUBSANABLE",Q35)))</formula>
    </cfRule>
    <cfRule type="containsText" dxfId="2352" priority="306" operator="containsText" text="PENDIENTES POR SUBSANAR">
      <formula>NOT(ISERROR(SEARCH("PENDIENTES POR SUBSANAR",Q35)))</formula>
    </cfRule>
    <cfRule type="containsText" dxfId="2351" priority="307" operator="containsText" text="SIN OBSERVACIÓN">
      <formula>NOT(ISERROR(SEARCH("SIN OBSERVACIÓN",Q35)))</formula>
    </cfRule>
  </conditionalFormatting>
  <conditionalFormatting sqref="R35">
    <cfRule type="containsBlanks" dxfId="2350" priority="294">
      <formula>LEN(TRIM(R35))=0</formula>
    </cfRule>
    <cfRule type="cellIs" dxfId="2349" priority="296" operator="equal">
      <formula>"NO CUMPLEN CON LO SOLICITADO"</formula>
    </cfRule>
    <cfRule type="cellIs" dxfId="2348" priority="297" operator="equal">
      <formula>"CUMPLEN CON LO SOLICITADO"</formula>
    </cfRule>
    <cfRule type="cellIs" dxfId="2347" priority="298" operator="equal">
      <formula>"PENDIENTES"</formula>
    </cfRule>
    <cfRule type="cellIs" dxfId="2346" priority="299" operator="equal">
      <formula>"NINGUNO"</formula>
    </cfRule>
  </conditionalFormatting>
  <conditionalFormatting sqref="P35">
    <cfRule type="expression" dxfId="2345" priority="285">
      <formula>Q35="NO SUBSANABLE"</formula>
    </cfRule>
    <cfRule type="expression" dxfId="2344" priority="286">
      <formula>Q35="REQUERIMIENTOS SUBSANADOS"</formula>
    </cfRule>
    <cfRule type="expression" dxfId="2343" priority="287">
      <formula>Q35="PENDIENTES POR SUBSANAR"</formula>
    </cfRule>
    <cfRule type="expression" dxfId="2342" priority="288">
      <formula>Q35="SIN OBSERVACIÓN"</formula>
    </cfRule>
    <cfRule type="containsBlanks" dxfId="2341" priority="289">
      <formula>LEN(TRIM(P35))=0</formula>
    </cfRule>
  </conditionalFormatting>
  <conditionalFormatting sqref="N38">
    <cfRule type="expression" dxfId="2340" priority="282">
      <formula>N38=" "</formula>
    </cfRule>
    <cfRule type="expression" dxfId="2339" priority="283">
      <formula>N38="NO PRESENTÓ CERTIFICADO"</formula>
    </cfRule>
    <cfRule type="expression" dxfId="2338" priority="284">
      <formula>N38="PRESENTÓ CERTIFICADO"</formula>
    </cfRule>
  </conditionalFormatting>
  <conditionalFormatting sqref="O38">
    <cfRule type="cellIs" dxfId="2337" priority="264" operator="equal">
      <formula>"PENDIENTE POR DESCRIPCIÓN"</formula>
    </cfRule>
    <cfRule type="cellIs" dxfId="2336" priority="265" operator="equal">
      <formula>"DESCRIPCIÓN INSUFICIENTE"</formula>
    </cfRule>
    <cfRule type="cellIs" dxfId="2335" priority="266" operator="equal">
      <formula>"NO ESTÁ ACORDE A ITEM 5.2.2 (T.R.)"</formula>
    </cfRule>
    <cfRule type="cellIs" dxfId="2334" priority="267" operator="equal">
      <formula>"ACORDE A ITEM 5.2.2 (T.R.)"</formula>
    </cfRule>
    <cfRule type="cellIs" dxfId="2333" priority="274" operator="equal">
      <formula>"PENDIENTE POR DESCRIPCIÓN"</formula>
    </cfRule>
    <cfRule type="cellIs" dxfId="2332" priority="276" operator="equal">
      <formula>"DESCRIPCIÓN INSUFICIENTE"</formula>
    </cfRule>
    <cfRule type="cellIs" dxfId="2331" priority="277" operator="equal">
      <formula>"NO ESTÁ ACORDE A ITEM 5.2.1 (T.R.)"</formula>
    </cfRule>
    <cfRule type="cellIs" dxfId="2330" priority="278" operator="equal">
      <formula>"ACORDE A ITEM 5.2.1 (T.R.)"</formula>
    </cfRule>
  </conditionalFormatting>
  <conditionalFormatting sqref="Q38">
    <cfRule type="containsBlanks" dxfId="2329" priority="269">
      <formula>LEN(TRIM(Q38))=0</formula>
    </cfRule>
    <cfRule type="cellIs" dxfId="2328" priority="275" operator="equal">
      <formula>"REQUERIMIENTOS SUBSANADOS"</formula>
    </cfRule>
    <cfRule type="containsText" dxfId="2327" priority="279" operator="containsText" text="NO SUBSANABLE">
      <formula>NOT(ISERROR(SEARCH("NO SUBSANABLE",Q38)))</formula>
    </cfRule>
    <cfRule type="containsText" dxfId="2326" priority="280" operator="containsText" text="PENDIENTES POR SUBSANAR">
      <formula>NOT(ISERROR(SEARCH("PENDIENTES POR SUBSANAR",Q38)))</formula>
    </cfRule>
    <cfRule type="containsText" dxfId="2325" priority="281" operator="containsText" text="SIN OBSERVACIÓN">
      <formula>NOT(ISERROR(SEARCH("SIN OBSERVACIÓN",Q38)))</formula>
    </cfRule>
  </conditionalFormatting>
  <conditionalFormatting sqref="R38">
    <cfRule type="containsBlanks" dxfId="2324" priority="268">
      <formula>LEN(TRIM(R38))=0</formula>
    </cfRule>
    <cfRule type="cellIs" dxfId="2323" priority="270" operator="equal">
      <formula>"NO CUMPLEN CON LO SOLICITADO"</formula>
    </cfRule>
    <cfRule type="cellIs" dxfId="2322" priority="271" operator="equal">
      <formula>"CUMPLEN CON LO SOLICITADO"</formula>
    </cfRule>
    <cfRule type="cellIs" dxfId="2321" priority="272" operator="equal">
      <formula>"PENDIENTES"</formula>
    </cfRule>
    <cfRule type="cellIs" dxfId="2320" priority="273" operator="equal">
      <formula>"NINGUNO"</formula>
    </cfRule>
  </conditionalFormatting>
  <conditionalFormatting sqref="P38">
    <cfRule type="expression" dxfId="2319" priority="259">
      <formula>Q38="NO SUBSANABLE"</formula>
    </cfRule>
    <cfRule type="expression" dxfId="2318" priority="260">
      <formula>Q38="REQUERIMIENTOS SUBSANADOS"</formula>
    </cfRule>
    <cfRule type="expression" dxfId="2317" priority="261">
      <formula>Q38="PENDIENTES POR SUBSANAR"</formula>
    </cfRule>
    <cfRule type="expression" dxfId="2316" priority="262">
      <formula>Q38="SIN OBSERVACIÓN"</formula>
    </cfRule>
    <cfRule type="containsBlanks" dxfId="2315" priority="263">
      <formula>LEN(TRIM(P38))=0</formula>
    </cfRule>
  </conditionalFormatting>
  <conditionalFormatting sqref="H57 H60 H63 H66 H69">
    <cfRule type="notContainsBlanks" dxfId="2314" priority="256">
      <formula>LEN(TRIM(H57))&gt;0</formula>
    </cfRule>
  </conditionalFormatting>
  <conditionalFormatting sqref="G57">
    <cfRule type="notContainsBlanks" dxfId="2313" priority="255">
      <formula>LEN(TRIM(G57))&gt;0</formula>
    </cfRule>
  </conditionalFormatting>
  <conditionalFormatting sqref="F57">
    <cfRule type="notContainsBlanks" dxfId="2312" priority="254">
      <formula>LEN(TRIM(F57))&gt;0</formula>
    </cfRule>
  </conditionalFormatting>
  <conditionalFormatting sqref="E57">
    <cfRule type="notContainsBlanks" dxfId="2311" priority="253">
      <formula>LEN(TRIM(E57))&gt;0</formula>
    </cfRule>
  </conditionalFormatting>
  <conditionalFormatting sqref="D57">
    <cfRule type="notContainsBlanks" dxfId="2310" priority="252">
      <formula>LEN(TRIM(D57))&gt;0</formula>
    </cfRule>
  </conditionalFormatting>
  <conditionalFormatting sqref="C57">
    <cfRule type="notContainsBlanks" dxfId="2309" priority="251">
      <formula>LEN(TRIM(C57))&gt;0</formula>
    </cfRule>
  </conditionalFormatting>
  <conditionalFormatting sqref="G63">
    <cfRule type="notContainsBlanks" dxfId="2308" priority="250">
      <formula>LEN(TRIM(G63))&gt;0</formula>
    </cfRule>
  </conditionalFormatting>
  <conditionalFormatting sqref="F63">
    <cfRule type="notContainsBlanks" dxfId="2307" priority="249">
      <formula>LEN(TRIM(F63))&gt;0</formula>
    </cfRule>
  </conditionalFormatting>
  <conditionalFormatting sqref="E63">
    <cfRule type="notContainsBlanks" dxfId="2306" priority="248">
      <formula>LEN(TRIM(E63))&gt;0</formula>
    </cfRule>
  </conditionalFormatting>
  <conditionalFormatting sqref="D63">
    <cfRule type="notContainsBlanks" dxfId="2305" priority="247">
      <formula>LEN(TRIM(D63))&gt;0</formula>
    </cfRule>
  </conditionalFormatting>
  <conditionalFormatting sqref="C63">
    <cfRule type="notContainsBlanks" dxfId="2304" priority="246">
      <formula>LEN(TRIM(C63))&gt;0</formula>
    </cfRule>
  </conditionalFormatting>
  <conditionalFormatting sqref="I63">
    <cfRule type="notContainsBlanks" dxfId="2303" priority="245">
      <formula>LEN(TRIM(I63))&gt;0</formula>
    </cfRule>
  </conditionalFormatting>
  <conditionalFormatting sqref="G69">
    <cfRule type="notContainsBlanks" dxfId="2302" priority="244">
      <formula>LEN(TRIM(G69))&gt;0</formula>
    </cfRule>
  </conditionalFormatting>
  <conditionalFormatting sqref="F69">
    <cfRule type="notContainsBlanks" dxfId="2301" priority="243">
      <formula>LEN(TRIM(F69))&gt;0</formula>
    </cfRule>
  </conditionalFormatting>
  <conditionalFormatting sqref="E69">
    <cfRule type="notContainsBlanks" dxfId="2300" priority="242">
      <formula>LEN(TRIM(E69))&gt;0</formula>
    </cfRule>
  </conditionalFormatting>
  <conditionalFormatting sqref="D69">
    <cfRule type="notContainsBlanks" dxfId="2299" priority="241">
      <formula>LEN(TRIM(D69))&gt;0</formula>
    </cfRule>
  </conditionalFormatting>
  <conditionalFormatting sqref="C69">
    <cfRule type="notContainsBlanks" dxfId="2298" priority="240">
      <formula>LEN(TRIM(C69))&gt;0</formula>
    </cfRule>
  </conditionalFormatting>
  <conditionalFormatting sqref="I69">
    <cfRule type="notContainsBlanks" dxfId="2297" priority="239">
      <formula>LEN(TRIM(I69))&gt;0</formula>
    </cfRule>
  </conditionalFormatting>
  <conditionalFormatting sqref="G60">
    <cfRule type="notContainsBlanks" dxfId="2296" priority="238">
      <formula>LEN(TRIM(G60))&gt;0</formula>
    </cfRule>
  </conditionalFormatting>
  <conditionalFormatting sqref="F60">
    <cfRule type="notContainsBlanks" dxfId="2295" priority="237">
      <formula>LEN(TRIM(F60))&gt;0</formula>
    </cfRule>
  </conditionalFormatting>
  <conditionalFormatting sqref="E60">
    <cfRule type="notContainsBlanks" dxfId="2294" priority="236">
      <formula>LEN(TRIM(E60))&gt;0</formula>
    </cfRule>
  </conditionalFormatting>
  <conditionalFormatting sqref="D60">
    <cfRule type="notContainsBlanks" dxfId="2293" priority="235">
      <formula>LEN(TRIM(D60))&gt;0</formula>
    </cfRule>
  </conditionalFormatting>
  <conditionalFormatting sqref="C60">
    <cfRule type="notContainsBlanks" dxfId="2292" priority="234">
      <formula>LEN(TRIM(C60))&gt;0</formula>
    </cfRule>
  </conditionalFormatting>
  <conditionalFormatting sqref="G66">
    <cfRule type="notContainsBlanks" dxfId="2291" priority="233">
      <formula>LEN(TRIM(G66))&gt;0</formula>
    </cfRule>
  </conditionalFormatting>
  <conditionalFormatting sqref="F66">
    <cfRule type="notContainsBlanks" dxfId="2290" priority="232">
      <formula>LEN(TRIM(F66))&gt;0</formula>
    </cfRule>
  </conditionalFormatting>
  <conditionalFormatting sqref="E66">
    <cfRule type="notContainsBlanks" dxfId="2289" priority="231">
      <formula>LEN(TRIM(E66))&gt;0</formula>
    </cfRule>
  </conditionalFormatting>
  <conditionalFormatting sqref="D66">
    <cfRule type="notContainsBlanks" dxfId="2288" priority="230">
      <formula>LEN(TRIM(D66))&gt;0</formula>
    </cfRule>
  </conditionalFormatting>
  <conditionalFormatting sqref="C66">
    <cfRule type="notContainsBlanks" dxfId="2287" priority="229">
      <formula>LEN(TRIM(C66))&gt;0</formula>
    </cfRule>
  </conditionalFormatting>
  <conditionalFormatting sqref="I60">
    <cfRule type="notContainsBlanks" dxfId="2286" priority="228">
      <formula>LEN(TRIM(I60))&gt;0</formula>
    </cfRule>
  </conditionalFormatting>
  <conditionalFormatting sqref="I66">
    <cfRule type="notContainsBlanks" dxfId="2285" priority="227">
      <formula>LEN(TRIM(I66))&gt;0</formula>
    </cfRule>
  </conditionalFormatting>
  <conditionalFormatting sqref="I57">
    <cfRule type="notContainsBlanks" dxfId="2284" priority="226">
      <formula>LEN(TRIM(I57))&gt;0</formula>
    </cfRule>
  </conditionalFormatting>
  <conditionalFormatting sqref="J57:J68">
    <cfRule type="cellIs" dxfId="2283" priority="224" operator="equal">
      <formula>"NO CUMPLE"</formula>
    </cfRule>
    <cfRule type="cellIs" dxfId="2282" priority="225" operator="equal">
      <formula>"CUMPLE"</formula>
    </cfRule>
  </conditionalFormatting>
  <conditionalFormatting sqref="J69">
    <cfRule type="cellIs" dxfId="2281" priority="222" operator="equal">
      <formula>"NO CUMPLE"</formula>
    </cfRule>
    <cfRule type="cellIs" dxfId="2280" priority="223" operator="equal">
      <formula>"CUMPLE"</formula>
    </cfRule>
  </conditionalFormatting>
  <conditionalFormatting sqref="J70:J71">
    <cfRule type="cellIs" dxfId="2279" priority="220" operator="equal">
      <formula>"NO CUMPLE"</formula>
    </cfRule>
    <cfRule type="cellIs" dxfId="2278" priority="221" operator="equal">
      <formula>"CUMPLE"</formula>
    </cfRule>
  </conditionalFormatting>
  <conditionalFormatting sqref="N66 N69">
    <cfRule type="expression" dxfId="2277" priority="217">
      <formula>N66=" "</formula>
    </cfRule>
    <cfRule type="expression" dxfId="2276" priority="218">
      <formula>N66="NO PRESENTÓ CERTIFICADO"</formula>
    </cfRule>
    <cfRule type="expression" dxfId="2275" priority="219">
      <formula>N66="PRESENTÓ CERTIFICADO"</formula>
    </cfRule>
  </conditionalFormatting>
  <conditionalFormatting sqref="O66">
    <cfRule type="cellIs" dxfId="2274" priority="199" operator="equal">
      <formula>"PENDIENTE POR DESCRIPCIÓN"</formula>
    </cfRule>
    <cfRule type="cellIs" dxfId="2273" priority="200" operator="equal">
      <formula>"DESCRIPCIÓN INSUFICIENTE"</formula>
    </cfRule>
    <cfRule type="cellIs" dxfId="2272" priority="201" operator="equal">
      <formula>"NO ESTÁ ACORDE A ITEM 5.2.2 (T.R.)"</formula>
    </cfRule>
    <cfRule type="cellIs" dxfId="2271" priority="202" operator="equal">
      <formula>"ACORDE A ITEM 5.2.2 (T.R.)"</formula>
    </cfRule>
    <cfRule type="cellIs" dxfId="2270" priority="209" operator="equal">
      <formula>"PENDIENTE POR DESCRIPCIÓN"</formula>
    </cfRule>
    <cfRule type="cellIs" dxfId="2269" priority="211" operator="equal">
      <formula>"DESCRIPCIÓN INSUFICIENTE"</formula>
    </cfRule>
    <cfRule type="cellIs" dxfId="2268" priority="212" operator="equal">
      <formula>"NO ESTÁ ACORDE A ITEM 5.2.1 (T.R.)"</formula>
    </cfRule>
    <cfRule type="cellIs" dxfId="2267" priority="213" operator="equal">
      <formula>"ACORDE A ITEM 5.2.1 (T.R.)"</formula>
    </cfRule>
  </conditionalFormatting>
  <conditionalFormatting sqref="Q66">
    <cfRule type="containsBlanks" dxfId="2266" priority="204">
      <formula>LEN(TRIM(Q66))=0</formula>
    </cfRule>
    <cfRule type="cellIs" dxfId="2265" priority="210" operator="equal">
      <formula>"REQUERIMIENTOS SUBSANADOS"</formula>
    </cfRule>
    <cfRule type="containsText" dxfId="2264" priority="214" operator="containsText" text="NO SUBSANABLE">
      <formula>NOT(ISERROR(SEARCH("NO SUBSANABLE",Q66)))</formula>
    </cfRule>
    <cfRule type="containsText" dxfId="2263" priority="215" operator="containsText" text="PENDIENTES POR SUBSANAR">
      <formula>NOT(ISERROR(SEARCH("PENDIENTES POR SUBSANAR",Q66)))</formula>
    </cfRule>
    <cfRule type="containsText" dxfId="2262" priority="216" operator="containsText" text="SIN OBSERVACIÓN">
      <formula>NOT(ISERROR(SEARCH("SIN OBSERVACIÓN",Q66)))</formula>
    </cfRule>
  </conditionalFormatting>
  <conditionalFormatting sqref="R66">
    <cfRule type="containsBlanks" dxfId="2261" priority="203">
      <formula>LEN(TRIM(R66))=0</formula>
    </cfRule>
    <cfRule type="cellIs" dxfId="2260" priority="205" operator="equal">
      <formula>"NO CUMPLEN CON LO SOLICITADO"</formula>
    </cfRule>
    <cfRule type="cellIs" dxfId="2259" priority="206" operator="equal">
      <formula>"CUMPLEN CON LO SOLICITADO"</formula>
    </cfRule>
    <cfRule type="cellIs" dxfId="2258" priority="207" operator="equal">
      <formula>"PENDIENTES"</formula>
    </cfRule>
    <cfRule type="cellIs" dxfId="2257" priority="208" operator="equal">
      <formula>"NINGUNO"</formula>
    </cfRule>
  </conditionalFormatting>
  <conditionalFormatting sqref="P66">
    <cfRule type="expression" dxfId="2256" priority="194">
      <formula>Q66="NO SUBSANABLE"</formula>
    </cfRule>
    <cfRule type="expression" dxfId="2255" priority="195">
      <formula>Q66="REQUERIMIENTOS SUBSANADOS"</formula>
    </cfRule>
    <cfRule type="expression" dxfId="2254" priority="196">
      <formula>Q66="PENDIENTES POR SUBSANAR"</formula>
    </cfRule>
    <cfRule type="expression" dxfId="2253" priority="197">
      <formula>Q66="SIN OBSERVACIÓN"</formula>
    </cfRule>
    <cfRule type="containsBlanks" dxfId="2252" priority="198">
      <formula>LEN(TRIM(P66))=0</formula>
    </cfRule>
  </conditionalFormatting>
  <conditionalFormatting sqref="N57">
    <cfRule type="expression" dxfId="2251" priority="191">
      <formula>N57=" "</formula>
    </cfRule>
    <cfRule type="expression" dxfId="2250" priority="192">
      <formula>N57="NO PRESENTÓ CERTIFICADO"</formula>
    </cfRule>
    <cfRule type="expression" dxfId="2249" priority="193">
      <formula>N57="PRESENTÓ CERTIFICADO"</formula>
    </cfRule>
  </conditionalFormatting>
  <conditionalFormatting sqref="O57">
    <cfRule type="cellIs" dxfId="2248" priority="173" operator="equal">
      <formula>"PENDIENTE POR DESCRIPCIÓN"</formula>
    </cfRule>
    <cfRule type="cellIs" dxfId="2247" priority="174" operator="equal">
      <formula>"DESCRIPCIÓN INSUFICIENTE"</formula>
    </cfRule>
    <cfRule type="cellIs" dxfId="2246" priority="175" operator="equal">
      <formula>"NO ESTÁ ACORDE A ITEM 5.2.2 (T.R.)"</formula>
    </cfRule>
    <cfRule type="cellIs" dxfId="2245" priority="176" operator="equal">
      <formula>"ACORDE A ITEM 5.2.2 (T.R.)"</formula>
    </cfRule>
    <cfRule type="cellIs" dxfId="2244" priority="183" operator="equal">
      <formula>"PENDIENTE POR DESCRIPCIÓN"</formula>
    </cfRule>
    <cfRule type="cellIs" dxfId="2243" priority="185" operator="equal">
      <formula>"DESCRIPCIÓN INSUFICIENTE"</formula>
    </cfRule>
    <cfRule type="cellIs" dxfId="2242" priority="186" operator="equal">
      <formula>"NO ESTÁ ACORDE A ITEM 5.2.1 (T.R.)"</formula>
    </cfRule>
    <cfRule type="cellIs" dxfId="2241" priority="187" operator="equal">
      <formula>"ACORDE A ITEM 5.2.1 (T.R.)"</formula>
    </cfRule>
  </conditionalFormatting>
  <conditionalFormatting sqref="Q57">
    <cfRule type="containsBlanks" dxfId="2240" priority="178">
      <formula>LEN(TRIM(Q57))=0</formula>
    </cfRule>
    <cfRule type="cellIs" dxfId="2239" priority="184" operator="equal">
      <formula>"REQUERIMIENTOS SUBSANADOS"</formula>
    </cfRule>
    <cfRule type="containsText" dxfId="2238" priority="188" operator="containsText" text="NO SUBSANABLE">
      <formula>NOT(ISERROR(SEARCH("NO SUBSANABLE",Q57)))</formula>
    </cfRule>
    <cfRule type="containsText" dxfId="2237" priority="189" operator="containsText" text="PENDIENTES POR SUBSANAR">
      <formula>NOT(ISERROR(SEARCH("PENDIENTES POR SUBSANAR",Q57)))</formula>
    </cfRule>
    <cfRule type="containsText" dxfId="2236" priority="190" operator="containsText" text="SIN OBSERVACIÓN">
      <formula>NOT(ISERROR(SEARCH("SIN OBSERVACIÓN",Q57)))</formula>
    </cfRule>
  </conditionalFormatting>
  <conditionalFormatting sqref="R57">
    <cfRule type="containsBlanks" dxfId="2235" priority="177">
      <formula>LEN(TRIM(R57))=0</formula>
    </cfRule>
    <cfRule type="cellIs" dxfId="2234" priority="179" operator="equal">
      <formula>"NO CUMPLEN CON LO SOLICITADO"</formula>
    </cfRule>
    <cfRule type="cellIs" dxfId="2233" priority="180" operator="equal">
      <formula>"CUMPLEN CON LO SOLICITADO"</formula>
    </cfRule>
    <cfRule type="cellIs" dxfId="2232" priority="181" operator="equal">
      <formula>"PENDIENTES"</formula>
    </cfRule>
    <cfRule type="cellIs" dxfId="2231" priority="182" operator="equal">
      <formula>"NINGUNO"</formula>
    </cfRule>
  </conditionalFormatting>
  <conditionalFormatting sqref="P57">
    <cfRule type="expression" dxfId="2230" priority="168">
      <formula>Q57="NO SUBSANABLE"</formula>
    </cfRule>
    <cfRule type="expression" dxfId="2229" priority="169">
      <formula>Q57="REQUERIMIENTOS SUBSANADOS"</formula>
    </cfRule>
    <cfRule type="expression" dxfId="2228" priority="170">
      <formula>Q57="PENDIENTES POR SUBSANAR"</formula>
    </cfRule>
    <cfRule type="expression" dxfId="2227" priority="171">
      <formula>Q57="SIN OBSERVACIÓN"</formula>
    </cfRule>
    <cfRule type="containsBlanks" dxfId="2226" priority="172">
      <formula>LEN(TRIM(P57))=0</formula>
    </cfRule>
  </conditionalFormatting>
  <conditionalFormatting sqref="N60">
    <cfRule type="expression" dxfId="2225" priority="165">
      <formula>N60=" "</formula>
    </cfRule>
    <cfRule type="expression" dxfId="2224" priority="166">
      <formula>N60="NO PRESENTÓ CERTIFICADO"</formula>
    </cfRule>
    <cfRule type="expression" dxfId="2223" priority="167">
      <formula>N60="PRESENTÓ CERTIFICADO"</formula>
    </cfRule>
  </conditionalFormatting>
  <conditionalFormatting sqref="O60">
    <cfRule type="cellIs" dxfId="2222" priority="147" operator="equal">
      <formula>"PENDIENTE POR DESCRIPCIÓN"</formula>
    </cfRule>
    <cfRule type="cellIs" dxfId="2221" priority="148" operator="equal">
      <formula>"DESCRIPCIÓN INSUFICIENTE"</formula>
    </cfRule>
    <cfRule type="cellIs" dxfId="2220" priority="149" operator="equal">
      <formula>"NO ESTÁ ACORDE A ITEM 5.2.2 (T.R.)"</formula>
    </cfRule>
    <cfRule type="cellIs" dxfId="2219" priority="150" operator="equal">
      <formula>"ACORDE A ITEM 5.2.2 (T.R.)"</formula>
    </cfRule>
    <cfRule type="cellIs" dxfId="2218" priority="157" operator="equal">
      <formula>"PENDIENTE POR DESCRIPCIÓN"</formula>
    </cfRule>
    <cfRule type="cellIs" dxfId="2217" priority="159" operator="equal">
      <formula>"DESCRIPCIÓN INSUFICIENTE"</formula>
    </cfRule>
    <cfRule type="cellIs" dxfId="2216" priority="160" operator="equal">
      <formula>"NO ESTÁ ACORDE A ITEM 5.2.1 (T.R.)"</formula>
    </cfRule>
    <cfRule type="cellIs" dxfId="2215" priority="161" operator="equal">
      <formula>"ACORDE A ITEM 5.2.1 (T.R.)"</formula>
    </cfRule>
  </conditionalFormatting>
  <conditionalFormatting sqref="Q60">
    <cfRule type="containsBlanks" dxfId="2214" priority="152">
      <formula>LEN(TRIM(Q60))=0</formula>
    </cfRule>
    <cfRule type="cellIs" dxfId="2213" priority="158" operator="equal">
      <formula>"REQUERIMIENTOS SUBSANADOS"</formula>
    </cfRule>
    <cfRule type="containsText" dxfId="2212" priority="162" operator="containsText" text="NO SUBSANABLE">
      <formula>NOT(ISERROR(SEARCH("NO SUBSANABLE",Q60)))</formula>
    </cfRule>
    <cfRule type="containsText" dxfId="2211" priority="163" operator="containsText" text="PENDIENTES POR SUBSANAR">
      <formula>NOT(ISERROR(SEARCH("PENDIENTES POR SUBSANAR",Q60)))</formula>
    </cfRule>
    <cfRule type="containsText" dxfId="2210" priority="164" operator="containsText" text="SIN OBSERVACIÓN">
      <formula>NOT(ISERROR(SEARCH("SIN OBSERVACIÓN",Q60)))</formula>
    </cfRule>
  </conditionalFormatting>
  <conditionalFormatting sqref="R60">
    <cfRule type="containsBlanks" dxfId="2209" priority="151">
      <formula>LEN(TRIM(R60))=0</formula>
    </cfRule>
    <cfRule type="cellIs" dxfId="2208" priority="153" operator="equal">
      <formula>"NO CUMPLEN CON LO SOLICITADO"</formula>
    </cfRule>
    <cfRule type="cellIs" dxfId="2207" priority="154" operator="equal">
      <formula>"CUMPLEN CON LO SOLICITADO"</formula>
    </cfRule>
    <cfRule type="cellIs" dxfId="2206" priority="155" operator="equal">
      <formula>"PENDIENTES"</formula>
    </cfRule>
    <cfRule type="cellIs" dxfId="2205" priority="156" operator="equal">
      <formula>"NINGUNO"</formula>
    </cfRule>
  </conditionalFormatting>
  <conditionalFormatting sqref="P60">
    <cfRule type="expression" dxfId="2204" priority="142">
      <formula>Q60="NO SUBSANABLE"</formula>
    </cfRule>
    <cfRule type="expression" dxfId="2203" priority="143">
      <formula>Q60="REQUERIMIENTOS SUBSANADOS"</formula>
    </cfRule>
    <cfRule type="expression" dxfId="2202" priority="144">
      <formula>Q60="PENDIENTES POR SUBSANAR"</formula>
    </cfRule>
    <cfRule type="expression" dxfId="2201" priority="145">
      <formula>Q60="SIN OBSERVACIÓN"</formula>
    </cfRule>
    <cfRule type="containsBlanks" dxfId="2200" priority="146">
      <formula>LEN(TRIM(P60))=0</formula>
    </cfRule>
  </conditionalFormatting>
  <conditionalFormatting sqref="N63">
    <cfRule type="expression" dxfId="2199" priority="139">
      <formula>N63=" "</formula>
    </cfRule>
    <cfRule type="expression" dxfId="2198" priority="140">
      <formula>N63="NO PRESENTÓ CERTIFICADO"</formula>
    </cfRule>
    <cfRule type="expression" dxfId="2197" priority="141">
      <formula>N63="PRESENTÓ CERTIFICADO"</formula>
    </cfRule>
  </conditionalFormatting>
  <conditionalFormatting sqref="O63">
    <cfRule type="cellIs" dxfId="2196" priority="121" operator="equal">
      <formula>"PENDIENTE POR DESCRIPCIÓN"</formula>
    </cfRule>
    <cfRule type="cellIs" dxfId="2195" priority="122" operator="equal">
      <formula>"DESCRIPCIÓN INSUFICIENTE"</formula>
    </cfRule>
    <cfRule type="cellIs" dxfId="2194" priority="123" operator="equal">
      <formula>"NO ESTÁ ACORDE A ITEM 5.2.2 (T.R.)"</formula>
    </cfRule>
    <cfRule type="cellIs" dxfId="2193" priority="124" operator="equal">
      <formula>"ACORDE A ITEM 5.2.2 (T.R.)"</formula>
    </cfRule>
    <cfRule type="cellIs" dxfId="2192" priority="131" operator="equal">
      <formula>"PENDIENTE POR DESCRIPCIÓN"</formula>
    </cfRule>
    <cfRule type="cellIs" dxfId="2191" priority="133" operator="equal">
      <formula>"DESCRIPCIÓN INSUFICIENTE"</formula>
    </cfRule>
    <cfRule type="cellIs" dxfId="2190" priority="134" operator="equal">
      <formula>"NO ESTÁ ACORDE A ITEM 5.2.1 (T.R.)"</formula>
    </cfRule>
    <cfRule type="cellIs" dxfId="2189" priority="135" operator="equal">
      <formula>"ACORDE A ITEM 5.2.1 (T.R.)"</formula>
    </cfRule>
  </conditionalFormatting>
  <conditionalFormatting sqref="Q63">
    <cfRule type="containsBlanks" dxfId="2188" priority="126">
      <formula>LEN(TRIM(Q63))=0</formula>
    </cfRule>
    <cfRule type="cellIs" dxfId="2187" priority="132" operator="equal">
      <formula>"REQUERIMIENTOS SUBSANADOS"</formula>
    </cfRule>
    <cfRule type="containsText" dxfId="2186" priority="136" operator="containsText" text="NO SUBSANABLE">
      <formula>NOT(ISERROR(SEARCH("NO SUBSANABLE",Q63)))</formula>
    </cfRule>
    <cfRule type="containsText" dxfId="2185" priority="137" operator="containsText" text="PENDIENTES POR SUBSANAR">
      <formula>NOT(ISERROR(SEARCH("PENDIENTES POR SUBSANAR",Q63)))</formula>
    </cfRule>
    <cfRule type="containsText" dxfId="2184" priority="138" operator="containsText" text="SIN OBSERVACIÓN">
      <formula>NOT(ISERROR(SEARCH("SIN OBSERVACIÓN",Q63)))</formula>
    </cfRule>
  </conditionalFormatting>
  <conditionalFormatting sqref="R63">
    <cfRule type="containsBlanks" dxfId="2183" priority="125">
      <formula>LEN(TRIM(R63))=0</formula>
    </cfRule>
    <cfRule type="cellIs" dxfId="2182" priority="127" operator="equal">
      <formula>"NO CUMPLEN CON LO SOLICITADO"</formula>
    </cfRule>
    <cfRule type="cellIs" dxfId="2181" priority="128" operator="equal">
      <formula>"CUMPLEN CON LO SOLICITADO"</formula>
    </cfRule>
    <cfRule type="cellIs" dxfId="2180" priority="129" operator="equal">
      <formula>"PENDIENTES"</formula>
    </cfRule>
    <cfRule type="cellIs" dxfId="2179" priority="130" operator="equal">
      <formula>"NINGUNO"</formula>
    </cfRule>
  </conditionalFormatting>
  <conditionalFormatting sqref="P63">
    <cfRule type="expression" dxfId="2178" priority="116">
      <formula>Q63="NO SUBSANABLE"</formula>
    </cfRule>
    <cfRule type="expression" dxfId="2177" priority="117">
      <formula>Q63="REQUERIMIENTOS SUBSANADOS"</formula>
    </cfRule>
    <cfRule type="expression" dxfId="2176" priority="118">
      <formula>Q63="PENDIENTES POR SUBSANAR"</formula>
    </cfRule>
    <cfRule type="expression" dxfId="2175" priority="119">
      <formula>Q63="SIN OBSERVACIÓN"</formula>
    </cfRule>
    <cfRule type="containsBlanks" dxfId="2174" priority="120">
      <formula>LEN(TRIM(P63))=0</formula>
    </cfRule>
  </conditionalFormatting>
  <conditionalFormatting sqref="V79">
    <cfRule type="cellIs" dxfId="2173" priority="112" operator="equal">
      <formula>"NO"</formula>
    </cfRule>
    <cfRule type="cellIs" dxfId="2172" priority="113" operator="equal">
      <formula>"SI"</formula>
    </cfRule>
  </conditionalFormatting>
  <conditionalFormatting sqref="V82 V85 V88 V91">
    <cfRule type="cellIs" dxfId="2171" priority="110" operator="equal">
      <formula>"NO"</formula>
    </cfRule>
    <cfRule type="cellIs" dxfId="2170" priority="111" operator="equal">
      <formula>"SI"</formula>
    </cfRule>
  </conditionalFormatting>
  <conditionalFormatting sqref="V57">
    <cfRule type="cellIs" dxfId="2169" priority="108" operator="equal">
      <formula>"NO"</formula>
    </cfRule>
    <cfRule type="cellIs" dxfId="2168" priority="109" operator="equal">
      <formula>"SI"</formula>
    </cfRule>
  </conditionalFormatting>
  <conditionalFormatting sqref="V60 V63 V66 V69">
    <cfRule type="cellIs" dxfId="2167" priority="106" operator="equal">
      <formula>"NO"</formula>
    </cfRule>
    <cfRule type="cellIs" dxfId="2166" priority="107" operator="equal">
      <formula>"SI"</formula>
    </cfRule>
  </conditionalFormatting>
  <conditionalFormatting sqref="V35">
    <cfRule type="cellIs" dxfId="2165" priority="104" operator="equal">
      <formula>"NO"</formula>
    </cfRule>
    <cfRule type="cellIs" dxfId="2164" priority="105" operator="equal">
      <formula>"SI"</formula>
    </cfRule>
  </conditionalFormatting>
  <conditionalFormatting sqref="V38 V41 V44 V47">
    <cfRule type="cellIs" dxfId="2163" priority="102" operator="equal">
      <formula>"NO"</formula>
    </cfRule>
    <cfRule type="cellIs" dxfId="2162" priority="103" operator="equal">
      <formula>"SI"</formula>
    </cfRule>
  </conditionalFormatting>
  <conditionalFormatting sqref="V13">
    <cfRule type="cellIs" dxfId="2161" priority="100" operator="equal">
      <formula>"NO"</formula>
    </cfRule>
    <cfRule type="cellIs" dxfId="2160" priority="101" operator="equal">
      <formula>"SI"</formula>
    </cfRule>
  </conditionalFormatting>
  <conditionalFormatting sqref="V16 V19 V22 V25">
    <cfRule type="cellIs" dxfId="2159" priority="98" operator="equal">
      <formula>"NO"</formula>
    </cfRule>
    <cfRule type="cellIs" dxfId="2158" priority="99" operator="equal">
      <formula>"SI"</formula>
    </cfRule>
  </conditionalFormatting>
  <conditionalFormatting sqref="O69">
    <cfRule type="cellIs" dxfId="2157" priority="80" operator="equal">
      <formula>"PENDIENTE POR DESCRIPCIÓN"</formula>
    </cfRule>
    <cfRule type="cellIs" dxfId="2156" priority="81" operator="equal">
      <formula>"DESCRIPCIÓN INSUFICIENTE"</formula>
    </cfRule>
    <cfRule type="cellIs" dxfId="2155" priority="82" operator="equal">
      <formula>"NO ESTÁ ACORDE A ITEM 5.2.2 (T.R.)"</formula>
    </cfRule>
    <cfRule type="cellIs" dxfId="2154" priority="83" operator="equal">
      <formula>"ACORDE A ITEM 5.2.2 (T.R.)"</formula>
    </cfRule>
    <cfRule type="cellIs" dxfId="2153" priority="90" operator="equal">
      <formula>"PENDIENTE POR DESCRIPCIÓN"</formula>
    </cfRule>
    <cfRule type="cellIs" dxfId="2152" priority="92" operator="equal">
      <formula>"DESCRIPCIÓN INSUFICIENTE"</formula>
    </cfRule>
    <cfRule type="cellIs" dxfId="2151" priority="93" operator="equal">
      <formula>"NO ESTÁ ACORDE A ITEM 5.2.1 (T.R.)"</formula>
    </cfRule>
    <cfRule type="cellIs" dxfId="2150" priority="94" operator="equal">
      <formula>"ACORDE A ITEM 5.2.1 (T.R.)"</formula>
    </cfRule>
  </conditionalFormatting>
  <conditionalFormatting sqref="Q69">
    <cfRule type="containsBlanks" dxfId="2149" priority="85">
      <formula>LEN(TRIM(Q69))=0</formula>
    </cfRule>
    <cfRule type="cellIs" dxfId="2148" priority="91" operator="equal">
      <formula>"REQUERIMIENTOS SUBSANADOS"</formula>
    </cfRule>
    <cfRule type="containsText" dxfId="2147" priority="95" operator="containsText" text="NO SUBSANABLE">
      <formula>NOT(ISERROR(SEARCH("NO SUBSANABLE",Q69)))</formula>
    </cfRule>
    <cfRule type="containsText" dxfId="2146" priority="96" operator="containsText" text="PENDIENTES POR SUBSANAR">
      <formula>NOT(ISERROR(SEARCH("PENDIENTES POR SUBSANAR",Q69)))</formula>
    </cfRule>
    <cfRule type="containsText" dxfId="2145" priority="97" operator="containsText" text="SIN OBSERVACIÓN">
      <formula>NOT(ISERROR(SEARCH("SIN OBSERVACIÓN",Q69)))</formula>
    </cfRule>
  </conditionalFormatting>
  <conditionalFormatting sqref="R69">
    <cfRule type="containsBlanks" dxfId="2144" priority="84">
      <formula>LEN(TRIM(R69))=0</formula>
    </cfRule>
    <cfRule type="cellIs" dxfId="2143" priority="86" operator="equal">
      <formula>"NO CUMPLEN CON LO SOLICITADO"</formula>
    </cfRule>
    <cfRule type="cellIs" dxfId="2142" priority="87" operator="equal">
      <formula>"CUMPLEN CON LO SOLICITADO"</formula>
    </cfRule>
    <cfRule type="cellIs" dxfId="2141" priority="88" operator="equal">
      <formula>"PENDIENTES"</formula>
    </cfRule>
    <cfRule type="cellIs" dxfId="2140" priority="89" operator="equal">
      <formula>"NINGUNO"</formula>
    </cfRule>
  </conditionalFormatting>
  <conditionalFormatting sqref="P69">
    <cfRule type="expression" dxfId="2139" priority="75">
      <formula>Q69="NO SUBSANABLE"</formula>
    </cfRule>
    <cfRule type="expression" dxfId="2138" priority="76">
      <formula>Q69="REQUERIMIENTOS SUBSANADOS"</formula>
    </cfRule>
    <cfRule type="expression" dxfId="2137" priority="77">
      <formula>Q69="PENDIENTES POR SUBSANAR"</formula>
    </cfRule>
    <cfRule type="expression" dxfId="2136" priority="78">
      <formula>Q69="SIN OBSERVACIÓN"</formula>
    </cfRule>
    <cfRule type="containsBlanks" dxfId="2135" priority="79">
      <formula>LEN(TRIM(P69))=0</formula>
    </cfRule>
  </conditionalFormatting>
  <conditionalFormatting sqref="J79:J87">
    <cfRule type="cellIs" dxfId="2134" priority="73" operator="equal">
      <formula>"NO CUMPLE"</formula>
    </cfRule>
    <cfRule type="cellIs" dxfId="2133" priority="74" operator="equal">
      <formula>"CUMPLE"</formula>
    </cfRule>
  </conditionalFormatting>
  <conditionalFormatting sqref="N79 N82">
    <cfRule type="expression" dxfId="2132" priority="70">
      <formula>N79=" "</formula>
    </cfRule>
    <cfRule type="expression" dxfId="2131" priority="71">
      <formula>N79="NO PRESENTÓ CERTIFICADO"</formula>
    </cfRule>
    <cfRule type="expression" dxfId="2130" priority="72">
      <formula>N79="PRESENTÓ CERTIFICADO"</formula>
    </cfRule>
  </conditionalFormatting>
  <conditionalFormatting sqref="O79 O82">
    <cfRule type="cellIs" dxfId="2129" priority="52" operator="equal">
      <formula>"PENDIENTE POR DESCRIPCIÓN"</formula>
    </cfRule>
    <cfRule type="cellIs" dxfId="2128" priority="53" operator="equal">
      <formula>"DESCRIPCIÓN INSUFICIENTE"</formula>
    </cfRule>
    <cfRule type="cellIs" dxfId="2127" priority="54" operator="equal">
      <formula>"NO ESTÁ ACORDE A ITEM 5.2.2 (T.R.)"</formula>
    </cfRule>
    <cfRule type="cellIs" dxfId="2126" priority="55" operator="equal">
      <formula>"ACORDE A ITEM 5.2.2 (T.R.)"</formula>
    </cfRule>
    <cfRule type="cellIs" dxfId="2125" priority="62" operator="equal">
      <formula>"PENDIENTE POR DESCRIPCIÓN"</formula>
    </cfRule>
    <cfRule type="cellIs" dxfId="2124" priority="64" operator="equal">
      <formula>"DESCRIPCIÓN INSUFICIENTE"</formula>
    </cfRule>
    <cfRule type="cellIs" dxfId="2123" priority="65" operator="equal">
      <formula>"NO ESTÁ ACORDE A ITEM 5.2.1 (T.R.)"</formula>
    </cfRule>
    <cfRule type="cellIs" dxfId="2122" priority="66" operator="equal">
      <formula>"ACORDE A ITEM 5.2.1 (T.R.)"</formula>
    </cfRule>
  </conditionalFormatting>
  <conditionalFormatting sqref="Q79 Q82">
    <cfRule type="containsBlanks" dxfId="2121" priority="57">
      <formula>LEN(TRIM(Q79))=0</formula>
    </cfRule>
    <cfRule type="cellIs" dxfId="2120" priority="63" operator="equal">
      <formula>"REQUERIMIENTOS SUBSANADOS"</formula>
    </cfRule>
    <cfRule type="containsText" dxfId="2119" priority="67" operator="containsText" text="NO SUBSANABLE">
      <formula>NOT(ISERROR(SEARCH("NO SUBSANABLE",Q79)))</formula>
    </cfRule>
    <cfRule type="containsText" dxfId="2118" priority="68" operator="containsText" text="PENDIENTES POR SUBSANAR">
      <formula>NOT(ISERROR(SEARCH("PENDIENTES POR SUBSANAR",Q79)))</formula>
    </cfRule>
    <cfRule type="containsText" dxfId="2117" priority="69" operator="containsText" text="SIN OBSERVACIÓN">
      <formula>NOT(ISERROR(SEARCH("SIN OBSERVACIÓN",Q79)))</formula>
    </cfRule>
  </conditionalFormatting>
  <conditionalFormatting sqref="R79 R82">
    <cfRule type="containsBlanks" dxfId="2116" priority="56">
      <formula>LEN(TRIM(R79))=0</formula>
    </cfRule>
    <cfRule type="cellIs" dxfId="2115" priority="58" operator="equal">
      <formula>"NO CUMPLEN CON LO SOLICITADO"</formula>
    </cfRule>
    <cfRule type="cellIs" dxfId="2114" priority="59" operator="equal">
      <formula>"CUMPLEN CON LO SOLICITADO"</formula>
    </cfRule>
    <cfRule type="cellIs" dxfId="2113" priority="60" operator="equal">
      <formula>"PENDIENTES"</formula>
    </cfRule>
    <cfRule type="cellIs" dxfId="2112" priority="61" operator="equal">
      <formula>"NINGUNO"</formula>
    </cfRule>
  </conditionalFormatting>
  <conditionalFormatting sqref="P79">
    <cfRule type="expression" dxfId="2111" priority="47">
      <formula>Q79="NO SUBSANABLE"</formula>
    </cfRule>
    <cfRule type="expression" dxfId="2110" priority="48">
      <formula>Q79="REQUERIMIENTOS SUBSANADOS"</formula>
    </cfRule>
    <cfRule type="expression" dxfId="2109" priority="49">
      <formula>Q79="PENDIENTES POR SUBSANAR"</formula>
    </cfRule>
    <cfRule type="expression" dxfId="2108" priority="50">
      <formula>Q79="SIN OBSERVACIÓN"</formula>
    </cfRule>
    <cfRule type="containsBlanks" dxfId="2107" priority="51">
      <formula>LEN(TRIM(P79))=0</formula>
    </cfRule>
  </conditionalFormatting>
  <conditionalFormatting sqref="N85">
    <cfRule type="expression" dxfId="2106" priority="44">
      <formula>N85=" "</formula>
    </cfRule>
    <cfRule type="expression" dxfId="2105" priority="45">
      <formula>N85="NO PRESENTÓ CERTIFICADO"</formula>
    </cfRule>
    <cfRule type="expression" dxfId="2104" priority="46">
      <formula>N85="PRESENTÓ CERTIFICADO"</formula>
    </cfRule>
  </conditionalFormatting>
  <conditionalFormatting sqref="O85">
    <cfRule type="cellIs" dxfId="2103" priority="36" operator="equal">
      <formula>"PENDIENTE POR DESCRIPCIÓN"</formula>
    </cfRule>
    <cfRule type="cellIs" dxfId="2102" priority="37" operator="equal">
      <formula>"DESCRIPCIÓN INSUFICIENTE"</formula>
    </cfRule>
    <cfRule type="cellIs" dxfId="2101" priority="38" operator="equal">
      <formula>"NO ESTÁ ACORDE A ITEM 5.2.2 (T.R.)"</formula>
    </cfRule>
    <cfRule type="cellIs" dxfId="2100" priority="39" operator="equal">
      <formula>"ACORDE A ITEM 5.2.2 (T.R.)"</formula>
    </cfRule>
    <cfRule type="cellIs" dxfId="2099" priority="40" operator="equal">
      <formula>"PENDIENTE POR DESCRIPCIÓN"</formula>
    </cfRule>
    <cfRule type="cellIs" dxfId="2098" priority="41" operator="equal">
      <formula>"DESCRIPCIÓN INSUFICIENTE"</formula>
    </cfRule>
    <cfRule type="cellIs" dxfId="2097" priority="42" operator="equal">
      <formula>"NO ESTÁ ACORDE A ITEM 5.2.1 (T.R.)"</formula>
    </cfRule>
    <cfRule type="cellIs" dxfId="2096" priority="43" operator="equal">
      <formula>"ACORDE A ITEM 5.2.1 (T.R.)"</formula>
    </cfRule>
  </conditionalFormatting>
  <conditionalFormatting sqref="Q85">
    <cfRule type="containsBlanks" dxfId="2095" priority="27">
      <formula>LEN(TRIM(Q85))=0</formula>
    </cfRule>
    <cfRule type="cellIs" dxfId="2094" priority="32" operator="equal">
      <formula>"REQUERIMIENTOS SUBSANADOS"</formula>
    </cfRule>
    <cfRule type="containsText" dxfId="2093" priority="33" operator="containsText" text="NO SUBSANABLE">
      <formula>NOT(ISERROR(SEARCH("NO SUBSANABLE",Q85)))</formula>
    </cfRule>
    <cfRule type="containsText" dxfId="2092" priority="34" operator="containsText" text="PENDIENTES POR SUBSANAR">
      <formula>NOT(ISERROR(SEARCH("PENDIENTES POR SUBSANAR",Q85)))</formula>
    </cfRule>
    <cfRule type="containsText" dxfId="2091" priority="35" operator="containsText" text="SIN OBSERVACIÓN">
      <formula>NOT(ISERROR(SEARCH("SIN OBSERVACIÓN",Q85)))</formula>
    </cfRule>
  </conditionalFormatting>
  <conditionalFormatting sqref="R85">
    <cfRule type="containsBlanks" dxfId="2090" priority="26">
      <formula>LEN(TRIM(R85))=0</formula>
    </cfRule>
    <cfRule type="cellIs" dxfId="2089" priority="28" operator="equal">
      <formula>"NO CUMPLEN CON LO SOLICITADO"</formula>
    </cfRule>
    <cfRule type="cellIs" dxfId="2088" priority="29" operator="equal">
      <formula>"CUMPLEN CON LO SOLICITADO"</formula>
    </cfRule>
    <cfRule type="cellIs" dxfId="2087" priority="30" operator="equal">
      <formula>"PENDIENTES"</formula>
    </cfRule>
    <cfRule type="cellIs" dxfId="2086" priority="31" operator="equal">
      <formula>"NINGUNO"</formula>
    </cfRule>
  </conditionalFormatting>
  <conditionalFormatting sqref="P85">
    <cfRule type="expression" dxfId="2085" priority="21">
      <formula>Q85="NO SUBSANABLE"</formula>
    </cfRule>
    <cfRule type="expression" dxfId="2084" priority="22">
      <formula>Q85="REQUERIMIENTOS SUBSANADOS"</formula>
    </cfRule>
    <cfRule type="expression" dxfId="2083" priority="23">
      <formula>Q85="PENDIENTES POR SUBSANAR"</formula>
    </cfRule>
    <cfRule type="expression" dxfId="2082" priority="24">
      <formula>Q85="SIN OBSERVACIÓN"</formula>
    </cfRule>
    <cfRule type="containsBlanks" dxfId="2081" priority="25">
      <formula>LEN(TRIM(P85))=0</formula>
    </cfRule>
  </conditionalFormatting>
  <conditionalFormatting sqref="P82">
    <cfRule type="expression" dxfId="2080" priority="16">
      <formula>Q82="NO SUBSANABLE"</formula>
    </cfRule>
    <cfRule type="expression" dxfId="2079" priority="17">
      <formula>Q82="REQUERIMIENTOS SUBSANADOS"</formula>
    </cfRule>
    <cfRule type="expression" dxfId="2078" priority="18">
      <formula>Q82="PENDIENTES POR SUBSANAR"</formula>
    </cfRule>
    <cfRule type="expression" dxfId="2077" priority="19">
      <formula>Q82="SIN OBSERVACIÓN"</formula>
    </cfRule>
    <cfRule type="containsBlanks" dxfId="2076" priority="20">
      <formula>LEN(TRIM(P82))=0</formula>
    </cfRule>
  </conditionalFormatting>
  <conditionalFormatting sqref="Q123">
    <cfRule type="containsBlanks" dxfId="2075" priority="7">
      <formula>LEN(TRIM(Q123))=0</formula>
    </cfRule>
    <cfRule type="cellIs" dxfId="2074" priority="12" operator="equal">
      <formula>"REQUERIMIENTOS SUBSANADOS"</formula>
    </cfRule>
    <cfRule type="containsText" dxfId="2073" priority="13" operator="containsText" text="NO SUBSANABLE">
      <formula>NOT(ISERROR(SEARCH("NO SUBSANABLE",Q123)))</formula>
    </cfRule>
    <cfRule type="containsText" dxfId="2072" priority="14" operator="containsText" text="PENDIENTES POR SUBSANAR">
      <formula>NOT(ISERROR(SEARCH("PENDIENTES POR SUBSANAR",Q123)))</formula>
    </cfRule>
    <cfRule type="containsText" dxfId="2071" priority="15" operator="containsText" text="SIN OBSERVACIÓN">
      <formula>NOT(ISERROR(SEARCH("SIN OBSERVACIÓN",Q123)))</formula>
    </cfRule>
  </conditionalFormatting>
  <conditionalFormatting sqref="R123">
    <cfRule type="containsBlanks" dxfId="2070" priority="6">
      <formula>LEN(TRIM(R123))=0</formula>
    </cfRule>
    <cfRule type="cellIs" dxfId="2069" priority="8" operator="equal">
      <formula>"NO CUMPLEN CON LO SOLICITADO"</formula>
    </cfRule>
    <cfRule type="cellIs" dxfId="2068" priority="9" operator="equal">
      <formula>"CUMPLEN CON LO SOLICITADO"</formula>
    </cfRule>
    <cfRule type="cellIs" dxfId="2067" priority="10" operator="equal">
      <formula>"PENDIENTES"</formula>
    </cfRule>
    <cfRule type="cellIs" dxfId="2066" priority="11" operator="equal">
      <formula>"NINGUNO"</formula>
    </cfRule>
  </conditionalFormatting>
  <conditionalFormatting sqref="P123">
    <cfRule type="expression" dxfId="2065" priority="1">
      <formula>Q123="NO SUBSANABLE"</formula>
    </cfRule>
    <cfRule type="expression" dxfId="2064" priority="2">
      <formula>Q123="REQUERIMIENTOS SUBSANADOS"</formula>
    </cfRule>
    <cfRule type="expression" dxfId="2063" priority="3">
      <formula>Q123="PENDIENTES POR SUBSANAR"</formula>
    </cfRule>
    <cfRule type="expression" dxfId="2062" priority="4">
      <formula>Q123="SIN OBSERVACIÓN"</formula>
    </cfRule>
    <cfRule type="containsBlanks" dxfId="2061" priority="5">
      <formula>LEN(TRIM(P123))=0</formula>
    </cfRule>
  </conditionalFormatting>
  <dataValidations count="7">
    <dataValidation type="list" allowBlank="1" showInputMessage="1" showErrorMessage="1" sqref="B10 B32 B54 B76 B98 B120 B142 B164 B186 B208 B230 B252 B274 B296">
      <formula1>"1,2,3,4,5,6,7,8,9,10,11,12,13,14,15,16,17"</formula1>
    </dataValidation>
    <dataValidation type="list" allowBlank="1" showInputMessage="1" showErrorMessage="1" sqref="O113 O25 O22 O16 O19 O302 O201 O13 O41 O44 O47 O311 O308 O299 O35 O198 O38 O66 O63 O88 O91 O132 O101 O104 O107 O211 O192 O195 O69 O110 O135 O173 O145 O151 O157 O170 O179 O176 O167 O189 O148 O123 O126 O129 O154 O223 O220 O239 O214 O217 O245 O242 O267 O233 O236 O264 O261 O255 O283 O258 O289 O286 O277 O305 O280 O57 O60 O82 O79 O85">
      <formula1>"ACORDE A ITEM 5.2.2 (T.R.),NO ESTÁ ACORDE A ITEM 5.2.2 (T.R.),DESCRIPCIÓN INSUFICIENTE,PENDIENTE POR DESCRIPCIÓN"</formula1>
    </dataValidation>
    <dataValidation type="list" allowBlank="1" showInputMessage="1" showErrorMessage="1" sqref="L22:L23 L60:L61 J167:J181 L63:L64 L47:L48 L189:L190 L151:L152 L113:L114 J35:J49 L38:L39 L85:L86 L66:L67 L123:L124 L170:L171 L25:L26 L104:L105 L88:L89 L154:L155 L13:L14 L16:L17 L19:L20 L41:L42 L44:L45 L35:L36 J101:J115 J123:J137 L57:L58 L179:L180 J233:J247 L69:L70 L79:L80 J13:J27 L82:L83 L107:L108 L110:L111 L91:L92 L101:L102 J57:J71 L126:L127 L129:L130 L132:L133 L135:L136 L145:L146 J145:J159 L148:L149 L173:L174 L176:L177 L157:L158 L167:L168 L192:L193 L201:L202 L195:L196 L198:L199 J189:J203 L211:L212 L214:L215 L223:L224 L217:L218 L220:L221 J211:J225 L233:L234 L236:L237 L245:L246 L239:L240 L242:L243 J255:J269 L255:L256 L258:L259 L267:L268 L261:L262 L264:L265 J277:J291 L277:L278 L280:L281 L289:L290 L283:L284 L286:L287 J299:J313 L299:L300 L302:L303 L311:L312 L305:L306 L308:L309 J79:J93">
      <formula1>",CUMPLE,NO CUMPLE"</formula1>
    </dataValidation>
    <dataValidation type="list" allowBlank="1" showInputMessage="1" showErrorMessage="1" sqref="H107 H16 H19 H22 H25 H104 H13 H41 H44 H47 H299 H258 H261 H35 H38 H79 H82 H85 H88 H91 H101 H126 H129 H110 H113 H123 H170 H173 H132 H135 H145 H148 H151 H154 H157 H167 H264 H267 H176 H179 H189 H192 H195 H198 H201 H211 H214 H217 H220 H223 H233 H236 H239 H242 H245 H255 H302 H305 H308 H311 H277 H280 H283 H286 H289 H57 H60 H63 H66 H69">
      <formula1>"I,C,UT"</formula1>
    </dataValidation>
    <dataValidation type="list" allowBlank="1" showInputMessage="1" showErrorMessage="1" sqref="N113 N19 N22 N16 N305 N25 N13 N41 N44 N47 N311 N299 N302 N35 N201 N38 N66 N69 N88 N91 N132 N101 N104 N107 N148 N123 N110 N126 N129 N135 N173 N145 N151 N157 N170 N179 N176 N167 N189 N211 N192 N195 N198 N63 N154 N223 N239 N214 N217 N220 N245 N267 N233 N236 N242 N264 N255 N283 N258 N261 N289 N277 N308 N280 N286 N57 N60 N82 N85 N79">
      <formula1>"PRESENTÓ CERTIFICADO,NO PRESENTÓ CERTIFICADO"</formula1>
    </dataValidation>
    <dataValidation type="list" allowBlank="1" showInputMessage="1" showErrorMessage="1" sqref="Q113 Q19 Q22 Q25 Q311 Q16 Q13 Q41 Q44 Q299 Q305 Q308 Q35 Q47 Q211 Q66 Q63 Q88 Q38 Q132 Q101 Q104 Q107 Q91 Q195 Q198 Q201 Q69 Q110 Q173 Q145 Q151 Q157 Q135 Q179 Q176 Q167 Q189 Q170 Q192 Q148 Q85 Q126 Q129 Q154 Q239 Q217 Q220 Q223 Q214 Q267 Q236 Q242 Q245 Q233 Q255 Q258 Q261 Q264 Q280 Q277 Q283 Q286 Q289 Q302 Q57 Q60 Q82 Q79 Q123">
      <formula1>"SIN OBSERVACIÓN, PENDIENTES POR SUBSANAR, REQUERIMIENTOS SUBSANADOS, NO SUBSANABLE"</formula1>
    </dataValidation>
    <dataValidation type="list" allowBlank="1" showInputMessage="1" showErrorMessage="1" sqref="R113 R19 R22 R25 R308 R16 R13 R41 R44 R47 R311 R302 R305 R35 R201 R38 R66 R63 R88 R91 R132 R101 R104 R107 R192 R195 R198 R69 R110 R135 R173 R145 R151 R157 R170 R179 R176 R167 R189 R211 R148 R85 R126 R129 R154 R223 R214 R217 R220 R239 R245 R233 R236 R242 R267 R264 R280 R258 R261 R255 R289 R277 R283 R286 R299 R57 R60 R82 R79 R123">
      <formula1>"NINGUNO, PENDIENTES, CUMPLEN CON LO SOLICITADO, NO CUMPLEN CON LO SOLICITADO"</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opLeftCell="A4" workbookViewId="0">
      <selection activeCell="G13" sqref="G13"/>
    </sheetView>
  </sheetViews>
  <sheetFormatPr baseColWidth="10" defaultColWidth="11.42578125" defaultRowHeight="15" x14ac:dyDescent="0.25"/>
  <cols>
    <col min="1" max="1" width="6.42578125" style="13" bestFit="1" customWidth="1"/>
    <col min="2" max="2" width="44.42578125" style="13" customWidth="1"/>
    <col min="3" max="4" width="16.42578125" style="13" bestFit="1" customWidth="1"/>
    <col min="5" max="5" width="7.42578125" style="61" bestFit="1" customWidth="1"/>
    <col min="6" max="6" width="14.85546875" style="61" customWidth="1"/>
    <col min="7" max="7" width="18" style="61" bestFit="1" customWidth="1"/>
    <col min="8" max="8" width="16.42578125" style="61" bestFit="1" customWidth="1"/>
    <col min="9" max="9" width="19.140625" style="61" customWidth="1"/>
    <col min="10" max="10" width="20.7109375" style="61" customWidth="1"/>
    <col min="11" max="11" width="23.7109375" style="13" customWidth="1"/>
    <col min="12" max="12" width="11.42578125" style="13" customWidth="1"/>
    <col min="13" max="13" width="11.42578125" style="46" customWidth="1"/>
    <col min="14" max="14" width="49.85546875" style="13" customWidth="1"/>
    <col min="15" max="15" width="14.85546875" style="47" customWidth="1"/>
    <col min="16" max="16384" width="11.42578125" style="13"/>
  </cols>
  <sheetData>
    <row r="1" spans="1:15" ht="23.25" x14ac:dyDescent="0.25">
      <c r="A1" s="520" t="s">
        <v>54</v>
      </c>
      <c r="B1" s="520"/>
      <c r="C1" s="520"/>
      <c r="D1" s="520"/>
      <c r="E1" s="520"/>
      <c r="F1" s="520"/>
      <c r="G1" s="520"/>
      <c r="H1" s="520"/>
      <c r="I1" s="520"/>
      <c r="J1" s="520"/>
    </row>
    <row r="2" spans="1:15" s="49" customFormat="1" ht="18.75" thickBot="1" x14ac:dyDescent="0.3">
      <c r="A2" s="48"/>
      <c r="B2" s="48"/>
      <c r="C2" s="48"/>
      <c r="D2" s="48"/>
      <c r="E2" s="48"/>
      <c r="F2" s="48"/>
      <c r="G2" s="48"/>
      <c r="H2" s="48"/>
      <c r="I2" s="48"/>
      <c r="J2" s="48"/>
      <c r="M2" s="50"/>
      <c r="O2" s="51"/>
    </row>
    <row r="3" spans="1:15" ht="16.5" thickBot="1" x14ac:dyDescent="0.3">
      <c r="A3" s="521" t="s">
        <v>2</v>
      </c>
      <c r="B3" s="524" t="s">
        <v>55</v>
      </c>
      <c r="C3" s="527" t="s">
        <v>56</v>
      </c>
      <c r="D3" s="527"/>
      <c r="E3" s="527"/>
      <c r="F3" s="528"/>
      <c r="G3" s="529" t="s">
        <v>57</v>
      </c>
      <c r="H3" s="530"/>
      <c r="I3" s="530"/>
      <c r="J3" s="531"/>
    </row>
    <row r="4" spans="1:15" ht="23.25" thickBot="1" x14ac:dyDescent="0.3">
      <c r="A4" s="522"/>
      <c r="B4" s="525"/>
      <c r="C4" s="52" t="s">
        <v>58</v>
      </c>
      <c r="D4" s="532" t="s">
        <v>59</v>
      </c>
      <c r="E4" s="533"/>
      <c r="F4" s="297">
        <v>0.65</v>
      </c>
      <c r="G4" s="299" t="s">
        <v>60</v>
      </c>
      <c r="H4" s="534" t="s">
        <v>61</v>
      </c>
      <c r="I4" s="535"/>
      <c r="J4" s="347">
        <f>+'5.2. EXPERIENCIA GRAL Y ESP'!N6</f>
        <v>734538900</v>
      </c>
      <c r="K4" s="536" t="s">
        <v>336</v>
      </c>
    </row>
    <row r="5" spans="1:15" s="16" customFormat="1" ht="16.5" thickBot="1" x14ac:dyDescent="0.3">
      <c r="A5" s="523"/>
      <c r="B5" s="526"/>
      <c r="C5" s="295" t="s">
        <v>62</v>
      </c>
      <c r="D5" s="295" t="s">
        <v>63</v>
      </c>
      <c r="E5" s="295" t="s">
        <v>64</v>
      </c>
      <c r="F5" s="298" t="s">
        <v>65</v>
      </c>
      <c r="G5" s="300" t="s">
        <v>66</v>
      </c>
      <c r="H5" s="296" t="s">
        <v>67</v>
      </c>
      <c r="I5" s="296" t="s">
        <v>64</v>
      </c>
      <c r="J5" s="348" t="s">
        <v>65</v>
      </c>
      <c r="K5" s="537"/>
      <c r="M5" s="518" t="s">
        <v>68</v>
      </c>
      <c r="N5" s="519"/>
      <c r="O5" s="294" t="s">
        <v>48</v>
      </c>
    </row>
    <row r="6" spans="1:15" s="16" customFormat="1" ht="15.75" x14ac:dyDescent="0.25">
      <c r="A6" s="314">
        <f>IF('[1]1_ENTREGA'!A8="","",'[1]1_ENTREGA'!A8)</f>
        <v>1</v>
      </c>
      <c r="B6" s="311" t="str">
        <f t="shared" ref="B6:B12" si="0">IF(A6="","",VLOOKUP(A6,LISTA_OFERENTES,2,FALSE))</f>
        <v>CONCRETOS Y MEZCLAS S.A</v>
      </c>
      <c r="C6" s="301">
        <v>10768554203</v>
      </c>
      <c r="D6" s="301">
        <v>23755981978</v>
      </c>
      <c r="E6" s="302">
        <f>IFERROR((C6/D6)," ")</f>
        <v>0.45329863497002859</v>
      </c>
      <c r="F6" s="303" t="str">
        <f>IF(B6="","",IF(E6&lt;=$F$4,"CUMPLE","NO CUMPLE"))</f>
        <v>CUMPLE</v>
      </c>
      <c r="G6" s="304">
        <v>13343731340</v>
      </c>
      <c r="H6" s="304">
        <v>655868084</v>
      </c>
      <c r="I6" s="305">
        <f>G6-H6</f>
        <v>12687863256</v>
      </c>
      <c r="J6" s="349" t="str">
        <f>IF(B6="","",IF(I6="","NO CUMPLE",IF(I6&gt;=$J$4,"CUMPLE","NO CUMPLE")))</f>
        <v>CUMPLE</v>
      </c>
      <c r="K6" s="352"/>
      <c r="M6" s="291">
        <v>1</v>
      </c>
      <c r="N6" s="292" t="str">
        <f t="shared" ref="N6:N12" si="1">VLOOKUP(M6,LISTA_OFERENTES,2,FALSE)</f>
        <v>CONCRETOS Y MEZCLAS S.A</v>
      </c>
      <c r="O6" s="293" t="str">
        <f>IF(OR(F6="NO CUMPLE",J6="NO CUMPLE"),"NH","H")</f>
        <v>H</v>
      </c>
    </row>
    <row r="7" spans="1:15" s="16" customFormat="1" ht="15.75" x14ac:dyDescent="0.25">
      <c r="A7" s="315">
        <f>IF('[1]1_ENTREGA'!A9="","",'[1]1_ENTREGA'!A9)</f>
        <v>2</v>
      </c>
      <c r="B7" s="312" t="str">
        <f t="shared" si="0"/>
        <v>INGAP S.A.S</v>
      </c>
      <c r="C7" s="209">
        <v>6374438000</v>
      </c>
      <c r="D7" s="209">
        <v>12149045000</v>
      </c>
      <c r="E7" s="54">
        <f t="shared" ref="E7:E11" si="2">IFERROR((C7/D7)," ")</f>
        <v>0.5246863436591106</v>
      </c>
      <c r="F7" s="55" t="str">
        <f t="shared" ref="F7:F12" si="3">IF(B7="","",IF(E7&lt;=$F$4,"CUMPLE","NO CUMPLE"))</f>
        <v>CUMPLE</v>
      </c>
      <c r="G7" s="60">
        <v>11679264000</v>
      </c>
      <c r="H7" s="60">
        <v>2174906000</v>
      </c>
      <c r="I7" s="56">
        <f t="shared" ref="I7:I12" si="4">G7-H7</f>
        <v>9504358000</v>
      </c>
      <c r="J7" s="350" t="str">
        <f t="shared" ref="J7:J12" si="5">IF(B7="","",IF(I7="","NO CUMPLE",IF(I7&gt;=$J$4,"CUMPLE","NO CUMPLE")))</f>
        <v>CUMPLE</v>
      </c>
      <c r="K7" s="352"/>
      <c r="M7" s="286">
        <v>2</v>
      </c>
      <c r="N7" s="58" t="str">
        <f t="shared" si="1"/>
        <v>INGAP S.A.S</v>
      </c>
      <c r="O7" s="287" t="str">
        <f t="shared" ref="O7:O12" si="6">IF(OR(F7="NO CUMPLE",J7="NO CUMPLE"),"NH","H")</f>
        <v>H</v>
      </c>
    </row>
    <row r="8" spans="1:15" s="16" customFormat="1" ht="15.75" x14ac:dyDescent="0.25">
      <c r="A8" s="315">
        <f>IF('[1]1_ENTREGA'!A10="","",'[1]1_ENTREGA'!A10)</f>
        <v>3</v>
      </c>
      <c r="B8" s="312" t="str">
        <f t="shared" si="0"/>
        <v xml:space="preserve">VIACOL INGENIEROS CONTRATISTAS </v>
      </c>
      <c r="C8" s="209">
        <v>812650788</v>
      </c>
      <c r="D8" s="209">
        <v>1905397654</v>
      </c>
      <c r="E8" s="54">
        <f t="shared" si="2"/>
        <v>0.42649931172844824</v>
      </c>
      <c r="F8" s="55" t="str">
        <f t="shared" si="3"/>
        <v>CUMPLE</v>
      </c>
      <c r="G8" s="60">
        <v>1789750688</v>
      </c>
      <c r="H8" s="209">
        <v>414419535</v>
      </c>
      <c r="I8" s="56">
        <f t="shared" si="4"/>
        <v>1375331153</v>
      </c>
      <c r="J8" s="350" t="str">
        <f t="shared" si="5"/>
        <v>CUMPLE</v>
      </c>
      <c r="K8" s="352"/>
      <c r="M8" s="286">
        <v>3</v>
      </c>
      <c r="N8" s="58" t="str">
        <f t="shared" si="1"/>
        <v xml:space="preserve">VIACOL INGENIEROS CONTRATISTAS </v>
      </c>
      <c r="O8" s="287" t="str">
        <f t="shared" si="6"/>
        <v>H</v>
      </c>
    </row>
    <row r="9" spans="1:15" s="16" customFormat="1" ht="23.25" customHeight="1" x14ac:dyDescent="0.25">
      <c r="A9" s="315">
        <f>IF('[1]1_ENTREGA'!A11="","",'[1]1_ENTREGA'!A11)</f>
        <v>4</v>
      </c>
      <c r="B9" s="312" t="str">
        <f t="shared" si="0"/>
        <v>CÉSAR AUGUSTO GIRALDO ATEHORTÚA</v>
      </c>
      <c r="C9" s="209">
        <v>241773000</v>
      </c>
      <c r="D9" s="209">
        <v>1702071000</v>
      </c>
      <c r="E9" s="54">
        <f t="shared" si="2"/>
        <v>0.14204636586840386</v>
      </c>
      <c r="F9" s="55" t="str">
        <f t="shared" si="3"/>
        <v>CUMPLE</v>
      </c>
      <c r="G9" s="60">
        <v>1042306000</v>
      </c>
      <c r="H9" s="60">
        <v>18637000</v>
      </c>
      <c r="I9" s="56">
        <f t="shared" si="4"/>
        <v>1023669000</v>
      </c>
      <c r="J9" s="350" t="str">
        <f t="shared" si="5"/>
        <v>CUMPLE</v>
      </c>
      <c r="K9" s="352"/>
      <c r="M9" s="286">
        <v>4</v>
      </c>
      <c r="N9" s="58" t="str">
        <f t="shared" si="1"/>
        <v>CÉSAR AUGUSTO GIRALDO ATEHORTÚA</v>
      </c>
      <c r="O9" s="287" t="str">
        <f t="shared" si="6"/>
        <v>H</v>
      </c>
    </row>
    <row r="10" spans="1:15" s="16" customFormat="1" ht="21" customHeight="1" x14ac:dyDescent="0.25">
      <c r="A10" s="315">
        <f>IF('[1]1_ENTREGA'!A12="","",'[1]1_ENTREGA'!A12)</f>
        <v>5</v>
      </c>
      <c r="B10" s="312" t="str">
        <f t="shared" si="0"/>
        <v>JUAN CARLOS RESTREPO GUTIERREZ</v>
      </c>
      <c r="C10" s="209">
        <v>1539217357</v>
      </c>
      <c r="D10" s="209">
        <v>4363053137</v>
      </c>
      <c r="E10" s="54">
        <f t="shared" si="2"/>
        <v>0.35278446277607184</v>
      </c>
      <c r="F10" s="55" t="str">
        <f t="shared" si="3"/>
        <v>CUMPLE</v>
      </c>
      <c r="G10" s="60">
        <v>3373844276</v>
      </c>
      <c r="H10" s="60">
        <v>128466238</v>
      </c>
      <c r="I10" s="56">
        <f t="shared" si="4"/>
        <v>3245378038</v>
      </c>
      <c r="J10" s="350" t="str">
        <f t="shared" si="5"/>
        <v>CUMPLE</v>
      </c>
      <c r="K10" s="352"/>
      <c r="M10" s="286">
        <v>5</v>
      </c>
      <c r="N10" s="58" t="str">
        <f t="shared" si="1"/>
        <v>JUAN CARLOS RESTREPO GUTIERREZ</v>
      </c>
      <c r="O10" s="287" t="str">
        <f t="shared" si="6"/>
        <v>H</v>
      </c>
    </row>
    <row r="11" spans="1:15" s="16" customFormat="1" ht="15.75" x14ac:dyDescent="0.25">
      <c r="A11" s="315">
        <f>IF('[1]1_ENTREGA'!A13="","",'[1]1_ENTREGA'!A13)</f>
        <v>6</v>
      </c>
      <c r="B11" s="312" t="str">
        <f t="shared" si="0"/>
        <v>ANGELA MARÍA CÁRDENAS ZAPATA</v>
      </c>
      <c r="C11" s="209">
        <v>1437728622</v>
      </c>
      <c r="D11" s="209">
        <v>3682926737</v>
      </c>
      <c r="E11" s="54">
        <f t="shared" si="2"/>
        <v>0.39037665548870787</v>
      </c>
      <c r="F11" s="55" t="str">
        <f t="shared" si="3"/>
        <v>CUMPLE</v>
      </c>
      <c r="G11" s="60">
        <v>3238129644</v>
      </c>
      <c r="H11" s="60">
        <v>49027514</v>
      </c>
      <c r="I11" s="56">
        <f t="shared" si="4"/>
        <v>3189102130</v>
      </c>
      <c r="J11" s="350" t="str">
        <f t="shared" si="5"/>
        <v>CUMPLE</v>
      </c>
      <c r="K11" s="352"/>
      <c r="M11" s="286">
        <v>6</v>
      </c>
      <c r="N11" s="58" t="str">
        <f t="shared" si="1"/>
        <v>ANGELA MARÍA CÁRDENAS ZAPATA</v>
      </c>
      <c r="O11" s="287" t="str">
        <f t="shared" si="6"/>
        <v>H</v>
      </c>
    </row>
    <row r="12" spans="1:15" s="16" customFormat="1" ht="29.25" customHeight="1" x14ac:dyDescent="0.25">
      <c r="A12" s="315">
        <f>IF('[1]1_ENTREGA'!A14="","",'[1]1_ENTREGA'!A14)</f>
        <v>7</v>
      </c>
      <c r="B12" s="312" t="str">
        <f t="shared" si="0"/>
        <v>ASEM S.A.S</v>
      </c>
      <c r="C12" s="209">
        <v>3030297987</v>
      </c>
      <c r="D12" s="209">
        <v>5675298844</v>
      </c>
      <c r="E12" s="54">
        <f>IFERROR((C12/D12)," ")</f>
        <v>0.533945096160649</v>
      </c>
      <c r="F12" s="55" t="str">
        <f t="shared" si="3"/>
        <v>CUMPLE</v>
      </c>
      <c r="G12" s="60">
        <v>4389290686</v>
      </c>
      <c r="H12" s="60">
        <v>2932744225</v>
      </c>
      <c r="I12" s="56">
        <f t="shared" si="4"/>
        <v>1456546461</v>
      </c>
      <c r="J12" s="350" t="str">
        <f t="shared" si="5"/>
        <v>CUMPLE</v>
      </c>
      <c r="K12" s="352"/>
      <c r="M12" s="286">
        <v>7</v>
      </c>
      <c r="N12" s="58" t="str">
        <f t="shared" si="1"/>
        <v>ASEM S.A.S</v>
      </c>
      <c r="O12" s="287" t="str">
        <f t="shared" si="6"/>
        <v>H</v>
      </c>
    </row>
    <row r="13" spans="1:15" ht="30" x14ac:dyDescent="0.25">
      <c r="A13" s="315">
        <f>IF('[1]1_ENTREGA'!A15="","",'[1]1_ENTREGA'!A15)</f>
        <v>8</v>
      </c>
      <c r="B13" s="312" t="str">
        <f t="shared" ref="B13:B15" si="7">IF(A13="","",VLOOKUP(A13,LISTA_OFERENTES,2,FALSE))</f>
        <v>LUIS CARLOS PARRA VELASQUEZ</v>
      </c>
      <c r="C13" s="209">
        <v>868603943</v>
      </c>
      <c r="D13" s="209">
        <v>1584747741</v>
      </c>
      <c r="E13" s="54">
        <f>IFERROR((C13/D13)," ")</f>
        <v>0.54810233864217262</v>
      </c>
      <c r="F13" s="55" t="str">
        <f t="shared" ref="F13:F15" si="8">IF(B13="","",IF(E13&lt;=$F$4,"CUMPLE","NO CUMPLE"))</f>
        <v>CUMPLE</v>
      </c>
      <c r="G13" s="60">
        <v>1383947540</v>
      </c>
      <c r="H13" s="60">
        <v>60394939</v>
      </c>
      <c r="I13" s="56">
        <f t="shared" ref="I13:I15" si="9">G13-H13</f>
        <v>1323552601</v>
      </c>
      <c r="J13" s="350" t="str">
        <f t="shared" ref="J13:J15" si="10">IF(B13="","",IF(I13="","NO CUMPLE",IF(I13&gt;=$J$4,"CUMPLE","NO CUMPLE")))</f>
        <v>CUMPLE</v>
      </c>
      <c r="K13" s="353" t="s">
        <v>335</v>
      </c>
      <c r="M13" s="286">
        <v>8</v>
      </c>
      <c r="N13" s="58" t="str">
        <f t="shared" ref="N13:N15" si="11">VLOOKUP(M13,LISTA_OFERENTES,2,FALSE)</f>
        <v>LUIS CARLOS PARRA VELASQUEZ</v>
      </c>
      <c r="O13" s="287" t="str">
        <f t="shared" ref="O13:O15" si="12">IF(OR(F13="NO CUMPLE",J13="NO CUMPLE"),"NH","H")</f>
        <v>H</v>
      </c>
    </row>
    <row r="14" spans="1:15" ht="15.75" x14ac:dyDescent="0.25">
      <c r="A14" s="315">
        <f>IF('[1]1_ENTREGA'!A16="","",'[1]1_ENTREGA'!A16)</f>
        <v>9</v>
      </c>
      <c r="B14" s="312" t="str">
        <f t="shared" si="7"/>
        <v>KA S.A.</v>
      </c>
      <c r="C14" s="209">
        <v>1036404213</v>
      </c>
      <c r="D14" s="209">
        <v>2787802894</v>
      </c>
      <c r="E14" s="54">
        <f t="shared" ref="E14:E15" si="13">IFERROR((C14/D14)," ")</f>
        <v>0.37176380555116822</v>
      </c>
      <c r="F14" s="55" t="str">
        <f t="shared" si="8"/>
        <v>CUMPLE</v>
      </c>
      <c r="G14" s="60">
        <v>2377646152</v>
      </c>
      <c r="H14" s="60">
        <v>90197863</v>
      </c>
      <c r="I14" s="56">
        <f t="shared" si="9"/>
        <v>2287448289</v>
      </c>
      <c r="J14" s="350" t="str">
        <f t="shared" si="10"/>
        <v>CUMPLE</v>
      </c>
      <c r="K14" s="353"/>
      <c r="M14" s="286">
        <v>9</v>
      </c>
      <c r="N14" s="58" t="str">
        <f t="shared" si="11"/>
        <v>KA S.A.</v>
      </c>
      <c r="O14" s="287" t="str">
        <f t="shared" si="12"/>
        <v>H</v>
      </c>
    </row>
    <row r="15" spans="1:15" ht="21.75" customHeight="1" x14ac:dyDescent="0.25">
      <c r="A15" s="315">
        <f>IF('[1]1_ENTREGA'!A17="","",'[1]1_ENTREGA'!A17)</f>
        <v>10</v>
      </c>
      <c r="B15" s="312" t="str">
        <f t="shared" si="7"/>
        <v xml:space="preserve">DANIEL JOSE NIEVES VERGARA </v>
      </c>
      <c r="C15" s="209">
        <v>98366456</v>
      </c>
      <c r="D15" s="209">
        <v>1633173638</v>
      </c>
      <c r="E15" s="54">
        <f t="shared" si="13"/>
        <v>6.0230249687633033E-2</v>
      </c>
      <c r="F15" s="55" t="str">
        <f t="shared" si="8"/>
        <v>CUMPLE</v>
      </c>
      <c r="G15" s="60">
        <v>1345564910</v>
      </c>
      <c r="H15" s="60">
        <v>98366456</v>
      </c>
      <c r="I15" s="56">
        <f t="shared" si="9"/>
        <v>1247198454</v>
      </c>
      <c r="J15" s="350" t="str">
        <f t="shared" si="10"/>
        <v>CUMPLE</v>
      </c>
      <c r="K15" s="353"/>
      <c r="M15" s="286">
        <v>10</v>
      </c>
      <c r="N15" s="58" t="str">
        <f t="shared" si="11"/>
        <v xml:space="preserve">DANIEL JOSE NIEVES VERGARA </v>
      </c>
      <c r="O15" s="287" t="str">
        <f t="shared" si="12"/>
        <v>H</v>
      </c>
    </row>
    <row r="16" spans="1:15" ht="23.25" customHeight="1" x14ac:dyDescent="0.25">
      <c r="A16" s="315">
        <f>IF('[1]1_ENTREGA'!A18="","",'[1]1_ENTREGA'!A18)</f>
        <v>11</v>
      </c>
      <c r="B16" s="312" t="str">
        <f t="shared" ref="B16:B19" si="14">IF(A16="","",VLOOKUP(A16,LISTA_OFERENTES,2,FALSE))</f>
        <v xml:space="preserve">CARLOS ANDRES ACEBEDO ESCOBAR </v>
      </c>
      <c r="C16" s="209">
        <v>1244355168</v>
      </c>
      <c r="D16" s="209">
        <v>7690480786</v>
      </c>
      <c r="E16" s="54">
        <f t="shared" ref="E16:E19" si="15">IFERROR((C16/D16)," ")</f>
        <v>0.16180460007978492</v>
      </c>
      <c r="F16" s="55" t="str">
        <f t="shared" ref="F16:F19" si="16">IF(B16="","",IF(E16&lt;=$F$4,"CUMPLE","NO CUMPLE"))</f>
        <v>CUMPLE</v>
      </c>
      <c r="G16" s="60">
        <v>3989028999</v>
      </c>
      <c r="H16" s="60">
        <v>1244355168</v>
      </c>
      <c r="I16" s="56">
        <f t="shared" ref="I16:I19" si="17">G16-H16</f>
        <v>2744673831</v>
      </c>
      <c r="J16" s="350" t="str">
        <f t="shared" ref="J16:J19" si="18">IF(B16="","",IF(I16="","NO CUMPLE",IF(I16&gt;=$J$4,"CUMPLE","NO CUMPLE")))</f>
        <v>CUMPLE</v>
      </c>
      <c r="K16" s="353"/>
      <c r="M16" s="286">
        <v>11</v>
      </c>
      <c r="N16" s="58" t="str">
        <f t="shared" ref="N16:N19" si="19">VLOOKUP(M16,LISTA_OFERENTES,2,FALSE)</f>
        <v xml:space="preserve">CARLOS ANDRES ACEBEDO ESCOBAR </v>
      </c>
      <c r="O16" s="287" t="str">
        <f t="shared" ref="O16:O19" si="20">IF(OR(F16="NO CUMPLE",J16="NO CUMPLE"),"NH","H")</f>
        <v>H</v>
      </c>
    </row>
    <row r="17" spans="1:15" ht="23.25" customHeight="1" x14ac:dyDescent="0.25">
      <c r="A17" s="315">
        <f>IF('[1]1_ENTREGA'!A19="","",'[1]1_ENTREGA'!A19)</f>
        <v>12</v>
      </c>
      <c r="B17" s="312" t="str">
        <f t="shared" si="14"/>
        <v>CONDEIN S.A.S</v>
      </c>
      <c r="C17" s="209">
        <v>252851418</v>
      </c>
      <c r="D17" s="209">
        <v>1135875607</v>
      </c>
      <c r="E17" s="54">
        <f t="shared" si="15"/>
        <v>0.2226048490184718</v>
      </c>
      <c r="F17" s="55" t="str">
        <f t="shared" si="16"/>
        <v>CUMPLE</v>
      </c>
      <c r="G17" s="60">
        <v>1050875607</v>
      </c>
      <c r="H17" s="60">
        <v>107071569</v>
      </c>
      <c r="I17" s="56">
        <f t="shared" si="17"/>
        <v>943804038</v>
      </c>
      <c r="J17" s="350" t="str">
        <f t="shared" si="18"/>
        <v>CUMPLE</v>
      </c>
      <c r="K17" s="353"/>
      <c r="M17" s="286">
        <v>12</v>
      </c>
      <c r="N17" s="58" t="str">
        <f t="shared" si="19"/>
        <v>CONDEIN S.A.S</v>
      </c>
      <c r="O17" s="287" t="str">
        <f t="shared" si="20"/>
        <v>H</v>
      </c>
    </row>
    <row r="18" spans="1:15" ht="44.25" customHeight="1" x14ac:dyDescent="0.25">
      <c r="A18" s="315">
        <f>IF('[1]1_ENTREGA'!A20="","",'[1]1_ENTREGA'!A20)</f>
        <v>13</v>
      </c>
      <c r="B18" s="312" t="str">
        <f t="shared" si="14"/>
        <v>CONSTRUVALORES S.A.S</v>
      </c>
      <c r="C18" s="209">
        <v>368373000</v>
      </c>
      <c r="D18" s="209">
        <v>1106413000</v>
      </c>
      <c r="E18" s="54">
        <f t="shared" si="15"/>
        <v>0.33294348493736065</v>
      </c>
      <c r="F18" s="55" t="str">
        <f t="shared" si="16"/>
        <v>CUMPLE</v>
      </c>
      <c r="G18" s="60">
        <v>918400000</v>
      </c>
      <c r="H18" s="60">
        <v>112813000</v>
      </c>
      <c r="I18" s="56">
        <f t="shared" si="17"/>
        <v>805587000</v>
      </c>
      <c r="J18" s="350" t="str">
        <f t="shared" si="18"/>
        <v>CUMPLE</v>
      </c>
      <c r="K18" s="353" t="s">
        <v>337</v>
      </c>
      <c r="M18" s="286">
        <v>13</v>
      </c>
      <c r="N18" s="58" t="str">
        <f t="shared" si="19"/>
        <v>CONSTRUVALORES S.A.S</v>
      </c>
      <c r="O18" s="287" t="str">
        <f t="shared" si="20"/>
        <v>H</v>
      </c>
    </row>
    <row r="19" spans="1:15" ht="23.25" customHeight="1" thickBot="1" x14ac:dyDescent="0.3">
      <c r="A19" s="316">
        <f>IF('[1]1_ENTREGA'!A21="","",'[1]1_ENTREGA'!A21)</f>
        <v>14</v>
      </c>
      <c r="B19" s="313" t="str">
        <f t="shared" si="14"/>
        <v>WILLIAMS.CO S.A.S</v>
      </c>
      <c r="C19" s="306">
        <v>119839961</v>
      </c>
      <c r="D19" s="306">
        <v>1394148237</v>
      </c>
      <c r="E19" s="307">
        <f t="shared" si="15"/>
        <v>8.595926732861478E-2</v>
      </c>
      <c r="F19" s="308" t="str">
        <f t="shared" si="16"/>
        <v>CUMPLE</v>
      </c>
      <c r="G19" s="309">
        <v>1372838612</v>
      </c>
      <c r="H19" s="309">
        <v>119839961</v>
      </c>
      <c r="I19" s="310">
        <f t="shared" si="17"/>
        <v>1252998651</v>
      </c>
      <c r="J19" s="351" t="str">
        <f t="shared" si="18"/>
        <v>CUMPLE</v>
      </c>
      <c r="K19" s="354"/>
      <c r="M19" s="288">
        <v>14</v>
      </c>
      <c r="N19" s="289" t="str">
        <f t="shared" si="19"/>
        <v>WILLIAMS.CO S.A.S</v>
      </c>
      <c r="O19" s="290" t="str">
        <f t="shared" si="20"/>
        <v>H</v>
      </c>
    </row>
  </sheetData>
  <sheetProtection algorithmName="SHA-512" hashValue="ZH9pkrHi+LxE6rMiSbdSeRW2QyV+IULPvZo7jxjdnqk96i5p1LSskvGGk2/kV68uCji016xOJeNszC9AB1CUdw==" saltValue="s7eQKnEOvIPZ6tLPKkN+5g==" spinCount="100000" sheet="1" objects="1" scenarios="1"/>
  <mergeCells count="9">
    <mergeCell ref="M5:N5"/>
    <mergeCell ref="A1:J1"/>
    <mergeCell ref="A3:A5"/>
    <mergeCell ref="B3:B5"/>
    <mergeCell ref="C3:F3"/>
    <mergeCell ref="G3:J3"/>
    <mergeCell ref="D4:E4"/>
    <mergeCell ref="H4:I4"/>
    <mergeCell ref="K4:K5"/>
  </mergeCells>
  <conditionalFormatting sqref="J6:J12">
    <cfRule type="cellIs" dxfId="2060" priority="16" operator="equal">
      <formula>"NO CUMPLE"</formula>
    </cfRule>
  </conditionalFormatting>
  <conditionalFormatting sqref="F6:F12">
    <cfRule type="cellIs" dxfId="2059" priority="15" operator="equal">
      <formula>"NO CUMPLE"</formula>
    </cfRule>
  </conditionalFormatting>
  <conditionalFormatting sqref="O6">
    <cfRule type="cellIs" dxfId="2058" priority="13" operator="equal">
      <formula>"NH"</formula>
    </cfRule>
    <cfRule type="cellIs" dxfId="2057" priority="14" operator="equal">
      <formula>"H"</formula>
    </cfRule>
  </conditionalFormatting>
  <conditionalFormatting sqref="O7:O12">
    <cfRule type="cellIs" dxfId="2056" priority="11" operator="equal">
      <formula>"NH"</formula>
    </cfRule>
    <cfRule type="cellIs" dxfId="2055" priority="12" operator="equal">
      <formula>"H"</formula>
    </cfRule>
  </conditionalFormatting>
  <conditionalFormatting sqref="J13">
    <cfRule type="cellIs" dxfId="2054" priority="10" operator="equal">
      <formula>"NO CUMPLE"</formula>
    </cfRule>
  </conditionalFormatting>
  <conditionalFormatting sqref="F13">
    <cfRule type="cellIs" dxfId="2053" priority="9" operator="equal">
      <formula>"NO CUMPLE"</formula>
    </cfRule>
  </conditionalFormatting>
  <conditionalFormatting sqref="J14:J15">
    <cfRule type="cellIs" dxfId="2052" priority="8" operator="equal">
      <formula>"NO CUMPLE"</formula>
    </cfRule>
  </conditionalFormatting>
  <conditionalFormatting sqref="F14:F15">
    <cfRule type="cellIs" dxfId="2051" priority="7" operator="equal">
      <formula>"NO CUMPLE"</formula>
    </cfRule>
  </conditionalFormatting>
  <conditionalFormatting sqref="O13:O15">
    <cfRule type="cellIs" dxfId="2050" priority="5" operator="equal">
      <formula>"NH"</formula>
    </cfRule>
    <cfRule type="cellIs" dxfId="2049" priority="6" operator="equal">
      <formula>"H"</formula>
    </cfRule>
  </conditionalFormatting>
  <conditionalFormatting sqref="J16:J19">
    <cfRule type="cellIs" dxfId="2048" priority="4" operator="equal">
      <formula>"NO CUMPLE"</formula>
    </cfRule>
  </conditionalFormatting>
  <conditionalFormatting sqref="F16:F19">
    <cfRule type="cellIs" dxfId="2047" priority="3" operator="equal">
      <formula>"NO CUMPLE"</formula>
    </cfRule>
  </conditionalFormatting>
  <conditionalFormatting sqref="O16:O19">
    <cfRule type="cellIs" dxfId="2046" priority="1" operator="equal">
      <formula>"NH"</formula>
    </cfRule>
    <cfRule type="cellIs" dxfId="2045" priority="2" operator="equal">
      <formula>"H"</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F3" sqref="F3"/>
    </sheetView>
  </sheetViews>
  <sheetFormatPr baseColWidth="10" defaultColWidth="11.42578125" defaultRowHeight="12.75" x14ac:dyDescent="0.25"/>
  <cols>
    <col min="1" max="1" width="8" style="62" customWidth="1"/>
    <col min="2" max="2" width="41" style="62" customWidth="1"/>
    <col min="3" max="3" width="17.28515625" style="62" customWidth="1"/>
    <col min="4" max="4" width="20.140625" style="62" customWidth="1"/>
    <col min="5" max="6" width="31.42578125" style="62" customWidth="1"/>
    <col min="7" max="7" width="22.42578125" style="62" customWidth="1"/>
    <col min="8" max="8" width="29.140625" style="62" customWidth="1"/>
    <col min="9" max="10" width="11.42578125" style="62"/>
    <col min="11" max="11" width="11.42578125" style="62" customWidth="1"/>
    <col min="12" max="12" width="42.42578125" style="68" customWidth="1"/>
    <col min="13" max="13" width="12.7109375" style="62" customWidth="1"/>
    <col min="14" max="16384" width="11.42578125" style="62"/>
  </cols>
  <sheetData>
    <row r="1" spans="1:13" ht="23.25" x14ac:dyDescent="0.25">
      <c r="A1" s="538" t="s">
        <v>69</v>
      </c>
      <c r="B1" s="539"/>
      <c r="C1" s="539"/>
      <c r="D1" s="539"/>
      <c r="E1" s="539"/>
      <c r="F1" s="539"/>
      <c r="G1" s="539"/>
      <c r="H1" s="539"/>
    </row>
    <row r="3" spans="1:13" ht="102" x14ac:dyDescent="0.25">
      <c r="A3" s="63" t="s">
        <v>6</v>
      </c>
      <c r="B3" s="64" t="s">
        <v>8</v>
      </c>
      <c r="C3" s="65" t="s">
        <v>199</v>
      </c>
      <c r="D3" s="65" t="s">
        <v>200</v>
      </c>
      <c r="E3" s="65" t="s">
        <v>201</v>
      </c>
      <c r="F3" s="65" t="s">
        <v>202</v>
      </c>
      <c r="G3" s="65" t="s">
        <v>203</v>
      </c>
      <c r="H3" s="65" t="s">
        <v>204</v>
      </c>
      <c r="K3" s="540" t="s">
        <v>68</v>
      </c>
      <c r="L3" s="540"/>
      <c r="M3" s="53" t="s">
        <v>48</v>
      </c>
    </row>
    <row r="4" spans="1:13" ht="15.75" x14ac:dyDescent="0.25">
      <c r="A4" s="66">
        <f>+IF('[1]1_ENTREGA'!A8="","",'[1]1_ENTREGA'!A8)</f>
        <v>1</v>
      </c>
      <c r="B4" s="67" t="str">
        <f t="shared" ref="B4:B10" si="0">IF(A4="","",VLOOKUP(A4,LISTA_OFERENTES,2,FALSE))</f>
        <v>CONCRETOS Y MEZCLAS S.A</v>
      </c>
      <c r="C4" s="210" t="s">
        <v>346</v>
      </c>
      <c r="D4" s="210" t="s">
        <v>346</v>
      </c>
      <c r="E4" s="210" t="s">
        <v>346</v>
      </c>
      <c r="F4" s="210" t="s">
        <v>346</v>
      </c>
      <c r="G4" s="210" t="s">
        <v>346</v>
      </c>
      <c r="H4" s="210" t="s">
        <v>346</v>
      </c>
      <c r="K4" s="57">
        <v>1</v>
      </c>
      <c r="L4" s="69" t="str">
        <f t="shared" ref="L4:L10" si="1">VLOOKUP(K4,LISTA_OFERENTES,2,FALSE)</f>
        <v>CONCRETOS Y MEZCLAS S.A</v>
      </c>
      <c r="M4" s="59" t="str">
        <f>IF(AND(C4="CUMPLE",D4="CUMPLE",E4="CUMPLE",F4="CUMPLE",G4="CUMPLE",H4="CUMPLE"),"H",IF(OR(C4=0,D4=0,E4=0,F4=0,G4=0,H4=0)," ","NH"))</f>
        <v>H</v>
      </c>
    </row>
    <row r="5" spans="1:13" ht="15.75" x14ac:dyDescent="0.25">
      <c r="A5" s="66">
        <f>+IF('[1]1_ENTREGA'!A9="","",'[1]1_ENTREGA'!A9)</f>
        <v>2</v>
      </c>
      <c r="B5" s="67" t="str">
        <f t="shared" si="0"/>
        <v>INGAP S.A.S</v>
      </c>
      <c r="C5" s="210" t="s">
        <v>346</v>
      </c>
      <c r="D5" s="210" t="s">
        <v>346</v>
      </c>
      <c r="E5" s="210" t="s">
        <v>346</v>
      </c>
      <c r="F5" s="210" t="s">
        <v>346</v>
      </c>
      <c r="G5" s="210" t="s">
        <v>346</v>
      </c>
      <c r="H5" s="210" t="s">
        <v>346</v>
      </c>
      <c r="K5" s="57">
        <v>2</v>
      </c>
      <c r="L5" s="69" t="str">
        <f t="shared" si="1"/>
        <v>INGAP S.A.S</v>
      </c>
      <c r="M5" s="59" t="str">
        <f>IF(AND(C5="CUMPLE",D5="CUMPLE",E5="CUMPLE",F5="CUMPLE",G5="CUMPLE",H5="CUMPLE"),"H",IF(OR(C5=0,D5=0,E5=0,F5=0,G5=0,H5=0)," ","NH"))</f>
        <v>H</v>
      </c>
    </row>
    <row r="6" spans="1:13" ht="31.5" x14ac:dyDescent="0.25">
      <c r="A6" s="66">
        <f>+IF('[1]1_ENTREGA'!A10="","",'[1]1_ENTREGA'!A10)</f>
        <v>3</v>
      </c>
      <c r="B6" s="67" t="str">
        <f t="shared" si="0"/>
        <v xml:space="preserve">VIACOL INGENIEROS CONTRATISTAS </v>
      </c>
      <c r="C6" s="210" t="s">
        <v>346</v>
      </c>
      <c r="D6" s="210" t="s">
        <v>346</v>
      </c>
      <c r="E6" s="210" t="s">
        <v>346</v>
      </c>
      <c r="F6" s="210" t="s">
        <v>346</v>
      </c>
      <c r="G6" s="210" t="s">
        <v>346</v>
      </c>
      <c r="H6" s="210" t="s">
        <v>346</v>
      </c>
      <c r="K6" s="57">
        <v>3</v>
      </c>
      <c r="L6" s="69" t="str">
        <f t="shared" si="1"/>
        <v xml:space="preserve">VIACOL INGENIEROS CONTRATISTAS </v>
      </c>
      <c r="M6" s="59" t="str">
        <f t="shared" ref="M6:M10" si="2">IF(AND(C6="CUMPLE",D6="CUMPLE",E6="CUMPLE",F6="CUMPLE",G6="CUMPLE",H6="CUMPLE"),"H",IF(OR(C6=0,D6=0,E6=0,F6=0,G6=0,H6=0)," ","NH"))</f>
        <v>H</v>
      </c>
    </row>
    <row r="7" spans="1:13" ht="31.5" x14ac:dyDescent="0.25">
      <c r="A7" s="66">
        <f>+IF('[1]1_ENTREGA'!A11="","",'[1]1_ENTREGA'!A11)</f>
        <v>4</v>
      </c>
      <c r="B7" s="67" t="str">
        <f t="shared" si="0"/>
        <v>CÉSAR AUGUSTO GIRALDO ATEHORTÚA</v>
      </c>
      <c r="C7" s="210" t="s">
        <v>346</v>
      </c>
      <c r="D7" s="210" t="s">
        <v>346</v>
      </c>
      <c r="E7" s="210" t="s">
        <v>346</v>
      </c>
      <c r="F7" s="210" t="s">
        <v>346</v>
      </c>
      <c r="G7" s="210" t="s">
        <v>346</v>
      </c>
      <c r="H7" s="210" t="s">
        <v>346</v>
      </c>
      <c r="K7" s="57">
        <v>4</v>
      </c>
      <c r="L7" s="69" t="str">
        <f t="shared" si="1"/>
        <v>CÉSAR AUGUSTO GIRALDO ATEHORTÚA</v>
      </c>
      <c r="M7" s="59" t="str">
        <f t="shared" si="2"/>
        <v>H</v>
      </c>
    </row>
    <row r="8" spans="1:13" ht="31.5" x14ac:dyDescent="0.25">
      <c r="A8" s="66">
        <f>+IF('[1]1_ENTREGA'!A12="","",'[1]1_ENTREGA'!A12)</f>
        <v>5</v>
      </c>
      <c r="B8" s="67" t="str">
        <f t="shared" si="0"/>
        <v>JUAN CARLOS RESTREPO GUTIERREZ</v>
      </c>
      <c r="C8" s="210" t="s">
        <v>346</v>
      </c>
      <c r="D8" s="210" t="s">
        <v>346</v>
      </c>
      <c r="E8" s="210" t="s">
        <v>346</v>
      </c>
      <c r="F8" s="210" t="s">
        <v>346</v>
      </c>
      <c r="G8" s="210" t="s">
        <v>346</v>
      </c>
      <c r="H8" s="210" t="s">
        <v>346</v>
      </c>
      <c r="K8" s="57">
        <v>5</v>
      </c>
      <c r="L8" s="69" t="str">
        <f t="shared" si="1"/>
        <v>JUAN CARLOS RESTREPO GUTIERREZ</v>
      </c>
      <c r="M8" s="59" t="str">
        <f t="shared" si="2"/>
        <v>H</v>
      </c>
    </row>
    <row r="9" spans="1:13" ht="31.5" x14ac:dyDescent="0.25">
      <c r="A9" s="66">
        <f>+IF('[1]1_ENTREGA'!A13="","",'[1]1_ENTREGA'!A13)</f>
        <v>6</v>
      </c>
      <c r="B9" s="67" t="str">
        <f t="shared" si="0"/>
        <v>ANGELA MARÍA CÁRDENAS ZAPATA</v>
      </c>
      <c r="C9" s="210" t="s">
        <v>346</v>
      </c>
      <c r="D9" s="210" t="s">
        <v>346</v>
      </c>
      <c r="E9" s="210" t="s">
        <v>346</v>
      </c>
      <c r="F9" s="210" t="s">
        <v>346</v>
      </c>
      <c r="G9" s="210" t="s">
        <v>346</v>
      </c>
      <c r="H9" s="210" t="s">
        <v>346</v>
      </c>
      <c r="K9" s="57">
        <v>6</v>
      </c>
      <c r="L9" s="69" t="str">
        <f t="shared" si="1"/>
        <v>ANGELA MARÍA CÁRDENAS ZAPATA</v>
      </c>
      <c r="M9" s="59" t="str">
        <f t="shared" si="2"/>
        <v>H</v>
      </c>
    </row>
    <row r="10" spans="1:13" ht="21.75" customHeight="1" x14ac:dyDescent="0.25">
      <c r="A10" s="66">
        <f>+IF('[1]1_ENTREGA'!A14="","",'[1]1_ENTREGA'!A14)</f>
        <v>7</v>
      </c>
      <c r="B10" s="67" t="str">
        <f t="shared" si="0"/>
        <v>ASEM S.A.S</v>
      </c>
      <c r="C10" s="210" t="s">
        <v>346</v>
      </c>
      <c r="D10" s="210" t="s">
        <v>346</v>
      </c>
      <c r="E10" s="210" t="s">
        <v>346</v>
      </c>
      <c r="F10" s="210" t="s">
        <v>346</v>
      </c>
      <c r="G10" s="210" t="s">
        <v>346</v>
      </c>
      <c r="H10" s="210" t="s">
        <v>346</v>
      </c>
      <c r="K10" s="57">
        <v>7</v>
      </c>
      <c r="L10" s="69" t="str">
        <f t="shared" si="1"/>
        <v>ASEM S.A.S</v>
      </c>
      <c r="M10" s="59" t="str">
        <f t="shared" si="2"/>
        <v>H</v>
      </c>
    </row>
    <row r="11" spans="1:13" ht="15.75" x14ac:dyDescent="0.25">
      <c r="A11" s="66">
        <f>+IF('[1]1_ENTREGA'!A15="","",'[1]1_ENTREGA'!A15)</f>
        <v>8</v>
      </c>
      <c r="B11" s="67" t="str">
        <f t="shared" ref="B11:B13" si="3">IF(A11="","",VLOOKUP(A11,LISTA_OFERENTES,2,FALSE))</f>
        <v>LUIS CARLOS PARRA VELASQUEZ</v>
      </c>
      <c r="C11" s="210" t="s">
        <v>346</v>
      </c>
      <c r="D11" s="210" t="s">
        <v>346</v>
      </c>
      <c r="E11" s="210" t="s">
        <v>346</v>
      </c>
      <c r="F11" s="210" t="s">
        <v>346</v>
      </c>
      <c r="G11" s="210" t="s">
        <v>346</v>
      </c>
      <c r="H11" s="210" t="s">
        <v>346</v>
      </c>
      <c r="K11" s="57">
        <v>8</v>
      </c>
      <c r="L11" s="69" t="str">
        <f t="shared" ref="L11:L17" si="4">VLOOKUP(K11,LISTA_OFERENTES,2,FALSE)</f>
        <v>LUIS CARLOS PARRA VELASQUEZ</v>
      </c>
      <c r="M11" s="59" t="str">
        <f t="shared" ref="M11:M17" si="5">IF(AND(C11="CUMPLE",D11="CUMPLE",E11="CUMPLE",F11="CUMPLE",G11="CUMPLE",H11="CUMPLE"),"H",IF(OR(C11=0,D11=0,E11=0,F11=0,G11=0,H11=0)," ","NH"))</f>
        <v>H</v>
      </c>
    </row>
    <row r="12" spans="1:13" ht="15.75" x14ac:dyDescent="0.25">
      <c r="A12" s="66">
        <f>+IF('[1]1_ENTREGA'!A16="","",'[1]1_ENTREGA'!A16)</f>
        <v>9</v>
      </c>
      <c r="B12" s="67" t="str">
        <f t="shared" si="3"/>
        <v>KA S.A.</v>
      </c>
      <c r="C12" s="210" t="s">
        <v>346</v>
      </c>
      <c r="D12" s="210" t="s">
        <v>346</v>
      </c>
      <c r="E12" s="210" t="s">
        <v>346</v>
      </c>
      <c r="F12" s="210" t="s">
        <v>346</v>
      </c>
      <c r="G12" s="210" t="s">
        <v>346</v>
      </c>
      <c r="H12" s="210" t="s">
        <v>346</v>
      </c>
      <c r="K12" s="57">
        <f>+K11+1</f>
        <v>9</v>
      </c>
      <c r="L12" s="69" t="str">
        <f t="shared" si="4"/>
        <v>KA S.A.</v>
      </c>
      <c r="M12" s="59" t="str">
        <f t="shared" si="5"/>
        <v>H</v>
      </c>
    </row>
    <row r="13" spans="1:13" ht="15.75" x14ac:dyDescent="0.25">
      <c r="A13" s="66">
        <f>+IF('[1]1_ENTREGA'!A17="","",'[1]1_ENTREGA'!A17)</f>
        <v>10</v>
      </c>
      <c r="B13" s="67" t="str">
        <f t="shared" si="3"/>
        <v xml:space="preserve">DANIEL JOSE NIEVES VERGARA </v>
      </c>
      <c r="C13" s="210" t="s">
        <v>346</v>
      </c>
      <c r="D13" s="210" t="s">
        <v>346</v>
      </c>
      <c r="E13" s="210" t="s">
        <v>346</v>
      </c>
      <c r="F13" s="210" t="s">
        <v>346</v>
      </c>
      <c r="G13" s="210" t="s">
        <v>346</v>
      </c>
      <c r="H13" s="210" t="s">
        <v>346</v>
      </c>
      <c r="K13" s="57">
        <f t="shared" ref="K13:K17" si="6">+K12+1</f>
        <v>10</v>
      </c>
      <c r="L13" s="69" t="str">
        <f t="shared" si="4"/>
        <v xml:space="preserve">DANIEL JOSE NIEVES VERGARA </v>
      </c>
      <c r="M13" s="59" t="str">
        <f t="shared" si="5"/>
        <v>H</v>
      </c>
    </row>
    <row r="14" spans="1:13" ht="31.5" x14ac:dyDescent="0.25">
      <c r="A14" s="66">
        <f>+IF('[1]1_ENTREGA'!A18="","",'[1]1_ENTREGA'!A18)</f>
        <v>11</v>
      </c>
      <c r="B14" s="67" t="str">
        <f t="shared" ref="B14:B17" si="7">IF(A14="","",VLOOKUP(A14,LISTA_OFERENTES,2,FALSE))</f>
        <v xml:space="preserve">CARLOS ANDRES ACEBEDO ESCOBAR </v>
      </c>
      <c r="C14" s="210" t="s">
        <v>346</v>
      </c>
      <c r="D14" s="210" t="s">
        <v>346</v>
      </c>
      <c r="E14" s="210" t="s">
        <v>346</v>
      </c>
      <c r="F14" s="210" t="s">
        <v>346</v>
      </c>
      <c r="G14" s="210" t="s">
        <v>346</v>
      </c>
      <c r="H14" s="210" t="s">
        <v>346</v>
      </c>
      <c r="K14" s="57">
        <f t="shared" si="6"/>
        <v>11</v>
      </c>
      <c r="L14" s="69" t="str">
        <f t="shared" si="4"/>
        <v xml:space="preserve">CARLOS ANDRES ACEBEDO ESCOBAR </v>
      </c>
      <c r="M14" s="59" t="str">
        <f t="shared" si="5"/>
        <v>H</v>
      </c>
    </row>
    <row r="15" spans="1:13" ht="15.75" x14ac:dyDescent="0.25">
      <c r="A15" s="66">
        <f>+IF('[1]1_ENTREGA'!A19="","",'[1]1_ENTREGA'!A19)</f>
        <v>12</v>
      </c>
      <c r="B15" s="67" t="str">
        <f t="shared" si="7"/>
        <v>CONDEIN S.A.S</v>
      </c>
      <c r="C15" s="210" t="s">
        <v>346</v>
      </c>
      <c r="D15" s="210" t="s">
        <v>346</v>
      </c>
      <c r="E15" s="210" t="s">
        <v>346</v>
      </c>
      <c r="F15" s="210" t="s">
        <v>346</v>
      </c>
      <c r="G15" s="210" t="s">
        <v>346</v>
      </c>
      <c r="H15" s="210" t="s">
        <v>346</v>
      </c>
      <c r="K15" s="57">
        <f t="shared" si="6"/>
        <v>12</v>
      </c>
      <c r="L15" s="69" t="str">
        <f t="shared" si="4"/>
        <v>CONDEIN S.A.S</v>
      </c>
      <c r="M15" s="59" t="str">
        <f t="shared" si="5"/>
        <v>H</v>
      </c>
    </row>
    <row r="16" spans="1:13" ht="15.75" x14ac:dyDescent="0.25">
      <c r="A16" s="66">
        <f>+IF('[1]1_ENTREGA'!A20="","",'[1]1_ENTREGA'!A20)</f>
        <v>13</v>
      </c>
      <c r="B16" s="67" t="str">
        <f t="shared" si="7"/>
        <v>CONSTRUVALORES S.A.S</v>
      </c>
      <c r="C16" s="210" t="s">
        <v>346</v>
      </c>
      <c r="D16" s="210" t="s">
        <v>346</v>
      </c>
      <c r="E16" s="210" t="s">
        <v>346</v>
      </c>
      <c r="F16" s="210" t="s">
        <v>347</v>
      </c>
      <c r="G16" s="210" t="s">
        <v>346</v>
      </c>
      <c r="H16" s="210" t="s">
        <v>346</v>
      </c>
      <c r="K16" s="57">
        <f t="shared" si="6"/>
        <v>13</v>
      </c>
      <c r="L16" s="69" t="str">
        <f t="shared" si="4"/>
        <v>CONSTRUVALORES S.A.S</v>
      </c>
      <c r="M16" s="59" t="str">
        <f t="shared" si="5"/>
        <v>NH</v>
      </c>
    </row>
    <row r="17" spans="1:13" ht="15.75" x14ac:dyDescent="0.25">
      <c r="A17" s="66">
        <f>+IF('[1]1_ENTREGA'!A21="","",'[1]1_ENTREGA'!A21)</f>
        <v>14</v>
      </c>
      <c r="B17" s="67" t="str">
        <f t="shared" si="7"/>
        <v>WILLIAMS.CO S.A.S</v>
      </c>
      <c r="C17" s="210" t="s">
        <v>346</v>
      </c>
      <c r="D17" s="210" t="s">
        <v>346</v>
      </c>
      <c r="E17" s="210" t="s">
        <v>346</v>
      </c>
      <c r="F17" s="210" t="s">
        <v>346</v>
      </c>
      <c r="G17" s="210" t="s">
        <v>346</v>
      </c>
      <c r="H17" s="210" t="s">
        <v>346</v>
      </c>
      <c r="K17" s="57">
        <f t="shared" si="6"/>
        <v>14</v>
      </c>
      <c r="L17" s="69" t="str">
        <f t="shared" si="4"/>
        <v>WILLIAMS.CO S.A.S</v>
      </c>
      <c r="M17" s="59" t="str">
        <f t="shared" si="5"/>
        <v>H</v>
      </c>
    </row>
  </sheetData>
  <sheetProtection algorithmName="SHA-512" hashValue="7uXj4u2gZhx8ufRnlZqGPnMUvDKorwJzQcD8GhflCDZCRtfpOVqPHw2v6eyQ3B2aztU/28g9NShQUi35mdJviw==" saltValue="Y+RUidzSKr+LJez7IhaRvA==" spinCount="100000" sheet="1" objects="1" scenarios="1"/>
  <mergeCells count="2">
    <mergeCell ref="A1:H1"/>
    <mergeCell ref="K3:L3"/>
  </mergeCells>
  <conditionalFormatting sqref="C4">
    <cfRule type="cellIs" dxfId="2044" priority="41" operator="equal">
      <formula>"NO CUMPLE"</formula>
    </cfRule>
    <cfRule type="cellIs" dxfId="2043" priority="42" operator="equal">
      <formula>"CUMPLE"</formula>
    </cfRule>
  </conditionalFormatting>
  <conditionalFormatting sqref="M4">
    <cfRule type="cellIs" dxfId="2042" priority="29" operator="equal">
      <formula>"NH"</formula>
    </cfRule>
    <cfRule type="cellIs" dxfId="2041" priority="30" operator="equal">
      <formula>"H"</formula>
    </cfRule>
  </conditionalFormatting>
  <conditionalFormatting sqref="M5:M10">
    <cfRule type="cellIs" dxfId="2040" priority="27" operator="equal">
      <formula>"NH"</formula>
    </cfRule>
    <cfRule type="cellIs" dxfId="2039" priority="28" operator="equal">
      <formula>"H"</formula>
    </cfRule>
  </conditionalFormatting>
  <conditionalFormatting sqref="F16">
    <cfRule type="cellIs" dxfId="2038" priority="19" operator="equal">
      <formula>"NO CUMPLE"</formula>
    </cfRule>
    <cfRule type="cellIs" dxfId="2037" priority="20" operator="equal">
      <formula>"CUMPLE"</formula>
    </cfRule>
  </conditionalFormatting>
  <conditionalFormatting sqref="M11:M17">
    <cfRule type="cellIs" dxfId="2036" priority="13" operator="equal">
      <formula>"NH"</formula>
    </cfRule>
    <cfRule type="cellIs" dxfId="2035" priority="14" operator="equal">
      <formula>"H"</formula>
    </cfRule>
  </conditionalFormatting>
  <conditionalFormatting sqref="C5:C17">
    <cfRule type="cellIs" dxfId="2034" priority="11" operator="equal">
      <formula>"NO CUMPLE"</formula>
    </cfRule>
    <cfRule type="cellIs" dxfId="2033" priority="12" operator="equal">
      <formula>"CUMPLE"</formula>
    </cfRule>
  </conditionalFormatting>
  <conditionalFormatting sqref="D4:D17">
    <cfRule type="cellIs" dxfId="2032" priority="9" operator="equal">
      <formula>"NO CUMPLE"</formula>
    </cfRule>
    <cfRule type="cellIs" dxfId="2031" priority="10" operator="equal">
      <formula>"CUMPLE"</formula>
    </cfRule>
  </conditionalFormatting>
  <conditionalFormatting sqref="E4:E17">
    <cfRule type="cellIs" dxfId="2030" priority="7" operator="equal">
      <formula>"NO CUMPLE"</formula>
    </cfRule>
    <cfRule type="cellIs" dxfId="2029" priority="8" operator="equal">
      <formula>"CUMPLE"</formula>
    </cfRule>
  </conditionalFormatting>
  <conditionalFormatting sqref="F4:F15">
    <cfRule type="cellIs" dxfId="2028" priority="5" operator="equal">
      <formula>"NO CUMPLE"</formula>
    </cfRule>
    <cfRule type="cellIs" dxfId="2027" priority="6" operator="equal">
      <formula>"CUMPLE"</formula>
    </cfRule>
  </conditionalFormatting>
  <conditionalFormatting sqref="F17">
    <cfRule type="cellIs" dxfId="2026" priority="3" operator="equal">
      <formula>"NO CUMPLE"</formula>
    </cfRule>
    <cfRule type="cellIs" dxfId="2025" priority="4" operator="equal">
      <formula>"CUMPLE"</formula>
    </cfRule>
  </conditionalFormatting>
  <conditionalFormatting sqref="G4:H17">
    <cfRule type="cellIs" dxfId="2024" priority="1" operator="equal">
      <formula>"NO CUMPLE"</formula>
    </cfRule>
    <cfRule type="cellIs" dxfId="2023" priority="2" operator="equal">
      <formula>"CUMPLE"</formula>
    </cfRule>
  </conditionalFormatting>
  <dataValidations count="1">
    <dataValidation type="list" allowBlank="1" showInputMessage="1" showErrorMessage="1" sqref="C4:H17">
      <formula1>"CUMPLE,NO CUMPLE"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RW194"/>
  <sheetViews>
    <sheetView topLeftCell="HT10" zoomScale="55" zoomScaleNormal="55" workbookViewId="0">
      <selection activeCell="F12" sqref="F12"/>
    </sheetView>
  </sheetViews>
  <sheetFormatPr baseColWidth="10" defaultRowHeight="15.75" x14ac:dyDescent="0.2"/>
  <cols>
    <col min="1" max="1" width="7.140625" style="211" customWidth="1"/>
    <col min="2" max="2" width="21" style="212" customWidth="1"/>
    <col min="3" max="3" width="18" style="212" customWidth="1"/>
    <col min="4" max="4" width="128.140625" style="212" customWidth="1"/>
    <col min="5" max="5" width="21.85546875" style="212" customWidth="1"/>
    <col min="6" max="6" width="19" style="212" customWidth="1"/>
    <col min="7" max="7" width="19.42578125" style="212" customWidth="1"/>
    <col min="8" max="8" width="33.28515625" style="212" customWidth="1"/>
    <col min="9" max="9" width="15.7109375" style="212" customWidth="1"/>
    <col min="10" max="10" width="23.140625" style="212" customWidth="1"/>
    <col min="11" max="11" width="15.42578125" style="212" customWidth="1"/>
    <col min="12" max="12" width="124.42578125" style="212" customWidth="1"/>
    <col min="13" max="13" width="16.140625" style="212" customWidth="1"/>
    <col min="14" max="14" width="18.85546875" style="212" customWidth="1"/>
    <col min="15" max="15" width="33.28515625" style="212" customWidth="1"/>
    <col min="16" max="16" width="35.42578125" style="212" customWidth="1"/>
    <col min="17" max="17" width="4.7109375" style="71" customWidth="1"/>
    <col min="18" max="18" width="7.28515625" style="71" customWidth="1"/>
    <col min="19" max="19" width="4.7109375" style="71" customWidth="1"/>
    <col min="20" max="20" width="6.5703125" style="71" customWidth="1"/>
    <col min="21" max="21" width="7.28515625" style="71" customWidth="1"/>
    <col min="22" max="23" width="4.7109375" style="71" customWidth="1"/>
    <col min="24" max="24" width="20.85546875" style="71" customWidth="1"/>
    <col min="25" max="25" width="10.7109375" style="71" customWidth="1"/>
    <col min="26" max="26" width="15.7109375" style="212" customWidth="1"/>
    <col min="27" max="27" width="23.140625" style="212" customWidth="1"/>
    <col min="28" max="28" width="18.28515625" style="212" customWidth="1"/>
    <col min="29" max="29" width="135.42578125" style="212" customWidth="1"/>
    <col min="30" max="30" width="16.140625" style="212" customWidth="1"/>
    <col min="31" max="31" width="18.85546875" style="212" customWidth="1"/>
    <col min="32" max="32" width="33.28515625" style="212" customWidth="1"/>
    <col min="33" max="33" width="35.42578125" style="212" customWidth="1"/>
    <col min="34" max="34" width="4.7109375" style="71" customWidth="1"/>
    <col min="35" max="35" width="6.42578125" style="71" customWidth="1"/>
    <col min="36" max="36" width="7" style="71" customWidth="1"/>
    <col min="37" max="37" width="7.28515625" style="71" customWidth="1"/>
    <col min="38" max="40" width="4.7109375" style="71" customWidth="1"/>
    <col min="41" max="41" width="20.85546875" style="71" customWidth="1"/>
    <col min="42" max="42" width="10.7109375" style="71" customWidth="1"/>
    <col min="43" max="43" width="15.7109375" style="212" customWidth="1"/>
    <col min="44" max="44" width="23.140625" style="212" customWidth="1"/>
    <col min="45" max="45" width="18.28515625" style="212" customWidth="1"/>
    <col min="46" max="46" width="127.5703125" style="212" customWidth="1"/>
    <col min="47" max="47" width="16.140625" style="212" customWidth="1"/>
    <col min="48" max="48" width="18.85546875" style="212" customWidth="1"/>
    <col min="49" max="49" width="33.28515625" style="212" customWidth="1"/>
    <col min="50" max="50" width="35.42578125" style="212" customWidth="1"/>
    <col min="51" max="51" width="4.7109375" style="71" customWidth="1"/>
    <col min="52" max="52" width="6.42578125" style="71" customWidth="1"/>
    <col min="53" max="53" width="7" style="71" customWidth="1"/>
    <col min="54" max="54" width="7.28515625" style="71" customWidth="1"/>
    <col min="55" max="57" width="4.7109375" style="71" customWidth="1"/>
    <col min="58" max="58" width="20.85546875" style="71" customWidth="1"/>
    <col min="59" max="59" width="10.7109375" style="71" customWidth="1"/>
    <col min="60" max="60" width="11.42578125" style="212"/>
    <col min="61" max="61" width="23.140625" style="212" customWidth="1"/>
    <col min="62" max="62" width="18.28515625" style="212" customWidth="1"/>
    <col min="63" max="63" width="138.85546875" style="212" customWidth="1"/>
    <col min="64" max="64" width="16.140625" style="212" customWidth="1"/>
    <col min="65" max="65" width="18.85546875" style="212" customWidth="1"/>
    <col min="66" max="66" width="33.28515625" style="212" customWidth="1"/>
    <col min="67" max="67" width="35.42578125" style="212" customWidth="1"/>
    <col min="68" max="68" width="4.7109375" style="71" customWidth="1"/>
    <col min="69" max="69" width="6.42578125" style="71" customWidth="1"/>
    <col min="70" max="70" width="7" style="71" customWidth="1"/>
    <col min="71" max="71" width="7.28515625" style="71" customWidth="1"/>
    <col min="72" max="74" width="4.7109375" style="71" customWidth="1"/>
    <col min="75" max="75" width="20.85546875" style="71" customWidth="1"/>
    <col min="76" max="76" width="10.7109375" style="71" customWidth="1"/>
    <col min="77" max="77" width="11.42578125" style="212"/>
    <col min="78" max="78" width="23.140625" style="212" customWidth="1"/>
    <col min="79" max="79" width="18.28515625" style="212" customWidth="1"/>
    <col min="80" max="80" width="134.85546875" style="212" customWidth="1"/>
    <col min="81" max="81" width="16.140625" style="212" customWidth="1"/>
    <col min="82" max="82" width="18.85546875" style="212" customWidth="1"/>
    <col min="83" max="83" width="33.28515625" style="212" customWidth="1"/>
    <col min="84" max="84" width="35.42578125" style="212" customWidth="1"/>
    <col min="85" max="85" width="4.7109375" style="71" customWidth="1"/>
    <col min="86" max="86" width="6.42578125" style="71" customWidth="1"/>
    <col min="87" max="87" width="7" style="71" customWidth="1"/>
    <col min="88" max="88" width="7.28515625" style="71" customWidth="1"/>
    <col min="89" max="91" width="4.7109375" style="71" customWidth="1"/>
    <col min="92" max="92" width="20.85546875" style="71" customWidth="1"/>
    <col min="93" max="93" width="10.7109375" style="71" customWidth="1"/>
    <col min="94" max="94" width="11.42578125" style="212"/>
    <col min="95" max="95" width="23.140625" style="212" customWidth="1"/>
    <col min="96" max="96" width="18.28515625" style="212" customWidth="1"/>
    <col min="97" max="97" width="130.7109375" style="212" customWidth="1"/>
    <col min="98" max="98" width="16.140625" style="212" customWidth="1"/>
    <col min="99" max="99" width="18.85546875" style="212" customWidth="1"/>
    <col min="100" max="100" width="33.28515625" style="212" customWidth="1"/>
    <col min="101" max="101" width="35.42578125" style="212" customWidth="1"/>
    <col min="102" max="102" width="4.7109375" style="71" customWidth="1"/>
    <col min="103" max="103" width="6.42578125" style="71" customWidth="1"/>
    <col min="104" max="104" width="7" style="71" customWidth="1"/>
    <col min="105" max="105" width="7.28515625" style="71" customWidth="1"/>
    <col min="106" max="108" width="4.7109375" style="71" customWidth="1"/>
    <col min="109" max="109" width="20.85546875" style="71" customWidth="1"/>
    <col min="110" max="110" width="10.7109375" style="71" customWidth="1"/>
    <col min="111" max="111" width="11.42578125" style="212"/>
    <col min="112" max="112" width="23.140625" style="212" customWidth="1"/>
    <col min="113" max="113" width="18.28515625" style="212" customWidth="1"/>
    <col min="114" max="114" width="132.85546875" style="212" customWidth="1"/>
    <col min="115" max="115" width="16.140625" style="212" customWidth="1"/>
    <col min="116" max="116" width="18.85546875" style="212" customWidth="1"/>
    <col min="117" max="117" width="33.28515625" style="212" customWidth="1"/>
    <col min="118" max="118" width="35.42578125" style="212" customWidth="1"/>
    <col min="119" max="119" width="4.7109375" style="71" customWidth="1"/>
    <col min="120" max="120" width="6.42578125" style="71" customWidth="1"/>
    <col min="121" max="121" width="7" style="71" customWidth="1"/>
    <col min="122" max="122" width="7.28515625" style="71" customWidth="1"/>
    <col min="123" max="125" width="4.7109375" style="71" customWidth="1"/>
    <col min="126" max="126" width="20.85546875" style="71" customWidth="1"/>
    <col min="127" max="127" width="10.7109375" style="71" customWidth="1"/>
    <col min="128" max="128" width="11.42578125" style="212"/>
    <col min="129" max="129" width="23.140625" style="212" customWidth="1"/>
    <col min="130" max="130" width="18.28515625" style="212" customWidth="1"/>
    <col min="131" max="131" width="142.28515625" style="212" customWidth="1"/>
    <col min="132" max="132" width="16.140625" style="212" customWidth="1"/>
    <col min="133" max="133" width="18.85546875" style="212" customWidth="1"/>
    <col min="134" max="134" width="33.28515625" style="212" customWidth="1"/>
    <col min="135" max="135" width="35.42578125" style="212" customWidth="1"/>
    <col min="136" max="136" width="4.7109375" style="71" customWidth="1"/>
    <col min="137" max="137" width="6.42578125" style="71" customWidth="1"/>
    <col min="138" max="138" width="7" style="71" customWidth="1"/>
    <col min="139" max="139" width="7.28515625" style="71" customWidth="1"/>
    <col min="140" max="142" width="4.7109375" style="71" customWidth="1"/>
    <col min="143" max="143" width="20.85546875" style="71" customWidth="1"/>
    <col min="144" max="144" width="10.7109375" style="71" customWidth="1"/>
    <col min="145" max="145" width="11.42578125" style="212"/>
    <col min="146" max="146" width="23.140625" style="212" customWidth="1"/>
    <col min="147" max="147" width="18.28515625" style="212" customWidth="1"/>
    <col min="148" max="148" width="146.28515625" style="212" customWidth="1"/>
    <col min="149" max="149" width="16.140625" style="212" customWidth="1"/>
    <col min="150" max="150" width="18.85546875" style="212" customWidth="1"/>
    <col min="151" max="151" width="33.28515625" style="212" customWidth="1"/>
    <col min="152" max="152" width="35.42578125" style="212" customWidth="1"/>
    <col min="153" max="153" width="4.7109375" style="71" customWidth="1"/>
    <col min="154" max="154" width="6.42578125" style="71" customWidth="1"/>
    <col min="155" max="155" width="7" style="71" customWidth="1"/>
    <col min="156" max="156" width="7.28515625" style="71" customWidth="1"/>
    <col min="157" max="159" width="4.7109375" style="71" customWidth="1"/>
    <col min="160" max="160" width="20.85546875" style="71" customWidth="1"/>
    <col min="161" max="161" width="10.7109375" style="71" customWidth="1"/>
    <col min="162" max="162" width="11.42578125" style="212"/>
    <col min="163" max="163" width="23.140625" style="212" customWidth="1"/>
    <col min="164" max="164" width="18.28515625" style="212" customWidth="1"/>
    <col min="165" max="165" width="147.85546875" style="212" customWidth="1"/>
    <col min="166" max="166" width="16.140625" style="212" customWidth="1"/>
    <col min="167" max="167" width="18.85546875" style="212" customWidth="1"/>
    <col min="168" max="168" width="33.28515625" style="212" customWidth="1"/>
    <col min="169" max="169" width="35.42578125" style="212" customWidth="1"/>
    <col min="170" max="170" width="4.7109375" style="71" customWidth="1"/>
    <col min="171" max="171" width="6.42578125" style="71" customWidth="1"/>
    <col min="172" max="172" width="7" style="71" customWidth="1"/>
    <col min="173" max="173" width="7.28515625" style="71" customWidth="1"/>
    <col min="174" max="176" width="4.7109375" style="71" customWidth="1"/>
    <col min="177" max="177" width="20.85546875" style="71" customWidth="1"/>
    <col min="178" max="178" width="10.7109375" style="71" customWidth="1"/>
    <col min="179" max="179" width="11.42578125" style="212"/>
    <col min="180" max="180" width="23.140625" style="212" customWidth="1"/>
    <col min="181" max="181" width="18.28515625" style="212" customWidth="1"/>
    <col min="182" max="182" width="128.140625" style="212" customWidth="1"/>
    <col min="183" max="183" width="16.140625" style="212" customWidth="1"/>
    <col min="184" max="184" width="18.85546875" style="212" customWidth="1"/>
    <col min="185" max="185" width="33.28515625" style="212" customWidth="1"/>
    <col min="186" max="186" width="35.42578125" style="212" customWidth="1"/>
    <col min="187" max="187" width="4.7109375" style="71" customWidth="1"/>
    <col min="188" max="188" width="6.42578125" style="71" customWidth="1"/>
    <col min="189" max="189" width="7" style="71" customWidth="1"/>
    <col min="190" max="190" width="7.28515625" style="71" customWidth="1"/>
    <col min="191" max="193" width="4.7109375" style="71" customWidth="1"/>
    <col min="194" max="194" width="20.85546875" style="71" customWidth="1"/>
    <col min="195" max="195" width="10.7109375" style="71" customWidth="1"/>
    <col min="196" max="196" width="11.42578125" style="212"/>
    <col min="197" max="197" width="23.140625" style="212" customWidth="1"/>
    <col min="198" max="198" width="18.28515625" style="212" customWidth="1"/>
    <col min="199" max="199" width="143.42578125" style="212" customWidth="1"/>
    <col min="200" max="200" width="16.140625" style="212" customWidth="1"/>
    <col min="201" max="201" width="18.85546875" style="212" customWidth="1"/>
    <col min="202" max="202" width="33.28515625" style="212" customWidth="1"/>
    <col min="203" max="203" width="35.42578125" style="212" customWidth="1"/>
    <col min="204" max="204" width="4.7109375" style="71" customWidth="1"/>
    <col min="205" max="205" width="6.42578125" style="71" customWidth="1"/>
    <col min="206" max="206" width="7" style="71" customWidth="1"/>
    <col min="207" max="207" width="7.28515625" style="71" customWidth="1"/>
    <col min="208" max="210" width="4.7109375" style="71" customWidth="1"/>
    <col min="211" max="211" width="20.85546875" style="71" customWidth="1"/>
    <col min="212" max="212" width="10.7109375" style="71" customWidth="1"/>
    <col min="213" max="213" width="11.42578125" style="212"/>
    <col min="214" max="214" width="23.140625" style="212" customWidth="1"/>
    <col min="215" max="215" width="18.28515625" style="212" customWidth="1"/>
    <col min="216" max="216" width="130" style="212" customWidth="1"/>
    <col min="217" max="217" width="16.140625" style="212" customWidth="1"/>
    <col min="218" max="218" width="18.85546875" style="212" customWidth="1"/>
    <col min="219" max="219" width="33.28515625" style="212" customWidth="1"/>
    <col min="220" max="220" width="35.42578125" style="212" customWidth="1"/>
    <col min="221" max="221" width="4.7109375" style="71" customWidth="1"/>
    <col min="222" max="222" width="6.42578125" style="71" customWidth="1"/>
    <col min="223" max="223" width="7" style="71" customWidth="1"/>
    <col min="224" max="224" width="7.28515625" style="71" customWidth="1"/>
    <col min="225" max="227" width="4.7109375" style="71" customWidth="1"/>
    <col min="228" max="228" width="20.85546875" style="71" customWidth="1"/>
    <col min="229" max="229" width="10.7109375" style="71" customWidth="1"/>
    <col min="230" max="230" width="11.42578125" style="212"/>
    <col min="231" max="231" width="23.140625" style="212" customWidth="1"/>
    <col min="232" max="232" width="18.28515625" style="212" customWidth="1"/>
    <col min="233" max="233" width="128.85546875" style="212" customWidth="1"/>
    <col min="234" max="234" width="16.140625" style="212" customWidth="1"/>
    <col min="235" max="235" width="18.85546875" style="212" customWidth="1"/>
    <col min="236" max="236" width="33.28515625" style="212" customWidth="1"/>
    <col min="237" max="237" width="35.42578125" style="212" customWidth="1"/>
    <col min="238" max="238" width="4.7109375" style="71" customWidth="1"/>
    <col min="239" max="239" width="6.42578125" style="71" customWidth="1"/>
    <col min="240" max="240" width="7" style="71" customWidth="1"/>
    <col min="241" max="241" width="7.28515625" style="71" customWidth="1"/>
    <col min="242" max="244" width="4.7109375" style="71" customWidth="1"/>
    <col min="245" max="245" width="20.85546875" style="71" customWidth="1"/>
    <col min="246" max="246" width="10.7109375" style="71" customWidth="1"/>
    <col min="247" max="351" width="11.42578125" style="212"/>
    <col min="352" max="352" width="2.28515625" style="212" customWidth="1"/>
    <col min="353" max="353" width="7.140625" style="212" customWidth="1"/>
    <col min="354" max="354" width="8.85546875" style="212" customWidth="1"/>
    <col min="355" max="355" width="71.42578125" style="212" customWidth="1"/>
    <col min="356" max="356" width="23.140625" style="212" customWidth="1"/>
    <col min="357" max="357" width="19" style="212" customWidth="1"/>
    <col min="358" max="358" width="28.28515625" style="212" customWidth="1"/>
    <col min="359" max="359" width="43.85546875" style="212" customWidth="1"/>
    <col min="360" max="607" width="11.42578125" style="212"/>
    <col min="608" max="608" width="2.28515625" style="212" customWidth="1"/>
    <col min="609" max="609" width="7.140625" style="212" customWidth="1"/>
    <col min="610" max="610" width="8.85546875" style="212" customWidth="1"/>
    <col min="611" max="611" width="71.42578125" style="212" customWidth="1"/>
    <col min="612" max="612" width="23.140625" style="212" customWidth="1"/>
    <col min="613" max="613" width="19" style="212" customWidth="1"/>
    <col min="614" max="614" width="28.28515625" style="212" customWidth="1"/>
    <col min="615" max="615" width="43.85546875" style="212" customWidth="1"/>
    <col min="616" max="863" width="11.42578125" style="212"/>
    <col min="864" max="864" width="2.28515625" style="212" customWidth="1"/>
    <col min="865" max="865" width="7.140625" style="212" customWidth="1"/>
    <col min="866" max="866" width="8.85546875" style="212" customWidth="1"/>
    <col min="867" max="867" width="71.42578125" style="212" customWidth="1"/>
    <col min="868" max="868" width="23.140625" style="212" customWidth="1"/>
    <col min="869" max="869" width="19" style="212" customWidth="1"/>
    <col min="870" max="870" width="28.28515625" style="212" customWidth="1"/>
    <col min="871" max="871" width="43.85546875" style="212" customWidth="1"/>
    <col min="872" max="1119" width="11.42578125" style="212"/>
    <col min="1120" max="1120" width="2.28515625" style="212" customWidth="1"/>
    <col min="1121" max="1121" width="7.140625" style="212" customWidth="1"/>
    <col min="1122" max="1122" width="8.85546875" style="212" customWidth="1"/>
    <col min="1123" max="1123" width="71.42578125" style="212" customWidth="1"/>
    <col min="1124" max="1124" width="23.140625" style="212" customWidth="1"/>
    <col min="1125" max="1125" width="19" style="212" customWidth="1"/>
    <col min="1126" max="1126" width="28.28515625" style="212" customWidth="1"/>
    <col min="1127" max="1127" width="43.85546875" style="212" customWidth="1"/>
    <col min="1128" max="1375" width="11.42578125" style="212"/>
    <col min="1376" max="1376" width="2.28515625" style="212" customWidth="1"/>
    <col min="1377" max="1377" width="7.140625" style="212" customWidth="1"/>
    <col min="1378" max="1378" width="8.85546875" style="212" customWidth="1"/>
    <col min="1379" max="1379" width="71.42578125" style="212" customWidth="1"/>
    <col min="1380" max="1380" width="23.140625" style="212" customWidth="1"/>
    <col min="1381" max="1381" width="19" style="212" customWidth="1"/>
    <col min="1382" max="1382" width="28.28515625" style="212" customWidth="1"/>
    <col min="1383" max="1383" width="43.85546875" style="212" customWidth="1"/>
    <col min="1384" max="1631" width="11.42578125" style="212"/>
    <col min="1632" max="1632" width="2.28515625" style="212" customWidth="1"/>
    <col min="1633" max="1633" width="7.140625" style="212" customWidth="1"/>
    <col min="1634" max="1634" width="8.85546875" style="212" customWidth="1"/>
    <col min="1635" max="1635" width="71.42578125" style="212" customWidth="1"/>
    <col min="1636" max="1636" width="23.140625" style="212" customWidth="1"/>
    <col min="1637" max="1637" width="19" style="212" customWidth="1"/>
    <col min="1638" max="1638" width="28.28515625" style="212" customWidth="1"/>
    <col min="1639" max="1639" width="43.85546875" style="212" customWidth="1"/>
    <col min="1640" max="1887" width="11.42578125" style="212"/>
    <col min="1888" max="1888" width="2.28515625" style="212" customWidth="1"/>
    <col min="1889" max="1889" width="7.140625" style="212" customWidth="1"/>
    <col min="1890" max="1890" width="8.85546875" style="212" customWidth="1"/>
    <col min="1891" max="1891" width="71.42578125" style="212" customWidth="1"/>
    <col min="1892" max="1892" width="23.140625" style="212" customWidth="1"/>
    <col min="1893" max="1893" width="19" style="212" customWidth="1"/>
    <col min="1894" max="1894" width="28.28515625" style="212" customWidth="1"/>
    <col min="1895" max="1895" width="43.85546875" style="212" customWidth="1"/>
    <col min="1896" max="2143" width="11.42578125" style="212"/>
    <col min="2144" max="2144" width="2.28515625" style="212" customWidth="1"/>
    <col min="2145" max="2145" width="7.140625" style="212" customWidth="1"/>
    <col min="2146" max="2146" width="8.85546875" style="212" customWidth="1"/>
    <col min="2147" max="2147" width="71.42578125" style="212" customWidth="1"/>
    <col min="2148" max="2148" width="23.140625" style="212" customWidth="1"/>
    <col min="2149" max="2149" width="19" style="212" customWidth="1"/>
    <col min="2150" max="2150" width="28.28515625" style="212" customWidth="1"/>
    <col min="2151" max="2151" width="43.85546875" style="212" customWidth="1"/>
    <col min="2152" max="2399" width="11.42578125" style="212"/>
    <col min="2400" max="2400" width="2.28515625" style="212" customWidth="1"/>
    <col min="2401" max="2401" width="7.140625" style="212" customWidth="1"/>
    <col min="2402" max="2402" width="8.85546875" style="212" customWidth="1"/>
    <col min="2403" max="2403" width="71.42578125" style="212" customWidth="1"/>
    <col min="2404" max="2404" width="23.140625" style="212" customWidth="1"/>
    <col min="2405" max="2405" width="19" style="212" customWidth="1"/>
    <col min="2406" max="2406" width="28.28515625" style="212" customWidth="1"/>
    <col min="2407" max="2407" width="43.85546875" style="212" customWidth="1"/>
    <col min="2408" max="2655" width="11.42578125" style="212"/>
    <col min="2656" max="2656" width="2.28515625" style="212" customWidth="1"/>
    <col min="2657" max="2657" width="7.140625" style="212" customWidth="1"/>
    <col min="2658" max="2658" width="8.85546875" style="212" customWidth="1"/>
    <col min="2659" max="2659" width="71.42578125" style="212" customWidth="1"/>
    <col min="2660" max="2660" width="23.140625" style="212" customWidth="1"/>
    <col min="2661" max="2661" width="19" style="212" customWidth="1"/>
    <col min="2662" max="2662" width="28.28515625" style="212" customWidth="1"/>
    <col min="2663" max="2663" width="43.85546875" style="212" customWidth="1"/>
    <col min="2664" max="2911" width="11.42578125" style="212"/>
    <col min="2912" max="2912" width="2.28515625" style="212" customWidth="1"/>
    <col min="2913" max="2913" width="7.140625" style="212" customWidth="1"/>
    <col min="2914" max="2914" width="8.85546875" style="212" customWidth="1"/>
    <col min="2915" max="2915" width="71.42578125" style="212" customWidth="1"/>
    <col min="2916" max="2916" width="23.140625" style="212" customWidth="1"/>
    <col min="2917" max="2917" width="19" style="212" customWidth="1"/>
    <col min="2918" max="2918" width="28.28515625" style="212" customWidth="1"/>
    <col min="2919" max="2919" width="43.85546875" style="212" customWidth="1"/>
    <col min="2920" max="3167" width="11.42578125" style="212"/>
    <col min="3168" max="3168" width="2.28515625" style="212" customWidth="1"/>
    <col min="3169" max="3169" width="7.140625" style="212" customWidth="1"/>
    <col min="3170" max="3170" width="8.85546875" style="212" customWidth="1"/>
    <col min="3171" max="3171" width="71.42578125" style="212" customWidth="1"/>
    <col min="3172" max="3172" width="23.140625" style="212" customWidth="1"/>
    <col min="3173" max="3173" width="19" style="212" customWidth="1"/>
    <col min="3174" max="3174" width="28.28515625" style="212" customWidth="1"/>
    <col min="3175" max="3175" width="43.85546875" style="212" customWidth="1"/>
    <col min="3176" max="3423" width="11.42578125" style="212"/>
    <col min="3424" max="3424" width="2.28515625" style="212" customWidth="1"/>
    <col min="3425" max="3425" width="7.140625" style="212" customWidth="1"/>
    <col min="3426" max="3426" width="8.85546875" style="212" customWidth="1"/>
    <col min="3427" max="3427" width="71.42578125" style="212" customWidth="1"/>
    <col min="3428" max="3428" width="23.140625" style="212" customWidth="1"/>
    <col min="3429" max="3429" width="19" style="212" customWidth="1"/>
    <col min="3430" max="3430" width="28.28515625" style="212" customWidth="1"/>
    <col min="3431" max="3431" width="43.85546875" style="212" customWidth="1"/>
    <col min="3432" max="3679" width="11.42578125" style="212"/>
    <col min="3680" max="3680" width="2.28515625" style="212" customWidth="1"/>
    <col min="3681" max="3681" width="7.140625" style="212" customWidth="1"/>
    <col min="3682" max="3682" width="8.85546875" style="212" customWidth="1"/>
    <col min="3683" max="3683" width="71.42578125" style="212" customWidth="1"/>
    <col min="3684" max="3684" width="23.140625" style="212" customWidth="1"/>
    <col min="3685" max="3685" width="19" style="212" customWidth="1"/>
    <col min="3686" max="3686" width="28.28515625" style="212" customWidth="1"/>
    <col min="3687" max="3687" width="43.85546875" style="212" customWidth="1"/>
    <col min="3688" max="3935" width="11.42578125" style="212"/>
    <col min="3936" max="3936" width="2.28515625" style="212" customWidth="1"/>
    <col min="3937" max="3937" width="7.140625" style="212" customWidth="1"/>
    <col min="3938" max="3938" width="8.85546875" style="212" customWidth="1"/>
    <col min="3939" max="3939" width="71.42578125" style="212" customWidth="1"/>
    <col min="3940" max="3940" width="23.140625" style="212" customWidth="1"/>
    <col min="3941" max="3941" width="19" style="212" customWidth="1"/>
    <col min="3942" max="3942" width="28.28515625" style="212" customWidth="1"/>
    <col min="3943" max="3943" width="43.85546875" style="212" customWidth="1"/>
    <col min="3944" max="4191" width="11.42578125" style="212"/>
    <col min="4192" max="4192" width="2.28515625" style="212" customWidth="1"/>
    <col min="4193" max="4193" width="7.140625" style="212" customWidth="1"/>
    <col min="4194" max="4194" width="8.85546875" style="212" customWidth="1"/>
    <col min="4195" max="4195" width="71.42578125" style="212" customWidth="1"/>
    <col min="4196" max="4196" width="23.140625" style="212" customWidth="1"/>
    <col min="4197" max="4197" width="19" style="212" customWidth="1"/>
    <col min="4198" max="4198" width="28.28515625" style="212" customWidth="1"/>
    <col min="4199" max="4199" width="43.85546875" style="212" customWidth="1"/>
    <col min="4200" max="4447" width="11.42578125" style="212"/>
    <col min="4448" max="4448" width="2.28515625" style="212" customWidth="1"/>
    <col min="4449" max="4449" width="7.140625" style="212" customWidth="1"/>
    <col min="4450" max="4450" width="8.85546875" style="212" customWidth="1"/>
    <col min="4451" max="4451" width="71.42578125" style="212" customWidth="1"/>
    <col min="4452" max="4452" width="23.140625" style="212" customWidth="1"/>
    <col min="4453" max="4453" width="19" style="212" customWidth="1"/>
    <col min="4454" max="4454" width="28.28515625" style="212" customWidth="1"/>
    <col min="4455" max="4455" width="43.85546875" style="212" customWidth="1"/>
    <col min="4456" max="4703" width="11.42578125" style="212"/>
    <col min="4704" max="4704" width="2.28515625" style="212" customWidth="1"/>
    <col min="4705" max="4705" width="7.140625" style="212" customWidth="1"/>
    <col min="4706" max="4706" width="8.85546875" style="212" customWidth="1"/>
    <col min="4707" max="4707" width="71.42578125" style="212" customWidth="1"/>
    <col min="4708" max="4708" width="23.140625" style="212" customWidth="1"/>
    <col min="4709" max="4709" width="19" style="212" customWidth="1"/>
    <col min="4710" max="4710" width="28.28515625" style="212" customWidth="1"/>
    <col min="4711" max="4711" width="43.85546875" style="212" customWidth="1"/>
    <col min="4712" max="4959" width="11.42578125" style="212"/>
    <col min="4960" max="4960" width="2.28515625" style="212" customWidth="1"/>
    <col min="4961" max="4961" width="7.140625" style="212" customWidth="1"/>
    <col min="4962" max="4962" width="8.85546875" style="212" customWidth="1"/>
    <col min="4963" max="4963" width="71.42578125" style="212" customWidth="1"/>
    <col min="4964" max="4964" width="23.140625" style="212" customWidth="1"/>
    <col min="4965" max="4965" width="19" style="212" customWidth="1"/>
    <col min="4966" max="4966" width="28.28515625" style="212" customWidth="1"/>
    <col min="4967" max="4967" width="43.85546875" style="212" customWidth="1"/>
    <col min="4968" max="5215" width="11.42578125" style="212"/>
    <col min="5216" max="5216" width="2.28515625" style="212" customWidth="1"/>
    <col min="5217" max="5217" width="7.140625" style="212" customWidth="1"/>
    <col min="5218" max="5218" width="8.85546875" style="212" customWidth="1"/>
    <col min="5219" max="5219" width="71.42578125" style="212" customWidth="1"/>
    <col min="5220" max="5220" width="23.140625" style="212" customWidth="1"/>
    <col min="5221" max="5221" width="19" style="212" customWidth="1"/>
    <col min="5222" max="5222" width="28.28515625" style="212" customWidth="1"/>
    <col min="5223" max="5223" width="43.85546875" style="212" customWidth="1"/>
    <col min="5224" max="5471" width="11.42578125" style="212"/>
    <col min="5472" max="5472" width="2.28515625" style="212" customWidth="1"/>
    <col min="5473" max="5473" width="7.140625" style="212" customWidth="1"/>
    <col min="5474" max="5474" width="8.85546875" style="212" customWidth="1"/>
    <col min="5475" max="5475" width="71.42578125" style="212" customWidth="1"/>
    <col min="5476" max="5476" width="23.140625" style="212" customWidth="1"/>
    <col min="5477" max="5477" width="19" style="212" customWidth="1"/>
    <col min="5478" max="5478" width="28.28515625" style="212" customWidth="1"/>
    <col min="5479" max="5479" width="43.85546875" style="212" customWidth="1"/>
    <col min="5480" max="5727" width="11.42578125" style="212"/>
    <col min="5728" max="5728" width="2.28515625" style="212" customWidth="1"/>
    <col min="5729" max="5729" width="7.140625" style="212" customWidth="1"/>
    <col min="5730" max="5730" width="8.85546875" style="212" customWidth="1"/>
    <col min="5731" max="5731" width="71.42578125" style="212" customWidth="1"/>
    <col min="5732" max="5732" width="23.140625" style="212" customWidth="1"/>
    <col min="5733" max="5733" width="19" style="212" customWidth="1"/>
    <col min="5734" max="5734" width="28.28515625" style="212" customWidth="1"/>
    <col min="5735" max="5735" width="43.85546875" style="212" customWidth="1"/>
    <col min="5736" max="5983" width="11.42578125" style="212"/>
    <col min="5984" max="5984" width="2.28515625" style="212" customWidth="1"/>
    <col min="5985" max="5985" width="7.140625" style="212" customWidth="1"/>
    <col min="5986" max="5986" width="8.85546875" style="212" customWidth="1"/>
    <col min="5987" max="5987" width="71.42578125" style="212" customWidth="1"/>
    <col min="5988" max="5988" width="23.140625" style="212" customWidth="1"/>
    <col min="5989" max="5989" width="19" style="212" customWidth="1"/>
    <col min="5990" max="5990" width="28.28515625" style="212" customWidth="1"/>
    <col min="5991" max="5991" width="43.85546875" style="212" customWidth="1"/>
    <col min="5992" max="6239" width="11.42578125" style="212"/>
    <col min="6240" max="6240" width="2.28515625" style="212" customWidth="1"/>
    <col min="6241" max="6241" width="7.140625" style="212" customWidth="1"/>
    <col min="6242" max="6242" width="8.85546875" style="212" customWidth="1"/>
    <col min="6243" max="6243" width="71.42578125" style="212" customWidth="1"/>
    <col min="6244" max="6244" width="23.140625" style="212" customWidth="1"/>
    <col min="6245" max="6245" width="19" style="212" customWidth="1"/>
    <col min="6246" max="6246" width="28.28515625" style="212" customWidth="1"/>
    <col min="6247" max="6247" width="43.85546875" style="212" customWidth="1"/>
    <col min="6248" max="6495" width="11.42578125" style="212"/>
    <col min="6496" max="6496" width="2.28515625" style="212" customWidth="1"/>
    <col min="6497" max="6497" width="7.140625" style="212" customWidth="1"/>
    <col min="6498" max="6498" width="8.85546875" style="212" customWidth="1"/>
    <col min="6499" max="6499" width="71.42578125" style="212" customWidth="1"/>
    <col min="6500" max="6500" width="23.140625" style="212" customWidth="1"/>
    <col min="6501" max="6501" width="19" style="212" customWidth="1"/>
    <col min="6502" max="6502" width="28.28515625" style="212" customWidth="1"/>
    <col min="6503" max="6503" width="43.85546875" style="212" customWidth="1"/>
    <col min="6504" max="6751" width="11.42578125" style="212"/>
    <col min="6752" max="6752" width="2.28515625" style="212" customWidth="1"/>
    <col min="6753" max="6753" width="7.140625" style="212" customWidth="1"/>
    <col min="6754" max="6754" width="8.85546875" style="212" customWidth="1"/>
    <col min="6755" max="6755" width="71.42578125" style="212" customWidth="1"/>
    <col min="6756" max="6756" width="23.140625" style="212" customWidth="1"/>
    <col min="6757" max="6757" width="19" style="212" customWidth="1"/>
    <col min="6758" max="6758" width="28.28515625" style="212" customWidth="1"/>
    <col min="6759" max="6759" width="43.85546875" style="212" customWidth="1"/>
    <col min="6760" max="7007" width="11.42578125" style="212"/>
    <col min="7008" max="7008" width="2.28515625" style="212" customWidth="1"/>
    <col min="7009" max="7009" width="7.140625" style="212" customWidth="1"/>
    <col min="7010" max="7010" width="8.85546875" style="212" customWidth="1"/>
    <col min="7011" max="7011" width="71.42578125" style="212" customWidth="1"/>
    <col min="7012" max="7012" width="23.140625" style="212" customWidth="1"/>
    <col min="7013" max="7013" width="19" style="212" customWidth="1"/>
    <col min="7014" max="7014" width="28.28515625" style="212" customWidth="1"/>
    <col min="7015" max="7015" width="43.85546875" style="212" customWidth="1"/>
    <col min="7016" max="7263" width="11.42578125" style="212"/>
    <col min="7264" max="7264" width="2.28515625" style="212" customWidth="1"/>
    <col min="7265" max="7265" width="7.140625" style="212" customWidth="1"/>
    <col min="7266" max="7266" width="8.85546875" style="212" customWidth="1"/>
    <col min="7267" max="7267" width="71.42578125" style="212" customWidth="1"/>
    <col min="7268" max="7268" width="23.140625" style="212" customWidth="1"/>
    <col min="7269" max="7269" width="19" style="212" customWidth="1"/>
    <col min="7270" max="7270" width="28.28515625" style="212" customWidth="1"/>
    <col min="7271" max="7271" width="43.85546875" style="212" customWidth="1"/>
    <col min="7272" max="7519" width="11.42578125" style="212"/>
    <col min="7520" max="7520" width="2.28515625" style="212" customWidth="1"/>
    <col min="7521" max="7521" width="7.140625" style="212" customWidth="1"/>
    <col min="7522" max="7522" width="8.85546875" style="212" customWidth="1"/>
    <col min="7523" max="7523" width="71.42578125" style="212" customWidth="1"/>
    <col min="7524" max="7524" width="23.140625" style="212" customWidth="1"/>
    <col min="7525" max="7525" width="19" style="212" customWidth="1"/>
    <col min="7526" max="7526" width="28.28515625" style="212" customWidth="1"/>
    <col min="7527" max="7527" width="43.85546875" style="212" customWidth="1"/>
    <col min="7528" max="7775" width="11.42578125" style="212"/>
    <col min="7776" max="7776" width="2.28515625" style="212" customWidth="1"/>
    <col min="7777" max="7777" width="7.140625" style="212" customWidth="1"/>
    <col min="7778" max="7778" width="8.85546875" style="212" customWidth="1"/>
    <col min="7779" max="7779" width="71.42578125" style="212" customWidth="1"/>
    <col min="7780" max="7780" width="23.140625" style="212" customWidth="1"/>
    <col min="7781" max="7781" width="19" style="212" customWidth="1"/>
    <col min="7782" max="7782" width="28.28515625" style="212" customWidth="1"/>
    <col min="7783" max="7783" width="43.85546875" style="212" customWidth="1"/>
    <col min="7784" max="8031" width="11.42578125" style="212"/>
    <col min="8032" max="8032" width="2.28515625" style="212" customWidth="1"/>
    <col min="8033" max="8033" width="7.140625" style="212" customWidth="1"/>
    <col min="8034" max="8034" width="8.85546875" style="212" customWidth="1"/>
    <col min="8035" max="8035" width="71.42578125" style="212" customWidth="1"/>
    <col min="8036" max="8036" width="23.140625" style="212" customWidth="1"/>
    <col min="8037" max="8037" width="19" style="212" customWidth="1"/>
    <col min="8038" max="8038" width="28.28515625" style="212" customWidth="1"/>
    <col min="8039" max="8039" width="43.85546875" style="212" customWidth="1"/>
    <col min="8040" max="8287" width="11.42578125" style="212"/>
    <col min="8288" max="8288" width="2.28515625" style="212" customWidth="1"/>
    <col min="8289" max="8289" width="7.140625" style="212" customWidth="1"/>
    <col min="8290" max="8290" width="8.85546875" style="212" customWidth="1"/>
    <col min="8291" max="8291" width="71.42578125" style="212" customWidth="1"/>
    <col min="8292" max="8292" width="23.140625" style="212" customWidth="1"/>
    <col min="8293" max="8293" width="19" style="212" customWidth="1"/>
    <col min="8294" max="8294" width="28.28515625" style="212" customWidth="1"/>
    <col min="8295" max="8295" width="43.85546875" style="212" customWidth="1"/>
    <col min="8296" max="8543" width="11.42578125" style="212"/>
    <col min="8544" max="8544" width="2.28515625" style="212" customWidth="1"/>
    <col min="8545" max="8545" width="7.140625" style="212" customWidth="1"/>
    <col min="8546" max="8546" width="8.85546875" style="212" customWidth="1"/>
    <col min="8547" max="8547" width="71.42578125" style="212" customWidth="1"/>
    <col min="8548" max="8548" width="23.140625" style="212" customWidth="1"/>
    <col min="8549" max="8549" width="19" style="212" customWidth="1"/>
    <col min="8550" max="8550" width="28.28515625" style="212" customWidth="1"/>
    <col min="8551" max="8551" width="43.85546875" style="212" customWidth="1"/>
    <col min="8552" max="8799" width="11.42578125" style="212"/>
    <col min="8800" max="8800" width="2.28515625" style="212" customWidth="1"/>
    <col min="8801" max="8801" width="7.140625" style="212" customWidth="1"/>
    <col min="8802" max="8802" width="8.85546875" style="212" customWidth="1"/>
    <col min="8803" max="8803" width="71.42578125" style="212" customWidth="1"/>
    <col min="8804" max="8804" width="23.140625" style="212" customWidth="1"/>
    <col min="8805" max="8805" width="19" style="212" customWidth="1"/>
    <col min="8806" max="8806" width="28.28515625" style="212" customWidth="1"/>
    <col min="8807" max="8807" width="43.85546875" style="212" customWidth="1"/>
    <col min="8808" max="9055" width="11.42578125" style="212"/>
    <col min="9056" max="9056" width="2.28515625" style="212" customWidth="1"/>
    <col min="9057" max="9057" width="7.140625" style="212" customWidth="1"/>
    <col min="9058" max="9058" width="8.85546875" style="212" customWidth="1"/>
    <col min="9059" max="9059" width="71.42578125" style="212" customWidth="1"/>
    <col min="9060" max="9060" width="23.140625" style="212" customWidth="1"/>
    <col min="9061" max="9061" width="19" style="212" customWidth="1"/>
    <col min="9062" max="9062" width="28.28515625" style="212" customWidth="1"/>
    <col min="9063" max="9063" width="43.85546875" style="212" customWidth="1"/>
    <col min="9064" max="9311" width="11.42578125" style="212"/>
    <col min="9312" max="9312" width="2.28515625" style="212" customWidth="1"/>
    <col min="9313" max="9313" width="7.140625" style="212" customWidth="1"/>
    <col min="9314" max="9314" width="8.85546875" style="212" customWidth="1"/>
    <col min="9315" max="9315" width="71.42578125" style="212" customWidth="1"/>
    <col min="9316" max="9316" width="23.140625" style="212" customWidth="1"/>
    <col min="9317" max="9317" width="19" style="212" customWidth="1"/>
    <col min="9318" max="9318" width="28.28515625" style="212" customWidth="1"/>
    <col min="9319" max="9319" width="43.85546875" style="212" customWidth="1"/>
    <col min="9320" max="9567" width="11.42578125" style="212"/>
    <col min="9568" max="9568" width="2.28515625" style="212" customWidth="1"/>
    <col min="9569" max="9569" width="7.140625" style="212" customWidth="1"/>
    <col min="9570" max="9570" width="8.85546875" style="212" customWidth="1"/>
    <col min="9571" max="9571" width="71.42578125" style="212" customWidth="1"/>
    <col min="9572" max="9572" width="23.140625" style="212" customWidth="1"/>
    <col min="9573" max="9573" width="19" style="212" customWidth="1"/>
    <col min="9574" max="9574" width="28.28515625" style="212" customWidth="1"/>
    <col min="9575" max="9575" width="43.85546875" style="212" customWidth="1"/>
    <col min="9576" max="9823" width="11.42578125" style="212"/>
    <col min="9824" max="9824" width="2.28515625" style="212" customWidth="1"/>
    <col min="9825" max="9825" width="7.140625" style="212" customWidth="1"/>
    <col min="9826" max="9826" width="8.85546875" style="212" customWidth="1"/>
    <col min="9827" max="9827" width="71.42578125" style="212" customWidth="1"/>
    <col min="9828" max="9828" width="23.140625" style="212" customWidth="1"/>
    <col min="9829" max="9829" width="19" style="212" customWidth="1"/>
    <col min="9830" max="9830" width="28.28515625" style="212" customWidth="1"/>
    <col min="9831" max="9831" width="43.85546875" style="212" customWidth="1"/>
    <col min="9832" max="10079" width="11.42578125" style="212"/>
    <col min="10080" max="10080" width="2.28515625" style="212" customWidth="1"/>
    <col min="10081" max="10081" width="7.140625" style="212" customWidth="1"/>
    <col min="10082" max="10082" width="8.85546875" style="212" customWidth="1"/>
    <col min="10083" max="10083" width="71.42578125" style="212" customWidth="1"/>
    <col min="10084" max="10084" width="23.140625" style="212" customWidth="1"/>
    <col min="10085" max="10085" width="19" style="212" customWidth="1"/>
    <col min="10086" max="10086" width="28.28515625" style="212" customWidth="1"/>
    <col min="10087" max="10087" width="43.85546875" style="212" customWidth="1"/>
    <col min="10088" max="10335" width="11.42578125" style="212"/>
    <col min="10336" max="10336" width="2.28515625" style="212" customWidth="1"/>
    <col min="10337" max="10337" width="7.140625" style="212" customWidth="1"/>
    <col min="10338" max="10338" width="8.85546875" style="212" customWidth="1"/>
    <col min="10339" max="10339" width="71.42578125" style="212" customWidth="1"/>
    <col min="10340" max="10340" width="23.140625" style="212" customWidth="1"/>
    <col min="10341" max="10341" width="19" style="212" customWidth="1"/>
    <col min="10342" max="10342" width="28.28515625" style="212" customWidth="1"/>
    <col min="10343" max="10343" width="43.85546875" style="212" customWidth="1"/>
    <col min="10344" max="10591" width="11.42578125" style="212"/>
    <col min="10592" max="10592" width="2.28515625" style="212" customWidth="1"/>
    <col min="10593" max="10593" width="7.140625" style="212" customWidth="1"/>
    <col min="10594" max="10594" width="8.85546875" style="212" customWidth="1"/>
    <col min="10595" max="10595" width="71.42578125" style="212" customWidth="1"/>
    <col min="10596" max="10596" width="23.140625" style="212" customWidth="1"/>
    <col min="10597" max="10597" width="19" style="212" customWidth="1"/>
    <col min="10598" max="10598" width="28.28515625" style="212" customWidth="1"/>
    <col min="10599" max="10599" width="43.85546875" style="212" customWidth="1"/>
    <col min="10600" max="10847" width="11.42578125" style="212"/>
    <col min="10848" max="10848" width="2.28515625" style="212" customWidth="1"/>
    <col min="10849" max="10849" width="7.140625" style="212" customWidth="1"/>
    <col min="10850" max="10850" width="8.85546875" style="212" customWidth="1"/>
    <col min="10851" max="10851" width="71.42578125" style="212" customWidth="1"/>
    <col min="10852" max="10852" width="23.140625" style="212" customWidth="1"/>
    <col min="10853" max="10853" width="19" style="212" customWidth="1"/>
    <col min="10854" max="10854" width="28.28515625" style="212" customWidth="1"/>
    <col min="10855" max="10855" width="43.85546875" style="212" customWidth="1"/>
    <col min="10856" max="11103" width="11.42578125" style="212"/>
    <col min="11104" max="11104" width="2.28515625" style="212" customWidth="1"/>
    <col min="11105" max="11105" width="7.140625" style="212" customWidth="1"/>
    <col min="11106" max="11106" width="8.85546875" style="212" customWidth="1"/>
    <col min="11107" max="11107" width="71.42578125" style="212" customWidth="1"/>
    <col min="11108" max="11108" width="23.140625" style="212" customWidth="1"/>
    <col min="11109" max="11109" width="19" style="212" customWidth="1"/>
    <col min="11110" max="11110" width="28.28515625" style="212" customWidth="1"/>
    <col min="11111" max="11111" width="43.85546875" style="212" customWidth="1"/>
    <col min="11112" max="11359" width="11.42578125" style="212"/>
    <col min="11360" max="11360" width="2.28515625" style="212" customWidth="1"/>
    <col min="11361" max="11361" width="7.140625" style="212" customWidth="1"/>
    <col min="11362" max="11362" width="8.85546875" style="212" customWidth="1"/>
    <col min="11363" max="11363" width="71.42578125" style="212" customWidth="1"/>
    <col min="11364" max="11364" width="23.140625" style="212" customWidth="1"/>
    <col min="11365" max="11365" width="19" style="212" customWidth="1"/>
    <col min="11366" max="11366" width="28.28515625" style="212" customWidth="1"/>
    <col min="11367" max="11367" width="43.85546875" style="212" customWidth="1"/>
    <col min="11368" max="11615" width="11.42578125" style="212"/>
    <col min="11616" max="11616" width="2.28515625" style="212" customWidth="1"/>
    <col min="11617" max="11617" width="7.140625" style="212" customWidth="1"/>
    <col min="11618" max="11618" width="8.85546875" style="212" customWidth="1"/>
    <col min="11619" max="11619" width="71.42578125" style="212" customWidth="1"/>
    <col min="11620" max="11620" width="23.140625" style="212" customWidth="1"/>
    <col min="11621" max="11621" width="19" style="212" customWidth="1"/>
    <col min="11622" max="11622" width="28.28515625" style="212" customWidth="1"/>
    <col min="11623" max="11623" width="43.85546875" style="212" customWidth="1"/>
    <col min="11624" max="11871" width="11.42578125" style="212"/>
    <col min="11872" max="11872" width="2.28515625" style="212" customWidth="1"/>
    <col min="11873" max="11873" width="7.140625" style="212" customWidth="1"/>
    <col min="11874" max="11874" width="8.85546875" style="212" customWidth="1"/>
    <col min="11875" max="11875" width="71.42578125" style="212" customWidth="1"/>
    <col min="11876" max="11876" width="23.140625" style="212" customWidth="1"/>
    <col min="11877" max="11877" width="19" style="212" customWidth="1"/>
    <col min="11878" max="11878" width="28.28515625" style="212" customWidth="1"/>
    <col min="11879" max="11879" width="43.85546875" style="212" customWidth="1"/>
    <col min="11880" max="12127" width="11.42578125" style="212"/>
    <col min="12128" max="12128" width="2.28515625" style="212" customWidth="1"/>
    <col min="12129" max="12129" width="7.140625" style="212" customWidth="1"/>
    <col min="12130" max="12130" width="8.85546875" style="212" customWidth="1"/>
    <col min="12131" max="12131" width="71.42578125" style="212" customWidth="1"/>
    <col min="12132" max="12132" width="23.140625" style="212" customWidth="1"/>
    <col min="12133" max="12133" width="19" style="212" customWidth="1"/>
    <col min="12134" max="12134" width="28.28515625" style="212" customWidth="1"/>
    <col min="12135" max="12135" width="43.85546875" style="212" customWidth="1"/>
    <col min="12136" max="12383" width="11.42578125" style="212"/>
    <col min="12384" max="12384" width="2.28515625" style="212" customWidth="1"/>
    <col min="12385" max="12385" width="7.140625" style="212" customWidth="1"/>
    <col min="12386" max="12386" width="8.85546875" style="212" customWidth="1"/>
    <col min="12387" max="12387" width="71.42578125" style="212" customWidth="1"/>
    <col min="12388" max="12388" width="23.140625" style="212" customWidth="1"/>
    <col min="12389" max="12389" width="19" style="212" customWidth="1"/>
    <col min="12390" max="12390" width="28.28515625" style="212" customWidth="1"/>
    <col min="12391" max="12391" width="43.85546875" style="212" customWidth="1"/>
    <col min="12392" max="12639" width="11.42578125" style="212"/>
    <col min="12640" max="12640" width="2.28515625" style="212" customWidth="1"/>
    <col min="12641" max="12641" width="7.140625" style="212" customWidth="1"/>
    <col min="12642" max="12642" width="8.85546875" style="212" customWidth="1"/>
    <col min="12643" max="12643" width="71.42578125" style="212" customWidth="1"/>
    <col min="12644" max="12644" width="23.140625" style="212" customWidth="1"/>
    <col min="12645" max="12645" width="19" style="212" customWidth="1"/>
    <col min="12646" max="12646" width="28.28515625" style="212" customWidth="1"/>
    <col min="12647" max="12647" width="43.85546875" style="212" customWidth="1"/>
    <col min="12648" max="12895" width="11.42578125" style="212"/>
    <col min="12896" max="12896" width="2.28515625" style="212" customWidth="1"/>
    <col min="12897" max="12897" width="7.140625" style="212" customWidth="1"/>
    <col min="12898" max="12898" width="8.85546875" style="212" customWidth="1"/>
    <col min="12899" max="12899" width="71.42578125" style="212" customWidth="1"/>
    <col min="12900" max="12900" width="23.140625" style="212" customWidth="1"/>
    <col min="12901" max="12901" width="19" style="212" customWidth="1"/>
    <col min="12902" max="12902" width="28.28515625" style="212" customWidth="1"/>
    <col min="12903" max="12903" width="43.85546875" style="212" customWidth="1"/>
    <col min="12904" max="13151" width="11.42578125" style="212"/>
    <col min="13152" max="13152" width="2.28515625" style="212" customWidth="1"/>
    <col min="13153" max="13153" width="7.140625" style="212" customWidth="1"/>
    <col min="13154" max="13154" width="8.85546875" style="212" customWidth="1"/>
    <col min="13155" max="13155" width="71.42578125" style="212" customWidth="1"/>
    <col min="13156" max="13156" width="23.140625" style="212" customWidth="1"/>
    <col min="13157" max="13157" width="19" style="212" customWidth="1"/>
    <col min="13158" max="13158" width="28.28515625" style="212" customWidth="1"/>
    <col min="13159" max="13159" width="43.85546875" style="212" customWidth="1"/>
    <col min="13160" max="13407" width="11.42578125" style="212"/>
    <col min="13408" max="13408" width="2.28515625" style="212" customWidth="1"/>
    <col min="13409" max="13409" width="7.140625" style="212" customWidth="1"/>
    <col min="13410" max="13410" width="8.85546875" style="212" customWidth="1"/>
    <col min="13411" max="13411" width="71.42578125" style="212" customWidth="1"/>
    <col min="13412" max="13412" width="23.140625" style="212" customWidth="1"/>
    <col min="13413" max="13413" width="19" style="212" customWidth="1"/>
    <col min="13414" max="13414" width="28.28515625" style="212" customWidth="1"/>
    <col min="13415" max="13415" width="43.85546875" style="212" customWidth="1"/>
    <col min="13416" max="13663" width="11.42578125" style="212"/>
    <col min="13664" max="13664" width="2.28515625" style="212" customWidth="1"/>
    <col min="13665" max="13665" width="7.140625" style="212" customWidth="1"/>
    <col min="13666" max="13666" width="8.85546875" style="212" customWidth="1"/>
    <col min="13667" max="13667" width="71.42578125" style="212" customWidth="1"/>
    <col min="13668" max="13668" width="23.140625" style="212" customWidth="1"/>
    <col min="13669" max="13669" width="19" style="212" customWidth="1"/>
    <col min="13670" max="13670" width="28.28515625" style="212" customWidth="1"/>
    <col min="13671" max="13671" width="43.85546875" style="212" customWidth="1"/>
    <col min="13672" max="13919" width="11.42578125" style="212"/>
    <col min="13920" max="13920" width="2.28515625" style="212" customWidth="1"/>
    <col min="13921" max="13921" width="7.140625" style="212" customWidth="1"/>
    <col min="13922" max="13922" width="8.85546875" style="212" customWidth="1"/>
    <col min="13923" max="13923" width="71.42578125" style="212" customWidth="1"/>
    <col min="13924" max="13924" width="23.140625" style="212" customWidth="1"/>
    <col min="13925" max="13925" width="19" style="212" customWidth="1"/>
    <col min="13926" max="13926" width="28.28515625" style="212" customWidth="1"/>
    <col min="13927" max="13927" width="43.85546875" style="212" customWidth="1"/>
    <col min="13928" max="14175" width="11.42578125" style="212"/>
    <col min="14176" max="14176" width="2.28515625" style="212" customWidth="1"/>
    <col min="14177" max="14177" width="7.140625" style="212" customWidth="1"/>
    <col min="14178" max="14178" width="8.85546875" style="212" customWidth="1"/>
    <col min="14179" max="14179" width="71.42578125" style="212" customWidth="1"/>
    <col min="14180" max="14180" width="23.140625" style="212" customWidth="1"/>
    <col min="14181" max="14181" width="19" style="212" customWidth="1"/>
    <col min="14182" max="14182" width="28.28515625" style="212" customWidth="1"/>
    <col min="14183" max="14183" width="43.85546875" style="212" customWidth="1"/>
    <col min="14184" max="14431" width="11.42578125" style="212"/>
    <col min="14432" max="14432" width="2.28515625" style="212" customWidth="1"/>
    <col min="14433" max="14433" width="7.140625" style="212" customWidth="1"/>
    <col min="14434" max="14434" width="8.85546875" style="212" customWidth="1"/>
    <col min="14435" max="14435" width="71.42578125" style="212" customWidth="1"/>
    <col min="14436" max="14436" width="23.140625" style="212" customWidth="1"/>
    <col min="14437" max="14437" width="19" style="212" customWidth="1"/>
    <col min="14438" max="14438" width="28.28515625" style="212" customWidth="1"/>
    <col min="14439" max="14439" width="43.85546875" style="212" customWidth="1"/>
    <col min="14440" max="14687" width="11.42578125" style="212"/>
    <col min="14688" max="14688" width="2.28515625" style="212" customWidth="1"/>
    <col min="14689" max="14689" width="7.140625" style="212" customWidth="1"/>
    <col min="14690" max="14690" width="8.85546875" style="212" customWidth="1"/>
    <col min="14691" max="14691" width="71.42578125" style="212" customWidth="1"/>
    <col min="14692" max="14692" width="23.140625" style="212" customWidth="1"/>
    <col min="14693" max="14693" width="19" style="212" customWidth="1"/>
    <col min="14694" max="14694" width="28.28515625" style="212" customWidth="1"/>
    <col min="14695" max="14695" width="43.85546875" style="212" customWidth="1"/>
    <col min="14696" max="14943" width="11.42578125" style="212"/>
    <col min="14944" max="14944" width="2.28515625" style="212" customWidth="1"/>
    <col min="14945" max="14945" width="7.140625" style="212" customWidth="1"/>
    <col min="14946" max="14946" width="8.85546875" style="212" customWidth="1"/>
    <col min="14947" max="14947" width="71.42578125" style="212" customWidth="1"/>
    <col min="14948" max="14948" width="23.140625" style="212" customWidth="1"/>
    <col min="14949" max="14949" width="19" style="212" customWidth="1"/>
    <col min="14950" max="14950" width="28.28515625" style="212" customWidth="1"/>
    <col min="14951" max="14951" width="43.85546875" style="212" customWidth="1"/>
    <col min="14952" max="15199" width="11.42578125" style="212"/>
    <col min="15200" max="15200" width="2.28515625" style="212" customWidth="1"/>
    <col min="15201" max="15201" width="7.140625" style="212" customWidth="1"/>
    <col min="15202" max="15202" width="8.85546875" style="212" customWidth="1"/>
    <col min="15203" max="15203" width="71.42578125" style="212" customWidth="1"/>
    <col min="15204" max="15204" width="23.140625" style="212" customWidth="1"/>
    <col min="15205" max="15205" width="19" style="212" customWidth="1"/>
    <col min="15206" max="15206" width="28.28515625" style="212" customWidth="1"/>
    <col min="15207" max="15207" width="43.85546875" style="212" customWidth="1"/>
    <col min="15208" max="15455" width="11.42578125" style="212"/>
    <col min="15456" max="15456" width="2.28515625" style="212" customWidth="1"/>
    <col min="15457" max="15457" width="7.140625" style="212" customWidth="1"/>
    <col min="15458" max="15458" width="8.85546875" style="212" customWidth="1"/>
    <col min="15459" max="15459" width="71.42578125" style="212" customWidth="1"/>
    <col min="15460" max="15460" width="23.140625" style="212" customWidth="1"/>
    <col min="15461" max="15461" width="19" style="212" customWidth="1"/>
    <col min="15462" max="15462" width="28.28515625" style="212" customWidth="1"/>
    <col min="15463" max="15463" width="43.85546875" style="212" customWidth="1"/>
    <col min="15464" max="15711" width="11.42578125" style="212"/>
    <col min="15712" max="15712" width="2.28515625" style="212" customWidth="1"/>
    <col min="15713" max="15713" width="7.140625" style="212" customWidth="1"/>
    <col min="15714" max="15714" width="8.85546875" style="212" customWidth="1"/>
    <col min="15715" max="15715" width="71.42578125" style="212" customWidth="1"/>
    <col min="15716" max="15716" width="23.140625" style="212" customWidth="1"/>
    <col min="15717" max="15717" width="19" style="212" customWidth="1"/>
    <col min="15718" max="15718" width="28.28515625" style="212" customWidth="1"/>
    <col min="15719" max="15719" width="43.85546875" style="212" customWidth="1"/>
    <col min="15720" max="15967" width="11.42578125" style="212"/>
    <col min="15968" max="15968" width="2.28515625" style="212" customWidth="1"/>
    <col min="15969" max="15969" width="7.140625" style="212" customWidth="1"/>
    <col min="15970" max="15970" width="8.85546875" style="212" customWidth="1"/>
    <col min="15971" max="15971" width="71.42578125" style="212" customWidth="1"/>
    <col min="15972" max="15972" width="23.140625" style="212" customWidth="1"/>
    <col min="15973" max="15973" width="19" style="212" customWidth="1"/>
    <col min="15974" max="15974" width="28.28515625" style="212" customWidth="1"/>
    <col min="15975" max="15975" width="43.85546875" style="212" customWidth="1"/>
    <col min="15976" max="16384" width="11.42578125" style="212"/>
  </cols>
  <sheetData>
    <row r="1" spans="2:246" ht="16.5" thickBot="1" x14ac:dyDescent="0.25"/>
    <row r="2" spans="2:246" ht="16.5" customHeight="1" thickTop="1" thickBot="1" x14ac:dyDescent="0.25">
      <c r="J2" s="592">
        <v>1</v>
      </c>
      <c r="K2" s="594" t="s">
        <v>3</v>
      </c>
      <c r="L2" s="595"/>
      <c r="M2" s="594" t="str">
        <f>VLOOKUP(J2,LISTA_OFERENTES,2,FALSE)</f>
        <v>CONCRETOS Y MEZCLAS S.A</v>
      </c>
      <c r="N2" s="598"/>
      <c r="O2" s="598"/>
      <c r="P2" s="595"/>
      <c r="AA2" s="592">
        <v>2</v>
      </c>
      <c r="AB2" s="594" t="s">
        <v>3</v>
      </c>
      <c r="AC2" s="595"/>
      <c r="AD2" s="594" t="str">
        <f>VLOOKUP(AA2,LISTA_OFERENTES,2,FALSE)</f>
        <v>INGAP S.A.S</v>
      </c>
      <c r="AE2" s="598"/>
      <c r="AF2" s="598"/>
      <c r="AG2" s="595"/>
      <c r="AR2" s="592">
        <v>3</v>
      </c>
      <c r="AS2" s="594" t="s">
        <v>3</v>
      </c>
      <c r="AT2" s="595"/>
      <c r="AU2" s="594" t="str">
        <f>VLOOKUP(AR2,LISTA_OFERENTES,2,FALSE)</f>
        <v xml:space="preserve">VIACOL INGENIEROS CONTRATISTAS </v>
      </c>
      <c r="AV2" s="598"/>
      <c r="AW2" s="598"/>
      <c r="AX2" s="595"/>
      <c r="BI2" s="592">
        <v>4</v>
      </c>
      <c r="BJ2" s="594" t="s">
        <v>3</v>
      </c>
      <c r="BK2" s="595"/>
      <c r="BL2" s="594" t="str">
        <f>VLOOKUP(BI2,LISTA_OFERENTES,2,FALSE)</f>
        <v>CÉSAR AUGUSTO GIRALDO ATEHORTÚA</v>
      </c>
      <c r="BM2" s="598"/>
      <c r="BN2" s="598"/>
      <c r="BO2" s="595"/>
      <c r="BZ2" s="592">
        <v>5</v>
      </c>
      <c r="CA2" s="594" t="s">
        <v>3</v>
      </c>
      <c r="CB2" s="595"/>
      <c r="CC2" s="594" t="str">
        <f>VLOOKUP(BZ2,LISTA_OFERENTES,2,FALSE)</f>
        <v>JUAN CARLOS RESTREPO GUTIERREZ</v>
      </c>
      <c r="CD2" s="598"/>
      <c r="CE2" s="598"/>
      <c r="CF2" s="595"/>
      <c r="CQ2" s="592">
        <v>6</v>
      </c>
      <c r="CR2" s="594" t="s">
        <v>3</v>
      </c>
      <c r="CS2" s="595"/>
      <c r="CT2" s="594" t="str">
        <f>VLOOKUP(CQ2,LISTA_OFERENTES,2,FALSE)</f>
        <v>ANGELA MARÍA CÁRDENAS ZAPATA</v>
      </c>
      <c r="CU2" s="598"/>
      <c r="CV2" s="598"/>
      <c r="CW2" s="595"/>
      <c r="DH2" s="592">
        <v>7</v>
      </c>
      <c r="DI2" s="594" t="s">
        <v>3</v>
      </c>
      <c r="DJ2" s="595"/>
      <c r="DK2" s="594" t="str">
        <f>VLOOKUP(DH2,LISTA_OFERENTES,2,FALSE)</f>
        <v>ASEM S.A.S</v>
      </c>
      <c r="DL2" s="598"/>
      <c r="DM2" s="598"/>
      <c r="DN2" s="595"/>
      <c r="DY2" s="592">
        <v>8</v>
      </c>
      <c r="DZ2" s="594" t="s">
        <v>3</v>
      </c>
      <c r="EA2" s="595"/>
      <c r="EB2" s="594" t="str">
        <f>VLOOKUP(DY2,LISTA_OFERENTES,2,FALSE)</f>
        <v>LUIS CARLOS PARRA VELASQUEZ</v>
      </c>
      <c r="EC2" s="598"/>
      <c r="ED2" s="598"/>
      <c r="EE2" s="595"/>
      <c r="EP2" s="592">
        <v>9</v>
      </c>
      <c r="EQ2" s="594" t="s">
        <v>3</v>
      </c>
      <c r="ER2" s="595"/>
      <c r="ES2" s="594" t="str">
        <f>VLOOKUP(EP2,LISTA_OFERENTES,2,FALSE)</f>
        <v>KA S.A.</v>
      </c>
      <c r="ET2" s="598"/>
      <c r="EU2" s="598"/>
      <c r="EV2" s="595"/>
      <c r="FG2" s="592">
        <v>10</v>
      </c>
      <c r="FH2" s="594" t="s">
        <v>3</v>
      </c>
      <c r="FI2" s="595"/>
      <c r="FJ2" s="594" t="str">
        <f>VLOOKUP(FG2,LISTA_OFERENTES,2,FALSE)</f>
        <v xml:space="preserve">DANIEL JOSE NIEVES VERGARA </v>
      </c>
      <c r="FK2" s="598"/>
      <c r="FL2" s="598"/>
      <c r="FM2" s="595"/>
      <c r="FX2" s="592">
        <v>11</v>
      </c>
      <c r="FY2" s="594" t="s">
        <v>3</v>
      </c>
      <c r="FZ2" s="595"/>
      <c r="GA2" s="594" t="str">
        <f>VLOOKUP(FX2,LISTA_OFERENTES,2,FALSE)</f>
        <v xml:space="preserve">CARLOS ANDRES ACEBEDO ESCOBAR </v>
      </c>
      <c r="GB2" s="598"/>
      <c r="GC2" s="598"/>
      <c r="GD2" s="595"/>
      <c r="GO2" s="592">
        <v>12</v>
      </c>
      <c r="GP2" s="594" t="s">
        <v>3</v>
      </c>
      <c r="GQ2" s="595"/>
      <c r="GR2" s="594" t="str">
        <f>VLOOKUP(GO2,LISTA_OFERENTES,2,FALSE)</f>
        <v>CONDEIN S.A.S</v>
      </c>
      <c r="GS2" s="598"/>
      <c r="GT2" s="598"/>
      <c r="GU2" s="595"/>
      <c r="HF2" s="592">
        <v>13</v>
      </c>
      <c r="HG2" s="594" t="s">
        <v>3</v>
      </c>
      <c r="HH2" s="595"/>
      <c r="HI2" s="594" t="str">
        <f>VLOOKUP(HF2,LISTA_OFERENTES,2,FALSE)</f>
        <v>CONSTRUVALORES S.A.S</v>
      </c>
      <c r="HJ2" s="598"/>
      <c r="HK2" s="598"/>
      <c r="HL2" s="595"/>
      <c r="HW2" s="592">
        <v>14</v>
      </c>
      <c r="HX2" s="594" t="s">
        <v>3</v>
      </c>
      <c r="HY2" s="595"/>
      <c r="HZ2" s="594" t="str">
        <f>VLOOKUP(HW2,LISTA_OFERENTES,2,FALSE)</f>
        <v>WILLIAMS.CO S.A.S</v>
      </c>
      <c r="IA2" s="598"/>
      <c r="IB2" s="598"/>
      <c r="IC2" s="595"/>
    </row>
    <row r="3" spans="2:246" ht="19.5" customHeight="1" thickTop="1" thickBot="1" x14ac:dyDescent="0.3">
      <c r="B3" s="632" t="s">
        <v>103</v>
      </c>
      <c r="C3" s="632"/>
      <c r="D3" s="632"/>
      <c r="E3" s="632"/>
      <c r="F3" s="632"/>
      <c r="G3" s="632"/>
      <c r="H3" s="632"/>
      <c r="J3" s="593"/>
      <c r="K3" s="596"/>
      <c r="L3" s="597"/>
      <c r="M3" s="596"/>
      <c r="N3" s="599"/>
      <c r="O3" s="599"/>
      <c r="P3" s="597"/>
      <c r="Q3" s="564" t="s">
        <v>111</v>
      </c>
      <c r="R3" s="564" t="s">
        <v>112</v>
      </c>
      <c r="S3" s="564" t="s">
        <v>113</v>
      </c>
      <c r="T3" s="564" t="s">
        <v>114</v>
      </c>
      <c r="U3" s="600" t="s">
        <v>115</v>
      </c>
      <c r="V3" s="600" t="s">
        <v>116</v>
      </c>
      <c r="W3" s="564" t="s">
        <v>71</v>
      </c>
      <c r="X3" s="564" t="s">
        <v>72</v>
      </c>
      <c r="Y3" s="564" t="s">
        <v>73</v>
      </c>
      <c r="AA3" s="593"/>
      <c r="AB3" s="596"/>
      <c r="AC3" s="597"/>
      <c r="AD3" s="596"/>
      <c r="AE3" s="599"/>
      <c r="AF3" s="599"/>
      <c r="AG3" s="597"/>
      <c r="AH3" s="564" t="s">
        <v>111</v>
      </c>
      <c r="AI3" s="564" t="s">
        <v>112</v>
      </c>
      <c r="AJ3" s="564" t="s">
        <v>113</v>
      </c>
      <c r="AK3" s="564" t="s">
        <v>114</v>
      </c>
      <c r="AL3" s="600" t="s">
        <v>115</v>
      </c>
      <c r="AM3" s="600" t="s">
        <v>116</v>
      </c>
      <c r="AN3" s="564" t="s">
        <v>71</v>
      </c>
      <c r="AO3" s="564" t="s">
        <v>72</v>
      </c>
      <c r="AP3" s="564" t="s">
        <v>73</v>
      </c>
      <c r="AR3" s="593"/>
      <c r="AS3" s="596"/>
      <c r="AT3" s="597"/>
      <c r="AU3" s="596"/>
      <c r="AV3" s="599"/>
      <c r="AW3" s="599"/>
      <c r="AX3" s="597"/>
      <c r="AY3" s="564" t="s">
        <v>111</v>
      </c>
      <c r="AZ3" s="564" t="s">
        <v>112</v>
      </c>
      <c r="BA3" s="564" t="s">
        <v>113</v>
      </c>
      <c r="BB3" s="564" t="s">
        <v>114</v>
      </c>
      <c r="BC3" s="600" t="s">
        <v>115</v>
      </c>
      <c r="BD3" s="600" t="s">
        <v>116</v>
      </c>
      <c r="BE3" s="564" t="s">
        <v>71</v>
      </c>
      <c r="BF3" s="564" t="s">
        <v>72</v>
      </c>
      <c r="BG3" s="564" t="s">
        <v>73</v>
      </c>
      <c r="BI3" s="593"/>
      <c r="BJ3" s="596"/>
      <c r="BK3" s="597"/>
      <c r="BL3" s="596"/>
      <c r="BM3" s="599"/>
      <c r="BN3" s="599"/>
      <c r="BO3" s="597"/>
      <c r="BP3" s="564" t="s">
        <v>111</v>
      </c>
      <c r="BQ3" s="564" t="s">
        <v>112</v>
      </c>
      <c r="BR3" s="564" t="s">
        <v>113</v>
      </c>
      <c r="BS3" s="564" t="s">
        <v>114</v>
      </c>
      <c r="BT3" s="600" t="s">
        <v>115</v>
      </c>
      <c r="BU3" s="600" t="s">
        <v>116</v>
      </c>
      <c r="BV3" s="564" t="s">
        <v>71</v>
      </c>
      <c r="BW3" s="564" t="s">
        <v>72</v>
      </c>
      <c r="BX3" s="564" t="s">
        <v>73</v>
      </c>
      <c r="BZ3" s="593"/>
      <c r="CA3" s="596"/>
      <c r="CB3" s="597"/>
      <c r="CC3" s="596"/>
      <c r="CD3" s="599"/>
      <c r="CE3" s="599"/>
      <c r="CF3" s="597"/>
      <c r="CG3" s="564" t="s">
        <v>111</v>
      </c>
      <c r="CH3" s="564" t="s">
        <v>112</v>
      </c>
      <c r="CI3" s="564" t="s">
        <v>113</v>
      </c>
      <c r="CJ3" s="564" t="s">
        <v>114</v>
      </c>
      <c r="CK3" s="600" t="s">
        <v>115</v>
      </c>
      <c r="CL3" s="600" t="s">
        <v>116</v>
      </c>
      <c r="CM3" s="564" t="s">
        <v>71</v>
      </c>
      <c r="CN3" s="564" t="s">
        <v>72</v>
      </c>
      <c r="CO3" s="564" t="s">
        <v>73</v>
      </c>
      <c r="CQ3" s="593"/>
      <c r="CR3" s="596"/>
      <c r="CS3" s="597"/>
      <c r="CT3" s="596"/>
      <c r="CU3" s="599"/>
      <c r="CV3" s="599"/>
      <c r="CW3" s="597"/>
      <c r="CX3" s="564" t="s">
        <v>111</v>
      </c>
      <c r="CY3" s="564" t="s">
        <v>112</v>
      </c>
      <c r="CZ3" s="564" t="s">
        <v>113</v>
      </c>
      <c r="DA3" s="564" t="s">
        <v>114</v>
      </c>
      <c r="DB3" s="600" t="s">
        <v>115</v>
      </c>
      <c r="DC3" s="600" t="s">
        <v>116</v>
      </c>
      <c r="DD3" s="564" t="s">
        <v>71</v>
      </c>
      <c r="DE3" s="564" t="s">
        <v>72</v>
      </c>
      <c r="DF3" s="564" t="s">
        <v>73</v>
      </c>
      <c r="DH3" s="593"/>
      <c r="DI3" s="596"/>
      <c r="DJ3" s="597"/>
      <c r="DK3" s="596"/>
      <c r="DL3" s="599"/>
      <c r="DM3" s="599"/>
      <c r="DN3" s="597"/>
      <c r="DO3" s="564" t="s">
        <v>111</v>
      </c>
      <c r="DP3" s="564" t="s">
        <v>112</v>
      </c>
      <c r="DQ3" s="564" t="s">
        <v>113</v>
      </c>
      <c r="DR3" s="564" t="s">
        <v>114</v>
      </c>
      <c r="DS3" s="600" t="s">
        <v>115</v>
      </c>
      <c r="DT3" s="600" t="s">
        <v>116</v>
      </c>
      <c r="DU3" s="564" t="s">
        <v>71</v>
      </c>
      <c r="DV3" s="564" t="s">
        <v>72</v>
      </c>
      <c r="DW3" s="564" t="s">
        <v>73</v>
      </c>
      <c r="DY3" s="593"/>
      <c r="DZ3" s="596"/>
      <c r="EA3" s="597"/>
      <c r="EB3" s="596"/>
      <c r="EC3" s="599"/>
      <c r="ED3" s="599"/>
      <c r="EE3" s="597"/>
      <c r="EF3" s="564" t="s">
        <v>111</v>
      </c>
      <c r="EG3" s="564" t="s">
        <v>112</v>
      </c>
      <c r="EH3" s="564" t="s">
        <v>113</v>
      </c>
      <c r="EI3" s="564" t="s">
        <v>114</v>
      </c>
      <c r="EJ3" s="600" t="s">
        <v>115</v>
      </c>
      <c r="EK3" s="600" t="s">
        <v>116</v>
      </c>
      <c r="EL3" s="564" t="s">
        <v>71</v>
      </c>
      <c r="EM3" s="564" t="s">
        <v>72</v>
      </c>
      <c r="EN3" s="564" t="s">
        <v>73</v>
      </c>
      <c r="EP3" s="593"/>
      <c r="EQ3" s="596"/>
      <c r="ER3" s="597"/>
      <c r="ES3" s="596"/>
      <c r="ET3" s="599"/>
      <c r="EU3" s="599"/>
      <c r="EV3" s="597"/>
      <c r="EW3" s="564" t="s">
        <v>111</v>
      </c>
      <c r="EX3" s="564" t="s">
        <v>112</v>
      </c>
      <c r="EY3" s="564" t="s">
        <v>113</v>
      </c>
      <c r="EZ3" s="564" t="s">
        <v>114</v>
      </c>
      <c r="FA3" s="600" t="s">
        <v>115</v>
      </c>
      <c r="FB3" s="600" t="s">
        <v>116</v>
      </c>
      <c r="FC3" s="564" t="s">
        <v>71</v>
      </c>
      <c r="FD3" s="564" t="s">
        <v>72</v>
      </c>
      <c r="FE3" s="564" t="s">
        <v>73</v>
      </c>
      <c r="FG3" s="593"/>
      <c r="FH3" s="596"/>
      <c r="FI3" s="597"/>
      <c r="FJ3" s="596"/>
      <c r="FK3" s="599"/>
      <c r="FL3" s="599"/>
      <c r="FM3" s="597"/>
      <c r="FN3" s="564" t="s">
        <v>111</v>
      </c>
      <c r="FO3" s="564" t="s">
        <v>112</v>
      </c>
      <c r="FP3" s="564" t="s">
        <v>113</v>
      </c>
      <c r="FQ3" s="564" t="s">
        <v>114</v>
      </c>
      <c r="FR3" s="600" t="s">
        <v>115</v>
      </c>
      <c r="FS3" s="600" t="s">
        <v>116</v>
      </c>
      <c r="FT3" s="564" t="s">
        <v>71</v>
      </c>
      <c r="FU3" s="564" t="s">
        <v>72</v>
      </c>
      <c r="FV3" s="564" t="s">
        <v>73</v>
      </c>
      <c r="FX3" s="593"/>
      <c r="FY3" s="596"/>
      <c r="FZ3" s="597"/>
      <c r="GA3" s="596"/>
      <c r="GB3" s="599"/>
      <c r="GC3" s="599"/>
      <c r="GD3" s="597"/>
      <c r="GE3" s="564" t="s">
        <v>111</v>
      </c>
      <c r="GF3" s="564" t="s">
        <v>112</v>
      </c>
      <c r="GG3" s="564" t="s">
        <v>113</v>
      </c>
      <c r="GH3" s="564" t="s">
        <v>114</v>
      </c>
      <c r="GI3" s="600" t="s">
        <v>115</v>
      </c>
      <c r="GJ3" s="600" t="s">
        <v>116</v>
      </c>
      <c r="GK3" s="564" t="s">
        <v>71</v>
      </c>
      <c r="GL3" s="564" t="s">
        <v>72</v>
      </c>
      <c r="GM3" s="564" t="s">
        <v>73</v>
      </c>
      <c r="GO3" s="593"/>
      <c r="GP3" s="596"/>
      <c r="GQ3" s="597"/>
      <c r="GR3" s="596"/>
      <c r="GS3" s="599"/>
      <c r="GT3" s="599"/>
      <c r="GU3" s="597"/>
      <c r="GV3" s="564" t="s">
        <v>111</v>
      </c>
      <c r="GW3" s="564" t="s">
        <v>112</v>
      </c>
      <c r="GX3" s="564" t="s">
        <v>113</v>
      </c>
      <c r="GY3" s="564" t="s">
        <v>114</v>
      </c>
      <c r="GZ3" s="600" t="s">
        <v>115</v>
      </c>
      <c r="HA3" s="600" t="s">
        <v>116</v>
      </c>
      <c r="HB3" s="564" t="s">
        <v>71</v>
      </c>
      <c r="HC3" s="564" t="s">
        <v>72</v>
      </c>
      <c r="HD3" s="564" t="s">
        <v>73</v>
      </c>
      <c r="HF3" s="593"/>
      <c r="HG3" s="596"/>
      <c r="HH3" s="597"/>
      <c r="HI3" s="596"/>
      <c r="HJ3" s="599"/>
      <c r="HK3" s="599"/>
      <c r="HL3" s="597"/>
      <c r="HM3" s="564" t="s">
        <v>111</v>
      </c>
      <c r="HN3" s="564" t="s">
        <v>112</v>
      </c>
      <c r="HO3" s="564" t="s">
        <v>113</v>
      </c>
      <c r="HP3" s="564" t="s">
        <v>114</v>
      </c>
      <c r="HQ3" s="600" t="s">
        <v>115</v>
      </c>
      <c r="HR3" s="600" t="s">
        <v>116</v>
      </c>
      <c r="HS3" s="564" t="s">
        <v>71</v>
      </c>
      <c r="HT3" s="564" t="s">
        <v>72</v>
      </c>
      <c r="HU3" s="564" t="s">
        <v>73</v>
      </c>
      <c r="HW3" s="593"/>
      <c r="HX3" s="596"/>
      <c r="HY3" s="597"/>
      <c r="HZ3" s="596"/>
      <c r="IA3" s="599"/>
      <c r="IB3" s="599"/>
      <c r="IC3" s="597"/>
      <c r="ID3" s="564" t="s">
        <v>111</v>
      </c>
      <c r="IE3" s="564" t="s">
        <v>112</v>
      </c>
      <c r="IF3" s="564" t="s">
        <v>113</v>
      </c>
      <c r="IG3" s="564" t="s">
        <v>114</v>
      </c>
      <c r="IH3" s="600" t="s">
        <v>115</v>
      </c>
      <c r="II3" s="600" t="s">
        <v>116</v>
      </c>
      <c r="IJ3" s="564" t="s">
        <v>71</v>
      </c>
      <c r="IK3" s="564" t="s">
        <v>72</v>
      </c>
      <c r="IL3" s="564" t="s">
        <v>73</v>
      </c>
    </row>
    <row r="4" spans="2:246" ht="37.5" customHeight="1" thickTop="1" thickBot="1" x14ac:dyDescent="0.3">
      <c r="B4" s="567" t="s">
        <v>70</v>
      </c>
      <c r="C4" s="568"/>
      <c r="D4" s="569"/>
      <c r="E4" s="576" t="s">
        <v>0</v>
      </c>
      <c r="F4" s="577"/>
      <c r="G4" s="577"/>
      <c r="H4" s="578"/>
      <c r="J4" s="567"/>
      <c r="K4" s="568"/>
      <c r="L4" s="569"/>
      <c r="M4" s="576" t="s">
        <v>0</v>
      </c>
      <c r="N4" s="577"/>
      <c r="O4" s="577"/>
      <c r="P4" s="578"/>
      <c r="Q4" s="565"/>
      <c r="R4" s="565"/>
      <c r="S4" s="565"/>
      <c r="T4" s="565"/>
      <c r="U4" s="601"/>
      <c r="V4" s="601"/>
      <c r="W4" s="565"/>
      <c r="X4" s="565"/>
      <c r="Y4" s="565"/>
      <c r="AA4" s="567"/>
      <c r="AB4" s="568"/>
      <c r="AC4" s="569"/>
      <c r="AD4" s="576" t="s">
        <v>0</v>
      </c>
      <c r="AE4" s="577"/>
      <c r="AF4" s="577"/>
      <c r="AG4" s="578"/>
      <c r="AH4" s="565"/>
      <c r="AI4" s="565"/>
      <c r="AJ4" s="565"/>
      <c r="AK4" s="565"/>
      <c r="AL4" s="601"/>
      <c r="AM4" s="601"/>
      <c r="AN4" s="565"/>
      <c r="AO4" s="565"/>
      <c r="AP4" s="565"/>
      <c r="AR4" s="567"/>
      <c r="AS4" s="568"/>
      <c r="AT4" s="569"/>
      <c r="AU4" s="576" t="s">
        <v>0</v>
      </c>
      <c r="AV4" s="577"/>
      <c r="AW4" s="577"/>
      <c r="AX4" s="578"/>
      <c r="AY4" s="565"/>
      <c r="AZ4" s="565"/>
      <c r="BA4" s="565"/>
      <c r="BB4" s="565"/>
      <c r="BC4" s="601"/>
      <c r="BD4" s="601"/>
      <c r="BE4" s="565"/>
      <c r="BF4" s="565"/>
      <c r="BG4" s="565"/>
      <c r="BI4" s="631" t="s">
        <v>340</v>
      </c>
      <c r="BJ4" s="568"/>
      <c r="BK4" s="569"/>
      <c r="BL4" s="576" t="s">
        <v>0</v>
      </c>
      <c r="BM4" s="577"/>
      <c r="BN4" s="577"/>
      <c r="BO4" s="578"/>
      <c r="BP4" s="565"/>
      <c r="BQ4" s="565"/>
      <c r="BR4" s="565"/>
      <c r="BS4" s="565"/>
      <c r="BT4" s="601"/>
      <c r="BU4" s="601"/>
      <c r="BV4" s="565"/>
      <c r="BW4" s="565"/>
      <c r="BX4" s="565"/>
      <c r="BZ4" s="630" t="s">
        <v>341</v>
      </c>
      <c r="CA4" s="568"/>
      <c r="CB4" s="569"/>
      <c r="CC4" s="576" t="s">
        <v>0</v>
      </c>
      <c r="CD4" s="577"/>
      <c r="CE4" s="577"/>
      <c r="CF4" s="578"/>
      <c r="CG4" s="565"/>
      <c r="CH4" s="565"/>
      <c r="CI4" s="565"/>
      <c r="CJ4" s="565"/>
      <c r="CK4" s="601"/>
      <c r="CL4" s="601"/>
      <c r="CM4" s="565"/>
      <c r="CN4" s="565"/>
      <c r="CO4" s="565"/>
      <c r="CQ4" s="621" t="s">
        <v>342</v>
      </c>
      <c r="CR4" s="622"/>
      <c r="CS4" s="623"/>
      <c r="CT4" s="576" t="s">
        <v>0</v>
      </c>
      <c r="CU4" s="577"/>
      <c r="CV4" s="577"/>
      <c r="CW4" s="578"/>
      <c r="CX4" s="565"/>
      <c r="CY4" s="565"/>
      <c r="CZ4" s="565"/>
      <c r="DA4" s="565"/>
      <c r="DB4" s="601"/>
      <c r="DC4" s="601"/>
      <c r="DD4" s="565"/>
      <c r="DE4" s="565"/>
      <c r="DF4" s="565"/>
      <c r="DH4" s="567"/>
      <c r="DI4" s="568"/>
      <c r="DJ4" s="569"/>
      <c r="DK4" s="576" t="s">
        <v>0</v>
      </c>
      <c r="DL4" s="577"/>
      <c r="DM4" s="577"/>
      <c r="DN4" s="578"/>
      <c r="DO4" s="565"/>
      <c r="DP4" s="565"/>
      <c r="DQ4" s="565"/>
      <c r="DR4" s="565"/>
      <c r="DS4" s="601"/>
      <c r="DT4" s="601"/>
      <c r="DU4" s="565"/>
      <c r="DV4" s="565"/>
      <c r="DW4" s="565"/>
      <c r="DY4" s="567"/>
      <c r="DZ4" s="568"/>
      <c r="EA4" s="569"/>
      <c r="EB4" s="576" t="s">
        <v>0</v>
      </c>
      <c r="EC4" s="577"/>
      <c r="ED4" s="577"/>
      <c r="EE4" s="578"/>
      <c r="EF4" s="565"/>
      <c r="EG4" s="565"/>
      <c r="EH4" s="565"/>
      <c r="EI4" s="565"/>
      <c r="EJ4" s="601"/>
      <c r="EK4" s="601"/>
      <c r="EL4" s="565"/>
      <c r="EM4" s="565"/>
      <c r="EN4" s="565"/>
      <c r="EP4" s="567"/>
      <c r="EQ4" s="568"/>
      <c r="ER4" s="569"/>
      <c r="ES4" s="576" t="s">
        <v>0</v>
      </c>
      <c r="ET4" s="577"/>
      <c r="EU4" s="577"/>
      <c r="EV4" s="578"/>
      <c r="EW4" s="565"/>
      <c r="EX4" s="565"/>
      <c r="EY4" s="565"/>
      <c r="EZ4" s="565"/>
      <c r="FA4" s="601"/>
      <c r="FB4" s="601"/>
      <c r="FC4" s="565"/>
      <c r="FD4" s="565"/>
      <c r="FE4" s="565"/>
      <c r="FG4" s="567"/>
      <c r="FH4" s="568"/>
      <c r="FI4" s="569"/>
      <c r="FJ4" s="576" t="s">
        <v>0</v>
      </c>
      <c r="FK4" s="577"/>
      <c r="FL4" s="577"/>
      <c r="FM4" s="578"/>
      <c r="FN4" s="565"/>
      <c r="FO4" s="565"/>
      <c r="FP4" s="565"/>
      <c r="FQ4" s="565"/>
      <c r="FR4" s="601"/>
      <c r="FS4" s="601"/>
      <c r="FT4" s="565"/>
      <c r="FU4" s="565"/>
      <c r="FV4" s="565"/>
      <c r="FX4" s="567"/>
      <c r="FY4" s="568"/>
      <c r="FZ4" s="569"/>
      <c r="GA4" s="576" t="s">
        <v>0</v>
      </c>
      <c r="GB4" s="577"/>
      <c r="GC4" s="577"/>
      <c r="GD4" s="578"/>
      <c r="GE4" s="565"/>
      <c r="GF4" s="565"/>
      <c r="GG4" s="565"/>
      <c r="GH4" s="565"/>
      <c r="GI4" s="601"/>
      <c r="GJ4" s="601"/>
      <c r="GK4" s="565"/>
      <c r="GL4" s="565"/>
      <c r="GM4" s="565"/>
      <c r="GO4" s="612" t="s">
        <v>344</v>
      </c>
      <c r="GP4" s="613"/>
      <c r="GQ4" s="614"/>
      <c r="GR4" s="576" t="s">
        <v>0</v>
      </c>
      <c r="GS4" s="577"/>
      <c r="GT4" s="577"/>
      <c r="GU4" s="578"/>
      <c r="GV4" s="565"/>
      <c r="GW4" s="565"/>
      <c r="GX4" s="565"/>
      <c r="GY4" s="565"/>
      <c r="GZ4" s="601"/>
      <c r="HA4" s="601"/>
      <c r="HB4" s="565"/>
      <c r="HC4" s="565"/>
      <c r="HD4" s="565"/>
      <c r="HF4" s="603" t="s">
        <v>345</v>
      </c>
      <c r="HG4" s="604"/>
      <c r="HH4" s="605"/>
      <c r="HI4" s="576" t="s">
        <v>0</v>
      </c>
      <c r="HJ4" s="577"/>
      <c r="HK4" s="577"/>
      <c r="HL4" s="578"/>
      <c r="HM4" s="565"/>
      <c r="HN4" s="565"/>
      <c r="HO4" s="565"/>
      <c r="HP4" s="565"/>
      <c r="HQ4" s="601"/>
      <c r="HR4" s="601"/>
      <c r="HS4" s="565"/>
      <c r="HT4" s="565"/>
      <c r="HU4" s="565"/>
      <c r="HW4" s="567"/>
      <c r="HX4" s="568"/>
      <c r="HY4" s="569"/>
      <c r="HZ4" s="576" t="s">
        <v>0</v>
      </c>
      <c r="IA4" s="577"/>
      <c r="IB4" s="577"/>
      <c r="IC4" s="578"/>
      <c r="ID4" s="565"/>
      <c r="IE4" s="565"/>
      <c r="IF4" s="565"/>
      <c r="IG4" s="565"/>
      <c r="IH4" s="601"/>
      <c r="II4" s="601"/>
      <c r="IJ4" s="565"/>
      <c r="IK4" s="565"/>
      <c r="IL4" s="565"/>
    </row>
    <row r="5" spans="2:246" ht="19.5" customHeight="1" thickTop="1" x14ac:dyDescent="0.25">
      <c r="B5" s="570"/>
      <c r="C5" s="571"/>
      <c r="D5" s="572"/>
      <c r="E5" s="633" t="s">
        <v>104</v>
      </c>
      <c r="F5" s="634"/>
      <c r="G5" s="634"/>
      <c r="H5" s="635"/>
      <c r="J5" s="570"/>
      <c r="K5" s="571"/>
      <c r="L5" s="572"/>
      <c r="M5" s="579" t="s">
        <v>104</v>
      </c>
      <c r="N5" s="580"/>
      <c r="O5" s="580"/>
      <c r="P5" s="581"/>
      <c r="Q5" s="565"/>
      <c r="R5" s="565"/>
      <c r="S5" s="565"/>
      <c r="T5" s="565"/>
      <c r="U5" s="601"/>
      <c r="V5" s="601"/>
      <c r="W5" s="565"/>
      <c r="X5" s="565"/>
      <c r="Y5" s="565"/>
      <c r="AA5" s="570"/>
      <c r="AB5" s="571"/>
      <c r="AC5" s="572"/>
      <c r="AD5" s="579" t="s">
        <v>104</v>
      </c>
      <c r="AE5" s="580"/>
      <c r="AF5" s="580"/>
      <c r="AG5" s="581"/>
      <c r="AH5" s="565"/>
      <c r="AI5" s="565"/>
      <c r="AJ5" s="565"/>
      <c r="AK5" s="565"/>
      <c r="AL5" s="601"/>
      <c r="AM5" s="601"/>
      <c r="AN5" s="565"/>
      <c r="AO5" s="565"/>
      <c r="AP5" s="565"/>
      <c r="AR5" s="570"/>
      <c r="AS5" s="571"/>
      <c r="AT5" s="572"/>
      <c r="AU5" s="579" t="s">
        <v>104</v>
      </c>
      <c r="AV5" s="580"/>
      <c r="AW5" s="580"/>
      <c r="AX5" s="581"/>
      <c r="AY5" s="565"/>
      <c r="AZ5" s="565"/>
      <c r="BA5" s="565"/>
      <c r="BB5" s="565"/>
      <c r="BC5" s="601"/>
      <c r="BD5" s="601"/>
      <c r="BE5" s="565"/>
      <c r="BF5" s="565"/>
      <c r="BG5" s="565"/>
      <c r="BI5" s="570"/>
      <c r="BJ5" s="571"/>
      <c r="BK5" s="572"/>
      <c r="BL5" s="579" t="s">
        <v>104</v>
      </c>
      <c r="BM5" s="580"/>
      <c r="BN5" s="580"/>
      <c r="BO5" s="581"/>
      <c r="BP5" s="565"/>
      <c r="BQ5" s="565"/>
      <c r="BR5" s="565"/>
      <c r="BS5" s="565"/>
      <c r="BT5" s="601"/>
      <c r="BU5" s="601"/>
      <c r="BV5" s="565"/>
      <c r="BW5" s="565"/>
      <c r="BX5" s="565"/>
      <c r="BZ5" s="570"/>
      <c r="CA5" s="571"/>
      <c r="CB5" s="572"/>
      <c r="CC5" s="579" t="s">
        <v>104</v>
      </c>
      <c r="CD5" s="580"/>
      <c r="CE5" s="580"/>
      <c r="CF5" s="581"/>
      <c r="CG5" s="565"/>
      <c r="CH5" s="565"/>
      <c r="CI5" s="565"/>
      <c r="CJ5" s="565"/>
      <c r="CK5" s="601"/>
      <c r="CL5" s="601"/>
      <c r="CM5" s="565"/>
      <c r="CN5" s="565"/>
      <c r="CO5" s="565"/>
      <c r="CQ5" s="624"/>
      <c r="CR5" s="625"/>
      <c r="CS5" s="626"/>
      <c r="CT5" s="579" t="s">
        <v>104</v>
      </c>
      <c r="CU5" s="580"/>
      <c r="CV5" s="580"/>
      <c r="CW5" s="581"/>
      <c r="CX5" s="565"/>
      <c r="CY5" s="565"/>
      <c r="CZ5" s="565"/>
      <c r="DA5" s="565"/>
      <c r="DB5" s="601"/>
      <c r="DC5" s="601"/>
      <c r="DD5" s="565"/>
      <c r="DE5" s="565"/>
      <c r="DF5" s="565"/>
      <c r="DH5" s="570"/>
      <c r="DI5" s="571"/>
      <c r="DJ5" s="572"/>
      <c r="DK5" s="579" t="s">
        <v>104</v>
      </c>
      <c r="DL5" s="580"/>
      <c r="DM5" s="580"/>
      <c r="DN5" s="581"/>
      <c r="DO5" s="565"/>
      <c r="DP5" s="565"/>
      <c r="DQ5" s="565"/>
      <c r="DR5" s="565"/>
      <c r="DS5" s="601"/>
      <c r="DT5" s="601"/>
      <c r="DU5" s="565"/>
      <c r="DV5" s="565"/>
      <c r="DW5" s="565"/>
      <c r="DY5" s="570"/>
      <c r="DZ5" s="571"/>
      <c r="EA5" s="572"/>
      <c r="EB5" s="579" t="s">
        <v>104</v>
      </c>
      <c r="EC5" s="580"/>
      <c r="ED5" s="580"/>
      <c r="EE5" s="581"/>
      <c r="EF5" s="565"/>
      <c r="EG5" s="565"/>
      <c r="EH5" s="565"/>
      <c r="EI5" s="565"/>
      <c r="EJ5" s="601"/>
      <c r="EK5" s="601"/>
      <c r="EL5" s="565"/>
      <c r="EM5" s="565"/>
      <c r="EN5" s="565"/>
      <c r="EP5" s="570"/>
      <c r="EQ5" s="571"/>
      <c r="ER5" s="572"/>
      <c r="ES5" s="579" t="s">
        <v>104</v>
      </c>
      <c r="ET5" s="580"/>
      <c r="EU5" s="580"/>
      <c r="EV5" s="581"/>
      <c r="EW5" s="565"/>
      <c r="EX5" s="565"/>
      <c r="EY5" s="565"/>
      <c r="EZ5" s="565"/>
      <c r="FA5" s="601"/>
      <c r="FB5" s="601"/>
      <c r="FC5" s="565"/>
      <c r="FD5" s="565"/>
      <c r="FE5" s="565"/>
      <c r="FG5" s="570"/>
      <c r="FH5" s="571"/>
      <c r="FI5" s="572"/>
      <c r="FJ5" s="579" t="s">
        <v>104</v>
      </c>
      <c r="FK5" s="580"/>
      <c r="FL5" s="580"/>
      <c r="FM5" s="581"/>
      <c r="FN5" s="565"/>
      <c r="FO5" s="565"/>
      <c r="FP5" s="565"/>
      <c r="FQ5" s="565"/>
      <c r="FR5" s="601"/>
      <c r="FS5" s="601"/>
      <c r="FT5" s="565"/>
      <c r="FU5" s="565"/>
      <c r="FV5" s="565"/>
      <c r="FX5" s="570"/>
      <c r="FY5" s="571"/>
      <c r="FZ5" s="572"/>
      <c r="GA5" s="579" t="s">
        <v>104</v>
      </c>
      <c r="GB5" s="580"/>
      <c r="GC5" s="580"/>
      <c r="GD5" s="581"/>
      <c r="GE5" s="565"/>
      <c r="GF5" s="565"/>
      <c r="GG5" s="565"/>
      <c r="GH5" s="565"/>
      <c r="GI5" s="601"/>
      <c r="GJ5" s="601"/>
      <c r="GK5" s="565"/>
      <c r="GL5" s="565"/>
      <c r="GM5" s="565"/>
      <c r="GO5" s="615"/>
      <c r="GP5" s="616"/>
      <c r="GQ5" s="617"/>
      <c r="GR5" s="579" t="s">
        <v>104</v>
      </c>
      <c r="GS5" s="580"/>
      <c r="GT5" s="580"/>
      <c r="GU5" s="581"/>
      <c r="GV5" s="565"/>
      <c r="GW5" s="565"/>
      <c r="GX5" s="565"/>
      <c r="GY5" s="565"/>
      <c r="GZ5" s="601"/>
      <c r="HA5" s="601"/>
      <c r="HB5" s="565"/>
      <c r="HC5" s="565"/>
      <c r="HD5" s="565"/>
      <c r="HF5" s="606"/>
      <c r="HG5" s="607"/>
      <c r="HH5" s="608"/>
      <c r="HI5" s="579" t="s">
        <v>104</v>
      </c>
      <c r="HJ5" s="580"/>
      <c r="HK5" s="580"/>
      <c r="HL5" s="581"/>
      <c r="HM5" s="565"/>
      <c r="HN5" s="565"/>
      <c r="HO5" s="565"/>
      <c r="HP5" s="565"/>
      <c r="HQ5" s="601"/>
      <c r="HR5" s="601"/>
      <c r="HS5" s="565"/>
      <c r="HT5" s="565"/>
      <c r="HU5" s="565"/>
      <c r="HW5" s="570"/>
      <c r="HX5" s="571"/>
      <c r="HY5" s="572"/>
      <c r="HZ5" s="579" t="s">
        <v>104</v>
      </c>
      <c r="IA5" s="580"/>
      <c r="IB5" s="580"/>
      <c r="IC5" s="581"/>
      <c r="ID5" s="565"/>
      <c r="IE5" s="565"/>
      <c r="IF5" s="565"/>
      <c r="IG5" s="565"/>
      <c r="IH5" s="601"/>
      <c r="II5" s="601"/>
      <c r="IJ5" s="565"/>
      <c r="IK5" s="565"/>
      <c r="IL5" s="565"/>
    </row>
    <row r="6" spans="2:246" ht="19.5" customHeight="1" thickBot="1" x14ac:dyDescent="0.3">
      <c r="B6" s="570"/>
      <c r="C6" s="571"/>
      <c r="D6" s="572"/>
      <c r="E6" s="636"/>
      <c r="F6" s="637"/>
      <c r="G6" s="637"/>
      <c r="H6" s="638"/>
      <c r="J6" s="570"/>
      <c r="K6" s="571"/>
      <c r="L6" s="572"/>
      <c r="M6" s="582"/>
      <c r="N6" s="583"/>
      <c r="O6" s="583"/>
      <c r="P6" s="584"/>
      <c r="Q6" s="565"/>
      <c r="R6" s="565"/>
      <c r="S6" s="565"/>
      <c r="T6" s="565"/>
      <c r="U6" s="601"/>
      <c r="V6" s="601"/>
      <c r="W6" s="565"/>
      <c r="X6" s="565"/>
      <c r="Y6" s="565"/>
      <c r="AA6" s="570"/>
      <c r="AB6" s="571"/>
      <c r="AC6" s="572"/>
      <c r="AD6" s="582"/>
      <c r="AE6" s="583"/>
      <c r="AF6" s="583"/>
      <c r="AG6" s="584"/>
      <c r="AH6" s="565"/>
      <c r="AI6" s="565"/>
      <c r="AJ6" s="565"/>
      <c r="AK6" s="565"/>
      <c r="AL6" s="601"/>
      <c r="AM6" s="601"/>
      <c r="AN6" s="565"/>
      <c r="AO6" s="565"/>
      <c r="AP6" s="565"/>
      <c r="AR6" s="570"/>
      <c r="AS6" s="571"/>
      <c r="AT6" s="572"/>
      <c r="AU6" s="582"/>
      <c r="AV6" s="583"/>
      <c r="AW6" s="583"/>
      <c r="AX6" s="584"/>
      <c r="AY6" s="565"/>
      <c r="AZ6" s="565"/>
      <c r="BA6" s="565"/>
      <c r="BB6" s="565"/>
      <c r="BC6" s="601"/>
      <c r="BD6" s="601"/>
      <c r="BE6" s="565"/>
      <c r="BF6" s="565"/>
      <c r="BG6" s="565"/>
      <c r="BI6" s="570"/>
      <c r="BJ6" s="571"/>
      <c r="BK6" s="572"/>
      <c r="BL6" s="582"/>
      <c r="BM6" s="583"/>
      <c r="BN6" s="583"/>
      <c r="BO6" s="584"/>
      <c r="BP6" s="565"/>
      <c r="BQ6" s="565"/>
      <c r="BR6" s="565"/>
      <c r="BS6" s="565"/>
      <c r="BT6" s="601"/>
      <c r="BU6" s="601"/>
      <c r="BV6" s="565"/>
      <c r="BW6" s="565"/>
      <c r="BX6" s="565"/>
      <c r="BZ6" s="570"/>
      <c r="CA6" s="571"/>
      <c r="CB6" s="572"/>
      <c r="CC6" s="582"/>
      <c r="CD6" s="583"/>
      <c r="CE6" s="583"/>
      <c r="CF6" s="584"/>
      <c r="CG6" s="565"/>
      <c r="CH6" s="565"/>
      <c r="CI6" s="565"/>
      <c r="CJ6" s="565"/>
      <c r="CK6" s="601"/>
      <c r="CL6" s="601"/>
      <c r="CM6" s="565"/>
      <c r="CN6" s="565"/>
      <c r="CO6" s="565"/>
      <c r="CQ6" s="624"/>
      <c r="CR6" s="625"/>
      <c r="CS6" s="626"/>
      <c r="CT6" s="582"/>
      <c r="CU6" s="583"/>
      <c r="CV6" s="583"/>
      <c r="CW6" s="584"/>
      <c r="CX6" s="565"/>
      <c r="CY6" s="565"/>
      <c r="CZ6" s="565"/>
      <c r="DA6" s="565"/>
      <c r="DB6" s="601"/>
      <c r="DC6" s="601"/>
      <c r="DD6" s="565"/>
      <c r="DE6" s="565"/>
      <c r="DF6" s="565"/>
      <c r="DH6" s="570"/>
      <c r="DI6" s="571"/>
      <c r="DJ6" s="572"/>
      <c r="DK6" s="582"/>
      <c r="DL6" s="583"/>
      <c r="DM6" s="583"/>
      <c r="DN6" s="584"/>
      <c r="DO6" s="565"/>
      <c r="DP6" s="565"/>
      <c r="DQ6" s="565"/>
      <c r="DR6" s="565"/>
      <c r="DS6" s="601"/>
      <c r="DT6" s="601"/>
      <c r="DU6" s="565"/>
      <c r="DV6" s="565"/>
      <c r="DW6" s="565"/>
      <c r="DY6" s="570"/>
      <c r="DZ6" s="571"/>
      <c r="EA6" s="572"/>
      <c r="EB6" s="582"/>
      <c r="EC6" s="583"/>
      <c r="ED6" s="583"/>
      <c r="EE6" s="584"/>
      <c r="EF6" s="565"/>
      <c r="EG6" s="565"/>
      <c r="EH6" s="565"/>
      <c r="EI6" s="565"/>
      <c r="EJ6" s="601"/>
      <c r="EK6" s="601"/>
      <c r="EL6" s="565"/>
      <c r="EM6" s="565"/>
      <c r="EN6" s="565"/>
      <c r="EP6" s="570"/>
      <c r="EQ6" s="571"/>
      <c r="ER6" s="572"/>
      <c r="ES6" s="582"/>
      <c r="ET6" s="583"/>
      <c r="EU6" s="583"/>
      <c r="EV6" s="584"/>
      <c r="EW6" s="565"/>
      <c r="EX6" s="565"/>
      <c r="EY6" s="565"/>
      <c r="EZ6" s="565"/>
      <c r="FA6" s="601"/>
      <c r="FB6" s="601"/>
      <c r="FC6" s="565"/>
      <c r="FD6" s="565"/>
      <c r="FE6" s="565"/>
      <c r="FG6" s="570"/>
      <c r="FH6" s="571"/>
      <c r="FI6" s="572"/>
      <c r="FJ6" s="582"/>
      <c r="FK6" s="583"/>
      <c r="FL6" s="583"/>
      <c r="FM6" s="584"/>
      <c r="FN6" s="565"/>
      <c r="FO6" s="565"/>
      <c r="FP6" s="565"/>
      <c r="FQ6" s="565"/>
      <c r="FR6" s="601"/>
      <c r="FS6" s="601"/>
      <c r="FT6" s="565"/>
      <c r="FU6" s="565"/>
      <c r="FV6" s="565"/>
      <c r="FX6" s="570"/>
      <c r="FY6" s="571"/>
      <c r="FZ6" s="572"/>
      <c r="GA6" s="582"/>
      <c r="GB6" s="583"/>
      <c r="GC6" s="583"/>
      <c r="GD6" s="584"/>
      <c r="GE6" s="565"/>
      <c r="GF6" s="565"/>
      <c r="GG6" s="565"/>
      <c r="GH6" s="565"/>
      <c r="GI6" s="601"/>
      <c r="GJ6" s="601"/>
      <c r="GK6" s="565"/>
      <c r="GL6" s="565"/>
      <c r="GM6" s="565"/>
      <c r="GO6" s="615"/>
      <c r="GP6" s="616"/>
      <c r="GQ6" s="617"/>
      <c r="GR6" s="582"/>
      <c r="GS6" s="583"/>
      <c r="GT6" s="583"/>
      <c r="GU6" s="584"/>
      <c r="GV6" s="565"/>
      <c r="GW6" s="565"/>
      <c r="GX6" s="565"/>
      <c r="GY6" s="565"/>
      <c r="GZ6" s="601"/>
      <c r="HA6" s="601"/>
      <c r="HB6" s="565"/>
      <c r="HC6" s="565"/>
      <c r="HD6" s="565"/>
      <c r="HF6" s="606"/>
      <c r="HG6" s="607"/>
      <c r="HH6" s="608"/>
      <c r="HI6" s="582"/>
      <c r="HJ6" s="583"/>
      <c r="HK6" s="583"/>
      <c r="HL6" s="584"/>
      <c r="HM6" s="565"/>
      <c r="HN6" s="565"/>
      <c r="HO6" s="565"/>
      <c r="HP6" s="565"/>
      <c r="HQ6" s="601"/>
      <c r="HR6" s="601"/>
      <c r="HS6" s="565"/>
      <c r="HT6" s="565"/>
      <c r="HU6" s="565"/>
      <c r="HW6" s="570"/>
      <c r="HX6" s="571"/>
      <c r="HY6" s="572"/>
      <c r="HZ6" s="582"/>
      <c r="IA6" s="583"/>
      <c r="IB6" s="583"/>
      <c r="IC6" s="584"/>
      <c r="ID6" s="565"/>
      <c r="IE6" s="565"/>
      <c r="IF6" s="565"/>
      <c r="IG6" s="565"/>
      <c r="IH6" s="601"/>
      <c r="II6" s="601"/>
      <c r="IJ6" s="565"/>
      <c r="IK6" s="565"/>
      <c r="IL6" s="565"/>
    </row>
    <row r="7" spans="2:246" ht="19.5" customHeight="1" thickTop="1" x14ac:dyDescent="0.25">
      <c r="B7" s="570"/>
      <c r="C7" s="571"/>
      <c r="D7" s="572"/>
      <c r="E7" s="585" t="s">
        <v>177</v>
      </c>
      <c r="F7" s="586"/>
      <c r="G7" s="586"/>
      <c r="H7" s="587"/>
      <c r="J7" s="570"/>
      <c r="K7" s="571"/>
      <c r="L7" s="572"/>
      <c r="M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N7" s="586"/>
      <c r="O7" s="586"/>
      <c r="P7" s="587"/>
      <c r="Q7" s="565"/>
      <c r="R7" s="565"/>
      <c r="S7" s="565"/>
      <c r="T7" s="565"/>
      <c r="U7" s="601"/>
      <c r="V7" s="601"/>
      <c r="W7" s="565"/>
      <c r="X7" s="565"/>
      <c r="Y7" s="565"/>
      <c r="AA7" s="570"/>
      <c r="AB7" s="571"/>
      <c r="AC7" s="572"/>
      <c r="AD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AE7" s="586"/>
      <c r="AF7" s="586"/>
      <c r="AG7" s="587"/>
      <c r="AH7" s="565"/>
      <c r="AI7" s="565"/>
      <c r="AJ7" s="565"/>
      <c r="AK7" s="565"/>
      <c r="AL7" s="601"/>
      <c r="AM7" s="601"/>
      <c r="AN7" s="565"/>
      <c r="AO7" s="565"/>
      <c r="AP7" s="565"/>
      <c r="AR7" s="570"/>
      <c r="AS7" s="571"/>
      <c r="AT7" s="572"/>
      <c r="AU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AV7" s="586"/>
      <c r="AW7" s="586"/>
      <c r="AX7" s="587"/>
      <c r="AY7" s="565"/>
      <c r="AZ7" s="565"/>
      <c r="BA7" s="565"/>
      <c r="BB7" s="565"/>
      <c r="BC7" s="601"/>
      <c r="BD7" s="601"/>
      <c r="BE7" s="565"/>
      <c r="BF7" s="565"/>
      <c r="BG7" s="565"/>
      <c r="BI7" s="570"/>
      <c r="BJ7" s="571"/>
      <c r="BK7" s="572"/>
      <c r="BL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BM7" s="586"/>
      <c r="BN7" s="586"/>
      <c r="BO7" s="587"/>
      <c r="BP7" s="565"/>
      <c r="BQ7" s="565"/>
      <c r="BR7" s="565"/>
      <c r="BS7" s="565"/>
      <c r="BT7" s="601"/>
      <c r="BU7" s="601"/>
      <c r="BV7" s="565"/>
      <c r="BW7" s="565"/>
      <c r="BX7" s="565"/>
      <c r="BZ7" s="570"/>
      <c r="CA7" s="571"/>
      <c r="CB7" s="572"/>
      <c r="CC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CD7" s="586"/>
      <c r="CE7" s="586"/>
      <c r="CF7" s="587"/>
      <c r="CG7" s="565"/>
      <c r="CH7" s="565"/>
      <c r="CI7" s="565"/>
      <c r="CJ7" s="565"/>
      <c r="CK7" s="601"/>
      <c r="CL7" s="601"/>
      <c r="CM7" s="565"/>
      <c r="CN7" s="565"/>
      <c r="CO7" s="565"/>
      <c r="CQ7" s="624"/>
      <c r="CR7" s="625"/>
      <c r="CS7" s="626"/>
      <c r="CT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CU7" s="586"/>
      <c r="CV7" s="586"/>
      <c r="CW7" s="587"/>
      <c r="CX7" s="565"/>
      <c r="CY7" s="565"/>
      <c r="CZ7" s="565"/>
      <c r="DA7" s="565"/>
      <c r="DB7" s="601"/>
      <c r="DC7" s="601"/>
      <c r="DD7" s="565"/>
      <c r="DE7" s="565"/>
      <c r="DF7" s="565"/>
      <c r="DH7" s="570"/>
      <c r="DI7" s="571"/>
      <c r="DJ7" s="572"/>
      <c r="DK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DL7" s="586"/>
      <c r="DM7" s="586"/>
      <c r="DN7" s="587"/>
      <c r="DO7" s="565"/>
      <c r="DP7" s="565"/>
      <c r="DQ7" s="565"/>
      <c r="DR7" s="565"/>
      <c r="DS7" s="601"/>
      <c r="DT7" s="601"/>
      <c r="DU7" s="565"/>
      <c r="DV7" s="565"/>
      <c r="DW7" s="565"/>
      <c r="DY7" s="570"/>
      <c r="DZ7" s="571"/>
      <c r="EA7" s="572"/>
      <c r="EB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EC7" s="586"/>
      <c r="ED7" s="586"/>
      <c r="EE7" s="587"/>
      <c r="EF7" s="565"/>
      <c r="EG7" s="565"/>
      <c r="EH7" s="565"/>
      <c r="EI7" s="565"/>
      <c r="EJ7" s="601"/>
      <c r="EK7" s="601"/>
      <c r="EL7" s="565"/>
      <c r="EM7" s="565"/>
      <c r="EN7" s="565"/>
      <c r="EP7" s="570"/>
      <c r="EQ7" s="571"/>
      <c r="ER7" s="572"/>
      <c r="ES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ET7" s="586"/>
      <c r="EU7" s="586"/>
      <c r="EV7" s="587"/>
      <c r="EW7" s="565"/>
      <c r="EX7" s="565"/>
      <c r="EY7" s="565"/>
      <c r="EZ7" s="565"/>
      <c r="FA7" s="601"/>
      <c r="FB7" s="601"/>
      <c r="FC7" s="565"/>
      <c r="FD7" s="565"/>
      <c r="FE7" s="565"/>
      <c r="FG7" s="570"/>
      <c r="FH7" s="571"/>
      <c r="FI7" s="572"/>
      <c r="FJ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FK7" s="586"/>
      <c r="FL7" s="586"/>
      <c r="FM7" s="587"/>
      <c r="FN7" s="565"/>
      <c r="FO7" s="565"/>
      <c r="FP7" s="565"/>
      <c r="FQ7" s="565"/>
      <c r="FR7" s="601"/>
      <c r="FS7" s="601"/>
      <c r="FT7" s="565"/>
      <c r="FU7" s="565"/>
      <c r="FV7" s="565"/>
      <c r="FX7" s="570"/>
      <c r="FY7" s="571"/>
      <c r="FZ7" s="572"/>
      <c r="GA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GB7" s="586"/>
      <c r="GC7" s="586"/>
      <c r="GD7" s="587"/>
      <c r="GE7" s="565"/>
      <c r="GF7" s="565"/>
      <c r="GG7" s="565"/>
      <c r="GH7" s="565"/>
      <c r="GI7" s="601"/>
      <c r="GJ7" s="601"/>
      <c r="GK7" s="565"/>
      <c r="GL7" s="565"/>
      <c r="GM7" s="565"/>
      <c r="GO7" s="615"/>
      <c r="GP7" s="616"/>
      <c r="GQ7" s="617"/>
      <c r="GR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GS7" s="586"/>
      <c r="GT7" s="586"/>
      <c r="GU7" s="587"/>
      <c r="GV7" s="565"/>
      <c r="GW7" s="565"/>
      <c r="GX7" s="565"/>
      <c r="GY7" s="565"/>
      <c r="GZ7" s="601"/>
      <c r="HA7" s="601"/>
      <c r="HB7" s="565"/>
      <c r="HC7" s="565"/>
      <c r="HD7" s="565"/>
      <c r="HF7" s="606"/>
      <c r="HG7" s="607"/>
      <c r="HH7" s="608"/>
      <c r="HI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HJ7" s="586"/>
      <c r="HK7" s="586"/>
      <c r="HL7" s="587"/>
      <c r="HM7" s="565"/>
      <c r="HN7" s="565"/>
      <c r="HO7" s="565"/>
      <c r="HP7" s="565"/>
      <c r="HQ7" s="601"/>
      <c r="HR7" s="601"/>
      <c r="HS7" s="565"/>
      <c r="HT7" s="565"/>
      <c r="HU7" s="565"/>
      <c r="HW7" s="570"/>
      <c r="HX7" s="571"/>
      <c r="HY7" s="572"/>
      <c r="HZ7" s="585" t="str">
        <f>+'1_ENTREGA'!$A$4</f>
        <v>“Mantenimiento a demanda de pintura de superficies, de las diferentes edificaciones de la Universidad de Antioquia ubicadas dentro del Área Metropolitana del Valle de Aburrá y aquellas que se integren a la institución durante el desarrollo del contrato, en los lugares anteriores, así como en la Hacienda la Montaña (Municipio de San Pedro de los Milagros)”</v>
      </c>
      <c r="IA7" s="586"/>
      <c r="IB7" s="586"/>
      <c r="IC7" s="587"/>
      <c r="ID7" s="565"/>
      <c r="IE7" s="565"/>
      <c r="IF7" s="565"/>
      <c r="IG7" s="565"/>
      <c r="IH7" s="601"/>
      <c r="II7" s="601"/>
      <c r="IJ7" s="565"/>
      <c r="IK7" s="565"/>
      <c r="IL7" s="565"/>
    </row>
    <row r="8" spans="2:246" ht="149.25" customHeight="1" thickBot="1" x14ac:dyDescent="0.3">
      <c r="B8" s="573"/>
      <c r="C8" s="574"/>
      <c r="D8" s="575"/>
      <c r="E8" s="588"/>
      <c r="F8" s="589"/>
      <c r="G8" s="589"/>
      <c r="H8" s="590"/>
      <c r="J8" s="573"/>
      <c r="K8" s="574"/>
      <c r="L8" s="575"/>
      <c r="M8" s="588"/>
      <c r="N8" s="589"/>
      <c r="O8" s="589"/>
      <c r="P8" s="590"/>
      <c r="Q8" s="565"/>
      <c r="R8" s="565"/>
      <c r="S8" s="565"/>
      <c r="T8" s="565"/>
      <c r="U8" s="601"/>
      <c r="V8" s="601"/>
      <c r="W8" s="565"/>
      <c r="X8" s="565"/>
      <c r="Y8" s="565"/>
      <c r="AA8" s="573"/>
      <c r="AB8" s="574"/>
      <c r="AC8" s="575"/>
      <c r="AD8" s="588"/>
      <c r="AE8" s="589"/>
      <c r="AF8" s="589"/>
      <c r="AG8" s="590"/>
      <c r="AH8" s="565"/>
      <c r="AI8" s="565"/>
      <c r="AJ8" s="565"/>
      <c r="AK8" s="565"/>
      <c r="AL8" s="601"/>
      <c r="AM8" s="601"/>
      <c r="AN8" s="565"/>
      <c r="AO8" s="565"/>
      <c r="AP8" s="565"/>
      <c r="AR8" s="573"/>
      <c r="AS8" s="574"/>
      <c r="AT8" s="575"/>
      <c r="AU8" s="588"/>
      <c r="AV8" s="589"/>
      <c r="AW8" s="589"/>
      <c r="AX8" s="590"/>
      <c r="AY8" s="565"/>
      <c r="AZ8" s="565"/>
      <c r="BA8" s="565"/>
      <c r="BB8" s="565"/>
      <c r="BC8" s="601"/>
      <c r="BD8" s="601"/>
      <c r="BE8" s="565"/>
      <c r="BF8" s="565"/>
      <c r="BG8" s="565"/>
      <c r="BI8" s="573"/>
      <c r="BJ8" s="574"/>
      <c r="BK8" s="575"/>
      <c r="BL8" s="588"/>
      <c r="BM8" s="589"/>
      <c r="BN8" s="589"/>
      <c r="BO8" s="590"/>
      <c r="BP8" s="565"/>
      <c r="BQ8" s="565"/>
      <c r="BR8" s="565"/>
      <c r="BS8" s="565"/>
      <c r="BT8" s="601"/>
      <c r="BU8" s="601"/>
      <c r="BV8" s="565"/>
      <c r="BW8" s="565"/>
      <c r="BX8" s="565"/>
      <c r="BZ8" s="573"/>
      <c r="CA8" s="574"/>
      <c r="CB8" s="575"/>
      <c r="CC8" s="588"/>
      <c r="CD8" s="589"/>
      <c r="CE8" s="589"/>
      <c r="CF8" s="590"/>
      <c r="CG8" s="565"/>
      <c r="CH8" s="565"/>
      <c r="CI8" s="565"/>
      <c r="CJ8" s="565"/>
      <c r="CK8" s="601"/>
      <c r="CL8" s="601"/>
      <c r="CM8" s="565"/>
      <c r="CN8" s="565"/>
      <c r="CO8" s="565"/>
      <c r="CQ8" s="627"/>
      <c r="CR8" s="628"/>
      <c r="CS8" s="629"/>
      <c r="CT8" s="588"/>
      <c r="CU8" s="589"/>
      <c r="CV8" s="589"/>
      <c r="CW8" s="590"/>
      <c r="CX8" s="565"/>
      <c r="CY8" s="565"/>
      <c r="CZ8" s="565"/>
      <c r="DA8" s="565"/>
      <c r="DB8" s="601"/>
      <c r="DC8" s="601"/>
      <c r="DD8" s="565"/>
      <c r="DE8" s="565"/>
      <c r="DF8" s="565"/>
      <c r="DH8" s="573"/>
      <c r="DI8" s="574"/>
      <c r="DJ8" s="575"/>
      <c r="DK8" s="588"/>
      <c r="DL8" s="589"/>
      <c r="DM8" s="589"/>
      <c r="DN8" s="590"/>
      <c r="DO8" s="565"/>
      <c r="DP8" s="565"/>
      <c r="DQ8" s="565"/>
      <c r="DR8" s="565"/>
      <c r="DS8" s="601"/>
      <c r="DT8" s="601"/>
      <c r="DU8" s="565"/>
      <c r="DV8" s="565"/>
      <c r="DW8" s="565"/>
      <c r="DY8" s="573"/>
      <c r="DZ8" s="574"/>
      <c r="EA8" s="575"/>
      <c r="EB8" s="588"/>
      <c r="EC8" s="589"/>
      <c r="ED8" s="589"/>
      <c r="EE8" s="590"/>
      <c r="EF8" s="565"/>
      <c r="EG8" s="565"/>
      <c r="EH8" s="565"/>
      <c r="EI8" s="565"/>
      <c r="EJ8" s="601"/>
      <c r="EK8" s="601"/>
      <c r="EL8" s="565"/>
      <c r="EM8" s="565"/>
      <c r="EN8" s="565"/>
      <c r="EP8" s="573"/>
      <c r="EQ8" s="574"/>
      <c r="ER8" s="575"/>
      <c r="ES8" s="588"/>
      <c r="ET8" s="589"/>
      <c r="EU8" s="589"/>
      <c r="EV8" s="590"/>
      <c r="EW8" s="565"/>
      <c r="EX8" s="565"/>
      <c r="EY8" s="565"/>
      <c r="EZ8" s="565"/>
      <c r="FA8" s="601"/>
      <c r="FB8" s="601"/>
      <c r="FC8" s="565"/>
      <c r="FD8" s="565"/>
      <c r="FE8" s="565"/>
      <c r="FG8" s="573"/>
      <c r="FH8" s="574"/>
      <c r="FI8" s="575"/>
      <c r="FJ8" s="588"/>
      <c r="FK8" s="589"/>
      <c r="FL8" s="589"/>
      <c r="FM8" s="590"/>
      <c r="FN8" s="565"/>
      <c r="FO8" s="565"/>
      <c r="FP8" s="565"/>
      <c r="FQ8" s="565"/>
      <c r="FR8" s="601"/>
      <c r="FS8" s="601"/>
      <c r="FT8" s="565"/>
      <c r="FU8" s="565"/>
      <c r="FV8" s="565"/>
      <c r="FX8" s="573"/>
      <c r="FY8" s="574"/>
      <c r="FZ8" s="575"/>
      <c r="GA8" s="588"/>
      <c r="GB8" s="589"/>
      <c r="GC8" s="589"/>
      <c r="GD8" s="590"/>
      <c r="GE8" s="565"/>
      <c r="GF8" s="565"/>
      <c r="GG8" s="565"/>
      <c r="GH8" s="565"/>
      <c r="GI8" s="601"/>
      <c r="GJ8" s="601"/>
      <c r="GK8" s="565"/>
      <c r="GL8" s="565"/>
      <c r="GM8" s="565"/>
      <c r="GO8" s="618"/>
      <c r="GP8" s="619"/>
      <c r="GQ8" s="620"/>
      <c r="GR8" s="588"/>
      <c r="GS8" s="589"/>
      <c r="GT8" s="589"/>
      <c r="GU8" s="590"/>
      <c r="GV8" s="565"/>
      <c r="GW8" s="565"/>
      <c r="GX8" s="565"/>
      <c r="GY8" s="565"/>
      <c r="GZ8" s="601"/>
      <c r="HA8" s="601"/>
      <c r="HB8" s="565"/>
      <c r="HC8" s="565"/>
      <c r="HD8" s="565"/>
      <c r="HF8" s="609"/>
      <c r="HG8" s="610"/>
      <c r="HH8" s="611"/>
      <c r="HI8" s="588"/>
      <c r="HJ8" s="589"/>
      <c r="HK8" s="589"/>
      <c r="HL8" s="590"/>
      <c r="HM8" s="565"/>
      <c r="HN8" s="565"/>
      <c r="HO8" s="565"/>
      <c r="HP8" s="565"/>
      <c r="HQ8" s="601"/>
      <c r="HR8" s="601"/>
      <c r="HS8" s="565"/>
      <c r="HT8" s="565"/>
      <c r="HU8" s="565"/>
      <c r="HW8" s="573"/>
      <c r="HX8" s="574"/>
      <c r="HY8" s="575"/>
      <c r="HZ8" s="588"/>
      <c r="IA8" s="589"/>
      <c r="IB8" s="589"/>
      <c r="IC8" s="590"/>
      <c r="ID8" s="565"/>
      <c r="IE8" s="565"/>
      <c r="IF8" s="565"/>
      <c r="IG8" s="565"/>
      <c r="IH8" s="601"/>
      <c r="II8" s="601"/>
      <c r="IJ8" s="565"/>
      <c r="IK8" s="565"/>
      <c r="IL8" s="565"/>
    </row>
    <row r="9" spans="2:246" ht="18.75" thickTop="1" x14ac:dyDescent="0.25">
      <c r="B9" s="344" t="s">
        <v>105</v>
      </c>
      <c r="C9" s="344"/>
      <c r="D9" s="344" t="s">
        <v>106</v>
      </c>
      <c r="E9" s="344" t="s">
        <v>107</v>
      </c>
      <c r="F9" s="345" t="s">
        <v>108</v>
      </c>
      <c r="G9" s="346" t="s">
        <v>109</v>
      </c>
      <c r="H9" s="346" t="s">
        <v>164</v>
      </c>
      <c r="J9" s="344" t="s">
        <v>105</v>
      </c>
      <c r="K9" s="344"/>
      <c r="L9" s="344" t="s">
        <v>106</v>
      </c>
      <c r="M9" s="344" t="s">
        <v>107</v>
      </c>
      <c r="N9" s="345" t="s">
        <v>108</v>
      </c>
      <c r="O9" s="346" t="s">
        <v>109</v>
      </c>
      <c r="P9" s="346" t="s">
        <v>164</v>
      </c>
      <c r="Q9" s="565"/>
      <c r="R9" s="565"/>
      <c r="S9" s="565"/>
      <c r="T9" s="565"/>
      <c r="U9" s="601"/>
      <c r="V9" s="601"/>
      <c r="W9" s="565"/>
      <c r="X9" s="565"/>
      <c r="Y9" s="565"/>
      <c r="AA9" s="344" t="s">
        <v>105</v>
      </c>
      <c r="AB9" s="344"/>
      <c r="AC9" s="344" t="s">
        <v>106</v>
      </c>
      <c r="AD9" s="344" t="s">
        <v>107</v>
      </c>
      <c r="AE9" s="345" t="s">
        <v>108</v>
      </c>
      <c r="AF9" s="346" t="s">
        <v>109</v>
      </c>
      <c r="AG9" s="346" t="s">
        <v>164</v>
      </c>
      <c r="AH9" s="565"/>
      <c r="AI9" s="565"/>
      <c r="AJ9" s="565"/>
      <c r="AK9" s="565"/>
      <c r="AL9" s="601"/>
      <c r="AM9" s="601"/>
      <c r="AN9" s="565"/>
      <c r="AO9" s="565"/>
      <c r="AP9" s="565"/>
      <c r="AR9" s="344" t="s">
        <v>105</v>
      </c>
      <c r="AS9" s="344"/>
      <c r="AT9" s="344" t="s">
        <v>106</v>
      </c>
      <c r="AU9" s="344" t="s">
        <v>107</v>
      </c>
      <c r="AV9" s="345" t="s">
        <v>108</v>
      </c>
      <c r="AW9" s="346" t="s">
        <v>109</v>
      </c>
      <c r="AX9" s="346" t="s">
        <v>164</v>
      </c>
      <c r="AY9" s="565"/>
      <c r="AZ9" s="565"/>
      <c r="BA9" s="565"/>
      <c r="BB9" s="565"/>
      <c r="BC9" s="601"/>
      <c r="BD9" s="601"/>
      <c r="BE9" s="565"/>
      <c r="BF9" s="565"/>
      <c r="BG9" s="565"/>
      <c r="BI9" s="344" t="s">
        <v>105</v>
      </c>
      <c r="BJ9" s="344"/>
      <c r="BK9" s="344" t="s">
        <v>106</v>
      </c>
      <c r="BL9" s="344" t="s">
        <v>107</v>
      </c>
      <c r="BM9" s="345" t="s">
        <v>108</v>
      </c>
      <c r="BN9" s="346" t="s">
        <v>109</v>
      </c>
      <c r="BO9" s="346" t="s">
        <v>164</v>
      </c>
      <c r="BP9" s="565"/>
      <c r="BQ9" s="565"/>
      <c r="BR9" s="565"/>
      <c r="BS9" s="565"/>
      <c r="BT9" s="601"/>
      <c r="BU9" s="601"/>
      <c r="BV9" s="565"/>
      <c r="BW9" s="565"/>
      <c r="BX9" s="565"/>
      <c r="BZ9" s="344" t="s">
        <v>105</v>
      </c>
      <c r="CA9" s="344"/>
      <c r="CB9" s="344" t="s">
        <v>106</v>
      </c>
      <c r="CC9" s="344" t="s">
        <v>107</v>
      </c>
      <c r="CD9" s="345" t="s">
        <v>108</v>
      </c>
      <c r="CE9" s="346" t="s">
        <v>109</v>
      </c>
      <c r="CF9" s="346" t="s">
        <v>164</v>
      </c>
      <c r="CG9" s="565"/>
      <c r="CH9" s="565"/>
      <c r="CI9" s="565"/>
      <c r="CJ9" s="565"/>
      <c r="CK9" s="601"/>
      <c r="CL9" s="601"/>
      <c r="CM9" s="565"/>
      <c r="CN9" s="565"/>
      <c r="CO9" s="565"/>
      <c r="CQ9" s="344" t="s">
        <v>105</v>
      </c>
      <c r="CR9" s="344"/>
      <c r="CS9" s="344" t="s">
        <v>106</v>
      </c>
      <c r="CT9" s="344" t="s">
        <v>107</v>
      </c>
      <c r="CU9" s="345" t="s">
        <v>108</v>
      </c>
      <c r="CV9" s="346" t="s">
        <v>109</v>
      </c>
      <c r="CW9" s="346" t="s">
        <v>164</v>
      </c>
      <c r="CX9" s="565"/>
      <c r="CY9" s="565"/>
      <c r="CZ9" s="565"/>
      <c r="DA9" s="565"/>
      <c r="DB9" s="601"/>
      <c r="DC9" s="601"/>
      <c r="DD9" s="565"/>
      <c r="DE9" s="565"/>
      <c r="DF9" s="565"/>
      <c r="DH9" s="344" t="s">
        <v>105</v>
      </c>
      <c r="DI9" s="344"/>
      <c r="DJ9" s="344" t="s">
        <v>106</v>
      </c>
      <c r="DK9" s="344" t="s">
        <v>107</v>
      </c>
      <c r="DL9" s="345" t="s">
        <v>108</v>
      </c>
      <c r="DM9" s="346" t="s">
        <v>109</v>
      </c>
      <c r="DN9" s="346" t="s">
        <v>164</v>
      </c>
      <c r="DO9" s="565"/>
      <c r="DP9" s="565"/>
      <c r="DQ9" s="565"/>
      <c r="DR9" s="565"/>
      <c r="DS9" s="601"/>
      <c r="DT9" s="601"/>
      <c r="DU9" s="565"/>
      <c r="DV9" s="565"/>
      <c r="DW9" s="565"/>
      <c r="DY9" s="344" t="s">
        <v>105</v>
      </c>
      <c r="DZ9" s="344"/>
      <c r="EA9" s="344" t="s">
        <v>106</v>
      </c>
      <c r="EB9" s="344" t="s">
        <v>107</v>
      </c>
      <c r="EC9" s="345" t="s">
        <v>108</v>
      </c>
      <c r="ED9" s="346" t="s">
        <v>109</v>
      </c>
      <c r="EE9" s="346" t="s">
        <v>164</v>
      </c>
      <c r="EF9" s="565"/>
      <c r="EG9" s="565"/>
      <c r="EH9" s="565"/>
      <c r="EI9" s="565"/>
      <c r="EJ9" s="601"/>
      <c r="EK9" s="601"/>
      <c r="EL9" s="565"/>
      <c r="EM9" s="565"/>
      <c r="EN9" s="565"/>
      <c r="EP9" s="344" t="s">
        <v>105</v>
      </c>
      <c r="EQ9" s="344"/>
      <c r="ER9" s="344" t="s">
        <v>106</v>
      </c>
      <c r="ES9" s="344" t="s">
        <v>107</v>
      </c>
      <c r="ET9" s="345" t="s">
        <v>108</v>
      </c>
      <c r="EU9" s="346" t="s">
        <v>109</v>
      </c>
      <c r="EV9" s="346" t="s">
        <v>164</v>
      </c>
      <c r="EW9" s="565"/>
      <c r="EX9" s="565"/>
      <c r="EY9" s="565"/>
      <c r="EZ9" s="565"/>
      <c r="FA9" s="601"/>
      <c r="FB9" s="601"/>
      <c r="FC9" s="565"/>
      <c r="FD9" s="565"/>
      <c r="FE9" s="565"/>
      <c r="FG9" s="344" t="s">
        <v>105</v>
      </c>
      <c r="FH9" s="344"/>
      <c r="FI9" s="344" t="s">
        <v>106</v>
      </c>
      <c r="FJ9" s="344" t="s">
        <v>107</v>
      </c>
      <c r="FK9" s="345" t="s">
        <v>108</v>
      </c>
      <c r="FL9" s="346" t="s">
        <v>109</v>
      </c>
      <c r="FM9" s="346" t="s">
        <v>164</v>
      </c>
      <c r="FN9" s="565"/>
      <c r="FO9" s="565"/>
      <c r="FP9" s="565"/>
      <c r="FQ9" s="565"/>
      <c r="FR9" s="601"/>
      <c r="FS9" s="601"/>
      <c r="FT9" s="565"/>
      <c r="FU9" s="565"/>
      <c r="FV9" s="565"/>
      <c r="FX9" s="344" t="s">
        <v>105</v>
      </c>
      <c r="FY9" s="344"/>
      <c r="FZ9" s="344" t="s">
        <v>106</v>
      </c>
      <c r="GA9" s="344" t="s">
        <v>107</v>
      </c>
      <c r="GB9" s="345" t="s">
        <v>108</v>
      </c>
      <c r="GC9" s="346" t="s">
        <v>109</v>
      </c>
      <c r="GD9" s="346" t="s">
        <v>164</v>
      </c>
      <c r="GE9" s="565"/>
      <c r="GF9" s="565"/>
      <c r="GG9" s="565"/>
      <c r="GH9" s="565"/>
      <c r="GI9" s="601"/>
      <c r="GJ9" s="601"/>
      <c r="GK9" s="565"/>
      <c r="GL9" s="565"/>
      <c r="GM9" s="565"/>
      <c r="GO9" s="344" t="s">
        <v>105</v>
      </c>
      <c r="GP9" s="344"/>
      <c r="GQ9" s="344" t="s">
        <v>106</v>
      </c>
      <c r="GR9" s="344" t="s">
        <v>107</v>
      </c>
      <c r="GS9" s="345" t="s">
        <v>108</v>
      </c>
      <c r="GT9" s="346" t="s">
        <v>109</v>
      </c>
      <c r="GU9" s="346" t="s">
        <v>164</v>
      </c>
      <c r="GV9" s="565"/>
      <c r="GW9" s="565"/>
      <c r="GX9" s="565"/>
      <c r="GY9" s="565"/>
      <c r="GZ9" s="601"/>
      <c r="HA9" s="601"/>
      <c r="HB9" s="565"/>
      <c r="HC9" s="565"/>
      <c r="HD9" s="565"/>
      <c r="HF9" s="344" t="s">
        <v>105</v>
      </c>
      <c r="HG9" s="344"/>
      <c r="HH9" s="344" t="s">
        <v>106</v>
      </c>
      <c r="HI9" s="344" t="s">
        <v>107</v>
      </c>
      <c r="HJ9" s="345" t="s">
        <v>108</v>
      </c>
      <c r="HK9" s="346" t="s">
        <v>109</v>
      </c>
      <c r="HL9" s="346" t="s">
        <v>164</v>
      </c>
      <c r="HM9" s="565"/>
      <c r="HN9" s="565"/>
      <c r="HO9" s="565"/>
      <c r="HP9" s="565"/>
      <c r="HQ9" s="601"/>
      <c r="HR9" s="601"/>
      <c r="HS9" s="565"/>
      <c r="HT9" s="565"/>
      <c r="HU9" s="565"/>
      <c r="HW9" s="344" t="s">
        <v>105</v>
      </c>
      <c r="HX9" s="344"/>
      <c r="HY9" s="344" t="s">
        <v>106</v>
      </c>
      <c r="HZ9" s="344" t="s">
        <v>107</v>
      </c>
      <c r="IA9" s="345" t="s">
        <v>108</v>
      </c>
      <c r="IB9" s="346" t="s">
        <v>109</v>
      </c>
      <c r="IC9" s="346" t="s">
        <v>164</v>
      </c>
      <c r="ID9" s="565"/>
      <c r="IE9" s="565"/>
      <c r="IF9" s="565"/>
      <c r="IG9" s="565"/>
      <c r="IH9" s="601"/>
      <c r="II9" s="601"/>
      <c r="IJ9" s="565"/>
      <c r="IK9" s="565"/>
      <c r="IL9" s="565"/>
    </row>
    <row r="10" spans="2:246" ht="18.75" thickBot="1" x14ac:dyDescent="0.3">
      <c r="B10" s="317" t="s">
        <v>250</v>
      </c>
      <c r="C10" s="317"/>
      <c r="D10" s="318" t="s">
        <v>251</v>
      </c>
      <c r="E10" s="591"/>
      <c r="F10" s="591"/>
      <c r="G10" s="591"/>
      <c r="H10" s="591"/>
      <c r="J10" s="317" t="s">
        <v>250</v>
      </c>
      <c r="K10" s="317"/>
      <c r="L10" s="318" t="s">
        <v>251</v>
      </c>
      <c r="M10" s="591"/>
      <c r="N10" s="591"/>
      <c r="O10" s="591"/>
      <c r="P10" s="591"/>
      <c r="Q10" s="566"/>
      <c r="R10" s="566"/>
      <c r="S10" s="566"/>
      <c r="T10" s="566"/>
      <c r="U10" s="602"/>
      <c r="V10" s="602"/>
      <c r="W10" s="566"/>
      <c r="X10" s="566"/>
      <c r="Y10" s="566"/>
      <c r="AA10" s="317" t="s">
        <v>250</v>
      </c>
      <c r="AB10" s="317"/>
      <c r="AC10" s="318" t="s">
        <v>251</v>
      </c>
      <c r="AD10" s="591"/>
      <c r="AE10" s="591"/>
      <c r="AF10" s="591"/>
      <c r="AG10" s="591"/>
      <c r="AH10" s="566"/>
      <c r="AI10" s="566"/>
      <c r="AJ10" s="566"/>
      <c r="AK10" s="566"/>
      <c r="AL10" s="602"/>
      <c r="AM10" s="602"/>
      <c r="AN10" s="566"/>
      <c r="AO10" s="566"/>
      <c r="AP10" s="566"/>
      <c r="AR10" s="317" t="s">
        <v>250</v>
      </c>
      <c r="AS10" s="317"/>
      <c r="AT10" s="318" t="s">
        <v>251</v>
      </c>
      <c r="AU10" s="591"/>
      <c r="AV10" s="591"/>
      <c r="AW10" s="591"/>
      <c r="AX10" s="591"/>
      <c r="AY10" s="566"/>
      <c r="AZ10" s="566"/>
      <c r="BA10" s="566"/>
      <c r="BB10" s="566"/>
      <c r="BC10" s="602"/>
      <c r="BD10" s="602"/>
      <c r="BE10" s="566"/>
      <c r="BF10" s="566"/>
      <c r="BG10" s="566"/>
      <c r="BI10" s="317" t="s">
        <v>250</v>
      </c>
      <c r="BJ10" s="317"/>
      <c r="BK10" s="318" t="s">
        <v>251</v>
      </c>
      <c r="BL10" s="591"/>
      <c r="BM10" s="591"/>
      <c r="BN10" s="591"/>
      <c r="BO10" s="591"/>
      <c r="BP10" s="566"/>
      <c r="BQ10" s="566"/>
      <c r="BR10" s="566"/>
      <c r="BS10" s="566"/>
      <c r="BT10" s="602"/>
      <c r="BU10" s="602"/>
      <c r="BV10" s="566"/>
      <c r="BW10" s="566"/>
      <c r="BX10" s="566"/>
      <c r="BZ10" s="317" t="s">
        <v>250</v>
      </c>
      <c r="CA10" s="317"/>
      <c r="CB10" s="318" t="s">
        <v>251</v>
      </c>
      <c r="CC10" s="591"/>
      <c r="CD10" s="591"/>
      <c r="CE10" s="591"/>
      <c r="CF10" s="591"/>
      <c r="CG10" s="566"/>
      <c r="CH10" s="566"/>
      <c r="CI10" s="566"/>
      <c r="CJ10" s="566"/>
      <c r="CK10" s="602"/>
      <c r="CL10" s="602"/>
      <c r="CM10" s="566"/>
      <c r="CN10" s="566"/>
      <c r="CO10" s="566"/>
      <c r="CQ10" s="317" t="s">
        <v>250</v>
      </c>
      <c r="CR10" s="317"/>
      <c r="CS10" s="318" t="s">
        <v>251</v>
      </c>
      <c r="CT10" s="591"/>
      <c r="CU10" s="591"/>
      <c r="CV10" s="591"/>
      <c r="CW10" s="591"/>
      <c r="CX10" s="566"/>
      <c r="CY10" s="566"/>
      <c r="CZ10" s="566"/>
      <c r="DA10" s="566"/>
      <c r="DB10" s="602"/>
      <c r="DC10" s="602"/>
      <c r="DD10" s="566"/>
      <c r="DE10" s="566"/>
      <c r="DF10" s="566"/>
      <c r="DH10" s="317" t="s">
        <v>250</v>
      </c>
      <c r="DI10" s="317"/>
      <c r="DJ10" s="318" t="s">
        <v>251</v>
      </c>
      <c r="DK10" s="591"/>
      <c r="DL10" s="591"/>
      <c r="DM10" s="591"/>
      <c r="DN10" s="591"/>
      <c r="DO10" s="566"/>
      <c r="DP10" s="566"/>
      <c r="DQ10" s="566"/>
      <c r="DR10" s="566"/>
      <c r="DS10" s="602"/>
      <c r="DT10" s="602"/>
      <c r="DU10" s="566"/>
      <c r="DV10" s="566"/>
      <c r="DW10" s="566"/>
      <c r="DY10" s="317" t="s">
        <v>250</v>
      </c>
      <c r="DZ10" s="317"/>
      <c r="EA10" s="318" t="s">
        <v>251</v>
      </c>
      <c r="EB10" s="591"/>
      <c r="EC10" s="591"/>
      <c r="ED10" s="591"/>
      <c r="EE10" s="591"/>
      <c r="EF10" s="566"/>
      <c r="EG10" s="566"/>
      <c r="EH10" s="566"/>
      <c r="EI10" s="566"/>
      <c r="EJ10" s="602"/>
      <c r="EK10" s="602"/>
      <c r="EL10" s="566"/>
      <c r="EM10" s="566"/>
      <c r="EN10" s="566"/>
      <c r="EP10" s="317" t="s">
        <v>250</v>
      </c>
      <c r="EQ10" s="317"/>
      <c r="ER10" s="318" t="s">
        <v>251</v>
      </c>
      <c r="ES10" s="591"/>
      <c r="ET10" s="591"/>
      <c r="EU10" s="591"/>
      <c r="EV10" s="591"/>
      <c r="EW10" s="566"/>
      <c r="EX10" s="566"/>
      <c r="EY10" s="566"/>
      <c r="EZ10" s="566"/>
      <c r="FA10" s="602"/>
      <c r="FB10" s="602"/>
      <c r="FC10" s="566"/>
      <c r="FD10" s="566"/>
      <c r="FE10" s="566"/>
      <c r="FG10" s="317" t="s">
        <v>250</v>
      </c>
      <c r="FH10" s="317"/>
      <c r="FI10" s="318" t="s">
        <v>251</v>
      </c>
      <c r="FJ10" s="591"/>
      <c r="FK10" s="591"/>
      <c r="FL10" s="591"/>
      <c r="FM10" s="591"/>
      <c r="FN10" s="566"/>
      <c r="FO10" s="566"/>
      <c r="FP10" s="566"/>
      <c r="FQ10" s="566"/>
      <c r="FR10" s="602"/>
      <c r="FS10" s="602"/>
      <c r="FT10" s="566"/>
      <c r="FU10" s="566"/>
      <c r="FV10" s="566"/>
      <c r="FX10" s="317" t="s">
        <v>250</v>
      </c>
      <c r="FY10" s="317"/>
      <c r="FZ10" s="318" t="s">
        <v>251</v>
      </c>
      <c r="GA10" s="591"/>
      <c r="GB10" s="591"/>
      <c r="GC10" s="591"/>
      <c r="GD10" s="591"/>
      <c r="GE10" s="566"/>
      <c r="GF10" s="566"/>
      <c r="GG10" s="566"/>
      <c r="GH10" s="566"/>
      <c r="GI10" s="602"/>
      <c r="GJ10" s="602"/>
      <c r="GK10" s="566"/>
      <c r="GL10" s="566"/>
      <c r="GM10" s="566"/>
      <c r="GO10" s="317" t="s">
        <v>250</v>
      </c>
      <c r="GP10" s="317"/>
      <c r="GQ10" s="318" t="s">
        <v>251</v>
      </c>
      <c r="GR10" s="591"/>
      <c r="GS10" s="591"/>
      <c r="GT10" s="591"/>
      <c r="GU10" s="591"/>
      <c r="GV10" s="566"/>
      <c r="GW10" s="566"/>
      <c r="GX10" s="566"/>
      <c r="GY10" s="566"/>
      <c r="GZ10" s="602"/>
      <c r="HA10" s="602"/>
      <c r="HB10" s="566"/>
      <c r="HC10" s="566"/>
      <c r="HD10" s="566"/>
      <c r="HF10" s="317" t="s">
        <v>250</v>
      </c>
      <c r="HG10" s="317"/>
      <c r="HH10" s="318" t="s">
        <v>251</v>
      </c>
      <c r="HI10" s="591"/>
      <c r="HJ10" s="591"/>
      <c r="HK10" s="591"/>
      <c r="HL10" s="591"/>
      <c r="HM10" s="566"/>
      <c r="HN10" s="566"/>
      <c r="HO10" s="566"/>
      <c r="HP10" s="566"/>
      <c r="HQ10" s="602"/>
      <c r="HR10" s="602"/>
      <c r="HS10" s="566"/>
      <c r="HT10" s="566"/>
      <c r="HU10" s="566"/>
      <c r="HW10" s="317" t="s">
        <v>250</v>
      </c>
      <c r="HX10" s="317"/>
      <c r="HY10" s="318" t="s">
        <v>251</v>
      </c>
      <c r="HZ10" s="591"/>
      <c r="IA10" s="591"/>
      <c r="IB10" s="591"/>
      <c r="IC10" s="591"/>
      <c r="ID10" s="566"/>
      <c r="IE10" s="566"/>
      <c r="IF10" s="566"/>
      <c r="IG10" s="566"/>
      <c r="IH10" s="602"/>
      <c r="II10" s="602"/>
      <c r="IJ10" s="566"/>
      <c r="IK10" s="566"/>
      <c r="IL10" s="566"/>
    </row>
    <row r="11" spans="2:246" ht="168" customHeight="1" thickTop="1" x14ac:dyDescent="0.25">
      <c r="B11" s="319">
        <v>1.1000000000000001</v>
      </c>
      <c r="C11" s="319" t="s">
        <v>178</v>
      </c>
      <c r="D11" s="320" t="s">
        <v>252</v>
      </c>
      <c r="E11" s="321" t="s">
        <v>184</v>
      </c>
      <c r="F11" s="322">
        <v>1959.6287787332503</v>
      </c>
      <c r="G11" s="323">
        <v>0</v>
      </c>
      <c r="H11" s="324">
        <f t="shared" ref="H11:H16" si="0">G11*F11</f>
        <v>0</v>
      </c>
      <c r="J11" s="319">
        <v>1.1000000000000001</v>
      </c>
      <c r="K11" s="319" t="s">
        <v>178</v>
      </c>
      <c r="L11" s="320" t="s">
        <v>252</v>
      </c>
      <c r="M11" s="321" t="s">
        <v>184</v>
      </c>
      <c r="N11" s="322">
        <v>1959.6287787332503</v>
      </c>
      <c r="O11" s="323">
        <v>12729</v>
      </c>
      <c r="P11" s="324">
        <v>24944115</v>
      </c>
      <c r="Q11" s="108">
        <f t="shared" ref="Q11:Q21" si="1">IFERROR(IF(EXACT(VLOOKUP(J11,OFERTA_0,1,FALSE),J11),1,0),0)</f>
        <v>1</v>
      </c>
      <c r="R11" s="108">
        <f t="shared" ref="R11:R21" si="2">IFERROR(IF(EXACT(VLOOKUP(J11,OFERTA_0,3,FALSE),L11),1,0),0)</f>
        <v>1</v>
      </c>
      <c r="S11" s="108">
        <f t="shared" ref="S11:S21" si="3">IFERROR(IF(EXACT(VLOOKUP(J11,OFERTA_0,4,FALSE),M11),1,0),0)</f>
        <v>1</v>
      </c>
      <c r="T11" s="108">
        <f t="shared" ref="T11:T21" si="4">IFERROR(IF(EXACT(VLOOKUP(J11,OFERTA_0,5,FALSE),N11),1,0),0)</f>
        <v>1</v>
      </c>
      <c r="U11" s="108">
        <f>IFERROR(IF(O11&lt;=0,0,1),0)</f>
        <v>1</v>
      </c>
      <c r="V11" s="108">
        <f>IFERROR(IF(P11&lt;=0,0,1),0)</f>
        <v>1</v>
      </c>
      <c r="W11" s="108">
        <f>PRODUCT(Q11:V11)</f>
        <v>1</v>
      </c>
      <c r="X11" s="109">
        <f>ROUND(P11,0)</f>
        <v>24944115</v>
      </c>
      <c r="Y11" s="110">
        <f>P11-X11</f>
        <v>0</v>
      </c>
      <c r="AA11" s="319">
        <v>1.1000000000000001</v>
      </c>
      <c r="AB11" s="319" t="s">
        <v>178</v>
      </c>
      <c r="AC11" s="320" t="s">
        <v>252</v>
      </c>
      <c r="AD11" s="321" t="s">
        <v>184</v>
      </c>
      <c r="AE11" s="322">
        <v>1959.6287787332503</v>
      </c>
      <c r="AF11" s="323">
        <v>15800</v>
      </c>
      <c r="AG11" s="324">
        <v>30962134.703985356</v>
      </c>
      <c r="AH11" s="108">
        <f t="shared" ref="AH11:AH17" si="5">IFERROR(IF(EXACT(VLOOKUP(AA11,OFERTA_0,1,FALSE),AA11),1,0),0)</f>
        <v>1</v>
      </c>
      <c r="AI11" s="108">
        <f t="shared" ref="AI11:AI17" si="6">IFERROR(IF(EXACT(VLOOKUP(AA11,OFERTA_0,3,FALSE),AC11),1,0),0)</f>
        <v>1</v>
      </c>
      <c r="AJ11" s="108">
        <f t="shared" ref="AJ11:AJ17" si="7">IFERROR(IF(EXACT(VLOOKUP(AA11,OFERTA_0,4,FALSE),AD11),1,0),0)</f>
        <v>1</v>
      </c>
      <c r="AK11" s="108">
        <f t="shared" ref="AK11:AK17" si="8">IFERROR(IF(EXACT(VLOOKUP(AA11,OFERTA_0,5,FALSE),AE11),1,0),0)</f>
        <v>1</v>
      </c>
      <c r="AL11" s="108">
        <f>IFERROR(IF(AF11&lt;=0,0,1),0)</f>
        <v>1</v>
      </c>
      <c r="AM11" s="108">
        <f>IFERROR(IF(AG11&lt;=0,0,1),0)</f>
        <v>1</v>
      </c>
      <c r="AN11" s="108">
        <f>PRODUCT(AH11:AM11)</f>
        <v>1</v>
      </c>
      <c r="AO11" s="109">
        <f>ROUND(AG11,0)</f>
        <v>30962135</v>
      </c>
      <c r="AP11" s="110">
        <f>AG11-AO11</f>
        <v>-0.29601464420557022</v>
      </c>
      <c r="AR11" s="319">
        <v>1.1000000000000001</v>
      </c>
      <c r="AS11" s="319" t="s">
        <v>178</v>
      </c>
      <c r="AT11" s="320" t="s">
        <v>252</v>
      </c>
      <c r="AU11" s="321" t="s">
        <v>184</v>
      </c>
      <c r="AV11" s="322">
        <v>1959.6287787332503</v>
      </c>
      <c r="AW11" s="323">
        <v>14550</v>
      </c>
      <c r="AX11" s="324">
        <v>28512598.730568793</v>
      </c>
      <c r="AY11" s="108">
        <f t="shared" ref="AY11:AY17" si="9">IFERROR(IF(EXACT(VLOOKUP(AR11,OFERTA_0,1,FALSE),AR11),1,0),0)</f>
        <v>1</v>
      </c>
      <c r="AZ11" s="108">
        <f t="shared" ref="AZ11:AZ17" si="10">IFERROR(IF(EXACT(VLOOKUP(AR11,OFERTA_0,3,FALSE),AT11),1,0),0)</f>
        <v>1</v>
      </c>
      <c r="BA11" s="108">
        <f t="shared" ref="BA11:BA17" si="11">IFERROR(IF(EXACT(VLOOKUP(AR11,OFERTA_0,4,FALSE),AU11),1,0),0)</f>
        <v>1</v>
      </c>
      <c r="BB11" s="108">
        <f t="shared" ref="BB11:BB17" si="12">IFERROR(IF(EXACT(VLOOKUP(AR11,OFERTA_0,5,FALSE),AV11),1,0),0)</f>
        <v>1</v>
      </c>
      <c r="BC11" s="108">
        <f>IFERROR(IF(AW11&lt;=0,0,1),0)</f>
        <v>1</v>
      </c>
      <c r="BD11" s="108">
        <f>IFERROR(IF(AX11&lt;=0,0,1),0)</f>
        <v>1</v>
      </c>
      <c r="BE11" s="108">
        <f>PRODUCT(AY11:BD11)</f>
        <v>1</v>
      </c>
      <c r="BF11" s="109">
        <f>ROUND(AX11,0)</f>
        <v>28512599</v>
      </c>
      <c r="BG11" s="110">
        <f>AX11-BF11</f>
        <v>-0.26943120732903481</v>
      </c>
      <c r="BI11" s="319">
        <v>1.1000000000000001</v>
      </c>
      <c r="BJ11" s="319" t="s">
        <v>178</v>
      </c>
      <c r="BK11" s="320" t="s">
        <v>252</v>
      </c>
      <c r="BL11" s="321" t="s">
        <v>184</v>
      </c>
      <c r="BM11" s="322">
        <v>1959.6287787332503</v>
      </c>
      <c r="BN11" s="323">
        <v>11500</v>
      </c>
      <c r="BO11" s="324">
        <f t="shared" ref="BO11:BO16" si="13">BN11*BM11</f>
        <v>22535730.955432378</v>
      </c>
      <c r="BP11" s="108">
        <f t="shared" ref="BP11:BP17" si="14">IFERROR(IF(EXACT(VLOOKUP(BI11,OFERTA_0,1,FALSE),BI11),1,0),0)</f>
        <v>1</v>
      </c>
      <c r="BQ11" s="108">
        <f t="shared" ref="BQ11:BQ17" si="15">IFERROR(IF(EXACT(VLOOKUP(BI11,OFERTA_0,3,FALSE),BK11),1,0),0)</f>
        <v>1</v>
      </c>
      <c r="BR11" s="108">
        <f t="shared" ref="BR11:BR17" si="16">IFERROR(IF(EXACT(VLOOKUP(BI11,OFERTA_0,4,FALSE),BL11),1,0),0)</f>
        <v>1</v>
      </c>
      <c r="BS11" s="108">
        <f t="shared" ref="BS11:BS17" si="17">IFERROR(IF(EXACT(VLOOKUP(BI11,OFERTA_0,5,FALSE),BM11),1,0),0)</f>
        <v>1</v>
      </c>
      <c r="BT11" s="108">
        <f>IFERROR(IF(BN11&lt;=0,0,1),0)</f>
        <v>1</v>
      </c>
      <c r="BU11" s="108">
        <f>IFERROR(IF(BO11&lt;=0,0,1),0)</f>
        <v>1</v>
      </c>
      <c r="BV11" s="108">
        <f>PRODUCT(BP11:BU11)</f>
        <v>1</v>
      </c>
      <c r="BW11" s="109">
        <f>ROUND(BO11,0)</f>
        <v>22535731</v>
      </c>
      <c r="BX11" s="110">
        <f>BO11-BW11</f>
        <v>-4.4567622244358063E-2</v>
      </c>
      <c r="BZ11" s="319">
        <v>1.1000000000000001</v>
      </c>
      <c r="CA11" s="319" t="s">
        <v>178</v>
      </c>
      <c r="CB11" s="320" t="s">
        <v>252</v>
      </c>
      <c r="CC11" s="321" t="s">
        <v>184</v>
      </c>
      <c r="CD11" s="322">
        <v>1959.6287787332503</v>
      </c>
      <c r="CE11" s="323">
        <v>14500</v>
      </c>
      <c r="CF11" s="324">
        <f t="shared" ref="CF11:CF16" si="18">CE11*CD11</f>
        <v>28414617.291632131</v>
      </c>
      <c r="CG11" s="108">
        <f t="shared" ref="CG11:CG17" si="19">IFERROR(IF(EXACT(VLOOKUP(BZ11,OFERTA_0,1,FALSE),BZ11),1,0),0)</f>
        <v>1</v>
      </c>
      <c r="CH11" s="108">
        <f t="shared" ref="CH11:CH17" si="20">IFERROR(IF(EXACT(VLOOKUP(BZ11,OFERTA_0,3,FALSE),CB11),1,0),0)</f>
        <v>1</v>
      </c>
      <c r="CI11" s="108">
        <f t="shared" ref="CI11:CI17" si="21">IFERROR(IF(EXACT(VLOOKUP(BZ11,OFERTA_0,4,FALSE),CC11),1,0),0)</f>
        <v>1</v>
      </c>
      <c r="CJ11" s="108">
        <f t="shared" ref="CJ11:CJ17" si="22">IFERROR(IF(EXACT(VLOOKUP(BZ11,OFERTA_0,5,FALSE),CD11),1,0),0)</f>
        <v>1</v>
      </c>
      <c r="CK11" s="108">
        <f>IFERROR(IF(CE11&lt;=0,0,1),0)</f>
        <v>1</v>
      </c>
      <c r="CL11" s="108">
        <f>IFERROR(IF(CF11&lt;=0,0,1),0)</f>
        <v>1</v>
      </c>
      <c r="CM11" s="108">
        <f>PRODUCT(CG11:CL11)</f>
        <v>1</v>
      </c>
      <c r="CN11" s="109">
        <f>ROUND(CF11,0)</f>
        <v>28414617</v>
      </c>
      <c r="CO11" s="110">
        <f>CF11-CN11</f>
        <v>0.29163213074207306</v>
      </c>
      <c r="CQ11" s="319">
        <v>1.1000000000000001</v>
      </c>
      <c r="CR11" s="319" t="s">
        <v>178</v>
      </c>
      <c r="CS11" s="320" t="s">
        <v>252</v>
      </c>
      <c r="CT11" s="321" t="s">
        <v>184</v>
      </c>
      <c r="CU11" s="322">
        <v>1959.6287787332503</v>
      </c>
      <c r="CV11" s="323">
        <v>14500</v>
      </c>
      <c r="CW11" s="324">
        <f t="shared" ref="CW11:CW16" si="23">CV11*CU11</f>
        <v>28414617.291632131</v>
      </c>
      <c r="CX11" s="108">
        <f t="shared" ref="CX11:CX17" si="24">IFERROR(IF(EXACT(VLOOKUP(CQ11,OFERTA_0,1,FALSE),CQ11),1,0),0)</f>
        <v>1</v>
      </c>
      <c r="CY11" s="108">
        <f t="shared" ref="CY11:CY17" si="25">IFERROR(IF(EXACT(VLOOKUP(CQ11,OFERTA_0,3,FALSE),CS11),1,0),0)</f>
        <v>1</v>
      </c>
      <c r="CZ11" s="108">
        <f t="shared" ref="CZ11:CZ17" si="26">IFERROR(IF(EXACT(VLOOKUP(CQ11,OFERTA_0,4,FALSE),CT11),1,0),0)</f>
        <v>1</v>
      </c>
      <c r="DA11" s="108">
        <f t="shared" ref="DA11:DA17" si="27">IFERROR(IF(EXACT(VLOOKUP(CQ11,OFERTA_0,5,FALSE),CU11),1,0),0)</f>
        <v>1</v>
      </c>
      <c r="DB11" s="108">
        <f>IFERROR(IF(CV11&lt;=0,0,1),0)</f>
        <v>1</v>
      </c>
      <c r="DC11" s="108">
        <f>IFERROR(IF(CW11&lt;=0,0,1),0)</f>
        <v>1</v>
      </c>
      <c r="DD11" s="108">
        <f>PRODUCT(CX11:DC11)</f>
        <v>1</v>
      </c>
      <c r="DE11" s="109">
        <f>ROUND(CW11,0)</f>
        <v>28414617</v>
      </c>
      <c r="DF11" s="110">
        <f>CW11-DE11</f>
        <v>0.29163213074207306</v>
      </c>
      <c r="DH11" s="319">
        <v>1.1000000000000001</v>
      </c>
      <c r="DI11" s="319" t="s">
        <v>178</v>
      </c>
      <c r="DJ11" s="358" t="s">
        <v>252</v>
      </c>
      <c r="DK11" s="321" t="s">
        <v>184</v>
      </c>
      <c r="DL11" s="322">
        <v>1959.6287787332503</v>
      </c>
      <c r="DM11" s="323">
        <v>17130</v>
      </c>
      <c r="DN11" s="324">
        <f t="shared" ref="DN11:DN16" si="28">DM11*DL11</f>
        <v>33568440.97970058</v>
      </c>
      <c r="DO11" s="108">
        <f t="shared" ref="DO11:DO17" si="29">IFERROR(IF(EXACT(VLOOKUP(DH11,OFERTA_0,1,FALSE),DH11),1,0),0)</f>
        <v>1</v>
      </c>
      <c r="DP11" s="108">
        <f t="shared" ref="DP11:DP17" si="30">IFERROR(IF(EXACT(VLOOKUP(DH11,OFERTA_0,3,FALSE),DJ11),1,0),0)</f>
        <v>1</v>
      </c>
      <c r="DQ11" s="108">
        <f t="shared" ref="DQ11:DQ17" si="31">IFERROR(IF(EXACT(VLOOKUP(DH11,OFERTA_0,4,FALSE),DK11),1,0),0)</f>
        <v>1</v>
      </c>
      <c r="DR11" s="108">
        <f t="shared" ref="DR11:DR17" si="32">IFERROR(IF(EXACT(VLOOKUP(DH11,OFERTA_0,5,FALSE),DL11),1,0),0)</f>
        <v>1</v>
      </c>
      <c r="DS11" s="108">
        <f>IFERROR(IF(DM11&lt;=0,0,1),0)</f>
        <v>1</v>
      </c>
      <c r="DT11" s="108">
        <f>IFERROR(IF(DN11&lt;=0,0,1),0)</f>
        <v>1</v>
      </c>
      <c r="DU11" s="108">
        <f>PRODUCT(DO11:DT11)</f>
        <v>1</v>
      </c>
      <c r="DV11" s="109">
        <f>ROUND(DN11,0)</f>
        <v>33568441</v>
      </c>
      <c r="DW11" s="110">
        <f>DN11-DV11</f>
        <v>-2.0299419760704041E-2</v>
      </c>
      <c r="DY11" s="319">
        <v>1.1000000000000001</v>
      </c>
      <c r="DZ11" s="319" t="s">
        <v>178</v>
      </c>
      <c r="EA11" s="359" t="s">
        <v>252</v>
      </c>
      <c r="EB11" s="321" t="s">
        <v>184</v>
      </c>
      <c r="EC11" s="322">
        <v>1959.6287787332503</v>
      </c>
      <c r="ED11" s="323">
        <v>18000</v>
      </c>
      <c r="EE11" s="324">
        <f t="shared" ref="EE11:EE16" si="33">ED11*EC11</f>
        <v>35273318.017198503</v>
      </c>
      <c r="EF11" s="108">
        <f t="shared" ref="EF11:EF17" si="34">IFERROR(IF(EXACT(VLOOKUP(DY11,OFERTA_0,1,FALSE),DY11),1,0),0)</f>
        <v>1</v>
      </c>
      <c r="EG11" s="108">
        <f t="shared" ref="EG11:EG17" si="35">IFERROR(IF(EXACT(VLOOKUP(DY11,OFERTA_0,3,FALSE),EA11),1,0),0)</f>
        <v>1</v>
      </c>
      <c r="EH11" s="108">
        <f t="shared" ref="EH11:EH17" si="36">IFERROR(IF(EXACT(VLOOKUP(DY11,OFERTA_0,4,FALSE),EB11),1,0),0)</f>
        <v>1</v>
      </c>
      <c r="EI11" s="108">
        <f t="shared" ref="EI11:EI17" si="37">IFERROR(IF(EXACT(VLOOKUP(DY11,OFERTA_0,5,FALSE),EC11),1,0),0)</f>
        <v>1</v>
      </c>
      <c r="EJ11" s="108">
        <f>IFERROR(IF(ED11&lt;=0,0,1),0)</f>
        <v>1</v>
      </c>
      <c r="EK11" s="108">
        <f>IFERROR(IF(EE11&lt;=0,0,1),0)</f>
        <v>1</v>
      </c>
      <c r="EL11" s="108">
        <f>PRODUCT(EF11:EK11)</f>
        <v>1</v>
      </c>
      <c r="EM11" s="109">
        <f>ROUND(EE11,0)</f>
        <v>35273318</v>
      </c>
      <c r="EN11" s="110">
        <f>EE11-EM11</f>
        <v>1.7198503017425537E-2</v>
      </c>
      <c r="EP11" s="319">
        <v>1.1000000000000001</v>
      </c>
      <c r="EQ11" s="319" t="s">
        <v>178</v>
      </c>
      <c r="ER11" s="320" t="s">
        <v>252</v>
      </c>
      <c r="ES11" s="321" t="s">
        <v>184</v>
      </c>
      <c r="ET11" s="322">
        <v>1959.6287787332503</v>
      </c>
      <c r="EU11" s="323">
        <v>14000</v>
      </c>
      <c r="EV11" s="324">
        <f t="shared" ref="EV11:EV16" si="38">EU11*ET11</f>
        <v>27434802.902265504</v>
      </c>
      <c r="EW11" s="108">
        <f t="shared" ref="EW11:EW17" si="39">IFERROR(IF(EXACT(VLOOKUP(EP11,OFERTA_0,1,FALSE),EP11),1,0),0)</f>
        <v>1</v>
      </c>
      <c r="EX11" s="108">
        <f t="shared" ref="EX11:EX17" si="40">IFERROR(IF(EXACT(VLOOKUP(EP11,OFERTA_0,3,FALSE),ER11),1,0),0)</f>
        <v>1</v>
      </c>
      <c r="EY11" s="108">
        <f t="shared" ref="EY11:EY17" si="41">IFERROR(IF(EXACT(VLOOKUP(EP11,OFERTA_0,4,FALSE),ES11),1,0),0)</f>
        <v>1</v>
      </c>
      <c r="EZ11" s="108">
        <f t="shared" ref="EZ11:EZ17" si="42">IFERROR(IF(EXACT(VLOOKUP(EP11,OFERTA_0,5,FALSE),ET11),1,0),0)</f>
        <v>1</v>
      </c>
      <c r="FA11" s="108">
        <f>IFERROR(IF(EU11&lt;=0,0,1),0)</f>
        <v>1</v>
      </c>
      <c r="FB11" s="108">
        <f>IFERROR(IF(EV11&lt;=0,0,1),0)</f>
        <v>1</v>
      </c>
      <c r="FC11" s="108">
        <f>PRODUCT(EW11:FB11)</f>
        <v>1</v>
      </c>
      <c r="FD11" s="109">
        <f>ROUND(EV11,0)</f>
        <v>27434803</v>
      </c>
      <c r="FE11" s="110">
        <f>EV11-FD11</f>
        <v>-9.7734495997428894E-2</v>
      </c>
      <c r="FG11" s="319">
        <v>1.1000000000000001</v>
      </c>
      <c r="FH11" s="319" t="s">
        <v>178</v>
      </c>
      <c r="FI11" s="358" t="s">
        <v>252</v>
      </c>
      <c r="FJ11" s="321" t="s">
        <v>184</v>
      </c>
      <c r="FK11" s="322">
        <v>1959.6287787332503</v>
      </c>
      <c r="FL11" s="323">
        <v>17135</v>
      </c>
      <c r="FM11" s="324">
        <f t="shared" ref="FM11:FM16" si="43">FL11*FK11</f>
        <v>33578239.123594247</v>
      </c>
      <c r="FN11" s="108">
        <f t="shared" ref="FN11:FN17" si="44">IFERROR(IF(EXACT(VLOOKUP(FG11,OFERTA_0,1,FALSE),FG11),1,0),0)</f>
        <v>1</v>
      </c>
      <c r="FO11" s="108">
        <f t="shared" ref="FO11:FO17" si="45">IFERROR(IF(EXACT(VLOOKUP(FG11,OFERTA_0,3,FALSE),FI11),1,0),0)</f>
        <v>1</v>
      </c>
      <c r="FP11" s="108">
        <f t="shared" ref="FP11:FP17" si="46">IFERROR(IF(EXACT(VLOOKUP(FG11,OFERTA_0,4,FALSE),FJ11),1,0),0)</f>
        <v>1</v>
      </c>
      <c r="FQ11" s="108">
        <f t="shared" ref="FQ11:FQ17" si="47">IFERROR(IF(EXACT(VLOOKUP(FG11,OFERTA_0,5,FALSE),FK11),1,0),0)</f>
        <v>1</v>
      </c>
      <c r="FR11" s="108">
        <f>IFERROR(IF(FL11&lt;=0,0,1),0)</f>
        <v>1</v>
      </c>
      <c r="FS11" s="108">
        <f>IFERROR(IF(FM11&lt;=0,0,1),0)</f>
        <v>1</v>
      </c>
      <c r="FT11" s="108">
        <f>PRODUCT(FN11:FS11)</f>
        <v>1</v>
      </c>
      <c r="FU11" s="109">
        <f>ROUND(FM11,0)</f>
        <v>33578239</v>
      </c>
      <c r="FV11" s="110">
        <f>FM11-FU11</f>
        <v>0.1235942468047142</v>
      </c>
      <c r="FX11" s="319">
        <v>1.1000000000000001</v>
      </c>
      <c r="FY11" s="319" t="s">
        <v>178</v>
      </c>
      <c r="FZ11" s="320" t="s">
        <v>252</v>
      </c>
      <c r="GA11" s="321" t="s">
        <v>184</v>
      </c>
      <c r="GB11" s="322">
        <v>1959.6287787332503</v>
      </c>
      <c r="GC11" s="323">
        <v>12000</v>
      </c>
      <c r="GD11" s="324">
        <f t="shared" ref="GD11:GD16" si="48">GC11*GB11</f>
        <v>23515545.344799004</v>
      </c>
      <c r="GE11" s="108">
        <f t="shared" ref="GE11:GE17" si="49">IFERROR(IF(EXACT(VLOOKUP(FX11,OFERTA_0,1,FALSE),FX11),1,0),0)</f>
        <v>1</v>
      </c>
      <c r="GF11" s="108">
        <f t="shared" ref="GF11:GF17" si="50">IFERROR(IF(EXACT(VLOOKUP(FX11,OFERTA_0,3,FALSE),FZ11),1,0),0)</f>
        <v>1</v>
      </c>
      <c r="GG11" s="108">
        <f t="shared" ref="GG11:GG17" si="51">IFERROR(IF(EXACT(VLOOKUP(FX11,OFERTA_0,4,FALSE),GA11),1,0),0)</f>
        <v>1</v>
      </c>
      <c r="GH11" s="108">
        <f t="shared" ref="GH11:GH17" si="52">IFERROR(IF(EXACT(VLOOKUP(FX11,OFERTA_0,5,FALSE),GB11),1,0),0)</f>
        <v>1</v>
      </c>
      <c r="GI11" s="108">
        <f>IFERROR(IF(GC11&lt;=0,0,1),0)</f>
        <v>1</v>
      </c>
      <c r="GJ11" s="108">
        <f>IFERROR(IF(GD11&lt;=0,0,1),0)</f>
        <v>1</v>
      </c>
      <c r="GK11" s="108">
        <f>PRODUCT(GE11:GJ11)</f>
        <v>1</v>
      </c>
      <c r="GL11" s="109">
        <f>ROUND(GD11,0)</f>
        <v>23515545</v>
      </c>
      <c r="GM11" s="110">
        <f>GD11-GL11</f>
        <v>0.34479900449514389</v>
      </c>
      <c r="GO11" s="319">
        <v>1.1000000000000001</v>
      </c>
      <c r="GP11" s="319" t="s">
        <v>178</v>
      </c>
      <c r="GQ11" s="320" t="s">
        <v>252</v>
      </c>
      <c r="GR11" s="321" t="s">
        <v>184</v>
      </c>
      <c r="GS11" s="322">
        <v>1959.6287787332503</v>
      </c>
      <c r="GT11" s="323">
        <v>12000</v>
      </c>
      <c r="GU11" s="324">
        <v>23515545.344799004</v>
      </c>
      <c r="GV11" s="108">
        <f t="shared" ref="GV11:GV17" si="53">IFERROR(IF(EXACT(VLOOKUP(GO11,OFERTA_0,1,FALSE),GO11),1,0),0)</f>
        <v>1</v>
      </c>
      <c r="GW11" s="108">
        <f t="shared" ref="GW11:GW17" si="54">IFERROR(IF(EXACT(VLOOKUP(GO11,OFERTA_0,3,FALSE),GQ11),1,0),0)</f>
        <v>1</v>
      </c>
      <c r="GX11" s="108">
        <f t="shared" ref="GX11:GX17" si="55">IFERROR(IF(EXACT(VLOOKUP(GO11,OFERTA_0,4,FALSE),GR11),1,0),0)</f>
        <v>1</v>
      </c>
      <c r="GY11" s="108">
        <f t="shared" ref="GY11:GY17" si="56">IFERROR(IF(EXACT(VLOOKUP(GO11,OFERTA_0,5,FALSE),GS11),1,0),0)</f>
        <v>1</v>
      </c>
      <c r="GZ11" s="108">
        <f>IFERROR(IF(GT11&lt;=0,0,1),0)</f>
        <v>1</v>
      </c>
      <c r="HA11" s="108">
        <f>IFERROR(IF(GU11&lt;=0,0,1),0)</f>
        <v>1</v>
      </c>
      <c r="HB11" s="108">
        <f>PRODUCT(GV11:HA11)</f>
        <v>1</v>
      </c>
      <c r="HC11" s="109">
        <f>ROUND(GU11,0)</f>
        <v>23515545</v>
      </c>
      <c r="HD11" s="110">
        <f>GU11-HC11</f>
        <v>0.34479900449514389</v>
      </c>
      <c r="HF11" s="319">
        <v>1.1000000000000001</v>
      </c>
      <c r="HG11" s="319" t="s">
        <v>178</v>
      </c>
      <c r="HH11" s="320" t="s">
        <v>252</v>
      </c>
      <c r="HI11" s="321" t="s">
        <v>184</v>
      </c>
      <c r="HJ11" s="322">
        <v>1959.6287787332503</v>
      </c>
      <c r="HK11" s="323">
        <v>14500</v>
      </c>
      <c r="HL11" s="324">
        <f t="shared" ref="HL11:HL16" si="57">HK11*HJ11</f>
        <v>28414617.291632131</v>
      </c>
      <c r="HM11" s="108">
        <f t="shared" ref="HM11:HM17" si="58">IFERROR(IF(EXACT(VLOOKUP(HF11,OFERTA_0,1,FALSE),HF11),1,0),0)</f>
        <v>1</v>
      </c>
      <c r="HN11" s="108">
        <f t="shared" ref="HN11:HN17" si="59">IFERROR(IF(EXACT(VLOOKUP(HF11,OFERTA_0,3,FALSE),HH11),1,0),0)</f>
        <v>1</v>
      </c>
      <c r="HO11" s="108">
        <f t="shared" ref="HO11:HO17" si="60">IFERROR(IF(EXACT(VLOOKUP(HF11,OFERTA_0,4,FALSE),HI11),1,0),0)</f>
        <v>1</v>
      </c>
      <c r="HP11" s="108">
        <f t="shared" ref="HP11:HP17" si="61">IFERROR(IF(EXACT(VLOOKUP(HF11,OFERTA_0,5,FALSE),HJ11),1,0),0)</f>
        <v>1</v>
      </c>
      <c r="HQ11" s="108">
        <f>IFERROR(IF(HK11&lt;=0,0,1),0)</f>
        <v>1</v>
      </c>
      <c r="HR11" s="108">
        <f>IFERROR(IF(HL11&lt;=0,0,1),0)</f>
        <v>1</v>
      </c>
      <c r="HS11" s="108">
        <f>PRODUCT(HM11:HR11)</f>
        <v>1</v>
      </c>
      <c r="HT11" s="109">
        <f>ROUND(HL11,0)</f>
        <v>28414617</v>
      </c>
      <c r="HU11" s="110">
        <f>HL11-HT11</f>
        <v>0.29163213074207306</v>
      </c>
      <c r="HW11" s="319">
        <v>1.1000000000000001</v>
      </c>
      <c r="HX11" s="319" t="s">
        <v>178</v>
      </c>
      <c r="HY11" s="320" t="s">
        <v>252</v>
      </c>
      <c r="HZ11" s="321" t="s">
        <v>184</v>
      </c>
      <c r="IA11" s="322">
        <v>1959.6287787332503</v>
      </c>
      <c r="IB11" s="323">
        <v>18000</v>
      </c>
      <c r="IC11" s="324">
        <f t="shared" ref="IC11:IC16" si="62">IB11*IA11</f>
        <v>35273318.017198503</v>
      </c>
      <c r="ID11" s="108">
        <f t="shared" ref="ID11:ID17" si="63">IFERROR(IF(EXACT(VLOOKUP(HW11,OFERTA_0,1,FALSE),HW11),1,0),0)</f>
        <v>1</v>
      </c>
      <c r="IE11" s="108">
        <f t="shared" ref="IE11:IE17" si="64">IFERROR(IF(EXACT(VLOOKUP(HW11,OFERTA_0,3,FALSE),HY11),1,0),0)</f>
        <v>1</v>
      </c>
      <c r="IF11" s="108">
        <f t="shared" ref="IF11:IF17" si="65">IFERROR(IF(EXACT(VLOOKUP(HW11,OFERTA_0,4,FALSE),HZ11),1,0),0)</f>
        <v>1</v>
      </c>
      <c r="IG11" s="108">
        <f t="shared" ref="IG11:IG17" si="66">IFERROR(IF(EXACT(VLOOKUP(HW11,OFERTA_0,5,FALSE),IA11),1,0),0)</f>
        <v>1</v>
      </c>
      <c r="IH11" s="108">
        <f>IFERROR(IF(IB11&lt;=0,0,1),0)</f>
        <v>1</v>
      </c>
      <c r="II11" s="108">
        <f>IFERROR(IF(IC11&lt;=0,0,1),0)</f>
        <v>1</v>
      </c>
      <c r="IJ11" s="108">
        <f>PRODUCT(ID11:II11)</f>
        <v>1</v>
      </c>
      <c r="IK11" s="109">
        <f>ROUND(IC11,0)</f>
        <v>35273318</v>
      </c>
      <c r="IL11" s="110">
        <f>IC11-IK11</f>
        <v>1.7198503017425537E-2</v>
      </c>
    </row>
    <row r="12" spans="2:246" ht="153.75" customHeight="1" x14ac:dyDescent="0.25">
      <c r="B12" s="319">
        <v>1.2</v>
      </c>
      <c r="C12" s="319" t="s">
        <v>178</v>
      </c>
      <c r="D12" s="320" t="s">
        <v>253</v>
      </c>
      <c r="E12" s="321" t="s">
        <v>184</v>
      </c>
      <c r="F12" s="322">
        <v>1275</v>
      </c>
      <c r="G12" s="323">
        <v>0</v>
      </c>
      <c r="H12" s="324">
        <f t="shared" si="0"/>
        <v>0</v>
      </c>
      <c r="J12" s="319">
        <v>1.2</v>
      </c>
      <c r="K12" s="319" t="s">
        <v>178</v>
      </c>
      <c r="L12" s="320" t="s">
        <v>253</v>
      </c>
      <c r="M12" s="321" t="s">
        <v>184</v>
      </c>
      <c r="N12" s="322">
        <v>1275</v>
      </c>
      <c r="O12" s="323">
        <v>11825</v>
      </c>
      <c r="P12" s="324">
        <v>15076875</v>
      </c>
      <c r="Q12" s="108">
        <f t="shared" si="1"/>
        <v>1</v>
      </c>
      <c r="R12" s="108">
        <f t="shared" si="2"/>
        <v>1</v>
      </c>
      <c r="S12" s="108">
        <f t="shared" si="3"/>
        <v>1</v>
      </c>
      <c r="T12" s="108">
        <f t="shared" si="4"/>
        <v>1</v>
      </c>
      <c r="U12" s="108">
        <f t="shared" ref="U12:U21" si="67">IFERROR(IF(O12&lt;=0,0,1),0)</f>
        <v>1</v>
      </c>
      <c r="V12" s="108">
        <f t="shared" ref="V12:V21" si="68">IFERROR(IF(P12&lt;=0,0,1),0)</f>
        <v>1</v>
      </c>
      <c r="W12" s="108">
        <f t="shared" ref="W12:W21" si="69">PRODUCT(Q12:V12)</f>
        <v>1</v>
      </c>
      <c r="X12" s="109">
        <f t="shared" ref="X12:X21" si="70">ROUND(P12,0)</f>
        <v>15076875</v>
      </c>
      <c r="Y12" s="110">
        <f t="shared" ref="Y12:Y21" si="71">P12-X12</f>
        <v>0</v>
      </c>
      <c r="AA12" s="319">
        <v>1.2</v>
      </c>
      <c r="AB12" s="319" t="s">
        <v>178</v>
      </c>
      <c r="AC12" s="320" t="s">
        <v>253</v>
      </c>
      <c r="AD12" s="321" t="s">
        <v>184</v>
      </c>
      <c r="AE12" s="322">
        <v>1275</v>
      </c>
      <c r="AF12" s="323">
        <v>15000</v>
      </c>
      <c r="AG12" s="324">
        <v>19125000</v>
      </c>
      <c r="AH12" s="108">
        <f t="shared" si="5"/>
        <v>1</v>
      </c>
      <c r="AI12" s="108">
        <f t="shared" si="6"/>
        <v>1</v>
      </c>
      <c r="AJ12" s="108">
        <f t="shared" si="7"/>
        <v>1</v>
      </c>
      <c r="AK12" s="108">
        <f t="shared" si="8"/>
        <v>1</v>
      </c>
      <c r="AL12" s="108">
        <f t="shared" ref="AL12:AL17" si="72">IFERROR(IF(AF12&lt;=0,0,1),0)</f>
        <v>1</v>
      </c>
      <c r="AM12" s="108">
        <f t="shared" ref="AM12:AM17" si="73">IFERROR(IF(AG12&lt;=0,0,1),0)</f>
        <v>1</v>
      </c>
      <c r="AN12" s="108">
        <f t="shared" ref="AN12:AN17" si="74">PRODUCT(AH12:AM12)</f>
        <v>1</v>
      </c>
      <c r="AO12" s="109">
        <f t="shared" ref="AO12:AO17" si="75">ROUND(AG12,0)</f>
        <v>19125000</v>
      </c>
      <c r="AP12" s="110">
        <f t="shared" ref="AP12:AP17" si="76">AG12-AO12</f>
        <v>0</v>
      </c>
      <c r="AR12" s="319">
        <v>1.2</v>
      </c>
      <c r="AS12" s="319" t="s">
        <v>178</v>
      </c>
      <c r="AT12" s="320" t="s">
        <v>253</v>
      </c>
      <c r="AU12" s="321" t="s">
        <v>184</v>
      </c>
      <c r="AV12" s="322">
        <v>1275</v>
      </c>
      <c r="AW12" s="323">
        <v>15520</v>
      </c>
      <c r="AX12" s="324">
        <v>19788000</v>
      </c>
      <c r="AY12" s="108">
        <f t="shared" si="9"/>
        <v>1</v>
      </c>
      <c r="AZ12" s="108">
        <f t="shared" si="10"/>
        <v>1</v>
      </c>
      <c r="BA12" s="108">
        <f t="shared" si="11"/>
        <v>1</v>
      </c>
      <c r="BB12" s="108">
        <f t="shared" si="12"/>
        <v>1</v>
      </c>
      <c r="BC12" s="108">
        <f t="shared" ref="BC12:BC17" si="77">IFERROR(IF(AW12&lt;=0,0,1),0)</f>
        <v>1</v>
      </c>
      <c r="BD12" s="108">
        <f t="shared" ref="BD12:BD17" si="78">IFERROR(IF(AX12&lt;=0,0,1),0)</f>
        <v>1</v>
      </c>
      <c r="BE12" s="108">
        <f t="shared" ref="BE12:BE17" si="79">PRODUCT(AY12:BD12)</f>
        <v>1</v>
      </c>
      <c r="BF12" s="109">
        <f t="shared" ref="BF12:BF17" si="80">ROUND(AX12,0)</f>
        <v>19788000</v>
      </c>
      <c r="BG12" s="110">
        <f t="shared" ref="BG12:BG17" si="81">AX12-BF12</f>
        <v>0</v>
      </c>
      <c r="BI12" s="319">
        <v>1.2</v>
      </c>
      <c r="BJ12" s="319" t="s">
        <v>178</v>
      </c>
      <c r="BK12" s="320" t="s">
        <v>253</v>
      </c>
      <c r="BL12" s="321" t="s">
        <v>184</v>
      </c>
      <c r="BM12" s="322">
        <v>1275</v>
      </c>
      <c r="BN12" s="323">
        <v>11500</v>
      </c>
      <c r="BO12" s="324">
        <f t="shared" si="13"/>
        <v>14662500</v>
      </c>
      <c r="BP12" s="108">
        <f t="shared" si="14"/>
        <v>1</v>
      </c>
      <c r="BQ12" s="108">
        <f t="shared" si="15"/>
        <v>1</v>
      </c>
      <c r="BR12" s="108">
        <f t="shared" si="16"/>
        <v>1</v>
      </c>
      <c r="BS12" s="108">
        <f t="shared" si="17"/>
        <v>1</v>
      </c>
      <c r="BT12" s="108">
        <f t="shared" ref="BT12:BT17" si="82">IFERROR(IF(BN12&lt;=0,0,1),0)</f>
        <v>1</v>
      </c>
      <c r="BU12" s="108">
        <f t="shared" ref="BU12:BU17" si="83">IFERROR(IF(BO12&lt;=0,0,1),0)</f>
        <v>1</v>
      </c>
      <c r="BV12" s="108">
        <f t="shared" ref="BV12:BV17" si="84">PRODUCT(BP12:BU12)</f>
        <v>1</v>
      </c>
      <c r="BW12" s="109">
        <f t="shared" ref="BW12:BW17" si="85">ROUND(BO12,0)</f>
        <v>14662500</v>
      </c>
      <c r="BX12" s="110">
        <f t="shared" ref="BX12:BX17" si="86">BO12-BW12</f>
        <v>0</v>
      </c>
      <c r="BZ12" s="319">
        <v>1.2</v>
      </c>
      <c r="CA12" s="319" t="s">
        <v>178</v>
      </c>
      <c r="CB12" s="320" t="s">
        <v>253</v>
      </c>
      <c r="CC12" s="321" t="s">
        <v>184</v>
      </c>
      <c r="CD12" s="322">
        <v>1275</v>
      </c>
      <c r="CE12" s="323">
        <v>14500</v>
      </c>
      <c r="CF12" s="324">
        <f t="shared" si="18"/>
        <v>18487500</v>
      </c>
      <c r="CG12" s="108">
        <f t="shared" si="19"/>
        <v>1</v>
      </c>
      <c r="CH12" s="108">
        <f t="shared" si="20"/>
        <v>1</v>
      </c>
      <c r="CI12" s="108">
        <f t="shared" si="21"/>
        <v>1</v>
      </c>
      <c r="CJ12" s="108">
        <f t="shared" si="22"/>
        <v>1</v>
      </c>
      <c r="CK12" s="108">
        <f t="shared" ref="CK12:CK17" si="87">IFERROR(IF(CE12&lt;=0,0,1),0)</f>
        <v>1</v>
      </c>
      <c r="CL12" s="108">
        <f t="shared" ref="CL12:CL17" si="88">IFERROR(IF(CF12&lt;=0,0,1),0)</f>
        <v>1</v>
      </c>
      <c r="CM12" s="108">
        <f t="shared" ref="CM12:CM17" si="89">PRODUCT(CG12:CL12)</f>
        <v>1</v>
      </c>
      <c r="CN12" s="109">
        <f t="shared" ref="CN12:CN17" si="90">ROUND(CF12,0)</f>
        <v>18487500</v>
      </c>
      <c r="CO12" s="110">
        <f t="shared" ref="CO12:CO17" si="91">CF12-CN12</f>
        <v>0</v>
      </c>
      <c r="CQ12" s="319">
        <v>1.2</v>
      </c>
      <c r="CR12" s="319" t="s">
        <v>178</v>
      </c>
      <c r="CS12" s="320" t="s">
        <v>253</v>
      </c>
      <c r="CT12" s="321" t="s">
        <v>184</v>
      </c>
      <c r="CU12" s="322">
        <v>1275</v>
      </c>
      <c r="CV12" s="323">
        <v>14700</v>
      </c>
      <c r="CW12" s="324">
        <f t="shared" si="23"/>
        <v>18742500</v>
      </c>
      <c r="CX12" s="108">
        <f t="shared" si="24"/>
        <v>1</v>
      </c>
      <c r="CY12" s="108">
        <f t="shared" si="25"/>
        <v>1</v>
      </c>
      <c r="CZ12" s="108">
        <f t="shared" si="26"/>
        <v>1</v>
      </c>
      <c r="DA12" s="108">
        <f t="shared" si="27"/>
        <v>1</v>
      </c>
      <c r="DB12" s="108">
        <f t="shared" ref="DB12:DB17" si="92">IFERROR(IF(CV12&lt;=0,0,1),0)</f>
        <v>1</v>
      </c>
      <c r="DC12" s="108">
        <f t="shared" ref="DC12:DC17" si="93">IFERROR(IF(CW12&lt;=0,0,1),0)</f>
        <v>1</v>
      </c>
      <c r="DD12" s="108">
        <f t="shared" ref="DD12:DD17" si="94">PRODUCT(CX12:DC12)</f>
        <v>1</v>
      </c>
      <c r="DE12" s="109">
        <f t="shared" ref="DE12:DE17" si="95">ROUND(CW12,0)</f>
        <v>18742500</v>
      </c>
      <c r="DF12" s="110">
        <f t="shared" ref="DF12:DF17" si="96">CW12-DE12</f>
        <v>0</v>
      </c>
      <c r="DH12" s="319">
        <v>1.2</v>
      </c>
      <c r="DI12" s="319" t="s">
        <v>178</v>
      </c>
      <c r="DJ12" s="359" t="s">
        <v>253</v>
      </c>
      <c r="DK12" s="321" t="s">
        <v>184</v>
      </c>
      <c r="DL12" s="322">
        <v>1275</v>
      </c>
      <c r="DM12" s="323">
        <v>15870</v>
      </c>
      <c r="DN12" s="324">
        <f t="shared" si="28"/>
        <v>20234250</v>
      </c>
      <c r="DO12" s="108">
        <f t="shared" si="29"/>
        <v>1</v>
      </c>
      <c r="DP12" s="108">
        <f t="shared" si="30"/>
        <v>1</v>
      </c>
      <c r="DQ12" s="108">
        <f t="shared" si="31"/>
        <v>1</v>
      </c>
      <c r="DR12" s="108">
        <f t="shared" si="32"/>
        <v>1</v>
      </c>
      <c r="DS12" s="108">
        <f t="shared" ref="DS12:DS17" si="97">IFERROR(IF(DM12&lt;=0,0,1),0)</f>
        <v>1</v>
      </c>
      <c r="DT12" s="108">
        <f t="shared" ref="DT12:DT17" si="98">IFERROR(IF(DN12&lt;=0,0,1),0)</f>
        <v>1</v>
      </c>
      <c r="DU12" s="108">
        <f t="shared" ref="DU12:DU17" si="99">PRODUCT(DO12:DT12)</f>
        <v>1</v>
      </c>
      <c r="DV12" s="109">
        <f t="shared" ref="DV12:DV17" si="100">ROUND(DN12,0)</f>
        <v>20234250</v>
      </c>
      <c r="DW12" s="110">
        <f t="shared" ref="DW12:DW17" si="101">DN12-DV12</f>
        <v>0</v>
      </c>
      <c r="DY12" s="319">
        <v>1.2</v>
      </c>
      <c r="DZ12" s="319" t="s">
        <v>178</v>
      </c>
      <c r="EA12" s="359" t="s">
        <v>253</v>
      </c>
      <c r="EB12" s="321" t="s">
        <v>184</v>
      </c>
      <c r="EC12" s="322">
        <v>1275</v>
      </c>
      <c r="ED12" s="323">
        <v>17000</v>
      </c>
      <c r="EE12" s="324">
        <f t="shared" si="33"/>
        <v>21675000</v>
      </c>
      <c r="EF12" s="108">
        <f t="shared" si="34"/>
        <v>1</v>
      </c>
      <c r="EG12" s="108">
        <f t="shared" si="35"/>
        <v>1</v>
      </c>
      <c r="EH12" s="108">
        <f t="shared" si="36"/>
        <v>1</v>
      </c>
      <c r="EI12" s="108">
        <f t="shared" si="37"/>
        <v>1</v>
      </c>
      <c r="EJ12" s="108">
        <f t="shared" ref="EJ12:EJ17" si="102">IFERROR(IF(ED12&lt;=0,0,1),0)</f>
        <v>1</v>
      </c>
      <c r="EK12" s="108">
        <f t="shared" ref="EK12:EK17" si="103">IFERROR(IF(EE12&lt;=0,0,1),0)</f>
        <v>1</v>
      </c>
      <c r="EL12" s="108">
        <f t="shared" ref="EL12:EL17" si="104">PRODUCT(EF12:EK12)</f>
        <v>1</v>
      </c>
      <c r="EM12" s="109">
        <f t="shared" ref="EM12:EM17" si="105">ROUND(EE12,0)</f>
        <v>21675000</v>
      </c>
      <c r="EN12" s="110">
        <f t="shared" ref="EN12:EN17" si="106">EE12-EM12</f>
        <v>0</v>
      </c>
      <c r="EP12" s="319">
        <v>1.2</v>
      </c>
      <c r="EQ12" s="319" t="s">
        <v>178</v>
      </c>
      <c r="ER12" s="320" t="s">
        <v>253</v>
      </c>
      <c r="ES12" s="321" t="s">
        <v>184</v>
      </c>
      <c r="ET12" s="322">
        <v>1275</v>
      </c>
      <c r="EU12" s="323">
        <v>14000</v>
      </c>
      <c r="EV12" s="324">
        <f t="shared" si="38"/>
        <v>17850000</v>
      </c>
      <c r="EW12" s="108">
        <f t="shared" si="39"/>
        <v>1</v>
      </c>
      <c r="EX12" s="108">
        <f t="shared" si="40"/>
        <v>1</v>
      </c>
      <c r="EY12" s="108">
        <f t="shared" si="41"/>
        <v>1</v>
      </c>
      <c r="EZ12" s="108">
        <f t="shared" si="42"/>
        <v>1</v>
      </c>
      <c r="FA12" s="108">
        <f t="shared" ref="FA12:FA17" si="107">IFERROR(IF(EU12&lt;=0,0,1),0)</f>
        <v>1</v>
      </c>
      <c r="FB12" s="108">
        <f t="shared" ref="FB12:FB17" si="108">IFERROR(IF(EV12&lt;=0,0,1),0)</f>
        <v>1</v>
      </c>
      <c r="FC12" s="108">
        <f t="shared" ref="FC12:FC17" si="109">PRODUCT(EW12:FB12)</f>
        <v>1</v>
      </c>
      <c r="FD12" s="109">
        <f t="shared" ref="FD12:FD17" si="110">ROUND(EV12,0)</f>
        <v>17850000</v>
      </c>
      <c r="FE12" s="110">
        <f t="shared" ref="FE12:FE17" si="111">EV12-FD12</f>
        <v>0</v>
      </c>
      <c r="FG12" s="319">
        <v>1.2</v>
      </c>
      <c r="FH12" s="319" t="s">
        <v>178</v>
      </c>
      <c r="FI12" s="359" t="s">
        <v>253</v>
      </c>
      <c r="FJ12" s="321" t="s">
        <v>184</v>
      </c>
      <c r="FK12" s="322">
        <v>1275</v>
      </c>
      <c r="FL12" s="323">
        <v>15870</v>
      </c>
      <c r="FM12" s="324">
        <f t="shared" si="43"/>
        <v>20234250</v>
      </c>
      <c r="FN12" s="108">
        <f t="shared" si="44"/>
        <v>1</v>
      </c>
      <c r="FO12" s="108">
        <f t="shared" si="45"/>
        <v>1</v>
      </c>
      <c r="FP12" s="108">
        <f t="shared" si="46"/>
        <v>1</v>
      </c>
      <c r="FQ12" s="108">
        <f t="shared" si="47"/>
        <v>1</v>
      </c>
      <c r="FR12" s="108">
        <f t="shared" ref="FR12:FR17" si="112">IFERROR(IF(FL12&lt;=0,0,1),0)</f>
        <v>1</v>
      </c>
      <c r="FS12" s="108">
        <f t="shared" ref="FS12:FS17" si="113">IFERROR(IF(FM12&lt;=0,0,1),0)</f>
        <v>1</v>
      </c>
      <c r="FT12" s="108">
        <f t="shared" ref="FT12:FT17" si="114">PRODUCT(FN12:FS12)</f>
        <v>1</v>
      </c>
      <c r="FU12" s="109">
        <f t="shared" ref="FU12:FU17" si="115">ROUND(FM12,0)</f>
        <v>20234250</v>
      </c>
      <c r="FV12" s="110">
        <f t="shared" ref="FV12:FV17" si="116">FM12-FU12</f>
        <v>0</v>
      </c>
      <c r="FX12" s="319">
        <v>1.2</v>
      </c>
      <c r="FY12" s="319" t="s">
        <v>178</v>
      </c>
      <c r="FZ12" s="320" t="s">
        <v>253</v>
      </c>
      <c r="GA12" s="321" t="s">
        <v>184</v>
      </c>
      <c r="GB12" s="322">
        <v>1275</v>
      </c>
      <c r="GC12" s="323">
        <v>12000</v>
      </c>
      <c r="GD12" s="324">
        <f t="shared" si="48"/>
        <v>15300000</v>
      </c>
      <c r="GE12" s="108">
        <f t="shared" si="49"/>
        <v>1</v>
      </c>
      <c r="GF12" s="108">
        <f t="shared" si="50"/>
        <v>1</v>
      </c>
      <c r="GG12" s="108">
        <f t="shared" si="51"/>
        <v>1</v>
      </c>
      <c r="GH12" s="108">
        <f t="shared" si="52"/>
        <v>1</v>
      </c>
      <c r="GI12" s="108">
        <f t="shared" ref="GI12:GI17" si="117">IFERROR(IF(GC12&lt;=0,0,1),0)</f>
        <v>1</v>
      </c>
      <c r="GJ12" s="108">
        <f t="shared" ref="GJ12:GJ17" si="118">IFERROR(IF(GD12&lt;=0,0,1),0)</f>
        <v>1</v>
      </c>
      <c r="GK12" s="108">
        <f t="shared" ref="GK12:GK17" si="119">PRODUCT(GE12:GJ12)</f>
        <v>1</v>
      </c>
      <c r="GL12" s="109">
        <f t="shared" ref="GL12:GL17" si="120">ROUND(GD12,0)</f>
        <v>15300000</v>
      </c>
      <c r="GM12" s="110">
        <f t="shared" ref="GM12:GM17" si="121">GD12-GL12</f>
        <v>0</v>
      </c>
      <c r="GO12" s="319">
        <v>1.2</v>
      </c>
      <c r="GP12" s="319" t="s">
        <v>178</v>
      </c>
      <c r="GQ12" s="320" t="s">
        <v>253</v>
      </c>
      <c r="GR12" s="321" t="s">
        <v>184</v>
      </c>
      <c r="GS12" s="322">
        <v>1275</v>
      </c>
      <c r="GT12" s="323">
        <v>16000</v>
      </c>
      <c r="GU12" s="324">
        <v>20400000</v>
      </c>
      <c r="GV12" s="108">
        <f t="shared" si="53"/>
        <v>1</v>
      </c>
      <c r="GW12" s="108">
        <f t="shared" si="54"/>
        <v>1</v>
      </c>
      <c r="GX12" s="108">
        <f t="shared" si="55"/>
        <v>1</v>
      </c>
      <c r="GY12" s="108">
        <f t="shared" si="56"/>
        <v>1</v>
      </c>
      <c r="GZ12" s="108">
        <f t="shared" ref="GZ12:GZ17" si="122">IFERROR(IF(GT12&lt;=0,0,1),0)</f>
        <v>1</v>
      </c>
      <c r="HA12" s="108">
        <f t="shared" ref="HA12:HA17" si="123">IFERROR(IF(GU12&lt;=0,0,1),0)</f>
        <v>1</v>
      </c>
      <c r="HB12" s="108">
        <f t="shared" ref="HB12:HB17" si="124">PRODUCT(GV12:HA12)</f>
        <v>1</v>
      </c>
      <c r="HC12" s="109">
        <f t="shared" ref="HC12:HC17" si="125">ROUND(GU12,0)</f>
        <v>20400000</v>
      </c>
      <c r="HD12" s="110">
        <f t="shared" ref="HD12:HD17" si="126">GU12-HC12</f>
        <v>0</v>
      </c>
      <c r="HF12" s="319">
        <v>1.2</v>
      </c>
      <c r="HG12" s="319" t="s">
        <v>178</v>
      </c>
      <c r="HH12" s="320" t="s">
        <v>253</v>
      </c>
      <c r="HI12" s="321" t="s">
        <v>184</v>
      </c>
      <c r="HJ12" s="322">
        <v>1275</v>
      </c>
      <c r="HK12" s="323">
        <v>14500</v>
      </c>
      <c r="HL12" s="324">
        <f t="shared" si="57"/>
        <v>18487500</v>
      </c>
      <c r="HM12" s="108">
        <f t="shared" si="58"/>
        <v>1</v>
      </c>
      <c r="HN12" s="108">
        <f t="shared" si="59"/>
        <v>1</v>
      </c>
      <c r="HO12" s="108">
        <f t="shared" si="60"/>
        <v>1</v>
      </c>
      <c r="HP12" s="108">
        <f t="shared" si="61"/>
        <v>1</v>
      </c>
      <c r="HQ12" s="108">
        <f t="shared" ref="HQ12:HQ17" si="127">IFERROR(IF(HK12&lt;=0,0,1),0)</f>
        <v>1</v>
      </c>
      <c r="HR12" s="108">
        <f t="shared" ref="HR12:HR17" si="128">IFERROR(IF(HL12&lt;=0,0,1),0)</f>
        <v>1</v>
      </c>
      <c r="HS12" s="108">
        <f t="shared" ref="HS12:HS17" si="129">PRODUCT(HM12:HR12)</f>
        <v>1</v>
      </c>
      <c r="HT12" s="109">
        <f t="shared" ref="HT12:HT17" si="130">ROUND(HL12,0)</f>
        <v>18487500</v>
      </c>
      <c r="HU12" s="110">
        <f t="shared" ref="HU12:HU17" si="131">HL12-HT12</f>
        <v>0</v>
      </c>
      <c r="HW12" s="319">
        <v>1.2</v>
      </c>
      <c r="HX12" s="319" t="s">
        <v>178</v>
      </c>
      <c r="HY12" s="320" t="s">
        <v>253</v>
      </c>
      <c r="HZ12" s="321" t="s">
        <v>184</v>
      </c>
      <c r="IA12" s="322">
        <v>1275</v>
      </c>
      <c r="IB12" s="323">
        <v>20000</v>
      </c>
      <c r="IC12" s="324">
        <f t="shared" si="62"/>
        <v>25500000</v>
      </c>
      <c r="ID12" s="108">
        <f t="shared" si="63"/>
        <v>1</v>
      </c>
      <c r="IE12" s="108">
        <f t="shared" si="64"/>
        <v>1</v>
      </c>
      <c r="IF12" s="108">
        <f t="shared" si="65"/>
        <v>1</v>
      </c>
      <c r="IG12" s="108">
        <f t="shared" si="66"/>
        <v>1</v>
      </c>
      <c r="IH12" s="108">
        <f t="shared" ref="IH12:IH17" si="132">IFERROR(IF(IB12&lt;=0,0,1),0)</f>
        <v>1</v>
      </c>
      <c r="II12" s="108">
        <f t="shared" ref="II12:II17" si="133">IFERROR(IF(IC12&lt;=0,0,1),0)</f>
        <v>1</v>
      </c>
      <c r="IJ12" s="108">
        <f t="shared" ref="IJ12:IJ17" si="134">PRODUCT(ID12:II12)</f>
        <v>1</v>
      </c>
      <c r="IK12" s="109">
        <f t="shared" ref="IK12:IK17" si="135">ROUND(IC12,0)</f>
        <v>25500000</v>
      </c>
      <c r="IL12" s="110">
        <f t="shared" ref="IL12:IL17" si="136">IC12-IK12</f>
        <v>0</v>
      </c>
    </row>
    <row r="13" spans="2:246" ht="119.25" customHeight="1" x14ac:dyDescent="0.25">
      <c r="B13" s="319">
        <v>1.3</v>
      </c>
      <c r="C13" s="319" t="s">
        <v>178</v>
      </c>
      <c r="D13" s="320" t="s">
        <v>254</v>
      </c>
      <c r="E13" s="321" t="s">
        <v>184</v>
      </c>
      <c r="F13" s="322">
        <v>850</v>
      </c>
      <c r="G13" s="323">
        <v>0</v>
      </c>
      <c r="H13" s="324">
        <f t="shared" si="0"/>
        <v>0</v>
      </c>
      <c r="J13" s="319">
        <v>1.3</v>
      </c>
      <c r="K13" s="319" t="s">
        <v>178</v>
      </c>
      <c r="L13" s="320" t="s">
        <v>254</v>
      </c>
      <c r="M13" s="321" t="s">
        <v>184</v>
      </c>
      <c r="N13" s="322">
        <v>850</v>
      </c>
      <c r="O13" s="323">
        <v>13212</v>
      </c>
      <c r="P13" s="324">
        <v>11230200</v>
      </c>
      <c r="Q13" s="108">
        <f t="shared" si="1"/>
        <v>1</v>
      </c>
      <c r="R13" s="108">
        <f t="shared" si="2"/>
        <v>1</v>
      </c>
      <c r="S13" s="108">
        <f t="shared" si="3"/>
        <v>1</v>
      </c>
      <c r="T13" s="108">
        <f t="shared" si="4"/>
        <v>1</v>
      </c>
      <c r="U13" s="108">
        <f t="shared" si="67"/>
        <v>1</v>
      </c>
      <c r="V13" s="108">
        <f t="shared" si="68"/>
        <v>1</v>
      </c>
      <c r="W13" s="108">
        <f t="shared" si="69"/>
        <v>1</v>
      </c>
      <c r="X13" s="109">
        <f t="shared" si="70"/>
        <v>11230200</v>
      </c>
      <c r="Y13" s="110">
        <f t="shared" si="71"/>
        <v>0</v>
      </c>
      <c r="AA13" s="319">
        <v>1.3</v>
      </c>
      <c r="AB13" s="319" t="s">
        <v>178</v>
      </c>
      <c r="AC13" s="320" t="s">
        <v>254</v>
      </c>
      <c r="AD13" s="321" t="s">
        <v>184</v>
      </c>
      <c r="AE13" s="322">
        <v>850</v>
      </c>
      <c r="AF13" s="323">
        <v>16100</v>
      </c>
      <c r="AG13" s="324">
        <v>13685000</v>
      </c>
      <c r="AH13" s="108">
        <f t="shared" si="5"/>
        <v>1</v>
      </c>
      <c r="AI13" s="108">
        <f t="shared" si="6"/>
        <v>1</v>
      </c>
      <c r="AJ13" s="108">
        <f t="shared" si="7"/>
        <v>1</v>
      </c>
      <c r="AK13" s="108">
        <f t="shared" si="8"/>
        <v>1</v>
      </c>
      <c r="AL13" s="108">
        <f t="shared" si="72"/>
        <v>1</v>
      </c>
      <c r="AM13" s="108">
        <f t="shared" si="73"/>
        <v>1</v>
      </c>
      <c r="AN13" s="108">
        <f t="shared" si="74"/>
        <v>1</v>
      </c>
      <c r="AO13" s="109">
        <f t="shared" si="75"/>
        <v>13685000</v>
      </c>
      <c r="AP13" s="110">
        <f t="shared" si="76"/>
        <v>0</v>
      </c>
      <c r="AR13" s="319">
        <v>1.3</v>
      </c>
      <c r="AS13" s="319" t="s">
        <v>178</v>
      </c>
      <c r="AT13" s="320" t="s">
        <v>254</v>
      </c>
      <c r="AU13" s="321" t="s">
        <v>184</v>
      </c>
      <c r="AV13" s="322">
        <v>850</v>
      </c>
      <c r="AW13" s="323">
        <v>14550</v>
      </c>
      <c r="AX13" s="324">
        <v>12367500</v>
      </c>
      <c r="AY13" s="108">
        <f t="shared" si="9"/>
        <v>1</v>
      </c>
      <c r="AZ13" s="108">
        <f t="shared" si="10"/>
        <v>1</v>
      </c>
      <c r="BA13" s="108">
        <f t="shared" si="11"/>
        <v>1</v>
      </c>
      <c r="BB13" s="108">
        <f t="shared" si="12"/>
        <v>1</v>
      </c>
      <c r="BC13" s="108">
        <f t="shared" si="77"/>
        <v>1</v>
      </c>
      <c r="BD13" s="108">
        <f t="shared" si="78"/>
        <v>1</v>
      </c>
      <c r="BE13" s="108">
        <f t="shared" si="79"/>
        <v>1</v>
      </c>
      <c r="BF13" s="109">
        <f t="shared" si="80"/>
        <v>12367500</v>
      </c>
      <c r="BG13" s="110">
        <f t="shared" si="81"/>
        <v>0</v>
      </c>
      <c r="BI13" s="319">
        <v>1.3</v>
      </c>
      <c r="BJ13" s="319" t="s">
        <v>178</v>
      </c>
      <c r="BK13" s="320" t="s">
        <v>254</v>
      </c>
      <c r="BL13" s="321" t="s">
        <v>184</v>
      </c>
      <c r="BM13" s="322">
        <v>850</v>
      </c>
      <c r="BN13" s="323">
        <v>11500</v>
      </c>
      <c r="BO13" s="324">
        <f t="shared" si="13"/>
        <v>9775000</v>
      </c>
      <c r="BP13" s="108">
        <f t="shared" si="14"/>
        <v>1</v>
      </c>
      <c r="BQ13" s="108">
        <f t="shared" si="15"/>
        <v>1</v>
      </c>
      <c r="BR13" s="108">
        <f t="shared" si="16"/>
        <v>1</v>
      </c>
      <c r="BS13" s="108">
        <f t="shared" si="17"/>
        <v>1</v>
      </c>
      <c r="BT13" s="108">
        <f t="shared" si="82"/>
        <v>1</v>
      </c>
      <c r="BU13" s="108">
        <f t="shared" si="83"/>
        <v>1</v>
      </c>
      <c r="BV13" s="108">
        <f t="shared" si="84"/>
        <v>1</v>
      </c>
      <c r="BW13" s="109">
        <f t="shared" si="85"/>
        <v>9775000</v>
      </c>
      <c r="BX13" s="110">
        <f t="shared" si="86"/>
        <v>0</v>
      </c>
      <c r="BZ13" s="319">
        <v>1.3</v>
      </c>
      <c r="CA13" s="319" t="s">
        <v>178</v>
      </c>
      <c r="CB13" s="320" t="s">
        <v>254</v>
      </c>
      <c r="CC13" s="321" t="s">
        <v>184</v>
      </c>
      <c r="CD13" s="322">
        <v>850</v>
      </c>
      <c r="CE13" s="323">
        <v>12500</v>
      </c>
      <c r="CF13" s="324">
        <f t="shared" si="18"/>
        <v>10625000</v>
      </c>
      <c r="CG13" s="108">
        <f t="shared" si="19"/>
        <v>1</v>
      </c>
      <c r="CH13" s="108">
        <f t="shared" si="20"/>
        <v>1</v>
      </c>
      <c r="CI13" s="108">
        <f t="shared" si="21"/>
        <v>1</v>
      </c>
      <c r="CJ13" s="108">
        <f t="shared" si="22"/>
        <v>1</v>
      </c>
      <c r="CK13" s="108">
        <f t="shared" si="87"/>
        <v>1</v>
      </c>
      <c r="CL13" s="108">
        <f t="shared" si="88"/>
        <v>1</v>
      </c>
      <c r="CM13" s="108">
        <f t="shared" si="89"/>
        <v>1</v>
      </c>
      <c r="CN13" s="109">
        <f t="shared" si="90"/>
        <v>10625000</v>
      </c>
      <c r="CO13" s="110">
        <f t="shared" si="91"/>
        <v>0</v>
      </c>
      <c r="CQ13" s="319">
        <v>1.3</v>
      </c>
      <c r="CR13" s="319" t="s">
        <v>178</v>
      </c>
      <c r="CS13" s="320" t="s">
        <v>254</v>
      </c>
      <c r="CT13" s="321" t="s">
        <v>184</v>
      </c>
      <c r="CU13" s="322">
        <v>850</v>
      </c>
      <c r="CV13" s="323">
        <v>14500</v>
      </c>
      <c r="CW13" s="324">
        <f t="shared" si="23"/>
        <v>12325000</v>
      </c>
      <c r="CX13" s="108">
        <f t="shared" si="24"/>
        <v>1</v>
      </c>
      <c r="CY13" s="108">
        <f t="shared" si="25"/>
        <v>1</v>
      </c>
      <c r="CZ13" s="108">
        <f t="shared" si="26"/>
        <v>1</v>
      </c>
      <c r="DA13" s="108">
        <f t="shared" si="27"/>
        <v>1</v>
      </c>
      <c r="DB13" s="108">
        <f t="shared" si="92"/>
        <v>1</v>
      </c>
      <c r="DC13" s="108">
        <f t="shared" si="93"/>
        <v>1</v>
      </c>
      <c r="DD13" s="108">
        <f t="shared" si="94"/>
        <v>1</v>
      </c>
      <c r="DE13" s="109">
        <f t="shared" si="95"/>
        <v>12325000</v>
      </c>
      <c r="DF13" s="110">
        <f t="shared" si="96"/>
        <v>0</v>
      </c>
      <c r="DH13" s="319">
        <v>1.3</v>
      </c>
      <c r="DI13" s="319" t="s">
        <v>178</v>
      </c>
      <c r="DJ13" s="359" t="s">
        <v>254</v>
      </c>
      <c r="DK13" s="321" t="s">
        <v>184</v>
      </c>
      <c r="DL13" s="322">
        <v>850</v>
      </c>
      <c r="DM13" s="323">
        <v>16032</v>
      </c>
      <c r="DN13" s="324">
        <f t="shared" si="28"/>
        <v>13627200</v>
      </c>
      <c r="DO13" s="108">
        <f t="shared" si="29"/>
        <v>1</v>
      </c>
      <c r="DP13" s="108">
        <f t="shared" si="30"/>
        <v>1</v>
      </c>
      <c r="DQ13" s="108">
        <f t="shared" si="31"/>
        <v>1</v>
      </c>
      <c r="DR13" s="108">
        <f t="shared" si="32"/>
        <v>1</v>
      </c>
      <c r="DS13" s="108">
        <f t="shared" si="97"/>
        <v>1</v>
      </c>
      <c r="DT13" s="108">
        <f t="shared" si="98"/>
        <v>1</v>
      </c>
      <c r="DU13" s="108">
        <f t="shared" si="99"/>
        <v>1</v>
      </c>
      <c r="DV13" s="109">
        <f t="shared" si="100"/>
        <v>13627200</v>
      </c>
      <c r="DW13" s="110">
        <f t="shared" si="101"/>
        <v>0</v>
      </c>
      <c r="DY13" s="319">
        <v>1.3</v>
      </c>
      <c r="DZ13" s="319" t="s">
        <v>178</v>
      </c>
      <c r="EA13" s="359" t="s">
        <v>254</v>
      </c>
      <c r="EB13" s="321" t="s">
        <v>184</v>
      </c>
      <c r="EC13" s="322">
        <v>850</v>
      </c>
      <c r="ED13" s="323">
        <v>17500</v>
      </c>
      <c r="EE13" s="324">
        <f t="shared" si="33"/>
        <v>14875000</v>
      </c>
      <c r="EF13" s="108">
        <f t="shared" si="34"/>
        <v>1</v>
      </c>
      <c r="EG13" s="108">
        <f t="shared" si="35"/>
        <v>1</v>
      </c>
      <c r="EH13" s="108">
        <f t="shared" si="36"/>
        <v>1</v>
      </c>
      <c r="EI13" s="108">
        <f t="shared" si="37"/>
        <v>1</v>
      </c>
      <c r="EJ13" s="108">
        <f t="shared" si="102"/>
        <v>1</v>
      </c>
      <c r="EK13" s="108">
        <f t="shared" si="103"/>
        <v>1</v>
      </c>
      <c r="EL13" s="108">
        <f t="shared" si="104"/>
        <v>1</v>
      </c>
      <c r="EM13" s="109">
        <f t="shared" si="105"/>
        <v>14875000</v>
      </c>
      <c r="EN13" s="110">
        <f t="shared" si="106"/>
        <v>0</v>
      </c>
      <c r="EP13" s="319">
        <v>1.3</v>
      </c>
      <c r="EQ13" s="319" t="s">
        <v>178</v>
      </c>
      <c r="ER13" s="320" t="s">
        <v>254</v>
      </c>
      <c r="ES13" s="321" t="s">
        <v>184</v>
      </c>
      <c r="ET13" s="322">
        <v>850</v>
      </c>
      <c r="EU13" s="323">
        <v>11000</v>
      </c>
      <c r="EV13" s="324">
        <f t="shared" si="38"/>
        <v>9350000</v>
      </c>
      <c r="EW13" s="108">
        <f t="shared" si="39"/>
        <v>1</v>
      </c>
      <c r="EX13" s="108">
        <f t="shared" si="40"/>
        <v>1</v>
      </c>
      <c r="EY13" s="108">
        <f t="shared" si="41"/>
        <v>1</v>
      </c>
      <c r="EZ13" s="108">
        <f t="shared" si="42"/>
        <v>1</v>
      </c>
      <c r="FA13" s="108">
        <f t="shared" si="107"/>
        <v>1</v>
      </c>
      <c r="FB13" s="108">
        <f t="shared" si="108"/>
        <v>1</v>
      </c>
      <c r="FC13" s="108">
        <f t="shared" si="109"/>
        <v>1</v>
      </c>
      <c r="FD13" s="109">
        <f t="shared" si="110"/>
        <v>9350000</v>
      </c>
      <c r="FE13" s="110">
        <f t="shared" si="111"/>
        <v>0</v>
      </c>
      <c r="FG13" s="319">
        <v>1.3</v>
      </c>
      <c r="FH13" s="319" t="s">
        <v>178</v>
      </c>
      <c r="FI13" s="359" t="s">
        <v>254</v>
      </c>
      <c r="FJ13" s="321" t="s">
        <v>184</v>
      </c>
      <c r="FK13" s="322">
        <v>850</v>
      </c>
      <c r="FL13" s="323">
        <v>16052</v>
      </c>
      <c r="FM13" s="324">
        <f t="shared" si="43"/>
        <v>13644200</v>
      </c>
      <c r="FN13" s="108">
        <f t="shared" si="44"/>
        <v>1</v>
      </c>
      <c r="FO13" s="108">
        <f t="shared" si="45"/>
        <v>1</v>
      </c>
      <c r="FP13" s="108">
        <f t="shared" si="46"/>
        <v>1</v>
      </c>
      <c r="FQ13" s="108">
        <f t="shared" si="47"/>
        <v>1</v>
      </c>
      <c r="FR13" s="108">
        <f t="shared" si="112"/>
        <v>1</v>
      </c>
      <c r="FS13" s="108">
        <f t="shared" si="113"/>
        <v>1</v>
      </c>
      <c r="FT13" s="108">
        <f t="shared" si="114"/>
        <v>1</v>
      </c>
      <c r="FU13" s="109">
        <f t="shared" si="115"/>
        <v>13644200</v>
      </c>
      <c r="FV13" s="110">
        <f t="shared" si="116"/>
        <v>0</v>
      </c>
      <c r="FX13" s="319">
        <v>1.3</v>
      </c>
      <c r="FY13" s="319" t="s">
        <v>178</v>
      </c>
      <c r="FZ13" s="320" t="s">
        <v>254</v>
      </c>
      <c r="GA13" s="321" t="s">
        <v>184</v>
      </c>
      <c r="GB13" s="322">
        <v>850</v>
      </c>
      <c r="GC13" s="323">
        <v>12000</v>
      </c>
      <c r="GD13" s="324">
        <f t="shared" si="48"/>
        <v>10200000</v>
      </c>
      <c r="GE13" s="108">
        <f t="shared" si="49"/>
        <v>1</v>
      </c>
      <c r="GF13" s="108">
        <f t="shared" si="50"/>
        <v>1</v>
      </c>
      <c r="GG13" s="108">
        <f t="shared" si="51"/>
        <v>1</v>
      </c>
      <c r="GH13" s="108">
        <f t="shared" si="52"/>
        <v>1</v>
      </c>
      <c r="GI13" s="108">
        <f t="shared" si="117"/>
        <v>1</v>
      </c>
      <c r="GJ13" s="108">
        <f t="shared" si="118"/>
        <v>1</v>
      </c>
      <c r="GK13" s="108">
        <f t="shared" si="119"/>
        <v>1</v>
      </c>
      <c r="GL13" s="109">
        <f t="shared" si="120"/>
        <v>10200000</v>
      </c>
      <c r="GM13" s="110">
        <f t="shared" si="121"/>
        <v>0</v>
      </c>
      <c r="GO13" s="319">
        <v>1.3</v>
      </c>
      <c r="GP13" s="319" t="s">
        <v>178</v>
      </c>
      <c r="GQ13" s="320" t="s">
        <v>254</v>
      </c>
      <c r="GR13" s="321" t="s">
        <v>184</v>
      </c>
      <c r="GS13" s="322">
        <v>850</v>
      </c>
      <c r="GT13" s="323">
        <v>12000</v>
      </c>
      <c r="GU13" s="324">
        <v>10200000</v>
      </c>
      <c r="GV13" s="108">
        <f t="shared" si="53"/>
        <v>1</v>
      </c>
      <c r="GW13" s="108">
        <f t="shared" si="54"/>
        <v>1</v>
      </c>
      <c r="GX13" s="108">
        <f t="shared" si="55"/>
        <v>1</v>
      </c>
      <c r="GY13" s="108">
        <f t="shared" si="56"/>
        <v>1</v>
      </c>
      <c r="GZ13" s="108">
        <f t="shared" si="122"/>
        <v>1</v>
      </c>
      <c r="HA13" s="108">
        <f t="shared" si="123"/>
        <v>1</v>
      </c>
      <c r="HB13" s="108">
        <f t="shared" si="124"/>
        <v>1</v>
      </c>
      <c r="HC13" s="109">
        <f t="shared" si="125"/>
        <v>10200000</v>
      </c>
      <c r="HD13" s="110">
        <f t="shared" si="126"/>
        <v>0</v>
      </c>
      <c r="HF13" s="319">
        <v>1.3</v>
      </c>
      <c r="HG13" s="319" t="s">
        <v>178</v>
      </c>
      <c r="HH13" s="320" t="s">
        <v>254</v>
      </c>
      <c r="HI13" s="321" t="s">
        <v>184</v>
      </c>
      <c r="HJ13" s="322">
        <v>850</v>
      </c>
      <c r="HK13" s="323">
        <v>14500</v>
      </c>
      <c r="HL13" s="324">
        <f t="shared" si="57"/>
        <v>12325000</v>
      </c>
      <c r="HM13" s="108">
        <f t="shared" si="58"/>
        <v>1</v>
      </c>
      <c r="HN13" s="108">
        <f t="shared" si="59"/>
        <v>1</v>
      </c>
      <c r="HO13" s="108">
        <f t="shared" si="60"/>
        <v>1</v>
      </c>
      <c r="HP13" s="108">
        <f t="shared" si="61"/>
        <v>1</v>
      </c>
      <c r="HQ13" s="108">
        <f t="shared" si="127"/>
        <v>1</v>
      </c>
      <c r="HR13" s="108">
        <f t="shared" si="128"/>
        <v>1</v>
      </c>
      <c r="HS13" s="108">
        <f t="shared" si="129"/>
        <v>1</v>
      </c>
      <c r="HT13" s="109">
        <f t="shared" si="130"/>
        <v>12325000</v>
      </c>
      <c r="HU13" s="110">
        <f t="shared" si="131"/>
        <v>0</v>
      </c>
      <c r="HW13" s="319">
        <v>1.3</v>
      </c>
      <c r="HX13" s="319" t="s">
        <v>178</v>
      </c>
      <c r="HY13" s="320" t="s">
        <v>254</v>
      </c>
      <c r="HZ13" s="321" t="s">
        <v>184</v>
      </c>
      <c r="IA13" s="322">
        <v>850</v>
      </c>
      <c r="IB13" s="323">
        <v>18000</v>
      </c>
      <c r="IC13" s="324">
        <f t="shared" si="62"/>
        <v>15300000</v>
      </c>
      <c r="ID13" s="108">
        <f t="shared" si="63"/>
        <v>1</v>
      </c>
      <c r="IE13" s="108">
        <f t="shared" si="64"/>
        <v>1</v>
      </c>
      <c r="IF13" s="108">
        <f t="shared" si="65"/>
        <v>1</v>
      </c>
      <c r="IG13" s="108">
        <f t="shared" si="66"/>
        <v>1</v>
      </c>
      <c r="IH13" s="108">
        <f t="shared" si="132"/>
        <v>1</v>
      </c>
      <c r="II13" s="108">
        <f t="shared" si="133"/>
        <v>1</v>
      </c>
      <c r="IJ13" s="108">
        <f t="shared" si="134"/>
        <v>1</v>
      </c>
      <c r="IK13" s="109">
        <f t="shared" si="135"/>
        <v>15300000</v>
      </c>
      <c r="IL13" s="110">
        <f t="shared" si="136"/>
        <v>0</v>
      </c>
    </row>
    <row r="14" spans="2:246" ht="114" customHeight="1" x14ac:dyDescent="0.25">
      <c r="B14" s="319">
        <v>1.4</v>
      </c>
      <c r="C14" s="319" t="s">
        <v>180</v>
      </c>
      <c r="D14" s="320" t="s">
        <v>255</v>
      </c>
      <c r="E14" s="321" t="s">
        <v>184</v>
      </c>
      <c r="F14" s="325">
        <v>85</v>
      </c>
      <c r="G14" s="323">
        <v>0</v>
      </c>
      <c r="H14" s="324">
        <f t="shared" si="0"/>
        <v>0</v>
      </c>
      <c r="J14" s="319">
        <v>1.4</v>
      </c>
      <c r="K14" s="319" t="s">
        <v>180</v>
      </c>
      <c r="L14" s="320" t="s">
        <v>255</v>
      </c>
      <c r="M14" s="321" t="s">
        <v>184</v>
      </c>
      <c r="N14" s="325">
        <v>85</v>
      </c>
      <c r="O14" s="323">
        <v>12834</v>
      </c>
      <c r="P14" s="324">
        <v>1090890</v>
      </c>
      <c r="Q14" s="108">
        <f t="shared" si="1"/>
        <v>1</v>
      </c>
      <c r="R14" s="108">
        <f t="shared" si="2"/>
        <v>1</v>
      </c>
      <c r="S14" s="108">
        <f t="shared" si="3"/>
        <v>1</v>
      </c>
      <c r="T14" s="108">
        <f t="shared" si="4"/>
        <v>1</v>
      </c>
      <c r="U14" s="108">
        <f t="shared" si="67"/>
        <v>1</v>
      </c>
      <c r="V14" s="108">
        <f t="shared" si="68"/>
        <v>1</v>
      </c>
      <c r="W14" s="108">
        <f t="shared" si="69"/>
        <v>1</v>
      </c>
      <c r="X14" s="109">
        <f t="shared" si="70"/>
        <v>1090890</v>
      </c>
      <c r="Y14" s="110">
        <f t="shared" si="71"/>
        <v>0</v>
      </c>
      <c r="AA14" s="319">
        <v>1.4</v>
      </c>
      <c r="AB14" s="319" t="s">
        <v>180</v>
      </c>
      <c r="AC14" s="320" t="s">
        <v>255</v>
      </c>
      <c r="AD14" s="321" t="s">
        <v>184</v>
      </c>
      <c r="AE14" s="325">
        <v>85</v>
      </c>
      <c r="AF14" s="323">
        <v>15400</v>
      </c>
      <c r="AG14" s="324">
        <v>1309000</v>
      </c>
      <c r="AH14" s="108">
        <f t="shared" si="5"/>
        <v>1</v>
      </c>
      <c r="AI14" s="108">
        <f t="shared" si="6"/>
        <v>1</v>
      </c>
      <c r="AJ14" s="108">
        <f t="shared" si="7"/>
        <v>1</v>
      </c>
      <c r="AK14" s="108">
        <f t="shared" si="8"/>
        <v>1</v>
      </c>
      <c r="AL14" s="108">
        <f t="shared" si="72"/>
        <v>1</v>
      </c>
      <c r="AM14" s="108">
        <f t="shared" si="73"/>
        <v>1</v>
      </c>
      <c r="AN14" s="108">
        <f t="shared" si="74"/>
        <v>1</v>
      </c>
      <c r="AO14" s="109">
        <f t="shared" si="75"/>
        <v>1309000</v>
      </c>
      <c r="AP14" s="110">
        <f t="shared" si="76"/>
        <v>0</v>
      </c>
      <c r="AR14" s="319">
        <v>1.4</v>
      </c>
      <c r="AS14" s="319" t="s">
        <v>180</v>
      </c>
      <c r="AT14" s="320" t="s">
        <v>255</v>
      </c>
      <c r="AU14" s="321" t="s">
        <v>184</v>
      </c>
      <c r="AV14" s="325">
        <v>85</v>
      </c>
      <c r="AW14" s="323">
        <v>15520</v>
      </c>
      <c r="AX14" s="324">
        <v>1319200</v>
      </c>
      <c r="AY14" s="108">
        <f t="shared" si="9"/>
        <v>1</v>
      </c>
      <c r="AZ14" s="108">
        <f t="shared" si="10"/>
        <v>1</v>
      </c>
      <c r="BA14" s="108">
        <f t="shared" si="11"/>
        <v>1</v>
      </c>
      <c r="BB14" s="108">
        <f t="shared" si="12"/>
        <v>1</v>
      </c>
      <c r="BC14" s="108">
        <f t="shared" si="77"/>
        <v>1</v>
      </c>
      <c r="BD14" s="108">
        <f t="shared" si="78"/>
        <v>1</v>
      </c>
      <c r="BE14" s="108">
        <f t="shared" si="79"/>
        <v>1</v>
      </c>
      <c r="BF14" s="109">
        <f t="shared" si="80"/>
        <v>1319200</v>
      </c>
      <c r="BG14" s="110">
        <f t="shared" si="81"/>
        <v>0</v>
      </c>
      <c r="BI14" s="319">
        <v>1.4</v>
      </c>
      <c r="BJ14" s="319" t="s">
        <v>180</v>
      </c>
      <c r="BK14" s="320" t="s">
        <v>255</v>
      </c>
      <c r="BL14" s="321" t="s">
        <v>184</v>
      </c>
      <c r="BM14" s="325">
        <v>85</v>
      </c>
      <c r="BN14" s="323">
        <v>11500</v>
      </c>
      <c r="BO14" s="324">
        <f t="shared" si="13"/>
        <v>977500</v>
      </c>
      <c r="BP14" s="108">
        <f t="shared" si="14"/>
        <v>1</v>
      </c>
      <c r="BQ14" s="108">
        <f t="shared" si="15"/>
        <v>1</v>
      </c>
      <c r="BR14" s="108">
        <f t="shared" si="16"/>
        <v>1</v>
      </c>
      <c r="BS14" s="108">
        <f t="shared" si="17"/>
        <v>1</v>
      </c>
      <c r="BT14" s="108">
        <f t="shared" si="82"/>
        <v>1</v>
      </c>
      <c r="BU14" s="108">
        <f t="shared" si="83"/>
        <v>1</v>
      </c>
      <c r="BV14" s="108">
        <f t="shared" si="84"/>
        <v>1</v>
      </c>
      <c r="BW14" s="109">
        <f t="shared" si="85"/>
        <v>977500</v>
      </c>
      <c r="BX14" s="110">
        <f t="shared" si="86"/>
        <v>0</v>
      </c>
      <c r="BZ14" s="319">
        <v>1.4</v>
      </c>
      <c r="CA14" s="319" t="s">
        <v>180</v>
      </c>
      <c r="CB14" s="320" t="s">
        <v>255</v>
      </c>
      <c r="CC14" s="321" t="s">
        <v>184</v>
      </c>
      <c r="CD14" s="325">
        <v>85</v>
      </c>
      <c r="CE14" s="323">
        <v>12000</v>
      </c>
      <c r="CF14" s="324">
        <f t="shared" si="18"/>
        <v>1020000</v>
      </c>
      <c r="CG14" s="108">
        <f t="shared" si="19"/>
        <v>1</v>
      </c>
      <c r="CH14" s="108">
        <f t="shared" si="20"/>
        <v>1</v>
      </c>
      <c r="CI14" s="108">
        <f t="shared" si="21"/>
        <v>1</v>
      </c>
      <c r="CJ14" s="108">
        <f t="shared" si="22"/>
        <v>1</v>
      </c>
      <c r="CK14" s="108">
        <f t="shared" si="87"/>
        <v>1</v>
      </c>
      <c r="CL14" s="108">
        <f t="shared" si="88"/>
        <v>1</v>
      </c>
      <c r="CM14" s="108">
        <f t="shared" si="89"/>
        <v>1</v>
      </c>
      <c r="CN14" s="109">
        <f t="shared" si="90"/>
        <v>1020000</v>
      </c>
      <c r="CO14" s="110">
        <f t="shared" si="91"/>
        <v>0</v>
      </c>
      <c r="CQ14" s="319">
        <v>1.4</v>
      </c>
      <c r="CR14" s="319" t="s">
        <v>180</v>
      </c>
      <c r="CS14" s="320" t="s">
        <v>255</v>
      </c>
      <c r="CT14" s="321" t="s">
        <v>184</v>
      </c>
      <c r="CU14" s="325">
        <v>85</v>
      </c>
      <c r="CV14" s="323">
        <v>16800</v>
      </c>
      <c r="CW14" s="324">
        <f t="shared" si="23"/>
        <v>1428000</v>
      </c>
      <c r="CX14" s="108">
        <f t="shared" si="24"/>
        <v>1</v>
      </c>
      <c r="CY14" s="108">
        <f t="shared" si="25"/>
        <v>1</v>
      </c>
      <c r="CZ14" s="108">
        <f t="shared" si="26"/>
        <v>1</v>
      </c>
      <c r="DA14" s="108">
        <f t="shared" si="27"/>
        <v>1</v>
      </c>
      <c r="DB14" s="108">
        <f t="shared" si="92"/>
        <v>1</v>
      </c>
      <c r="DC14" s="108">
        <f t="shared" si="93"/>
        <v>1</v>
      </c>
      <c r="DD14" s="108">
        <f t="shared" si="94"/>
        <v>1</v>
      </c>
      <c r="DE14" s="109">
        <f t="shared" si="95"/>
        <v>1428000</v>
      </c>
      <c r="DF14" s="110">
        <f t="shared" si="96"/>
        <v>0</v>
      </c>
      <c r="DH14" s="319">
        <v>1.4</v>
      </c>
      <c r="DI14" s="319" t="s">
        <v>180</v>
      </c>
      <c r="DJ14" s="359" t="s">
        <v>255</v>
      </c>
      <c r="DK14" s="321" t="s">
        <v>184</v>
      </c>
      <c r="DL14" s="325">
        <v>85</v>
      </c>
      <c r="DM14" s="323">
        <v>15389</v>
      </c>
      <c r="DN14" s="324">
        <f t="shared" si="28"/>
        <v>1308065</v>
      </c>
      <c r="DO14" s="108">
        <f t="shared" si="29"/>
        <v>1</v>
      </c>
      <c r="DP14" s="108">
        <f t="shared" si="30"/>
        <v>1</v>
      </c>
      <c r="DQ14" s="108">
        <f t="shared" si="31"/>
        <v>1</v>
      </c>
      <c r="DR14" s="108">
        <f t="shared" si="32"/>
        <v>1</v>
      </c>
      <c r="DS14" s="108">
        <f t="shared" si="97"/>
        <v>1</v>
      </c>
      <c r="DT14" s="108">
        <f t="shared" si="98"/>
        <v>1</v>
      </c>
      <c r="DU14" s="108">
        <f t="shared" si="99"/>
        <v>1</v>
      </c>
      <c r="DV14" s="109">
        <f t="shared" si="100"/>
        <v>1308065</v>
      </c>
      <c r="DW14" s="110">
        <f t="shared" si="101"/>
        <v>0</v>
      </c>
      <c r="DY14" s="319">
        <v>1.4</v>
      </c>
      <c r="DZ14" s="319" t="s">
        <v>180</v>
      </c>
      <c r="EA14" s="320" t="s">
        <v>255</v>
      </c>
      <c r="EB14" s="321" t="s">
        <v>184</v>
      </c>
      <c r="EC14" s="325">
        <v>85</v>
      </c>
      <c r="ED14" s="323">
        <v>19000</v>
      </c>
      <c r="EE14" s="324">
        <f t="shared" si="33"/>
        <v>1615000</v>
      </c>
      <c r="EF14" s="108">
        <f t="shared" si="34"/>
        <v>1</v>
      </c>
      <c r="EG14" s="108">
        <f t="shared" si="35"/>
        <v>1</v>
      </c>
      <c r="EH14" s="108">
        <f t="shared" si="36"/>
        <v>1</v>
      </c>
      <c r="EI14" s="108">
        <f t="shared" si="37"/>
        <v>1</v>
      </c>
      <c r="EJ14" s="108">
        <f t="shared" si="102"/>
        <v>1</v>
      </c>
      <c r="EK14" s="108">
        <f t="shared" si="103"/>
        <v>1</v>
      </c>
      <c r="EL14" s="108">
        <f t="shared" si="104"/>
        <v>1</v>
      </c>
      <c r="EM14" s="109">
        <f t="shared" si="105"/>
        <v>1615000</v>
      </c>
      <c r="EN14" s="110">
        <f t="shared" si="106"/>
        <v>0</v>
      </c>
      <c r="EP14" s="319">
        <v>1.4</v>
      </c>
      <c r="EQ14" s="319" t="s">
        <v>180</v>
      </c>
      <c r="ER14" s="320" t="s">
        <v>255</v>
      </c>
      <c r="ES14" s="321" t="s">
        <v>184</v>
      </c>
      <c r="ET14" s="325">
        <v>85</v>
      </c>
      <c r="EU14" s="323">
        <v>14000</v>
      </c>
      <c r="EV14" s="324">
        <f t="shared" si="38"/>
        <v>1190000</v>
      </c>
      <c r="EW14" s="108">
        <f t="shared" si="39"/>
        <v>1</v>
      </c>
      <c r="EX14" s="108">
        <f t="shared" si="40"/>
        <v>1</v>
      </c>
      <c r="EY14" s="108">
        <f t="shared" si="41"/>
        <v>1</v>
      </c>
      <c r="EZ14" s="108">
        <f t="shared" si="42"/>
        <v>1</v>
      </c>
      <c r="FA14" s="108">
        <f t="shared" si="107"/>
        <v>1</v>
      </c>
      <c r="FB14" s="108">
        <f t="shared" si="108"/>
        <v>1</v>
      </c>
      <c r="FC14" s="108">
        <f t="shared" si="109"/>
        <v>1</v>
      </c>
      <c r="FD14" s="109">
        <f t="shared" si="110"/>
        <v>1190000</v>
      </c>
      <c r="FE14" s="110">
        <f t="shared" si="111"/>
        <v>0</v>
      </c>
      <c r="FG14" s="319">
        <v>1.4</v>
      </c>
      <c r="FH14" s="319" t="s">
        <v>180</v>
      </c>
      <c r="FI14" s="359" t="s">
        <v>255</v>
      </c>
      <c r="FJ14" s="321" t="s">
        <v>184</v>
      </c>
      <c r="FK14" s="325">
        <v>85</v>
      </c>
      <c r="FL14" s="323">
        <v>15393</v>
      </c>
      <c r="FM14" s="324">
        <f t="shared" si="43"/>
        <v>1308405</v>
      </c>
      <c r="FN14" s="108">
        <f t="shared" si="44"/>
        <v>1</v>
      </c>
      <c r="FO14" s="108">
        <f t="shared" si="45"/>
        <v>1</v>
      </c>
      <c r="FP14" s="108">
        <f t="shared" si="46"/>
        <v>1</v>
      </c>
      <c r="FQ14" s="108">
        <f t="shared" si="47"/>
        <v>1</v>
      </c>
      <c r="FR14" s="108">
        <f t="shared" si="112"/>
        <v>1</v>
      </c>
      <c r="FS14" s="108">
        <f t="shared" si="113"/>
        <v>1</v>
      </c>
      <c r="FT14" s="108">
        <f t="shared" si="114"/>
        <v>1</v>
      </c>
      <c r="FU14" s="109">
        <f t="shared" si="115"/>
        <v>1308405</v>
      </c>
      <c r="FV14" s="110">
        <f t="shared" si="116"/>
        <v>0</v>
      </c>
      <c r="FX14" s="319">
        <v>1.4</v>
      </c>
      <c r="FY14" s="319" t="s">
        <v>180</v>
      </c>
      <c r="FZ14" s="320" t="s">
        <v>255</v>
      </c>
      <c r="GA14" s="321" t="s">
        <v>184</v>
      </c>
      <c r="GB14" s="325">
        <v>85</v>
      </c>
      <c r="GC14" s="323">
        <v>14000</v>
      </c>
      <c r="GD14" s="324">
        <f t="shared" si="48"/>
        <v>1190000</v>
      </c>
      <c r="GE14" s="108">
        <f t="shared" si="49"/>
        <v>1</v>
      </c>
      <c r="GF14" s="108">
        <f t="shared" si="50"/>
        <v>1</v>
      </c>
      <c r="GG14" s="108">
        <f t="shared" si="51"/>
        <v>1</v>
      </c>
      <c r="GH14" s="108">
        <f t="shared" si="52"/>
        <v>1</v>
      </c>
      <c r="GI14" s="108">
        <f t="shared" si="117"/>
        <v>1</v>
      </c>
      <c r="GJ14" s="108">
        <f t="shared" si="118"/>
        <v>1</v>
      </c>
      <c r="GK14" s="108">
        <f t="shared" si="119"/>
        <v>1</v>
      </c>
      <c r="GL14" s="109">
        <f t="shared" si="120"/>
        <v>1190000</v>
      </c>
      <c r="GM14" s="110">
        <f t="shared" si="121"/>
        <v>0</v>
      </c>
      <c r="GO14" s="319">
        <v>1.4</v>
      </c>
      <c r="GP14" s="319" t="s">
        <v>180</v>
      </c>
      <c r="GQ14" s="320" t="s">
        <v>255</v>
      </c>
      <c r="GR14" s="321" t="s">
        <v>184</v>
      </c>
      <c r="GS14" s="325">
        <v>85</v>
      </c>
      <c r="GT14" s="323">
        <v>15000</v>
      </c>
      <c r="GU14" s="324">
        <v>1275000</v>
      </c>
      <c r="GV14" s="108">
        <f t="shared" si="53"/>
        <v>1</v>
      </c>
      <c r="GW14" s="108">
        <f t="shared" si="54"/>
        <v>1</v>
      </c>
      <c r="GX14" s="108">
        <f t="shared" si="55"/>
        <v>1</v>
      </c>
      <c r="GY14" s="108">
        <f t="shared" si="56"/>
        <v>1</v>
      </c>
      <c r="GZ14" s="108">
        <f t="shared" si="122"/>
        <v>1</v>
      </c>
      <c r="HA14" s="108">
        <f t="shared" si="123"/>
        <v>1</v>
      </c>
      <c r="HB14" s="108">
        <f t="shared" si="124"/>
        <v>1</v>
      </c>
      <c r="HC14" s="109">
        <f t="shared" si="125"/>
        <v>1275000</v>
      </c>
      <c r="HD14" s="110">
        <f t="shared" si="126"/>
        <v>0</v>
      </c>
      <c r="HF14" s="319">
        <v>1.4</v>
      </c>
      <c r="HG14" s="319" t="s">
        <v>180</v>
      </c>
      <c r="HH14" s="320" t="s">
        <v>255</v>
      </c>
      <c r="HI14" s="321" t="s">
        <v>184</v>
      </c>
      <c r="HJ14" s="325">
        <v>85</v>
      </c>
      <c r="HK14" s="323">
        <v>18000</v>
      </c>
      <c r="HL14" s="324">
        <f t="shared" si="57"/>
        <v>1530000</v>
      </c>
      <c r="HM14" s="108">
        <f t="shared" si="58"/>
        <v>1</v>
      </c>
      <c r="HN14" s="108">
        <f t="shared" si="59"/>
        <v>1</v>
      </c>
      <c r="HO14" s="108">
        <f t="shared" si="60"/>
        <v>1</v>
      </c>
      <c r="HP14" s="108">
        <f t="shared" si="61"/>
        <v>1</v>
      </c>
      <c r="HQ14" s="108">
        <f t="shared" si="127"/>
        <v>1</v>
      </c>
      <c r="HR14" s="108">
        <f t="shared" si="128"/>
        <v>1</v>
      </c>
      <c r="HS14" s="108">
        <f t="shared" si="129"/>
        <v>1</v>
      </c>
      <c r="HT14" s="109">
        <f t="shared" si="130"/>
        <v>1530000</v>
      </c>
      <c r="HU14" s="110">
        <f t="shared" si="131"/>
        <v>0</v>
      </c>
      <c r="HW14" s="319">
        <v>1.4</v>
      </c>
      <c r="HX14" s="319" t="s">
        <v>180</v>
      </c>
      <c r="HY14" s="320" t="s">
        <v>255</v>
      </c>
      <c r="HZ14" s="321" t="s">
        <v>184</v>
      </c>
      <c r="IA14" s="325">
        <v>85</v>
      </c>
      <c r="IB14" s="323">
        <v>18000</v>
      </c>
      <c r="IC14" s="324">
        <f t="shared" si="62"/>
        <v>1530000</v>
      </c>
      <c r="ID14" s="108">
        <f t="shared" si="63"/>
        <v>1</v>
      </c>
      <c r="IE14" s="108">
        <f t="shared" si="64"/>
        <v>1</v>
      </c>
      <c r="IF14" s="108">
        <f t="shared" si="65"/>
        <v>1</v>
      </c>
      <c r="IG14" s="108">
        <f t="shared" si="66"/>
        <v>1</v>
      </c>
      <c r="IH14" s="108">
        <f t="shared" si="132"/>
        <v>1</v>
      </c>
      <c r="II14" s="108">
        <f t="shared" si="133"/>
        <v>1</v>
      </c>
      <c r="IJ14" s="108">
        <f t="shared" si="134"/>
        <v>1</v>
      </c>
      <c r="IK14" s="109">
        <f t="shared" si="135"/>
        <v>1530000</v>
      </c>
      <c r="IL14" s="110">
        <f t="shared" si="136"/>
        <v>0</v>
      </c>
    </row>
    <row r="15" spans="2:246" ht="121.5" customHeight="1" x14ac:dyDescent="0.25">
      <c r="B15" s="319">
        <v>1.5</v>
      </c>
      <c r="C15" s="319" t="s">
        <v>180</v>
      </c>
      <c r="D15" s="320" t="s">
        <v>256</v>
      </c>
      <c r="E15" s="321" t="s">
        <v>179</v>
      </c>
      <c r="F15" s="325">
        <v>85</v>
      </c>
      <c r="G15" s="323">
        <v>0</v>
      </c>
      <c r="H15" s="324">
        <f t="shared" si="0"/>
        <v>0</v>
      </c>
      <c r="J15" s="319">
        <v>1.5</v>
      </c>
      <c r="K15" s="319" t="s">
        <v>180</v>
      </c>
      <c r="L15" s="320" t="s">
        <v>256</v>
      </c>
      <c r="M15" s="321" t="s">
        <v>179</v>
      </c>
      <c r="N15" s="325">
        <v>85</v>
      </c>
      <c r="O15" s="323">
        <v>13516</v>
      </c>
      <c r="P15" s="324">
        <v>1148860</v>
      </c>
      <c r="Q15" s="108">
        <f t="shared" ref="Q15" si="137">IFERROR(IF(EXACT(VLOOKUP(J15,OFERTA_0,1,FALSE),J15),1,0),0)</f>
        <v>1</v>
      </c>
      <c r="R15" s="108">
        <f t="shared" ref="R15" si="138">IFERROR(IF(EXACT(VLOOKUP(J15,OFERTA_0,3,FALSE),L15),1,0),0)</f>
        <v>1</v>
      </c>
      <c r="S15" s="108">
        <f t="shared" ref="S15" si="139">IFERROR(IF(EXACT(VLOOKUP(J15,OFERTA_0,4,FALSE),M15),1,0),0)</f>
        <v>1</v>
      </c>
      <c r="T15" s="108">
        <f t="shared" ref="T15" si="140">IFERROR(IF(EXACT(VLOOKUP(J15,OFERTA_0,5,FALSE),N15),1,0),0)</f>
        <v>1</v>
      </c>
      <c r="U15" s="108">
        <f t="shared" ref="U15" si="141">IFERROR(IF(O15&lt;=0,0,1),0)</f>
        <v>1</v>
      </c>
      <c r="V15" s="108">
        <f t="shared" ref="V15" si="142">IFERROR(IF(P15&lt;=0,0,1),0)</f>
        <v>1</v>
      </c>
      <c r="W15" s="108">
        <f t="shared" ref="W15" si="143">PRODUCT(Q15:V15)</f>
        <v>1</v>
      </c>
      <c r="X15" s="109">
        <f t="shared" ref="X15" si="144">ROUND(P15,0)</f>
        <v>1148860</v>
      </c>
      <c r="Y15" s="110">
        <f t="shared" ref="Y15" si="145">P15-X15</f>
        <v>0</v>
      </c>
      <c r="AA15" s="319">
        <v>1.5</v>
      </c>
      <c r="AB15" s="319" t="s">
        <v>180</v>
      </c>
      <c r="AC15" s="320" t="s">
        <v>256</v>
      </c>
      <c r="AD15" s="321" t="s">
        <v>179</v>
      </c>
      <c r="AE15" s="325">
        <v>85</v>
      </c>
      <c r="AF15" s="323">
        <v>12400</v>
      </c>
      <c r="AG15" s="324">
        <v>1054000</v>
      </c>
      <c r="AH15" s="108">
        <f t="shared" si="5"/>
        <v>1</v>
      </c>
      <c r="AI15" s="108">
        <f t="shared" si="6"/>
        <v>1</v>
      </c>
      <c r="AJ15" s="108">
        <f t="shared" si="7"/>
        <v>1</v>
      </c>
      <c r="AK15" s="108">
        <f t="shared" si="8"/>
        <v>1</v>
      </c>
      <c r="AL15" s="108">
        <f t="shared" si="72"/>
        <v>1</v>
      </c>
      <c r="AM15" s="108">
        <f t="shared" si="73"/>
        <v>1</v>
      </c>
      <c r="AN15" s="108">
        <f t="shared" si="74"/>
        <v>1</v>
      </c>
      <c r="AO15" s="109">
        <f t="shared" si="75"/>
        <v>1054000</v>
      </c>
      <c r="AP15" s="110">
        <f t="shared" si="76"/>
        <v>0</v>
      </c>
      <c r="AR15" s="319">
        <v>1.5</v>
      </c>
      <c r="AS15" s="319" t="s">
        <v>180</v>
      </c>
      <c r="AT15" s="320" t="s">
        <v>256</v>
      </c>
      <c r="AU15" s="321" t="s">
        <v>179</v>
      </c>
      <c r="AV15" s="325">
        <v>85</v>
      </c>
      <c r="AW15" s="323">
        <v>3880</v>
      </c>
      <c r="AX15" s="324">
        <v>329800</v>
      </c>
      <c r="AY15" s="108">
        <f t="shared" si="9"/>
        <v>1</v>
      </c>
      <c r="AZ15" s="108">
        <f t="shared" si="10"/>
        <v>1</v>
      </c>
      <c r="BA15" s="108">
        <f t="shared" si="11"/>
        <v>1</v>
      </c>
      <c r="BB15" s="108">
        <f t="shared" si="12"/>
        <v>1</v>
      </c>
      <c r="BC15" s="108">
        <f t="shared" si="77"/>
        <v>1</v>
      </c>
      <c r="BD15" s="108">
        <f t="shared" si="78"/>
        <v>1</v>
      </c>
      <c r="BE15" s="108">
        <f t="shared" si="79"/>
        <v>1</v>
      </c>
      <c r="BF15" s="109">
        <f t="shared" si="80"/>
        <v>329800</v>
      </c>
      <c r="BG15" s="110">
        <f t="shared" si="81"/>
        <v>0</v>
      </c>
      <c r="BI15" s="319">
        <v>1.5</v>
      </c>
      <c r="BJ15" s="319" t="s">
        <v>180</v>
      </c>
      <c r="BK15" s="320" t="s">
        <v>256</v>
      </c>
      <c r="BL15" s="321" t="s">
        <v>179</v>
      </c>
      <c r="BM15" s="325">
        <v>85</v>
      </c>
      <c r="BN15" s="323">
        <v>12796</v>
      </c>
      <c r="BO15" s="324">
        <f t="shared" si="13"/>
        <v>1087660</v>
      </c>
      <c r="BP15" s="108">
        <f t="shared" si="14"/>
        <v>1</v>
      </c>
      <c r="BQ15" s="108">
        <f t="shared" si="15"/>
        <v>1</v>
      </c>
      <c r="BR15" s="108">
        <f t="shared" si="16"/>
        <v>1</v>
      </c>
      <c r="BS15" s="108">
        <f t="shared" si="17"/>
        <v>1</v>
      </c>
      <c r="BT15" s="108">
        <f t="shared" si="82"/>
        <v>1</v>
      </c>
      <c r="BU15" s="108">
        <f t="shared" si="83"/>
        <v>1</v>
      </c>
      <c r="BV15" s="108">
        <f t="shared" si="84"/>
        <v>1</v>
      </c>
      <c r="BW15" s="109">
        <f t="shared" si="85"/>
        <v>1087660</v>
      </c>
      <c r="BX15" s="110">
        <f t="shared" si="86"/>
        <v>0</v>
      </c>
      <c r="BZ15" s="319">
        <v>1.5</v>
      </c>
      <c r="CA15" s="319" t="s">
        <v>180</v>
      </c>
      <c r="CB15" s="320" t="s">
        <v>256</v>
      </c>
      <c r="CC15" s="321" t="s">
        <v>179</v>
      </c>
      <c r="CD15" s="325">
        <v>85</v>
      </c>
      <c r="CE15" s="323">
        <v>22000</v>
      </c>
      <c r="CF15" s="324">
        <f t="shared" si="18"/>
        <v>1870000</v>
      </c>
      <c r="CG15" s="108">
        <f t="shared" si="19"/>
        <v>1</v>
      </c>
      <c r="CH15" s="108">
        <f t="shared" si="20"/>
        <v>1</v>
      </c>
      <c r="CI15" s="108">
        <f t="shared" si="21"/>
        <v>1</v>
      </c>
      <c r="CJ15" s="108">
        <f t="shared" si="22"/>
        <v>1</v>
      </c>
      <c r="CK15" s="108">
        <f t="shared" si="87"/>
        <v>1</v>
      </c>
      <c r="CL15" s="108">
        <f t="shared" si="88"/>
        <v>1</v>
      </c>
      <c r="CM15" s="108">
        <f t="shared" si="89"/>
        <v>1</v>
      </c>
      <c r="CN15" s="109">
        <f t="shared" si="90"/>
        <v>1870000</v>
      </c>
      <c r="CO15" s="110">
        <f t="shared" si="91"/>
        <v>0</v>
      </c>
      <c r="CQ15" s="319">
        <v>1.5</v>
      </c>
      <c r="CR15" s="319" t="s">
        <v>180</v>
      </c>
      <c r="CS15" s="320" t="s">
        <v>256</v>
      </c>
      <c r="CT15" s="321" t="s">
        <v>179</v>
      </c>
      <c r="CU15" s="325">
        <v>85</v>
      </c>
      <c r="CV15" s="323">
        <v>14000</v>
      </c>
      <c r="CW15" s="324">
        <f t="shared" si="23"/>
        <v>1190000</v>
      </c>
      <c r="CX15" s="108">
        <f t="shared" si="24"/>
        <v>1</v>
      </c>
      <c r="CY15" s="108">
        <f t="shared" si="25"/>
        <v>1</v>
      </c>
      <c r="CZ15" s="108">
        <f t="shared" si="26"/>
        <v>1</v>
      </c>
      <c r="DA15" s="108">
        <f t="shared" si="27"/>
        <v>1</v>
      </c>
      <c r="DB15" s="108">
        <f t="shared" si="92"/>
        <v>1</v>
      </c>
      <c r="DC15" s="108">
        <f t="shared" si="93"/>
        <v>1</v>
      </c>
      <c r="DD15" s="108">
        <f t="shared" si="94"/>
        <v>1</v>
      </c>
      <c r="DE15" s="109">
        <f t="shared" si="95"/>
        <v>1190000</v>
      </c>
      <c r="DF15" s="110">
        <f t="shared" si="96"/>
        <v>0</v>
      </c>
      <c r="DH15" s="319">
        <v>1.5</v>
      </c>
      <c r="DI15" s="319" t="s">
        <v>180</v>
      </c>
      <c r="DJ15" s="359" t="s">
        <v>256</v>
      </c>
      <c r="DK15" s="321" t="s">
        <v>179</v>
      </c>
      <c r="DL15" s="325">
        <v>85</v>
      </c>
      <c r="DM15" s="323">
        <v>10286</v>
      </c>
      <c r="DN15" s="324">
        <f t="shared" si="28"/>
        <v>874310</v>
      </c>
      <c r="DO15" s="108">
        <f t="shared" si="29"/>
        <v>1</v>
      </c>
      <c r="DP15" s="108">
        <f t="shared" si="30"/>
        <v>1</v>
      </c>
      <c r="DQ15" s="108">
        <f t="shared" si="31"/>
        <v>1</v>
      </c>
      <c r="DR15" s="108">
        <f t="shared" si="32"/>
        <v>1</v>
      </c>
      <c r="DS15" s="108">
        <f t="shared" si="97"/>
        <v>1</v>
      </c>
      <c r="DT15" s="108">
        <f t="shared" si="98"/>
        <v>1</v>
      </c>
      <c r="DU15" s="108">
        <f t="shared" si="99"/>
        <v>1</v>
      </c>
      <c r="DV15" s="109">
        <f t="shared" si="100"/>
        <v>874310</v>
      </c>
      <c r="DW15" s="110">
        <f t="shared" si="101"/>
        <v>0</v>
      </c>
      <c r="DY15" s="319">
        <v>1.5</v>
      </c>
      <c r="DZ15" s="319" t="s">
        <v>180</v>
      </c>
      <c r="EA15" s="359" t="s">
        <v>256</v>
      </c>
      <c r="EB15" s="321" t="s">
        <v>179</v>
      </c>
      <c r="EC15" s="325">
        <v>85</v>
      </c>
      <c r="ED15" s="323">
        <v>10000</v>
      </c>
      <c r="EE15" s="324">
        <f t="shared" si="33"/>
        <v>850000</v>
      </c>
      <c r="EF15" s="108">
        <f t="shared" si="34"/>
        <v>1</v>
      </c>
      <c r="EG15" s="108">
        <f t="shared" si="35"/>
        <v>1</v>
      </c>
      <c r="EH15" s="108">
        <f t="shared" si="36"/>
        <v>1</v>
      </c>
      <c r="EI15" s="108">
        <f t="shared" si="37"/>
        <v>1</v>
      </c>
      <c r="EJ15" s="108">
        <f t="shared" si="102"/>
        <v>1</v>
      </c>
      <c r="EK15" s="108">
        <f t="shared" si="103"/>
        <v>1</v>
      </c>
      <c r="EL15" s="108">
        <f t="shared" si="104"/>
        <v>1</v>
      </c>
      <c r="EM15" s="109">
        <f t="shared" si="105"/>
        <v>850000</v>
      </c>
      <c r="EN15" s="110">
        <f t="shared" si="106"/>
        <v>0</v>
      </c>
      <c r="EP15" s="319">
        <v>1.5</v>
      </c>
      <c r="EQ15" s="319" t="s">
        <v>180</v>
      </c>
      <c r="ER15" s="320" t="s">
        <v>256</v>
      </c>
      <c r="ES15" s="321" t="s">
        <v>179</v>
      </c>
      <c r="ET15" s="325">
        <v>85</v>
      </c>
      <c r="EU15" s="323">
        <v>17000</v>
      </c>
      <c r="EV15" s="324">
        <f t="shared" si="38"/>
        <v>1445000</v>
      </c>
      <c r="EW15" s="108">
        <f t="shared" si="39"/>
        <v>1</v>
      </c>
      <c r="EX15" s="108">
        <f t="shared" si="40"/>
        <v>1</v>
      </c>
      <c r="EY15" s="108">
        <f t="shared" si="41"/>
        <v>1</v>
      </c>
      <c r="EZ15" s="108">
        <f t="shared" si="42"/>
        <v>1</v>
      </c>
      <c r="FA15" s="108">
        <f t="shared" si="107"/>
        <v>1</v>
      </c>
      <c r="FB15" s="108">
        <f t="shared" si="108"/>
        <v>1</v>
      </c>
      <c r="FC15" s="108">
        <f t="shared" si="109"/>
        <v>1</v>
      </c>
      <c r="FD15" s="109">
        <f t="shared" si="110"/>
        <v>1445000</v>
      </c>
      <c r="FE15" s="110">
        <f t="shared" si="111"/>
        <v>0</v>
      </c>
      <c r="FG15" s="319">
        <v>1.5</v>
      </c>
      <c r="FH15" s="319" t="s">
        <v>180</v>
      </c>
      <c r="FI15" s="359" t="s">
        <v>256</v>
      </c>
      <c r="FJ15" s="321" t="s">
        <v>179</v>
      </c>
      <c r="FK15" s="325">
        <v>85</v>
      </c>
      <c r="FL15" s="323">
        <v>10292</v>
      </c>
      <c r="FM15" s="324">
        <f t="shared" si="43"/>
        <v>874820</v>
      </c>
      <c r="FN15" s="108">
        <f t="shared" si="44"/>
        <v>1</v>
      </c>
      <c r="FO15" s="108">
        <f t="shared" si="45"/>
        <v>1</v>
      </c>
      <c r="FP15" s="108">
        <f t="shared" si="46"/>
        <v>1</v>
      </c>
      <c r="FQ15" s="108">
        <f t="shared" si="47"/>
        <v>1</v>
      </c>
      <c r="FR15" s="108">
        <f t="shared" si="112"/>
        <v>1</v>
      </c>
      <c r="FS15" s="108">
        <f t="shared" si="113"/>
        <v>1</v>
      </c>
      <c r="FT15" s="108">
        <f t="shared" si="114"/>
        <v>1</v>
      </c>
      <c r="FU15" s="109">
        <f t="shared" si="115"/>
        <v>874820</v>
      </c>
      <c r="FV15" s="110">
        <f t="shared" si="116"/>
        <v>0</v>
      </c>
      <c r="FX15" s="319">
        <v>1.5</v>
      </c>
      <c r="FY15" s="319" t="s">
        <v>180</v>
      </c>
      <c r="FZ15" s="320" t="s">
        <v>256</v>
      </c>
      <c r="GA15" s="321" t="s">
        <v>179</v>
      </c>
      <c r="GB15" s="325">
        <v>85</v>
      </c>
      <c r="GC15" s="323">
        <v>15000</v>
      </c>
      <c r="GD15" s="324">
        <f t="shared" si="48"/>
        <v>1275000</v>
      </c>
      <c r="GE15" s="108">
        <f t="shared" si="49"/>
        <v>1</v>
      </c>
      <c r="GF15" s="108">
        <f t="shared" si="50"/>
        <v>1</v>
      </c>
      <c r="GG15" s="108">
        <f t="shared" si="51"/>
        <v>1</v>
      </c>
      <c r="GH15" s="108">
        <f t="shared" si="52"/>
        <v>1</v>
      </c>
      <c r="GI15" s="108">
        <f t="shared" si="117"/>
        <v>1</v>
      </c>
      <c r="GJ15" s="108">
        <f t="shared" si="118"/>
        <v>1</v>
      </c>
      <c r="GK15" s="108">
        <f t="shared" si="119"/>
        <v>1</v>
      </c>
      <c r="GL15" s="109">
        <f t="shared" si="120"/>
        <v>1275000</v>
      </c>
      <c r="GM15" s="110">
        <f t="shared" si="121"/>
        <v>0</v>
      </c>
      <c r="GO15" s="319">
        <v>1.5</v>
      </c>
      <c r="GP15" s="319" t="s">
        <v>180</v>
      </c>
      <c r="GQ15" s="320" t="s">
        <v>256</v>
      </c>
      <c r="GR15" s="321" t="s">
        <v>179</v>
      </c>
      <c r="GS15" s="325">
        <v>85</v>
      </c>
      <c r="GT15" s="323">
        <v>16000</v>
      </c>
      <c r="GU15" s="324">
        <v>1360000</v>
      </c>
      <c r="GV15" s="108">
        <f t="shared" si="53"/>
        <v>1</v>
      </c>
      <c r="GW15" s="108">
        <f t="shared" si="54"/>
        <v>1</v>
      </c>
      <c r="GX15" s="108">
        <f t="shared" si="55"/>
        <v>1</v>
      </c>
      <c r="GY15" s="108">
        <f t="shared" si="56"/>
        <v>1</v>
      </c>
      <c r="GZ15" s="108">
        <f t="shared" si="122"/>
        <v>1</v>
      </c>
      <c r="HA15" s="108">
        <f t="shared" si="123"/>
        <v>1</v>
      </c>
      <c r="HB15" s="108">
        <f t="shared" si="124"/>
        <v>1</v>
      </c>
      <c r="HC15" s="109">
        <f t="shared" si="125"/>
        <v>1360000</v>
      </c>
      <c r="HD15" s="110">
        <f t="shared" si="126"/>
        <v>0</v>
      </c>
      <c r="HF15" s="319">
        <v>1.5</v>
      </c>
      <c r="HG15" s="319" t="s">
        <v>180</v>
      </c>
      <c r="HH15" s="320" t="s">
        <v>256</v>
      </c>
      <c r="HI15" s="321" t="s">
        <v>179</v>
      </c>
      <c r="HJ15" s="325">
        <v>85</v>
      </c>
      <c r="HK15" s="323">
        <v>3800</v>
      </c>
      <c r="HL15" s="324">
        <f t="shared" si="57"/>
        <v>323000</v>
      </c>
      <c r="HM15" s="108">
        <f t="shared" si="58"/>
        <v>1</v>
      </c>
      <c r="HN15" s="108">
        <f t="shared" si="59"/>
        <v>1</v>
      </c>
      <c r="HO15" s="108">
        <f t="shared" si="60"/>
        <v>1</v>
      </c>
      <c r="HP15" s="108">
        <f t="shared" si="61"/>
        <v>1</v>
      </c>
      <c r="HQ15" s="108">
        <f t="shared" si="127"/>
        <v>1</v>
      </c>
      <c r="HR15" s="108">
        <f t="shared" si="128"/>
        <v>1</v>
      </c>
      <c r="HS15" s="108">
        <f t="shared" si="129"/>
        <v>1</v>
      </c>
      <c r="HT15" s="109">
        <f t="shared" si="130"/>
        <v>323000</v>
      </c>
      <c r="HU15" s="110">
        <f t="shared" si="131"/>
        <v>0</v>
      </c>
      <c r="HW15" s="319">
        <v>1.5</v>
      </c>
      <c r="HX15" s="319" t="s">
        <v>180</v>
      </c>
      <c r="HY15" s="320" t="s">
        <v>256</v>
      </c>
      <c r="HZ15" s="321" t="s">
        <v>179</v>
      </c>
      <c r="IA15" s="325">
        <v>85</v>
      </c>
      <c r="IB15" s="323">
        <v>10000</v>
      </c>
      <c r="IC15" s="324">
        <f t="shared" si="62"/>
        <v>850000</v>
      </c>
      <c r="ID15" s="108">
        <f t="shared" si="63"/>
        <v>1</v>
      </c>
      <c r="IE15" s="108">
        <f t="shared" si="64"/>
        <v>1</v>
      </c>
      <c r="IF15" s="108">
        <f t="shared" si="65"/>
        <v>1</v>
      </c>
      <c r="IG15" s="108">
        <f t="shared" si="66"/>
        <v>1</v>
      </c>
      <c r="IH15" s="108">
        <f t="shared" si="132"/>
        <v>1</v>
      </c>
      <c r="II15" s="108">
        <f t="shared" si="133"/>
        <v>1</v>
      </c>
      <c r="IJ15" s="108">
        <f t="shared" si="134"/>
        <v>1</v>
      </c>
      <c r="IK15" s="109">
        <f t="shared" si="135"/>
        <v>850000</v>
      </c>
      <c r="IL15" s="110">
        <f t="shared" si="136"/>
        <v>0</v>
      </c>
    </row>
    <row r="16" spans="2:246" ht="147.75" customHeight="1" x14ac:dyDescent="0.25">
      <c r="B16" s="319">
        <v>1.6</v>
      </c>
      <c r="C16" s="319" t="s">
        <v>180</v>
      </c>
      <c r="D16" s="320" t="s">
        <v>257</v>
      </c>
      <c r="E16" s="321" t="s">
        <v>184</v>
      </c>
      <c r="F16" s="325">
        <v>85</v>
      </c>
      <c r="G16" s="323">
        <v>0</v>
      </c>
      <c r="H16" s="324">
        <f t="shared" si="0"/>
        <v>0</v>
      </c>
      <c r="J16" s="319">
        <v>1.6</v>
      </c>
      <c r="K16" s="319" t="s">
        <v>180</v>
      </c>
      <c r="L16" s="320" t="s">
        <v>257</v>
      </c>
      <c r="M16" s="321" t="s">
        <v>184</v>
      </c>
      <c r="N16" s="325">
        <v>85</v>
      </c>
      <c r="O16" s="323">
        <v>21827</v>
      </c>
      <c r="P16" s="324">
        <v>1855295</v>
      </c>
      <c r="Q16" s="108">
        <f t="shared" si="1"/>
        <v>1</v>
      </c>
      <c r="R16" s="108">
        <f t="shared" si="2"/>
        <v>1</v>
      </c>
      <c r="S16" s="108">
        <f t="shared" si="3"/>
        <v>1</v>
      </c>
      <c r="T16" s="108">
        <f t="shared" si="4"/>
        <v>1</v>
      </c>
      <c r="U16" s="108">
        <f t="shared" si="67"/>
        <v>1</v>
      </c>
      <c r="V16" s="108">
        <f t="shared" si="68"/>
        <v>1</v>
      </c>
      <c r="W16" s="108">
        <f t="shared" si="69"/>
        <v>1</v>
      </c>
      <c r="X16" s="109">
        <f t="shared" si="70"/>
        <v>1855295</v>
      </c>
      <c r="Y16" s="110">
        <f t="shared" si="71"/>
        <v>0</v>
      </c>
      <c r="AA16" s="319">
        <v>1.6</v>
      </c>
      <c r="AB16" s="319" t="s">
        <v>180</v>
      </c>
      <c r="AC16" s="320" t="s">
        <v>257</v>
      </c>
      <c r="AD16" s="321" t="s">
        <v>184</v>
      </c>
      <c r="AE16" s="325">
        <v>85</v>
      </c>
      <c r="AF16" s="323">
        <v>33500</v>
      </c>
      <c r="AG16" s="324">
        <v>2847500</v>
      </c>
      <c r="AH16" s="108">
        <f t="shared" si="5"/>
        <v>1</v>
      </c>
      <c r="AI16" s="108">
        <f t="shared" si="6"/>
        <v>1</v>
      </c>
      <c r="AJ16" s="108">
        <f t="shared" si="7"/>
        <v>1</v>
      </c>
      <c r="AK16" s="108">
        <f t="shared" si="8"/>
        <v>1</v>
      </c>
      <c r="AL16" s="108">
        <f t="shared" si="72"/>
        <v>1</v>
      </c>
      <c r="AM16" s="108">
        <f t="shared" si="73"/>
        <v>1</v>
      </c>
      <c r="AN16" s="108">
        <f t="shared" si="74"/>
        <v>1</v>
      </c>
      <c r="AO16" s="109">
        <f t="shared" si="75"/>
        <v>2847500</v>
      </c>
      <c r="AP16" s="110">
        <f t="shared" si="76"/>
        <v>0</v>
      </c>
      <c r="AR16" s="319">
        <v>1.6</v>
      </c>
      <c r="AS16" s="319" t="s">
        <v>180</v>
      </c>
      <c r="AT16" s="320" t="s">
        <v>257</v>
      </c>
      <c r="AU16" s="321" t="s">
        <v>184</v>
      </c>
      <c r="AV16" s="325">
        <v>85</v>
      </c>
      <c r="AW16" s="323">
        <v>48500</v>
      </c>
      <c r="AX16" s="324">
        <v>4122500</v>
      </c>
      <c r="AY16" s="108">
        <f t="shared" si="9"/>
        <v>1</v>
      </c>
      <c r="AZ16" s="108">
        <f t="shared" si="10"/>
        <v>1</v>
      </c>
      <c r="BA16" s="108">
        <f t="shared" si="11"/>
        <v>1</v>
      </c>
      <c r="BB16" s="108">
        <f t="shared" si="12"/>
        <v>1</v>
      </c>
      <c r="BC16" s="108">
        <f t="shared" si="77"/>
        <v>1</v>
      </c>
      <c r="BD16" s="108">
        <f t="shared" si="78"/>
        <v>1</v>
      </c>
      <c r="BE16" s="108">
        <f t="shared" si="79"/>
        <v>1</v>
      </c>
      <c r="BF16" s="109">
        <f t="shared" si="80"/>
        <v>4122500</v>
      </c>
      <c r="BG16" s="110">
        <f t="shared" si="81"/>
        <v>0</v>
      </c>
      <c r="BI16" s="319">
        <v>1.6</v>
      </c>
      <c r="BJ16" s="319" t="s">
        <v>180</v>
      </c>
      <c r="BK16" s="320" t="s">
        <v>257</v>
      </c>
      <c r="BL16" s="321" t="s">
        <v>184</v>
      </c>
      <c r="BM16" s="325">
        <v>85</v>
      </c>
      <c r="BN16" s="323">
        <v>12796</v>
      </c>
      <c r="BO16" s="324">
        <f t="shared" si="13"/>
        <v>1087660</v>
      </c>
      <c r="BP16" s="108">
        <f t="shared" si="14"/>
        <v>1</v>
      </c>
      <c r="BQ16" s="108">
        <f t="shared" si="15"/>
        <v>1</v>
      </c>
      <c r="BR16" s="108">
        <f t="shared" si="16"/>
        <v>1</v>
      </c>
      <c r="BS16" s="108">
        <f t="shared" si="17"/>
        <v>1</v>
      </c>
      <c r="BT16" s="108">
        <f t="shared" si="82"/>
        <v>1</v>
      </c>
      <c r="BU16" s="108">
        <f t="shared" si="83"/>
        <v>1</v>
      </c>
      <c r="BV16" s="108">
        <f t="shared" si="84"/>
        <v>1</v>
      </c>
      <c r="BW16" s="109">
        <f t="shared" si="85"/>
        <v>1087660</v>
      </c>
      <c r="BX16" s="110">
        <f t="shared" si="86"/>
        <v>0</v>
      </c>
      <c r="BZ16" s="319">
        <v>1.6</v>
      </c>
      <c r="CA16" s="319" t="s">
        <v>180</v>
      </c>
      <c r="CB16" s="320" t="s">
        <v>257</v>
      </c>
      <c r="CC16" s="321" t="s">
        <v>184</v>
      </c>
      <c r="CD16" s="325">
        <v>85</v>
      </c>
      <c r="CE16" s="323">
        <v>60000</v>
      </c>
      <c r="CF16" s="324">
        <f t="shared" si="18"/>
        <v>5100000</v>
      </c>
      <c r="CG16" s="108">
        <f t="shared" si="19"/>
        <v>1</v>
      </c>
      <c r="CH16" s="108">
        <f t="shared" si="20"/>
        <v>1</v>
      </c>
      <c r="CI16" s="108">
        <f t="shared" si="21"/>
        <v>1</v>
      </c>
      <c r="CJ16" s="108">
        <f t="shared" si="22"/>
        <v>1</v>
      </c>
      <c r="CK16" s="108">
        <f t="shared" si="87"/>
        <v>1</v>
      </c>
      <c r="CL16" s="108">
        <f t="shared" si="88"/>
        <v>1</v>
      </c>
      <c r="CM16" s="108">
        <f t="shared" si="89"/>
        <v>1</v>
      </c>
      <c r="CN16" s="109">
        <f t="shared" si="90"/>
        <v>5100000</v>
      </c>
      <c r="CO16" s="110">
        <f t="shared" si="91"/>
        <v>0</v>
      </c>
      <c r="CQ16" s="319">
        <v>1.6</v>
      </c>
      <c r="CR16" s="319" t="s">
        <v>180</v>
      </c>
      <c r="CS16" s="320" t="s">
        <v>257</v>
      </c>
      <c r="CT16" s="321" t="s">
        <v>184</v>
      </c>
      <c r="CU16" s="325">
        <v>85</v>
      </c>
      <c r="CV16" s="323">
        <v>48000</v>
      </c>
      <c r="CW16" s="324">
        <f t="shared" si="23"/>
        <v>4080000</v>
      </c>
      <c r="CX16" s="108">
        <f t="shared" si="24"/>
        <v>1</v>
      </c>
      <c r="CY16" s="108">
        <f t="shared" si="25"/>
        <v>1</v>
      </c>
      <c r="CZ16" s="108">
        <f t="shared" si="26"/>
        <v>1</v>
      </c>
      <c r="DA16" s="108">
        <f t="shared" si="27"/>
        <v>1</v>
      </c>
      <c r="DB16" s="108">
        <f t="shared" si="92"/>
        <v>1</v>
      </c>
      <c r="DC16" s="108">
        <f t="shared" si="93"/>
        <v>1</v>
      </c>
      <c r="DD16" s="108">
        <f t="shared" si="94"/>
        <v>1</v>
      </c>
      <c r="DE16" s="109">
        <f t="shared" si="95"/>
        <v>4080000</v>
      </c>
      <c r="DF16" s="110">
        <f t="shared" si="96"/>
        <v>0</v>
      </c>
      <c r="DH16" s="319">
        <v>1.6</v>
      </c>
      <c r="DI16" s="319" t="s">
        <v>180</v>
      </c>
      <c r="DJ16" s="359" t="s">
        <v>257</v>
      </c>
      <c r="DK16" s="321" t="s">
        <v>184</v>
      </c>
      <c r="DL16" s="325">
        <v>85</v>
      </c>
      <c r="DM16" s="323">
        <v>12032</v>
      </c>
      <c r="DN16" s="324">
        <f t="shared" si="28"/>
        <v>1022720</v>
      </c>
      <c r="DO16" s="108">
        <f t="shared" si="29"/>
        <v>1</v>
      </c>
      <c r="DP16" s="108">
        <f t="shared" si="30"/>
        <v>1</v>
      </c>
      <c r="DQ16" s="108">
        <f t="shared" si="31"/>
        <v>1</v>
      </c>
      <c r="DR16" s="108">
        <f t="shared" si="32"/>
        <v>1</v>
      </c>
      <c r="DS16" s="108">
        <f t="shared" si="97"/>
        <v>1</v>
      </c>
      <c r="DT16" s="108">
        <f t="shared" si="98"/>
        <v>1</v>
      </c>
      <c r="DU16" s="108">
        <f t="shared" si="99"/>
        <v>1</v>
      </c>
      <c r="DV16" s="109">
        <f t="shared" si="100"/>
        <v>1022720</v>
      </c>
      <c r="DW16" s="110">
        <f t="shared" si="101"/>
        <v>0</v>
      </c>
      <c r="DY16" s="319">
        <v>1.6</v>
      </c>
      <c r="DZ16" s="319" t="s">
        <v>180</v>
      </c>
      <c r="EA16" s="359" t="s">
        <v>257</v>
      </c>
      <c r="EB16" s="321" t="s">
        <v>184</v>
      </c>
      <c r="EC16" s="325">
        <v>85</v>
      </c>
      <c r="ED16" s="323">
        <v>21000</v>
      </c>
      <c r="EE16" s="324">
        <f t="shared" si="33"/>
        <v>1785000</v>
      </c>
      <c r="EF16" s="108">
        <f t="shared" si="34"/>
        <v>1</v>
      </c>
      <c r="EG16" s="108">
        <f t="shared" si="35"/>
        <v>1</v>
      </c>
      <c r="EH16" s="108">
        <f t="shared" si="36"/>
        <v>1</v>
      </c>
      <c r="EI16" s="108">
        <f t="shared" si="37"/>
        <v>1</v>
      </c>
      <c r="EJ16" s="108">
        <f t="shared" si="102"/>
        <v>1</v>
      </c>
      <c r="EK16" s="108">
        <f t="shared" si="103"/>
        <v>1</v>
      </c>
      <c r="EL16" s="108">
        <f t="shared" si="104"/>
        <v>1</v>
      </c>
      <c r="EM16" s="109">
        <f t="shared" si="105"/>
        <v>1785000</v>
      </c>
      <c r="EN16" s="110">
        <f t="shared" si="106"/>
        <v>0</v>
      </c>
      <c r="EP16" s="319">
        <v>1.6</v>
      </c>
      <c r="EQ16" s="319" t="s">
        <v>180</v>
      </c>
      <c r="ER16" s="320" t="s">
        <v>257</v>
      </c>
      <c r="ES16" s="321" t="s">
        <v>184</v>
      </c>
      <c r="ET16" s="325">
        <v>85</v>
      </c>
      <c r="EU16" s="323">
        <v>22000</v>
      </c>
      <c r="EV16" s="324">
        <f t="shared" si="38"/>
        <v>1870000</v>
      </c>
      <c r="EW16" s="108">
        <f t="shared" si="39"/>
        <v>1</v>
      </c>
      <c r="EX16" s="108">
        <f t="shared" si="40"/>
        <v>1</v>
      </c>
      <c r="EY16" s="108">
        <f t="shared" si="41"/>
        <v>1</v>
      </c>
      <c r="EZ16" s="108">
        <f t="shared" si="42"/>
        <v>1</v>
      </c>
      <c r="FA16" s="108">
        <f t="shared" si="107"/>
        <v>1</v>
      </c>
      <c r="FB16" s="108">
        <f t="shared" si="108"/>
        <v>1</v>
      </c>
      <c r="FC16" s="108">
        <f t="shared" si="109"/>
        <v>1</v>
      </c>
      <c r="FD16" s="109">
        <f t="shared" si="110"/>
        <v>1870000</v>
      </c>
      <c r="FE16" s="110">
        <f t="shared" si="111"/>
        <v>0</v>
      </c>
      <c r="FG16" s="319">
        <v>1.6</v>
      </c>
      <c r="FH16" s="319" t="s">
        <v>180</v>
      </c>
      <c r="FI16" s="359" t="s">
        <v>257</v>
      </c>
      <c r="FJ16" s="321" t="s">
        <v>184</v>
      </c>
      <c r="FK16" s="325">
        <v>85</v>
      </c>
      <c r="FL16" s="323">
        <v>12041</v>
      </c>
      <c r="FM16" s="324">
        <f t="shared" si="43"/>
        <v>1023485</v>
      </c>
      <c r="FN16" s="108">
        <f t="shared" si="44"/>
        <v>1</v>
      </c>
      <c r="FO16" s="108">
        <f t="shared" si="45"/>
        <v>1</v>
      </c>
      <c r="FP16" s="108">
        <f t="shared" si="46"/>
        <v>1</v>
      </c>
      <c r="FQ16" s="108">
        <f t="shared" si="47"/>
        <v>1</v>
      </c>
      <c r="FR16" s="108">
        <f t="shared" si="112"/>
        <v>1</v>
      </c>
      <c r="FS16" s="108">
        <f t="shared" si="113"/>
        <v>1</v>
      </c>
      <c r="FT16" s="108">
        <f t="shared" si="114"/>
        <v>1</v>
      </c>
      <c r="FU16" s="109">
        <f t="shared" si="115"/>
        <v>1023485</v>
      </c>
      <c r="FV16" s="110">
        <f t="shared" si="116"/>
        <v>0</v>
      </c>
      <c r="FX16" s="319">
        <v>1.6</v>
      </c>
      <c r="FY16" s="319" t="s">
        <v>180</v>
      </c>
      <c r="FZ16" s="320" t="s">
        <v>257</v>
      </c>
      <c r="GA16" s="321" t="s">
        <v>184</v>
      </c>
      <c r="GB16" s="325">
        <v>85</v>
      </c>
      <c r="GC16" s="323">
        <v>45000</v>
      </c>
      <c r="GD16" s="324">
        <f t="shared" si="48"/>
        <v>3825000</v>
      </c>
      <c r="GE16" s="108">
        <f t="shared" si="49"/>
        <v>1</v>
      </c>
      <c r="GF16" s="108">
        <f t="shared" si="50"/>
        <v>1</v>
      </c>
      <c r="GG16" s="108">
        <f t="shared" si="51"/>
        <v>1</v>
      </c>
      <c r="GH16" s="108">
        <f t="shared" si="52"/>
        <v>1</v>
      </c>
      <c r="GI16" s="108">
        <f t="shared" si="117"/>
        <v>1</v>
      </c>
      <c r="GJ16" s="108">
        <f t="shared" si="118"/>
        <v>1</v>
      </c>
      <c r="GK16" s="108">
        <f t="shared" si="119"/>
        <v>1</v>
      </c>
      <c r="GL16" s="109">
        <f t="shared" si="120"/>
        <v>3825000</v>
      </c>
      <c r="GM16" s="110">
        <f t="shared" si="121"/>
        <v>0</v>
      </c>
      <c r="GO16" s="319">
        <v>1.6</v>
      </c>
      <c r="GP16" s="319" t="s">
        <v>180</v>
      </c>
      <c r="GQ16" s="320" t="s">
        <v>257</v>
      </c>
      <c r="GR16" s="321" t="s">
        <v>184</v>
      </c>
      <c r="GS16" s="325">
        <v>85</v>
      </c>
      <c r="GT16" s="323">
        <v>40000</v>
      </c>
      <c r="GU16" s="324">
        <v>3400000</v>
      </c>
      <c r="GV16" s="108">
        <f t="shared" si="53"/>
        <v>1</v>
      </c>
      <c r="GW16" s="108">
        <f t="shared" si="54"/>
        <v>1</v>
      </c>
      <c r="GX16" s="108">
        <f t="shared" si="55"/>
        <v>1</v>
      </c>
      <c r="GY16" s="108">
        <f t="shared" si="56"/>
        <v>1</v>
      </c>
      <c r="GZ16" s="108">
        <f t="shared" si="122"/>
        <v>1</v>
      </c>
      <c r="HA16" s="108">
        <f t="shared" si="123"/>
        <v>1</v>
      </c>
      <c r="HB16" s="108">
        <f t="shared" si="124"/>
        <v>1</v>
      </c>
      <c r="HC16" s="109">
        <f t="shared" si="125"/>
        <v>3400000</v>
      </c>
      <c r="HD16" s="110">
        <f t="shared" si="126"/>
        <v>0</v>
      </c>
      <c r="HF16" s="319">
        <v>1.6</v>
      </c>
      <c r="HG16" s="319" t="s">
        <v>180</v>
      </c>
      <c r="HH16" s="320" t="s">
        <v>257</v>
      </c>
      <c r="HI16" s="321" t="s">
        <v>184</v>
      </c>
      <c r="HJ16" s="325">
        <v>85</v>
      </c>
      <c r="HK16" s="323">
        <v>32000</v>
      </c>
      <c r="HL16" s="324">
        <f t="shared" si="57"/>
        <v>2720000</v>
      </c>
      <c r="HM16" s="108">
        <f t="shared" si="58"/>
        <v>1</v>
      </c>
      <c r="HN16" s="108">
        <f t="shared" si="59"/>
        <v>1</v>
      </c>
      <c r="HO16" s="108">
        <f t="shared" si="60"/>
        <v>1</v>
      </c>
      <c r="HP16" s="108">
        <f t="shared" si="61"/>
        <v>1</v>
      </c>
      <c r="HQ16" s="108">
        <f t="shared" si="127"/>
        <v>1</v>
      </c>
      <c r="HR16" s="108">
        <f t="shared" si="128"/>
        <v>1</v>
      </c>
      <c r="HS16" s="108">
        <f t="shared" si="129"/>
        <v>1</v>
      </c>
      <c r="HT16" s="109">
        <f t="shared" si="130"/>
        <v>2720000</v>
      </c>
      <c r="HU16" s="110">
        <f t="shared" si="131"/>
        <v>0</v>
      </c>
      <c r="HW16" s="319">
        <v>1.6</v>
      </c>
      <c r="HX16" s="319" t="s">
        <v>180</v>
      </c>
      <c r="HY16" s="320" t="s">
        <v>257</v>
      </c>
      <c r="HZ16" s="321" t="s">
        <v>184</v>
      </c>
      <c r="IA16" s="325">
        <v>85</v>
      </c>
      <c r="IB16" s="323">
        <v>10000</v>
      </c>
      <c r="IC16" s="324">
        <f t="shared" si="62"/>
        <v>850000</v>
      </c>
      <c r="ID16" s="108">
        <f t="shared" si="63"/>
        <v>1</v>
      </c>
      <c r="IE16" s="108">
        <f t="shared" si="64"/>
        <v>1</v>
      </c>
      <c r="IF16" s="108">
        <f t="shared" si="65"/>
        <v>1</v>
      </c>
      <c r="IG16" s="108">
        <f t="shared" si="66"/>
        <v>1</v>
      </c>
      <c r="IH16" s="108">
        <f t="shared" si="132"/>
        <v>1</v>
      </c>
      <c r="II16" s="108">
        <f t="shared" si="133"/>
        <v>1</v>
      </c>
      <c r="IJ16" s="108">
        <f t="shared" si="134"/>
        <v>1</v>
      </c>
      <c r="IK16" s="109">
        <f t="shared" si="135"/>
        <v>850000</v>
      </c>
      <c r="IL16" s="110">
        <f t="shared" si="136"/>
        <v>0</v>
      </c>
    </row>
    <row r="17" spans="1:246" ht="104.25" customHeight="1" x14ac:dyDescent="0.25">
      <c r="B17" s="326">
        <v>1.7</v>
      </c>
      <c r="C17" s="319" t="s">
        <v>178</v>
      </c>
      <c r="D17" s="320" t="s">
        <v>258</v>
      </c>
      <c r="E17" s="327" t="s">
        <v>259</v>
      </c>
      <c r="F17" s="322">
        <v>42.5</v>
      </c>
      <c r="G17" s="323">
        <v>0</v>
      </c>
      <c r="H17" s="328">
        <f>G17*F17</f>
        <v>0</v>
      </c>
      <c r="J17" s="326">
        <v>1.7</v>
      </c>
      <c r="K17" s="319" t="s">
        <v>178</v>
      </c>
      <c r="L17" s="320" t="s">
        <v>258</v>
      </c>
      <c r="M17" s="327" t="s">
        <v>184</v>
      </c>
      <c r="N17" s="322">
        <v>42.5</v>
      </c>
      <c r="O17" s="323">
        <v>15796</v>
      </c>
      <c r="P17" s="328">
        <v>671330</v>
      </c>
      <c r="Q17" s="108">
        <f t="shared" si="1"/>
        <v>1</v>
      </c>
      <c r="R17" s="108">
        <f t="shared" si="2"/>
        <v>1</v>
      </c>
      <c r="S17" s="108">
        <f t="shared" si="3"/>
        <v>1</v>
      </c>
      <c r="T17" s="108">
        <f t="shared" si="4"/>
        <v>1</v>
      </c>
      <c r="U17" s="108">
        <f t="shared" si="67"/>
        <v>1</v>
      </c>
      <c r="V17" s="108">
        <f t="shared" si="68"/>
        <v>1</v>
      </c>
      <c r="W17" s="108">
        <f t="shared" si="69"/>
        <v>1</v>
      </c>
      <c r="X17" s="109">
        <f t="shared" si="70"/>
        <v>671330</v>
      </c>
      <c r="Y17" s="110">
        <f t="shared" si="71"/>
        <v>0</v>
      </c>
      <c r="AA17" s="326">
        <v>1.7</v>
      </c>
      <c r="AB17" s="319" t="s">
        <v>178</v>
      </c>
      <c r="AC17" s="320" t="s">
        <v>258</v>
      </c>
      <c r="AD17" s="327" t="s">
        <v>184</v>
      </c>
      <c r="AE17" s="322">
        <v>42.5</v>
      </c>
      <c r="AF17" s="323">
        <v>25000</v>
      </c>
      <c r="AG17" s="328">
        <v>1062500</v>
      </c>
      <c r="AH17" s="108">
        <f t="shared" si="5"/>
        <v>1</v>
      </c>
      <c r="AI17" s="108">
        <f t="shared" si="6"/>
        <v>1</v>
      </c>
      <c r="AJ17" s="108">
        <f t="shared" si="7"/>
        <v>1</v>
      </c>
      <c r="AK17" s="108">
        <f t="shared" si="8"/>
        <v>1</v>
      </c>
      <c r="AL17" s="108">
        <f t="shared" si="72"/>
        <v>1</v>
      </c>
      <c r="AM17" s="108">
        <f t="shared" si="73"/>
        <v>1</v>
      </c>
      <c r="AN17" s="108">
        <f t="shared" si="74"/>
        <v>1</v>
      </c>
      <c r="AO17" s="109">
        <f t="shared" si="75"/>
        <v>1062500</v>
      </c>
      <c r="AP17" s="110">
        <f t="shared" si="76"/>
        <v>0</v>
      </c>
      <c r="AR17" s="326">
        <v>1.7</v>
      </c>
      <c r="AS17" s="319" t="s">
        <v>178</v>
      </c>
      <c r="AT17" s="320" t="s">
        <v>258</v>
      </c>
      <c r="AU17" s="327" t="s">
        <v>184</v>
      </c>
      <c r="AV17" s="322">
        <v>42.5</v>
      </c>
      <c r="AW17" s="323">
        <v>16490</v>
      </c>
      <c r="AX17" s="328">
        <v>700825</v>
      </c>
      <c r="AY17" s="108">
        <f t="shared" si="9"/>
        <v>1</v>
      </c>
      <c r="AZ17" s="108">
        <f t="shared" si="10"/>
        <v>1</v>
      </c>
      <c r="BA17" s="108">
        <f t="shared" si="11"/>
        <v>1</v>
      </c>
      <c r="BB17" s="108">
        <f t="shared" si="12"/>
        <v>1</v>
      </c>
      <c r="BC17" s="108">
        <f t="shared" si="77"/>
        <v>1</v>
      </c>
      <c r="BD17" s="108">
        <f t="shared" si="78"/>
        <v>1</v>
      </c>
      <c r="BE17" s="108">
        <f t="shared" si="79"/>
        <v>1</v>
      </c>
      <c r="BF17" s="109">
        <f t="shared" si="80"/>
        <v>700825</v>
      </c>
      <c r="BG17" s="110">
        <f t="shared" si="81"/>
        <v>0</v>
      </c>
      <c r="BI17" s="326">
        <v>1.7</v>
      </c>
      <c r="BJ17" s="319" t="s">
        <v>178</v>
      </c>
      <c r="BK17" s="320" t="s">
        <v>258</v>
      </c>
      <c r="BL17" s="327" t="s">
        <v>259</v>
      </c>
      <c r="BM17" s="322">
        <v>42.5</v>
      </c>
      <c r="BN17" s="323">
        <v>12796</v>
      </c>
      <c r="BO17" s="328">
        <f>BN17*BM17</f>
        <v>543830</v>
      </c>
      <c r="BP17" s="108">
        <f t="shared" si="14"/>
        <v>1</v>
      </c>
      <c r="BQ17" s="108">
        <f t="shared" si="15"/>
        <v>1</v>
      </c>
      <c r="BR17" s="108">
        <f t="shared" si="16"/>
        <v>1</v>
      </c>
      <c r="BS17" s="108">
        <f t="shared" si="17"/>
        <v>1</v>
      </c>
      <c r="BT17" s="108">
        <f t="shared" si="82"/>
        <v>1</v>
      </c>
      <c r="BU17" s="108">
        <f t="shared" si="83"/>
        <v>1</v>
      </c>
      <c r="BV17" s="108">
        <f t="shared" si="84"/>
        <v>1</v>
      </c>
      <c r="BW17" s="109">
        <f t="shared" si="85"/>
        <v>543830</v>
      </c>
      <c r="BX17" s="110">
        <f t="shared" si="86"/>
        <v>0</v>
      </c>
      <c r="BZ17" s="326">
        <v>1.7</v>
      </c>
      <c r="CA17" s="319" t="s">
        <v>178</v>
      </c>
      <c r="CB17" s="320" t="s">
        <v>258</v>
      </c>
      <c r="CC17" s="327" t="s">
        <v>259</v>
      </c>
      <c r="CD17" s="322">
        <v>42.5</v>
      </c>
      <c r="CE17" s="323">
        <v>56000</v>
      </c>
      <c r="CF17" s="328">
        <f>CE17*CD17</f>
        <v>2380000</v>
      </c>
      <c r="CG17" s="108">
        <f t="shared" si="19"/>
        <v>1</v>
      </c>
      <c r="CH17" s="108">
        <f t="shared" si="20"/>
        <v>1</v>
      </c>
      <c r="CI17" s="108">
        <f t="shared" si="21"/>
        <v>1</v>
      </c>
      <c r="CJ17" s="108">
        <f t="shared" si="22"/>
        <v>1</v>
      </c>
      <c r="CK17" s="108">
        <f t="shared" si="87"/>
        <v>1</v>
      </c>
      <c r="CL17" s="108">
        <f t="shared" si="88"/>
        <v>1</v>
      </c>
      <c r="CM17" s="108">
        <f t="shared" si="89"/>
        <v>1</v>
      </c>
      <c r="CN17" s="109">
        <f t="shared" si="90"/>
        <v>2380000</v>
      </c>
      <c r="CO17" s="110">
        <f t="shared" si="91"/>
        <v>0</v>
      </c>
      <c r="CQ17" s="326">
        <v>1.7</v>
      </c>
      <c r="CR17" s="319" t="s">
        <v>178</v>
      </c>
      <c r="CS17" s="320" t="s">
        <v>258</v>
      </c>
      <c r="CT17" s="327" t="s">
        <v>259</v>
      </c>
      <c r="CU17" s="322">
        <v>42.5</v>
      </c>
      <c r="CV17" s="323">
        <v>17300</v>
      </c>
      <c r="CW17" s="328">
        <f>CV17*CU17</f>
        <v>735250</v>
      </c>
      <c r="CX17" s="108">
        <f t="shared" si="24"/>
        <v>1</v>
      </c>
      <c r="CY17" s="108">
        <f t="shared" si="25"/>
        <v>1</v>
      </c>
      <c r="CZ17" s="108">
        <f t="shared" si="26"/>
        <v>1</v>
      </c>
      <c r="DA17" s="108">
        <f t="shared" si="27"/>
        <v>1</v>
      </c>
      <c r="DB17" s="108">
        <f t="shared" si="92"/>
        <v>1</v>
      </c>
      <c r="DC17" s="108">
        <f t="shared" si="93"/>
        <v>1</v>
      </c>
      <c r="DD17" s="108">
        <f t="shared" si="94"/>
        <v>1</v>
      </c>
      <c r="DE17" s="109">
        <f t="shared" si="95"/>
        <v>735250</v>
      </c>
      <c r="DF17" s="110">
        <f t="shared" si="96"/>
        <v>0</v>
      </c>
      <c r="DH17" s="326">
        <v>1.7</v>
      </c>
      <c r="DI17" s="319" t="s">
        <v>178</v>
      </c>
      <c r="DJ17" s="359" t="s">
        <v>258</v>
      </c>
      <c r="DK17" s="327" t="s">
        <v>259</v>
      </c>
      <c r="DL17" s="322">
        <v>42.5</v>
      </c>
      <c r="DM17" s="323">
        <v>11081</v>
      </c>
      <c r="DN17" s="328">
        <f>DM17*DL17</f>
        <v>470942.5</v>
      </c>
      <c r="DO17" s="108">
        <f t="shared" si="29"/>
        <v>1</v>
      </c>
      <c r="DP17" s="108">
        <f t="shared" si="30"/>
        <v>1</v>
      </c>
      <c r="DQ17" s="108">
        <f t="shared" si="31"/>
        <v>1</v>
      </c>
      <c r="DR17" s="108">
        <f t="shared" si="32"/>
        <v>1</v>
      </c>
      <c r="DS17" s="108">
        <f t="shared" si="97"/>
        <v>1</v>
      </c>
      <c r="DT17" s="108">
        <f t="shared" si="98"/>
        <v>1</v>
      </c>
      <c r="DU17" s="108">
        <f t="shared" si="99"/>
        <v>1</v>
      </c>
      <c r="DV17" s="109">
        <f t="shared" si="100"/>
        <v>470943</v>
      </c>
      <c r="DW17" s="110">
        <f t="shared" si="101"/>
        <v>-0.5</v>
      </c>
      <c r="DY17" s="326">
        <v>1.7</v>
      </c>
      <c r="DZ17" s="319" t="s">
        <v>178</v>
      </c>
      <c r="EA17" s="359" t="s">
        <v>258</v>
      </c>
      <c r="EB17" s="327" t="s">
        <v>259</v>
      </c>
      <c r="EC17" s="322">
        <v>42.5</v>
      </c>
      <c r="ED17" s="323">
        <v>21000</v>
      </c>
      <c r="EE17" s="328">
        <f>ED17*EC17</f>
        <v>892500</v>
      </c>
      <c r="EF17" s="108">
        <f t="shared" si="34"/>
        <v>1</v>
      </c>
      <c r="EG17" s="108">
        <f t="shared" si="35"/>
        <v>1</v>
      </c>
      <c r="EH17" s="108">
        <f t="shared" si="36"/>
        <v>1</v>
      </c>
      <c r="EI17" s="108">
        <f t="shared" si="37"/>
        <v>1</v>
      </c>
      <c r="EJ17" s="108">
        <f t="shared" si="102"/>
        <v>1</v>
      </c>
      <c r="EK17" s="108">
        <f t="shared" si="103"/>
        <v>1</v>
      </c>
      <c r="EL17" s="108">
        <f t="shared" si="104"/>
        <v>1</v>
      </c>
      <c r="EM17" s="109">
        <f t="shared" si="105"/>
        <v>892500</v>
      </c>
      <c r="EN17" s="110">
        <f t="shared" si="106"/>
        <v>0</v>
      </c>
      <c r="EP17" s="326">
        <v>1.7</v>
      </c>
      <c r="EQ17" s="319" t="s">
        <v>178</v>
      </c>
      <c r="ER17" s="320" t="s">
        <v>258</v>
      </c>
      <c r="ES17" s="327" t="s">
        <v>259</v>
      </c>
      <c r="ET17" s="322">
        <v>42.5</v>
      </c>
      <c r="EU17" s="323">
        <v>24000</v>
      </c>
      <c r="EV17" s="328">
        <f>EU17*ET17</f>
        <v>1020000</v>
      </c>
      <c r="EW17" s="108">
        <f t="shared" si="39"/>
        <v>1</v>
      </c>
      <c r="EX17" s="108">
        <f t="shared" si="40"/>
        <v>1</v>
      </c>
      <c r="EY17" s="108">
        <f t="shared" si="41"/>
        <v>1</v>
      </c>
      <c r="EZ17" s="108">
        <f t="shared" si="42"/>
        <v>1</v>
      </c>
      <c r="FA17" s="108">
        <f t="shared" si="107"/>
        <v>1</v>
      </c>
      <c r="FB17" s="108">
        <f t="shared" si="108"/>
        <v>1</v>
      </c>
      <c r="FC17" s="108">
        <f t="shared" si="109"/>
        <v>1</v>
      </c>
      <c r="FD17" s="109">
        <f t="shared" si="110"/>
        <v>1020000</v>
      </c>
      <c r="FE17" s="110">
        <f t="shared" si="111"/>
        <v>0</v>
      </c>
      <c r="FG17" s="326">
        <v>1.7</v>
      </c>
      <c r="FH17" s="319" t="s">
        <v>178</v>
      </c>
      <c r="FI17" s="359" t="s">
        <v>258</v>
      </c>
      <c r="FJ17" s="327" t="s">
        <v>259</v>
      </c>
      <c r="FK17" s="322">
        <v>42.5</v>
      </c>
      <c r="FL17" s="323">
        <v>11080</v>
      </c>
      <c r="FM17" s="328">
        <f>FL17*FK17</f>
        <v>470900</v>
      </c>
      <c r="FN17" s="108">
        <f t="shared" si="44"/>
        <v>1</v>
      </c>
      <c r="FO17" s="108">
        <f t="shared" si="45"/>
        <v>1</v>
      </c>
      <c r="FP17" s="108">
        <f t="shared" si="46"/>
        <v>1</v>
      </c>
      <c r="FQ17" s="108">
        <f t="shared" si="47"/>
        <v>1</v>
      </c>
      <c r="FR17" s="108">
        <f t="shared" si="112"/>
        <v>1</v>
      </c>
      <c r="FS17" s="108">
        <f t="shared" si="113"/>
        <v>1</v>
      </c>
      <c r="FT17" s="108">
        <f t="shared" si="114"/>
        <v>1</v>
      </c>
      <c r="FU17" s="109">
        <f t="shared" si="115"/>
        <v>470900</v>
      </c>
      <c r="FV17" s="110">
        <f t="shared" si="116"/>
        <v>0</v>
      </c>
      <c r="FX17" s="326">
        <v>1.7</v>
      </c>
      <c r="FY17" s="319" t="s">
        <v>178</v>
      </c>
      <c r="FZ17" s="320" t="s">
        <v>258</v>
      </c>
      <c r="GA17" s="327" t="s">
        <v>259</v>
      </c>
      <c r="GB17" s="322">
        <v>42.5</v>
      </c>
      <c r="GC17" s="323">
        <v>15000</v>
      </c>
      <c r="GD17" s="328">
        <f>GC17*GB17</f>
        <v>637500</v>
      </c>
      <c r="GE17" s="108">
        <f t="shared" si="49"/>
        <v>1</v>
      </c>
      <c r="GF17" s="108">
        <f t="shared" si="50"/>
        <v>1</v>
      </c>
      <c r="GG17" s="108">
        <f t="shared" si="51"/>
        <v>1</v>
      </c>
      <c r="GH17" s="108">
        <f t="shared" si="52"/>
        <v>1</v>
      </c>
      <c r="GI17" s="108">
        <f t="shared" si="117"/>
        <v>1</v>
      </c>
      <c r="GJ17" s="108">
        <f t="shared" si="118"/>
        <v>1</v>
      </c>
      <c r="GK17" s="108">
        <f t="shared" si="119"/>
        <v>1</v>
      </c>
      <c r="GL17" s="109">
        <f t="shared" si="120"/>
        <v>637500</v>
      </c>
      <c r="GM17" s="110">
        <f t="shared" si="121"/>
        <v>0</v>
      </c>
      <c r="GO17" s="326">
        <v>1.7</v>
      </c>
      <c r="GP17" s="319" t="s">
        <v>178</v>
      </c>
      <c r="GQ17" s="320" t="s">
        <v>258</v>
      </c>
      <c r="GR17" s="327" t="s">
        <v>184</v>
      </c>
      <c r="GS17" s="322">
        <v>42.5</v>
      </c>
      <c r="GT17" s="323">
        <v>22000</v>
      </c>
      <c r="GU17" s="328">
        <v>935000</v>
      </c>
      <c r="GV17" s="108">
        <f t="shared" si="53"/>
        <v>1</v>
      </c>
      <c r="GW17" s="108">
        <f t="shared" si="54"/>
        <v>1</v>
      </c>
      <c r="GX17" s="108">
        <f t="shared" si="55"/>
        <v>1</v>
      </c>
      <c r="GY17" s="108">
        <f t="shared" si="56"/>
        <v>1</v>
      </c>
      <c r="GZ17" s="108">
        <f t="shared" si="122"/>
        <v>1</v>
      </c>
      <c r="HA17" s="108">
        <f t="shared" si="123"/>
        <v>1</v>
      </c>
      <c r="HB17" s="108">
        <f t="shared" si="124"/>
        <v>1</v>
      </c>
      <c r="HC17" s="109">
        <f t="shared" si="125"/>
        <v>935000</v>
      </c>
      <c r="HD17" s="110">
        <f t="shared" si="126"/>
        <v>0</v>
      </c>
      <c r="HF17" s="326">
        <v>1.7</v>
      </c>
      <c r="HG17" s="319" t="s">
        <v>178</v>
      </c>
      <c r="HH17" s="320" t="s">
        <v>258</v>
      </c>
      <c r="HI17" s="327" t="s">
        <v>259</v>
      </c>
      <c r="HJ17" s="322">
        <v>42.5</v>
      </c>
      <c r="HK17" s="323">
        <v>22000</v>
      </c>
      <c r="HL17" s="328">
        <f>HK17*HJ17</f>
        <v>935000</v>
      </c>
      <c r="HM17" s="108">
        <f t="shared" si="58"/>
        <v>1</v>
      </c>
      <c r="HN17" s="108">
        <f t="shared" si="59"/>
        <v>1</v>
      </c>
      <c r="HO17" s="108">
        <f t="shared" si="60"/>
        <v>1</v>
      </c>
      <c r="HP17" s="108">
        <f t="shared" si="61"/>
        <v>1</v>
      </c>
      <c r="HQ17" s="108">
        <f t="shared" si="127"/>
        <v>1</v>
      </c>
      <c r="HR17" s="108">
        <f t="shared" si="128"/>
        <v>1</v>
      </c>
      <c r="HS17" s="108">
        <f t="shared" si="129"/>
        <v>1</v>
      </c>
      <c r="HT17" s="109">
        <f t="shared" si="130"/>
        <v>935000</v>
      </c>
      <c r="HU17" s="110">
        <f t="shared" si="131"/>
        <v>0</v>
      </c>
      <c r="HW17" s="326">
        <v>1.7</v>
      </c>
      <c r="HX17" s="319" t="s">
        <v>178</v>
      </c>
      <c r="HY17" s="320" t="s">
        <v>258</v>
      </c>
      <c r="HZ17" s="327" t="s">
        <v>259</v>
      </c>
      <c r="IA17" s="322">
        <v>42.5</v>
      </c>
      <c r="IB17" s="323">
        <v>25000</v>
      </c>
      <c r="IC17" s="328">
        <f>IB17*IA17</f>
        <v>1062500</v>
      </c>
      <c r="ID17" s="108">
        <f t="shared" si="63"/>
        <v>1</v>
      </c>
      <c r="IE17" s="108">
        <f t="shared" si="64"/>
        <v>1</v>
      </c>
      <c r="IF17" s="108">
        <f t="shared" si="65"/>
        <v>1</v>
      </c>
      <c r="IG17" s="108">
        <f t="shared" si="66"/>
        <v>1</v>
      </c>
      <c r="IH17" s="108">
        <f t="shared" si="132"/>
        <v>1</v>
      </c>
      <c r="II17" s="108">
        <f t="shared" si="133"/>
        <v>1</v>
      </c>
      <c r="IJ17" s="108">
        <f t="shared" si="134"/>
        <v>1</v>
      </c>
      <c r="IK17" s="109">
        <f t="shared" si="135"/>
        <v>1062500</v>
      </c>
      <c r="IL17" s="110">
        <f t="shared" si="136"/>
        <v>0</v>
      </c>
    </row>
    <row r="18" spans="1:246" ht="33" customHeight="1" x14ac:dyDescent="0.25">
      <c r="B18" s="317" t="s">
        <v>182</v>
      </c>
      <c r="C18" s="317"/>
      <c r="D18" s="318" t="s">
        <v>260</v>
      </c>
      <c r="E18" s="329"/>
      <c r="F18" s="330">
        <v>0</v>
      </c>
      <c r="G18" s="329"/>
      <c r="H18" s="329"/>
      <c r="J18" s="317" t="s">
        <v>182</v>
      </c>
      <c r="K18" s="317"/>
      <c r="L18" s="318" t="s">
        <v>260</v>
      </c>
      <c r="M18" s="329"/>
      <c r="N18" s="330">
        <v>0</v>
      </c>
      <c r="O18" s="329"/>
      <c r="P18" s="329"/>
      <c r="Q18" s="547"/>
      <c r="R18" s="548"/>
      <c r="S18" s="548"/>
      <c r="T18" s="548"/>
      <c r="U18" s="548"/>
      <c r="V18" s="548"/>
      <c r="W18" s="548"/>
      <c r="X18" s="548"/>
      <c r="Y18" s="549"/>
      <c r="AA18" s="317" t="s">
        <v>182</v>
      </c>
      <c r="AB18" s="317"/>
      <c r="AC18" s="318" t="s">
        <v>260</v>
      </c>
      <c r="AD18" s="329"/>
      <c r="AE18" s="330">
        <v>0</v>
      </c>
      <c r="AF18" s="329"/>
      <c r="AG18" s="329"/>
      <c r="AH18" s="547"/>
      <c r="AI18" s="548"/>
      <c r="AJ18" s="548"/>
      <c r="AK18" s="548"/>
      <c r="AL18" s="548"/>
      <c r="AM18" s="548"/>
      <c r="AN18" s="548"/>
      <c r="AO18" s="548"/>
      <c r="AP18" s="549"/>
      <c r="AR18" s="317" t="s">
        <v>182</v>
      </c>
      <c r="AS18" s="317"/>
      <c r="AT18" s="318" t="s">
        <v>260</v>
      </c>
      <c r="AU18" s="329"/>
      <c r="AV18" s="330">
        <v>0</v>
      </c>
      <c r="AW18" s="329"/>
      <c r="AX18" s="329"/>
      <c r="AY18" s="547"/>
      <c r="AZ18" s="548"/>
      <c r="BA18" s="548"/>
      <c r="BB18" s="548"/>
      <c r="BC18" s="548"/>
      <c r="BD18" s="548"/>
      <c r="BE18" s="548"/>
      <c r="BF18" s="548"/>
      <c r="BG18" s="549"/>
      <c r="BI18" s="317" t="s">
        <v>182</v>
      </c>
      <c r="BJ18" s="317"/>
      <c r="BK18" s="318" t="s">
        <v>260</v>
      </c>
      <c r="BL18" s="329"/>
      <c r="BM18" s="330">
        <v>0</v>
      </c>
      <c r="BN18" s="329"/>
      <c r="BO18" s="329"/>
      <c r="BP18" s="547"/>
      <c r="BQ18" s="548"/>
      <c r="BR18" s="548"/>
      <c r="BS18" s="548"/>
      <c r="BT18" s="548"/>
      <c r="BU18" s="548"/>
      <c r="BV18" s="548"/>
      <c r="BW18" s="548"/>
      <c r="BX18" s="549"/>
      <c r="BZ18" s="317" t="s">
        <v>182</v>
      </c>
      <c r="CA18" s="317"/>
      <c r="CB18" s="333" t="s">
        <v>260</v>
      </c>
      <c r="CC18" s="329"/>
      <c r="CD18" s="330">
        <v>0</v>
      </c>
      <c r="CE18" s="329"/>
      <c r="CF18" s="329"/>
      <c r="CG18" s="547"/>
      <c r="CH18" s="548"/>
      <c r="CI18" s="548"/>
      <c r="CJ18" s="548"/>
      <c r="CK18" s="548"/>
      <c r="CL18" s="548"/>
      <c r="CM18" s="548"/>
      <c r="CN18" s="548"/>
      <c r="CO18" s="549"/>
      <c r="CQ18" s="317" t="s">
        <v>182</v>
      </c>
      <c r="CR18" s="317"/>
      <c r="CS18" s="318" t="s">
        <v>260</v>
      </c>
      <c r="CT18" s="329"/>
      <c r="CU18" s="330">
        <v>0</v>
      </c>
      <c r="CV18" s="329"/>
      <c r="CW18" s="329"/>
      <c r="CX18" s="547"/>
      <c r="CY18" s="548"/>
      <c r="CZ18" s="548"/>
      <c r="DA18" s="548"/>
      <c r="DB18" s="548"/>
      <c r="DC18" s="548"/>
      <c r="DD18" s="548"/>
      <c r="DE18" s="548"/>
      <c r="DF18" s="549"/>
      <c r="DH18" s="317" t="s">
        <v>182</v>
      </c>
      <c r="DI18" s="317"/>
      <c r="DJ18" s="318" t="s">
        <v>260</v>
      </c>
      <c r="DK18" s="329"/>
      <c r="DL18" s="330">
        <v>0</v>
      </c>
      <c r="DM18" s="329"/>
      <c r="DN18" s="329"/>
      <c r="DO18" s="547"/>
      <c r="DP18" s="548"/>
      <c r="DQ18" s="548"/>
      <c r="DR18" s="548"/>
      <c r="DS18" s="548"/>
      <c r="DT18" s="548"/>
      <c r="DU18" s="548"/>
      <c r="DV18" s="548"/>
      <c r="DW18" s="549"/>
      <c r="DY18" s="317" t="s">
        <v>182</v>
      </c>
      <c r="DZ18" s="317"/>
      <c r="EA18" s="318" t="s">
        <v>260</v>
      </c>
      <c r="EB18" s="329"/>
      <c r="EC18" s="330">
        <v>0</v>
      </c>
      <c r="ED18" s="329"/>
      <c r="EE18" s="329"/>
      <c r="EF18" s="547"/>
      <c r="EG18" s="548"/>
      <c r="EH18" s="548"/>
      <c r="EI18" s="548"/>
      <c r="EJ18" s="548"/>
      <c r="EK18" s="548"/>
      <c r="EL18" s="548"/>
      <c r="EM18" s="548"/>
      <c r="EN18" s="549"/>
      <c r="EP18" s="317" t="s">
        <v>182</v>
      </c>
      <c r="EQ18" s="317"/>
      <c r="ER18" s="318" t="s">
        <v>260</v>
      </c>
      <c r="ES18" s="329"/>
      <c r="ET18" s="330">
        <v>0</v>
      </c>
      <c r="EU18" s="329"/>
      <c r="EV18" s="329"/>
      <c r="EW18" s="547"/>
      <c r="EX18" s="548"/>
      <c r="EY18" s="548"/>
      <c r="EZ18" s="548"/>
      <c r="FA18" s="548"/>
      <c r="FB18" s="548"/>
      <c r="FC18" s="548"/>
      <c r="FD18" s="548"/>
      <c r="FE18" s="549"/>
      <c r="FG18" s="317" t="s">
        <v>182</v>
      </c>
      <c r="FH18" s="317"/>
      <c r="FI18" s="318" t="s">
        <v>260</v>
      </c>
      <c r="FJ18" s="329"/>
      <c r="FK18" s="330">
        <v>0</v>
      </c>
      <c r="FL18" s="329"/>
      <c r="FM18" s="329"/>
      <c r="FN18" s="547"/>
      <c r="FO18" s="548"/>
      <c r="FP18" s="548"/>
      <c r="FQ18" s="548"/>
      <c r="FR18" s="548"/>
      <c r="FS18" s="548"/>
      <c r="FT18" s="548"/>
      <c r="FU18" s="548"/>
      <c r="FV18" s="549"/>
      <c r="FX18" s="317" t="s">
        <v>182</v>
      </c>
      <c r="FY18" s="317"/>
      <c r="FZ18" s="318" t="s">
        <v>260</v>
      </c>
      <c r="GA18" s="329"/>
      <c r="GB18" s="330">
        <v>0</v>
      </c>
      <c r="GC18" s="329"/>
      <c r="GD18" s="329"/>
      <c r="GE18" s="547"/>
      <c r="GF18" s="548"/>
      <c r="GG18" s="548"/>
      <c r="GH18" s="548"/>
      <c r="GI18" s="548"/>
      <c r="GJ18" s="548"/>
      <c r="GK18" s="548"/>
      <c r="GL18" s="548"/>
      <c r="GM18" s="549"/>
      <c r="GO18" s="317" t="s">
        <v>182</v>
      </c>
      <c r="GP18" s="317"/>
      <c r="GQ18" s="318" t="s">
        <v>260</v>
      </c>
      <c r="GR18" s="329"/>
      <c r="GS18" s="330">
        <v>0</v>
      </c>
      <c r="GT18" s="329"/>
      <c r="GU18" s="329"/>
      <c r="GV18" s="547"/>
      <c r="GW18" s="548"/>
      <c r="GX18" s="548"/>
      <c r="GY18" s="548"/>
      <c r="GZ18" s="548"/>
      <c r="HA18" s="548"/>
      <c r="HB18" s="548"/>
      <c r="HC18" s="548"/>
      <c r="HD18" s="549"/>
      <c r="HF18" s="317" t="s">
        <v>182</v>
      </c>
      <c r="HG18" s="317"/>
      <c r="HH18" s="318" t="s">
        <v>260</v>
      </c>
      <c r="HI18" s="329"/>
      <c r="HJ18" s="330">
        <v>0</v>
      </c>
      <c r="HK18" s="329"/>
      <c r="HL18" s="329"/>
      <c r="HM18" s="547"/>
      <c r="HN18" s="548"/>
      <c r="HO18" s="548"/>
      <c r="HP18" s="548"/>
      <c r="HQ18" s="548"/>
      <c r="HR18" s="548"/>
      <c r="HS18" s="548"/>
      <c r="HT18" s="548"/>
      <c r="HU18" s="549"/>
      <c r="HW18" s="317" t="s">
        <v>182</v>
      </c>
      <c r="HX18" s="317"/>
      <c r="HY18" s="318" t="s">
        <v>260</v>
      </c>
      <c r="HZ18" s="329"/>
      <c r="IA18" s="330">
        <v>0</v>
      </c>
      <c r="IB18" s="329"/>
      <c r="IC18" s="329"/>
      <c r="ID18" s="547"/>
      <c r="IE18" s="548"/>
      <c r="IF18" s="548"/>
      <c r="IG18" s="548"/>
      <c r="IH18" s="548"/>
      <c r="II18" s="548"/>
      <c r="IJ18" s="548"/>
      <c r="IK18" s="548"/>
      <c r="IL18" s="549"/>
    </row>
    <row r="19" spans="1:246" ht="129.75" customHeight="1" x14ac:dyDescent="0.25">
      <c r="B19" s="319">
        <v>2.1</v>
      </c>
      <c r="C19" s="319" t="s">
        <v>178</v>
      </c>
      <c r="D19" s="320" t="s">
        <v>197</v>
      </c>
      <c r="E19" s="321" t="s">
        <v>184</v>
      </c>
      <c r="F19" s="322">
        <v>12325.034422917055</v>
      </c>
      <c r="G19" s="323">
        <v>0</v>
      </c>
      <c r="H19" s="324">
        <f t="shared" ref="H19:H30" si="146">G19*F19</f>
        <v>0</v>
      </c>
      <c r="J19" s="319">
        <v>2.1</v>
      </c>
      <c r="K19" s="319" t="s">
        <v>178</v>
      </c>
      <c r="L19" s="320" t="s">
        <v>197</v>
      </c>
      <c r="M19" s="321" t="s">
        <v>184</v>
      </c>
      <c r="N19" s="322">
        <v>12325.034422917055</v>
      </c>
      <c r="O19" s="323">
        <v>9644</v>
      </c>
      <c r="P19" s="324">
        <v>118862632</v>
      </c>
      <c r="Q19" s="108">
        <f t="shared" si="1"/>
        <v>1</v>
      </c>
      <c r="R19" s="108">
        <f t="shared" si="2"/>
        <v>1</v>
      </c>
      <c r="S19" s="108">
        <f t="shared" si="3"/>
        <v>1</v>
      </c>
      <c r="T19" s="108">
        <f t="shared" si="4"/>
        <v>1</v>
      </c>
      <c r="U19" s="108">
        <f t="shared" si="67"/>
        <v>1</v>
      </c>
      <c r="V19" s="108">
        <f t="shared" si="68"/>
        <v>1</v>
      </c>
      <c r="W19" s="108">
        <f t="shared" si="69"/>
        <v>1</v>
      </c>
      <c r="X19" s="109">
        <f t="shared" si="70"/>
        <v>118862632</v>
      </c>
      <c r="Y19" s="110">
        <f t="shared" si="71"/>
        <v>0</v>
      </c>
      <c r="AA19" s="319">
        <v>2.1</v>
      </c>
      <c r="AB19" s="319" t="s">
        <v>178</v>
      </c>
      <c r="AC19" s="320" t="s">
        <v>197</v>
      </c>
      <c r="AD19" s="321" t="s">
        <v>184</v>
      </c>
      <c r="AE19" s="322">
        <v>12325.034422917055</v>
      </c>
      <c r="AF19" s="323">
        <v>14000</v>
      </c>
      <c r="AG19" s="324">
        <v>172550481.92083877</v>
      </c>
      <c r="AH19" s="108">
        <f t="shared" ref="AH19:AH32" si="147">IFERROR(IF(EXACT(VLOOKUP(AA19,OFERTA_0,1,FALSE),AA19),1,0),0)</f>
        <v>1</v>
      </c>
      <c r="AI19" s="108">
        <f t="shared" ref="AI19:AI27" si="148">IFERROR(IF(EXACT(VLOOKUP(AA19,OFERTA_0,3,FALSE),AC19),1,0),0)</f>
        <v>1</v>
      </c>
      <c r="AJ19" s="108">
        <f t="shared" ref="AJ19:AJ32" si="149">IFERROR(IF(EXACT(VLOOKUP(AA19,OFERTA_0,4,FALSE),AD19),1,0),0)</f>
        <v>1</v>
      </c>
      <c r="AK19" s="108">
        <f t="shared" ref="AK19:AK27" si="150">IFERROR(IF(EXACT(VLOOKUP(AA19,OFERTA_0,5,FALSE),AE19),1,0),0)</f>
        <v>1</v>
      </c>
      <c r="AL19" s="108">
        <f t="shared" ref="AL19:AL32" si="151">IFERROR(IF(AF19&lt;=0,0,1),0)</f>
        <v>1</v>
      </c>
      <c r="AM19" s="108">
        <f t="shared" ref="AM19:AM32" si="152">IFERROR(IF(AG19&lt;=0,0,1),0)</f>
        <v>1</v>
      </c>
      <c r="AN19" s="108">
        <f t="shared" ref="AN19:AN32" si="153">PRODUCT(AH19:AM19)</f>
        <v>1</v>
      </c>
      <c r="AO19" s="109">
        <f t="shared" ref="AO19:AO32" si="154">ROUND(AG19,0)</f>
        <v>172550482</v>
      </c>
      <c r="AP19" s="110">
        <f t="shared" ref="AP19:AP32" si="155">AG19-AO19</f>
        <v>-7.9161226749420166E-2</v>
      </c>
      <c r="AR19" s="319">
        <v>2.1</v>
      </c>
      <c r="AS19" s="319" t="s">
        <v>178</v>
      </c>
      <c r="AT19" s="320" t="s">
        <v>197</v>
      </c>
      <c r="AU19" s="321" t="s">
        <v>184</v>
      </c>
      <c r="AV19" s="322">
        <v>12325.034422917055</v>
      </c>
      <c r="AW19" s="323">
        <v>9000</v>
      </c>
      <c r="AX19" s="324">
        <v>110925309.80625349</v>
      </c>
      <c r="AY19" s="108">
        <f t="shared" ref="AY19:AY32" si="156">IFERROR(IF(EXACT(VLOOKUP(AR19,OFERTA_0,1,FALSE),AR19),1,0),0)</f>
        <v>1</v>
      </c>
      <c r="AZ19" s="108">
        <f t="shared" ref="AZ19:AZ32" si="157">IFERROR(IF(EXACT(VLOOKUP(AR19,OFERTA_0,3,FALSE),AT19),1,0),0)</f>
        <v>1</v>
      </c>
      <c r="BA19" s="108">
        <f t="shared" ref="BA19:BA32" si="158">IFERROR(IF(EXACT(VLOOKUP(AR19,OFERTA_0,4,FALSE),AU19),1,0),0)</f>
        <v>1</v>
      </c>
      <c r="BB19" s="108">
        <f t="shared" ref="BB19:BB32" si="159">IFERROR(IF(EXACT(VLOOKUP(AR19,OFERTA_0,5,FALSE),AV19),1,0),0)</f>
        <v>1</v>
      </c>
      <c r="BC19" s="108">
        <f t="shared" ref="BC19:BC32" si="160">IFERROR(IF(AW19&lt;=0,0,1),0)</f>
        <v>1</v>
      </c>
      <c r="BD19" s="108">
        <f t="shared" ref="BD19:BD32" si="161">IFERROR(IF(AX19&lt;=0,0,1),0)</f>
        <v>1</v>
      </c>
      <c r="BE19" s="108">
        <f t="shared" ref="BE19:BE32" si="162">PRODUCT(AY19:BD19)</f>
        <v>1</v>
      </c>
      <c r="BF19" s="109">
        <f t="shared" ref="BF19:BF32" si="163">ROUND(AX19,0)</f>
        <v>110925310</v>
      </c>
      <c r="BG19" s="110">
        <f t="shared" ref="BG19:BG32" si="164">AX19-BF19</f>
        <v>-0.19374650716781616</v>
      </c>
      <c r="BI19" s="319">
        <v>2.1</v>
      </c>
      <c r="BJ19" s="319" t="s">
        <v>178</v>
      </c>
      <c r="BK19" s="320" t="s">
        <v>197</v>
      </c>
      <c r="BL19" s="321" t="s">
        <v>184</v>
      </c>
      <c r="BM19" s="322">
        <v>12325.034422917055</v>
      </c>
      <c r="BN19" s="323">
        <v>10500</v>
      </c>
      <c r="BO19" s="324">
        <f t="shared" ref="BO19:BO30" si="165">BN19*BM19</f>
        <v>129412861.44062908</v>
      </c>
      <c r="BP19" s="108">
        <f t="shared" ref="BP19:BP32" si="166">IFERROR(IF(EXACT(VLOOKUP(BI19,OFERTA_0,1,FALSE),BI19),1,0),0)</f>
        <v>1</v>
      </c>
      <c r="BQ19" s="108">
        <f t="shared" ref="BQ19:BQ32" si="167">IFERROR(IF(EXACT(VLOOKUP(BI19,OFERTA_0,3,FALSE),BK19),1,0),0)</f>
        <v>1</v>
      </c>
      <c r="BR19" s="108">
        <f t="shared" ref="BR19:BR32" si="168">IFERROR(IF(EXACT(VLOOKUP(BI19,OFERTA_0,4,FALSE),BL19),1,0),0)</f>
        <v>1</v>
      </c>
      <c r="BS19" s="108">
        <f t="shared" ref="BS19:BS32" si="169">IFERROR(IF(EXACT(VLOOKUP(BI19,OFERTA_0,5,FALSE),BM19),1,0),0)</f>
        <v>1</v>
      </c>
      <c r="BT19" s="108">
        <f t="shared" ref="BT19:BT32" si="170">IFERROR(IF(BN19&lt;=0,0,1),0)</f>
        <v>1</v>
      </c>
      <c r="BU19" s="108">
        <f t="shared" ref="BU19:BU32" si="171">IFERROR(IF(BO19&lt;=0,0,1),0)</f>
        <v>1</v>
      </c>
      <c r="BV19" s="108">
        <f t="shared" ref="BV19:BV32" si="172">PRODUCT(BP19:BU19)</f>
        <v>1</v>
      </c>
      <c r="BW19" s="109">
        <f t="shared" ref="BW19:BW32" si="173">ROUND(BO19,0)</f>
        <v>129412861</v>
      </c>
      <c r="BX19" s="110">
        <f t="shared" ref="BX19:BX32" si="174">BO19-BW19</f>
        <v>0.44062907993793488</v>
      </c>
      <c r="BZ19" s="319">
        <v>2.1</v>
      </c>
      <c r="CA19" s="319" t="s">
        <v>178</v>
      </c>
      <c r="CB19" s="320" t="s">
        <v>197</v>
      </c>
      <c r="CC19" s="321" t="s">
        <v>184</v>
      </c>
      <c r="CD19" s="322">
        <v>12325.034422917055</v>
      </c>
      <c r="CE19" s="323">
        <v>9500</v>
      </c>
      <c r="CF19" s="324">
        <f t="shared" ref="CF19:CF30" si="175">CE19*CD19</f>
        <v>117087827.01771203</v>
      </c>
      <c r="CG19" s="108">
        <f t="shared" ref="CG19:CG32" si="176">IFERROR(IF(EXACT(VLOOKUP(BZ19,OFERTA_0,1,FALSE),BZ19),1,0),0)</f>
        <v>1</v>
      </c>
      <c r="CH19" s="108">
        <f t="shared" ref="CH19:CH32" si="177">IFERROR(IF(EXACT(VLOOKUP(BZ19,OFERTA_0,3,FALSE),CB19),1,0),0)</f>
        <v>1</v>
      </c>
      <c r="CI19" s="108">
        <f t="shared" ref="CI19:CI32" si="178">IFERROR(IF(EXACT(VLOOKUP(BZ19,OFERTA_0,4,FALSE),CC19),1,0),0)</f>
        <v>1</v>
      </c>
      <c r="CJ19" s="108">
        <f t="shared" ref="CJ19:CJ32" si="179">IFERROR(IF(EXACT(VLOOKUP(BZ19,OFERTA_0,5,FALSE),CD19),1,0),0)</f>
        <v>1</v>
      </c>
      <c r="CK19" s="108">
        <f t="shared" ref="CK19:CK32" si="180">IFERROR(IF(CE19&lt;=0,0,1),0)</f>
        <v>1</v>
      </c>
      <c r="CL19" s="108">
        <f t="shared" ref="CL19:CL32" si="181">IFERROR(IF(CF19&lt;=0,0,1),0)</f>
        <v>1</v>
      </c>
      <c r="CM19" s="108">
        <f t="shared" ref="CM19:CM32" si="182">PRODUCT(CG19:CL19)</f>
        <v>1</v>
      </c>
      <c r="CN19" s="109">
        <f t="shared" ref="CN19:CN32" si="183">ROUND(CF19,0)</f>
        <v>117087827</v>
      </c>
      <c r="CO19" s="110">
        <f t="shared" ref="CO19:CO32" si="184">CF19-CN19</f>
        <v>1.7712026834487915E-2</v>
      </c>
      <c r="CQ19" s="319">
        <v>2.1</v>
      </c>
      <c r="CR19" s="319" t="s">
        <v>178</v>
      </c>
      <c r="CS19" s="320" t="s">
        <v>197</v>
      </c>
      <c r="CT19" s="321" t="s">
        <v>184</v>
      </c>
      <c r="CU19" s="322">
        <v>12325.034422917055</v>
      </c>
      <c r="CV19" s="323">
        <v>10800</v>
      </c>
      <c r="CW19" s="324">
        <f t="shared" ref="CW19:CW30" si="185">CV19*CU19</f>
        <v>133110371.7675042</v>
      </c>
      <c r="CX19" s="108">
        <f t="shared" ref="CX19:CX32" si="186">IFERROR(IF(EXACT(VLOOKUP(CQ19,OFERTA_0,1,FALSE),CQ19),1,0),0)</f>
        <v>1</v>
      </c>
      <c r="CY19" s="108">
        <f t="shared" ref="CY19:CY32" si="187">IFERROR(IF(EXACT(VLOOKUP(CQ19,OFERTA_0,3,FALSE),CS19),1,0),0)</f>
        <v>1</v>
      </c>
      <c r="CZ19" s="108">
        <f t="shared" ref="CZ19:CZ32" si="188">IFERROR(IF(EXACT(VLOOKUP(CQ19,OFERTA_0,4,FALSE),CT19),1,0),0)</f>
        <v>1</v>
      </c>
      <c r="DA19" s="108">
        <f t="shared" ref="DA19:DA32" si="189">IFERROR(IF(EXACT(VLOOKUP(CQ19,OFERTA_0,5,FALSE),CU19),1,0),0)</f>
        <v>1</v>
      </c>
      <c r="DB19" s="108">
        <f t="shared" ref="DB19:DB32" si="190">IFERROR(IF(CV19&lt;=0,0,1),0)</f>
        <v>1</v>
      </c>
      <c r="DC19" s="108">
        <f t="shared" ref="DC19:DC32" si="191">IFERROR(IF(CW19&lt;=0,0,1),0)</f>
        <v>1</v>
      </c>
      <c r="DD19" s="108">
        <f t="shared" ref="DD19:DD32" si="192">PRODUCT(CX19:DC19)</f>
        <v>1</v>
      </c>
      <c r="DE19" s="109">
        <f t="shared" ref="DE19:DE32" si="193">ROUND(CW19,0)</f>
        <v>133110372</v>
      </c>
      <c r="DF19" s="110">
        <f t="shared" ref="DF19:DF32" si="194">CW19-DE19</f>
        <v>-0.23249579966068268</v>
      </c>
      <c r="DH19" s="319">
        <v>2.1</v>
      </c>
      <c r="DI19" s="319" t="s">
        <v>178</v>
      </c>
      <c r="DJ19" s="359" t="s">
        <v>197</v>
      </c>
      <c r="DK19" s="321" t="s">
        <v>184</v>
      </c>
      <c r="DL19" s="322">
        <v>12325.034422917055</v>
      </c>
      <c r="DM19" s="323">
        <v>11094</v>
      </c>
      <c r="DN19" s="324">
        <f t="shared" ref="DN19:DN30" si="195">DM19*DL19</f>
        <v>136733931.88784182</v>
      </c>
      <c r="DO19" s="108">
        <f t="shared" ref="DO19:DO32" si="196">IFERROR(IF(EXACT(VLOOKUP(DH19,OFERTA_0,1,FALSE),DH19),1,0),0)</f>
        <v>1</v>
      </c>
      <c r="DP19" s="108">
        <f t="shared" ref="DP19:DP32" si="197">IFERROR(IF(EXACT(VLOOKUP(DH19,OFERTA_0,3,FALSE),DJ19),1,0),0)</f>
        <v>1</v>
      </c>
      <c r="DQ19" s="108">
        <f t="shared" ref="DQ19:DQ32" si="198">IFERROR(IF(EXACT(VLOOKUP(DH19,OFERTA_0,4,FALSE),DK19),1,0),0)</f>
        <v>1</v>
      </c>
      <c r="DR19" s="108">
        <f t="shared" ref="DR19:DR32" si="199">IFERROR(IF(EXACT(VLOOKUP(DH19,OFERTA_0,5,FALSE),DL19),1,0),0)</f>
        <v>1</v>
      </c>
      <c r="DS19" s="108">
        <f t="shared" ref="DS19:DS32" si="200">IFERROR(IF(DM19&lt;=0,0,1),0)</f>
        <v>1</v>
      </c>
      <c r="DT19" s="108">
        <f t="shared" ref="DT19:DT32" si="201">IFERROR(IF(DN19&lt;=0,0,1),0)</f>
        <v>1</v>
      </c>
      <c r="DU19" s="108">
        <f t="shared" ref="DU19:DU32" si="202">PRODUCT(DO19:DT19)</f>
        <v>1</v>
      </c>
      <c r="DV19" s="109">
        <f t="shared" ref="DV19:DV32" si="203">ROUND(DN19,0)</f>
        <v>136733932</v>
      </c>
      <c r="DW19" s="110">
        <f t="shared" ref="DW19:DW32" si="204">DN19-DV19</f>
        <v>-0.11215817928314209</v>
      </c>
      <c r="DY19" s="319">
        <v>2.1</v>
      </c>
      <c r="DZ19" s="319" t="s">
        <v>178</v>
      </c>
      <c r="EA19" s="359" t="s">
        <v>197</v>
      </c>
      <c r="EB19" s="321" t="s">
        <v>184</v>
      </c>
      <c r="EC19" s="322">
        <v>12325.034422917055</v>
      </c>
      <c r="ED19" s="323">
        <v>10500</v>
      </c>
      <c r="EE19" s="324">
        <f t="shared" ref="EE19:EE30" si="205">ED19*EC19</f>
        <v>129412861.44062908</v>
      </c>
      <c r="EF19" s="108">
        <f t="shared" ref="EF19:EF32" si="206">IFERROR(IF(EXACT(VLOOKUP(DY19,OFERTA_0,1,FALSE),DY19),1,0),0)</f>
        <v>1</v>
      </c>
      <c r="EG19" s="108">
        <f t="shared" ref="EG19:EG32" si="207">IFERROR(IF(EXACT(VLOOKUP(DY19,OFERTA_0,3,FALSE),EA19),1,0),0)</f>
        <v>1</v>
      </c>
      <c r="EH19" s="108">
        <f t="shared" ref="EH19:EH32" si="208">IFERROR(IF(EXACT(VLOOKUP(DY19,OFERTA_0,4,FALSE),EB19),1,0),0)</f>
        <v>1</v>
      </c>
      <c r="EI19" s="108">
        <f t="shared" ref="EI19:EI32" si="209">IFERROR(IF(EXACT(VLOOKUP(DY19,OFERTA_0,5,FALSE),EC19),1,0),0)</f>
        <v>1</v>
      </c>
      <c r="EJ19" s="108">
        <f t="shared" ref="EJ19:EJ32" si="210">IFERROR(IF(ED19&lt;=0,0,1),0)</f>
        <v>1</v>
      </c>
      <c r="EK19" s="108">
        <f t="shared" ref="EK19:EK32" si="211">IFERROR(IF(EE19&lt;=0,0,1),0)</f>
        <v>1</v>
      </c>
      <c r="EL19" s="108">
        <f t="shared" ref="EL19:EL32" si="212">PRODUCT(EF19:EK19)</f>
        <v>1</v>
      </c>
      <c r="EM19" s="109">
        <f t="shared" ref="EM19:EM32" si="213">ROUND(EE19,0)</f>
        <v>129412861</v>
      </c>
      <c r="EN19" s="110">
        <f t="shared" ref="EN19:EN32" si="214">EE19-EM19</f>
        <v>0.44062907993793488</v>
      </c>
      <c r="EP19" s="319">
        <v>2.1</v>
      </c>
      <c r="EQ19" s="319" t="s">
        <v>178</v>
      </c>
      <c r="ER19" s="320" t="s">
        <v>197</v>
      </c>
      <c r="ES19" s="321" t="s">
        <v>184</v>
      </c>
      <c r="ET19" s="322">
        <v>12325.034422917055</v>
      </c>
      <c r="EU19" s="323">
        <v>10700</v>
      </c>
      <c r="EV19" s="324">
        <f t="shared" ref="EV19:EV30" si="215">EU19*ET19</f>
        <v>131877868.32521249</v>
      </c>
      <c r="EW19" s="108">
        <f t="shared" ref="EW19:EW32" si="216">IFERROR(IF(EXACT(VLOOKUP(EP19,OFERTA_0,1,FALSE),EP19),1,0),0)</f>
        <v>1</v>
      </c>
      <c r="EX19" s="108">
        <f t="shared" ref="EX19:EX32" si="217">IFERROR(IF(EXACT(VLOOKUP(EP19,OFERTA_0,3,FALSE),ER19),1,0),0)</f>
        <v>1</v>
      </c>
      <c r="EY19" s="108">
        <f t="shared" ref="EY19:EY32" si="218">IFERROR(IF(EXACT(VLOOKUP(EP19,OFERTA_0,4,FALSE),ES19),1,0),0)</f>
        <v>1</v>
      </c>
      <c r="EZ19" s="108">
        <f t="shared" ref="EZ19:EZ32" si="219">IFERROR(IF(EXACT(VLOOKUP(EP19,OFERTA_0,5,FALSE),ET19),1,0),0)</f>
        <v>1</v>
      </c>
      <c r="FA19" s="108">
        <f t="shared" ref="FA19:FA32" si="220">IFERROR(IF(EU19&lt;=0,0,1),0)</f>
        <v>1</v>
      </c>
      <c r="FB19" s="108">
        <f t="shared" ref="FB19:FB32" si="221">IFERROR(IF(EV19&lt;=0,0,1),0)</f>
        <v>1</v>
      </c>
      <c r="FC19" s="108">
        <f t="shared" ref="FC19:FC32" si="222">PRODUCT(EW19:FB19)</f>
        <v>1</v>
      </c>
      <c r="FD19" s="109">
        <f t="shared" ref="FD19:FD32" si="223">ROUND(EV19,0)</f>
        <v>131877868</v>
      </c>
      <c r="FE19" s="110">
        <f t="shared" ref="FE19:FE32" si="224">EV19-FD19</f>
        <v>0.32521249353885651</v>
      </c>
      <c r="FG19" s="319">
        <v>2.1</v>
      </c>
      <c r="FH19" s="319" t="s">
        <v>178</v>
      </c>
      <c r="FI19" s="359" t="s">
        <v>197</v>
      </c>
      <c r="FJ19" s="321" t="s">
        <v>184</v>
      </c>
      <c r="FK19" s="322">
        <v>12325.034422917055</v>
      </c>
      <c r="FL19" s="323">
        <v>11091</v>
      </c>
      <c r="FM19" s="324">
        <f t="shared" ref="FM19:FM30" si="225">FL19*FK19</f>
        <v>136696956.78457305</v>
      </c>
      <c r="FN19" s="108">
        <f t="shared" ref="FN19:FN32" si="226">IFERROR(IF(EXACT(VLOOKUP(FG19,OFERTA_0,1,FALSE),FG19),1,0),0)</f>
        <v>1</v>
      </c>
      <c r="FO19" s="108">
        <f t="shared" ref="FO19:FO32" si="227">IFERROR(IF(EXACT(VLOOKUP(FG19,OFERTA_0,3,FALSE),FI19),1,0),0)</f>
        <v>1</v>
      </c>
      <c r="FP19" s="108">
        <f t="shared" ref="FP19:FP32" si="228">IFERROR(IF(EXACT(VLOOKUP(FG19,OFERTA_0,4,FALSE),FJ19),1,0),0)</f>
        <v>1</v>
      </c>
      <c r="FQ19" s="108">
        <f t="shared" ref="FQ19:FQ32" si="229">IFERROR(IF(EXACT(VLOOKUP(FG19,OFERTA_0,5,FALSE),FK19),1,0),0)</f>
        <v>1</v>
      </c>
      <c r="FR19" s="108">
        <f t="shared" ref="FR19:FR32" si="230">IFERROR(IF(FL19&lt;=0,0,1),0)</f>
        <v>1</v>
      </c>
      <c r="FS19" s="108">
        <f t="shared" ref="FS19:FS32" si="231">IFERROR(IF(FM19&lt;=0,0,1),0)</f>
        <v>1</v>
      </c>
      <c r="FT19" s="108">
        <f t="shared" ref="FT19:FT32" si="232">PRODUCT(FN19:FS19)</f>
        <v>1</v>
      </c>
      <c r="FU19" s="109">
        <f t="shared" ref="FU19:FU32" si="233">ROUND(FM19,0)</f>
        <v>136696957</v>
      </c>
      <c r="FV19" s="110">
        <f t="shared" ref="FV19:FV32" si="234">FM19-FU19</f>
        <v>-0.21542695164680481</v>
      </c>
      <c r="FX19" s="319">
        <v>2.1</v>
      </c>
      <c r="FY19" s="319" t="s">
        <v>178</v>
      </c>
      <c r="FZ19" s="320" t="s">
        <v>197</v>
      </c>
      <c r="GA19" s="321" t="s">
        <v>184</v>
      </c>
      <c r="GB19" s="322">
        <v>12325.034422917055</v>
      </c>
      <c r="GC19" s="323">
        <v>10000</v>
      </c>
      <c r="GD19" s="324">
        <f t="shared" ref="GD19:GD30" si="235">GC19*GB19</f>
        <v>123250344.22917055</v>
      </c>
      <c r="GE19" s="108">
        <f t="shared" ref="GE19:GE32" si="236">IFERROR(IF(EXACT(VLOOKUP(FX19,OFERTA_0,1,FALSE),FX19),1,0),0)</f>
        <v>1</v>
      </c>
      <c r="GF19" s="108">
        <f t="shared" ref="GF19:GF32" si="237">IFERROR(IF(EXACT(VLOOKUP(FX19,OFERTA_0,3,FALSE),FZ19),1,0),0)</f>
        <v>1</v>
      </c>
      <c r="GG19" s="108">
        <f t="shared" ref="GG19:GG32" si="238">IFERROR(IF(EXACT(VLOOKUP(FX19,OFERTA_0,4,FALSE),GA19),1,0),0)</f>
        <v>1</v>
      </c>
      <c r="GH19" s="108">
        <f t="shared" ref="GH19:GH32" si="239">IFERROR(IF(EXACT(VLOOKUP(FX19,OFERTA_0,5,FALSE),GB19),1,0),0)</f>
        <v>1</v>
      </c>
      <c r="GI19" s="108">
        <f t="shared" ref="GI19:GI32" si="240">IFERROR(IF(GC19&lt;=0,0,1),0)</f>
        <v>1</v>
      </c>
      <c r="GJ19" s="108">
        <f t="shared" ref="GJ19:GJ32" si="241">IFERROR(IF(GD19&lt;=0,0,1),0)</f>
        <v>1</v>
      </c>
      <c r="GK19" s="108">
        <f t="shared" ref="GK19:GK32" si="242">PRODUCT(GE19:GJ19)</f>
        <v>1</v>
      </c>
      <c r="GL19" s="109">
        <f t="shared" ref="GL19:GL32" si="243">ROUND(GD19,0)</f>
        <v>123250344</v>
      </c>
      <c r="GM19" s="110">
        <f t="shared" ref="GM19:GM32" si="244">GD19-GL19</f>
        <v>0.2291705459356308</v>
      </c>
      <c r="GO19" s="319">
        <v>2.1</v>
      </c>
      <c r="GP19" s="319" t="s">
        <v>178</v>
      </c>
      <c r="GQ19" s="320" t="s">
        <v>197</v>
      </c>
      <c r="GR19" s="321" t="s">
        <v>184</v>
      </c>
      <c r="GS19" s="322">
        <v>12325.034422917055</v>
      </c>
      <c r="GT19" s="323">
        <v>11000</v>
      </c>
      <c r="GU19" s="324">
        <v>135575378.6520876</v>
      </c>
      <c r="GV19" s="108">
        <f t="shared" ref="GV19:GV32" si="245">IFERROR(IF(EXACT(VLOOKUP(GO19,OFERTA_0,1,FALSE),GO19),1,0),0)</f>
        <v>1</v>
      </c>
      <c r="GW19" s="108">
        <f t="shared" ref="GW19:GW32" si="246">IFERROR(IF(EXACT(VLOOKUP(GO19,OFERTA_0,3,FALSE),GQ19),1,0),0)</f>
        <v>1</v>
      </c>
      <c r="GX19" s="108">
        <f t="shared" ref="GX19:GX32" si="247">IFERROR(IF(EXACT(VLOOKUP(GO19,OFERTA_0,4,FALSE),GR19),1,0),0)</f>
        <v>1</v>
      </c>
      <c r="GY19" s="108">
        <f t="shared" ref="GY19:GY32" si="248">IFERROR(IF(EXACT(VLOOKUP(GO19,OFERTA_0,5,FALSE),GS19),1,0),0)</f>
        <v>1</v>
      </c>
      <c r="GZ19" s="108">
        <f t="shared" ref="GZ19:GZ32" si="249">IFERROR(IF(GT19&lt;=0,0,1),0)</f>
        <v>1</v>
      </c>
      <c r="HA19" s="108">
        <f t="shared" ref="HA19:HA32" si="250">IFERROR(IF(GU19&lt;=0,0,1),0)</f>
        <v>1</v>
      </c>
      <c r="HB19" s="108">
        <f t="shared" ref="HB19:HB32" si="251">PRODUCT(GV19:HA19)</f>
        <v>1</v>
      </c>
      <c r="HC19" s="109">
        <f t="shared" ref="HC19:HC32" si="252">ROUND(GU19,0)</f>
        <v>135575379</v>
      </c>
      <c r="HD19" s="110">
        <f t="shared" ref="HD19:HD32" si="253">GU19-HC19</f>
        <v>-0.34791240096092224</v>
      </c>
      <c r="HF19" s="319">
        <v>2.1</v>
      </c>
      <c r="HG19" s="319" t="s">
        <v>178</v>
      </c>
      <c r="HH19" s="320" t="s">
        <v>197</v>
      </c>
      <c r="HI19" s="321" t="s">
        <v>184</v>
      </c>
      <c r="HJ19" s="322">
        <v>12325.034422917055</v>
      </c>
      <c r="HK19" s="323">
        <v>12000</v>
      </c>
      <c r="HL19" s="324">
        <f t="shared" ref="HL19:HL30" si="254">HK19*HJ19</f>
        <v>147900413.07500467</v>
      </c>
      <c r="HM19" s="108">
        <f t="shared" ref="HM19:HM32" si="255">IFERROR(IF(EXACT(VLOOKUP(HF19,OFERTA_0,1,FALSE),HF19),1,0),0)</f>
        <v>1</v>
      </c>
      <c r="HN19" s="108">
        <f t="shared" ref="HN19:HN32" si="256">IFERROR(IF(EXACT(VLOOKUP(HF19,OFERTA_0,3,FALSE),HH19),1,0),0)</f>
        <v>1</v>
      </c>
      <c r="HO19" s="108">
        <f t="shared" ref="HO19:HO32" si="257">IFERROR(IF(EXACT(VLOOKUP(HF19,OFERTA_0,4,FALSE),HI19),1,0),0)</f>
        <v>1</v>
      </c>
      <c r="HP19" s="108">
        <f t="shared" ref="HP19:HP32" si="258">IFERROR(IF(EXACT(VLOOKUP(HF19,OFERTA_0,5,FALSE),HJ19),1,0),0)</f>
        <v>1</v>
      </c>
      <c r="HQ19" s="108">
        <f t="shared" ref="HQ19:HQ32" si="259">IFERROR(IF(HK19&lt;=0,0,1),0)</f>
        <v>1</v>
      </c>
      <c r="HR19" s="108">
        <f t="shared" ref="HR19:HR32" si="260">IFERROR(IF(HL19&lt;=0,0,1),0)</f>
        <v>1</v>
      </c>
      <c r="HS19" s="108">
        <f t="shared" ref="HS19:HS32" si="261">PRODUCT(HM19:HR19)</f>
        <v>1</v>
      </c>
      <c r="HT19" s="109">
        <f t="shared" ref="HT19:HT32" si="262">ROUND(HL19,0)</f>
        <v>147900413</v>
      </c>
      <c r="HU19" s="110">
        <f t="shared" ref="HU19:HU32" si="263">HL19-HT19</f>
        <v>7.5004667043685913E-2</v>
      </c>
      <c r="HW19" s="319">
        <v>2.1</v>
      </c>
      <c r="HX19" s="319" t="s">
        <v>178</v>
      </c>
      <c r="HY19" s="320" t="s">
        <v>197</v>
      </c>
      <c r="HZ19" s="321" t="s">
        <v>184</v>
      </c>
      <c r="IA19" s="322">
        <v>12325.034422917055</v>
      </c>
      <c r="IB19" s="323">
        <v>8000</v>
      </c>
      <c r="IC19" s="324">
        <f t="shared" ref="IC19:IC30" si="264">IB19*IA19</f>
        <v>98600275.38333644</v>
      </c>
      <c r="ID19" s="108">
        <f t="shared" ref="ID19:ID32" si="265">IFERROR(IF(EXACT(VLOOKUP(HW19,OFERTA_0,1,FALSE),HW19),1,0),0)</f>
        <v>1</v>
      </c>
      <c r="IE19" s="108">
        <f t="shared" ref="IE19:IE32" si="266">IFERROR(IF(EXACT(VLOOKUP(HW19,OFERTA_0,3,FALSE),HY19),1,0),0)</f>
        <v>1</v>
      </c>
      <c r="IF19" s="108">
        <f t="shared" ref="IF19:IF32" si="267">IFERROR(IF(EXACT(VLOOKUP(HW19,OFERTA_0,4,FALSE),HZ19),1,0),0)</f>
        <v>1</v>
      </c>
      <c r="IG19" s="108">
        <f t="shared" ref="IG19:IG32" si="268">IFERROR(IF(EXACT(VLOOKUP(HW19,OFERTA_0,5,FALSE),IA19),1,0),0)</f>
        <v>1</v>
      </c>
      <c r="IH19" s="108">
        <f t="shared" ref="IH19:IH32" si="269">IFERROR(IF(IB19&lt;=0,0,1),0)</f>
        <v>1</v>
      </c>
      <c r="II19" s="108">
        <f t="shared" ref="II19:II32" si="270">IFERROR(IF(IC19&lt;=0,0,1),0)</f>
        <v>1</v>
      </c>
      <c r="IJ19" s="108">
        <f t="shared" ref="IJ19:IJ32" si="271">PRODUCT(ID19:II19)</f>
        <v>1</v>
      </c>
      <c r="IK19" s="109">
        <f t="shared" ref="IK19:IK32" si="272">ROUND(IC19,0)</f>
        <v>98600275</v>
      </c>
      <c r="IL19" s="110">
        <f t="shared" ref="IL19:IL32" si="273">IC19-IK19</f>
        <v>0.38333643972873688</v>
      </c>
    </row>
    <row r="20" spans="1:246" s="213" customFormat="1" ht="91.5" customHeight="1" x14ac:dyDescent="0.25">
      <c r="A20" s="211"/>
      <c r="B20" s="319">
        <v>2.2000000000000002</v>
      </c>
      <c r="C20" s="319" t="s">
        <v>178</v>
      </c>
      <c r="D20" s="320" t="s">
        <v>261</v>
      </c>
      <c r="E20" s="321" t="s">
        <v>184</v>
      </c>
      <c r="F20" s="322">
        <v>2125</v>
      </c>
      <c r="G20" s="323">
        <v>0</v>
      </c>
      <c r="H20" s="324">
        <f t="shared" si="146"/>
        <v>0</v>
      </c>
      <c r="J20" s="319">
        <v>2.2000000000000002</v>
      </c>
      <c r="K20" s="319" t="s">
        <v>178</v>
      </c>
      <c r="L20" s="320" t="s">
        <v>261</v>
      </c>
      <c r="M20" s="321" t="s">
        <v>184</v>
      </c>
      <c r="N20" s="322">
        <v>2125</v>
      </c>
      <c r="O20" s="323">
        <v>10530</v>
      </c>
      <c r="P20" s="324">
        <v>22376250</v>
      </c>
      <c r="Q20" s="108">
        <f t="shared" si="1"/>
        <v>1</v>
      </c>
      <c r="R20" s="108">
        <f t="shared" si="2"/>
        <v>1</v>
      </c>
      <c r="S20" s="108">
        <f t="shared" si="3"/>
        <v>1</v>
      </c>
      <c r="T20" s="108">
        <f t="shared" si="4"/>
        <v>1</v>
      </c>
      <c r="U20" s="108">
        <f t="shared" si="67"/>
        <v>1</v>
      </c>
      <c r="V20" s="108">
        <f t="shared" si="68"/>
        <v>1</v>
      </c>
      <c r="W20" s="108">
        <f t="shared" si="69"/>
        <v>1</v>
      </c>
      <c r="X20" s="109">
        <f t="shared" si="70"/>
        <v>22376250</v>
      </c>
      <c r="Y20" s="110">
        <f t="shared" si="71"/>
        <v>0</v>
      </c>
      <c r="AA20" s="319">
        <v>2.2000000000000002</v>
      </c>
      <c r="AB20" s="319" t="s">
        <v>178</v>
      </c>
      <c r="AC20" s="320" t="s">
        <v>261</v>
      </c>
      <c r="AD20" s="321" t="s">
        <v>184</v>
      </c>
      <c r="AE20" s="322">
        <v>2125</v>
      </c>
      <c r="AF20" s="323">
        <v>14600</v>
      </c>
      <c r="AG20" s="324">
        <v>31025000</v>
      </c>
      <c r="AH20" s="108">
        <f t="shared" si="147"/>
        <v>1</v>
      </c>
      <c r="AI20" s="108">
        <f t="shared" si="148"/>
        <v>1</v>
      </c>
      <c r="AJ20" s="108">
        <f t="shared" si="149"/>
        <v>1</v>
      </c>
      <c r="AK20" s="108">
        <f t="shared" si="150"/>
        <v>1</v>
      </c>
      <c r="AL20" s="108">
        <f t="shared" si="151"/>
        <v>1</v>
      </c>
      <c r="AM20" s="108">
        <f t="shared" si="152"/>
        <v>1</v>
      </c>
      <c r="AN20" s="108">
        <f t="shared" si="153"/>
        <v>1</v>
      </c>
      <c r="AO20" s="109">
        <f t="shared" si="154"/>
        <v>31025000</v>
      </c>
      <c r="AP20" s="110">
        <f t="shared" si="155"/>
        <v>0</v>
      </c>
      <c r="AR20" s="319">
        <v>2.2000000000000002</v>
      </c>
      <c r="AS20" s="319" t="s">
        <v>178</v>
      </c>
      <c r="AT20" s="320" t="s">
        <v>261</v>
      </c>
      <c r="AU20" s="321" t="s">
        <v>184</v>
      </c>
      <c r="AV20" s="322">
        <v>2125</v>
      </c>
      <c r="AW20" s="323">
        <v>9000</v>
      </c>
      <c r="AX20" s="324">
        <v>19125000</v>
      </c>
      <c r="AY20" s="108">
        <f t="shared" si="156"/>
        <v>1</v>
      </c>
      <c r="AZ20" s="108">
        <f t="shared" si="157"/>
        <v>1</v>
      </c>
      <c r="BA20" s="108">
        <f t="shared" si="158"/>
        <v>1</v>
      </c>
      <c r="BB20" s="108">
        <f t="shared" si="159"/>
        <v>1</v>
      </c>
      <c r="BC20" s="108">
        <f t="shared" si="160"/>
        <v>1</v>
      </c>
      <c r="BD20" s="108">
        <f t="shared" si="161"/>
        <v>1</v>
      </c>
      <c r="BE20" s="108">
        <f t="shared" si="162"/>
        <v>1</v>
      </c>
      <c r="BF20" s="109">
        <f t="shared" si="163"/>
        <v>19125000</v>
      </c>
      <c r="BG20" s="110">
        <f t="shared" si="164"/>
        <v>0</v>
      </c>
      <c r="BI20" s="319">
        <v>2.2000000000000002</v>
      </c>
      <c r="BJ20" s="319" t="s">
        <v>178</v>
      </c>
      <c r="BK20" s="320" t="s">
        <v>261</v>
      </c>
      <c r="BL20" s="321" t="s">
        <v>184</v>
      </c>
      <c r="BM20" s="322">
        <v>2125</v>
      </c>
      <c r="BN20" s="323">
        <v>11149</v>
      </c>
      <c r="BO20" s="324">
        <f t="shared" si="165"/>
        <v>23691625</v>
      </c>
      <c r="BP20" s="108">
        <f t="shared" si="166"/>
        <v>1</v>
      </c>
      <c r="BQ20" s="108">
        <f t="shared" si="167"/>
        <v>1</v>
      </c>
      <c r="BR20" s="108">
        <f t="shared" si="168"/>
        <v>1</v>
      </c>
      <c r="BS20" s="108">
        <f t="shared" si="169"/>
        <v>1</v>
      </c>
      <c r="BT20" s="108">
        <f t="shared" si="170"/>
        <v>1</v>
      </c>
      <c r="BU20" s="108">
        <f t="shared" si="171"/>
        <v>1</v>
      </c>
      <c r="BV20" s="108">
        <f t="shared" si="172"/>
        <v>1</v>
      </c>
      <c r="BW20" s="109">
        <f t="shared" si="173"/>
        <v>23691625</v>
      </c>
      <c r="BX20" s="110">
        <f t="shared" si="174"/>
        <v>0</v>
      </c>
      <c r="BZ20" s="319">
        <v>2.2000000000000002</v>
      </c>
      <c r="CA20" s="319" t="s">
        <v>178</v>
      </c>
      <c r="CB20" s="320" t="s">
        <v>261</v>
      </c>
      <c r="CC20" s="321" t="s">
        <v>184</v>
      </c>
      <c r="CD20" s="322">
        <v>2125</v>
      </c>
      <c r="CE20" s="323">
        <v>11000</v>
      </c>
      <c r="CF20" s="324">
        <f t="shared" si="175"/>
        <v>23375000</v>
      </c>
      <c r="CG20" s="108">
        <f t="shared" si="176"/>
        <v>1</v>
      </c>
      <c r="CH20" s="108">
        <f t="shared" si="177"/>
        <v>1</v>
      </c>
      <c r="CI20" s="108">
        <f t="shared" si="178"/>
        <v>1</v>
      </c>
      <c r="CJ20" s="108">
        <f t="shared" si="179"/>
        <v>1</v>
      </c>
      <c r="CK20" s="108">
        <f t="shared" si="180"/>
        <v>1</v>
      </c>
      <c r="CL20" s="108">
        <f t="shared" si="181"/>
        <v>1</v>
      </c>
      <c r="CM20" s="108">
        <f t="shared" si="182"/>
        <v>1</v>
      </c>
      <c r="CN20" s="109">
        <f t="shared" si="183"/>
        <v>23375000</v>
      </c>
      <c r="CO20" s="110">
        <f t="shared" si="184"/>
        <v>0</v>
      </c>
      <c r="CQ20" s="319">
        <v>2.2000000000000002</v>
      </c>
      <c r="CR20" s="319" t="s">
        <v>178</v>
      </c>
      <c r="CS20" s="320" t="s">
        <v>261</v>
      </c>
      <c r="CT20" s="321" t="s">
        <v>184</v>
      </c>
      <c r="CU20" s="322">
        <v>2125</v>
      </c>
      <c r="CV20" s="323">
        <v>10800</v>
      </c>
      <c r="CW20" s="324">
        <f t="shared" si="185"/>
        <v>22950000</v>
      </c>
      <c r="CX20" s="108">
        <f t="shared" si="186"/>
        <v>1</v>
      </c>
      <c r="CY20" s="108">
        <f t="shared" si="187"/>
        <v>1</v>
      </c>
      <c r="CZ20" s="108">
        <f t="shared" si="188"/>
        <v>1</v>
      </c>
      <c r="DA20" s="108">
        <f t="shared" si="189"/>
        <v>1</v>
      </c>
      <c r="DB20" s="108">
        <f t="shared" si="190"/>
        <v>1</v>
      </c>
      <c r="DC20" s="108">
        <f t="shared" si="191"/>
        <v>1</v>
      </c>
      <c r="DD20" s="108">
        <f t="shared" si="192"/>
        <v>1</v>
      </c>
      <c r="DE20" s="109">
        <f t="shared" si="193"/>
        <v>22950000</v>
      </c>
      <c r="DF20" s="110">
        <f t="shared" si="194"/>
        <v>0</v>
      </c>
      <c r="DH20" s="319">
        <v>2.2000000000000002</v>
      </c>
      <c r="DI20" s="319" t="s">
        <v>178</v>
      </c>
      <c r="DJ20" s="359" t="s">
        <v>261</v>
      </c>
      <c r="DK20" s="321" t="s">
        <v>184</v>
      </c>
      <c r="DL20" s="322">
        <v>2125</v>
      </c>
      <c r="DM20" s="323">
        <v>11230</v>
      </c>
      <c r="DN20" s="324">
        <f t="shared" si="195"/>
        <v>23863750</v>
      </c>
      <c r="DO20" s="108">
        <f t="shared" si="196"/>
        <v>1</v>
      </c>
      <c r="DP20" s="108">
        <f t="shared" si="197"/>
        <v>1</v>
      </c>
      <c r="DQ20" s="108">
        <f t="shared" si="198"/>
        <v>1</v>
      </c>
      <c r="DR20" s="108">
        <f t="shared" si="199"/>
        <v>1</v>
      </c>
      <c r="DS20" s="108">
        <f t="shared" si="200"/>
        <v>1</v>
      </c>
      <c r="DT20" s="108">
        <f t="shared" si="201"/>
        <v>1</v>
      </c>
      <c r="DU20" s="108">
        <f t="shared" si="202"/>
        <v>1</v>
      </c>
      <c r="DV20" s="109">
        <f t="shared" si="203"/>
        <v>23863750</v>
      </c>
      <c r="DW20" s="110">
        <f t="shared" si="204"/>
        <v>0</v>
      </c>
      <c r="DY20" s="319">
        <v>2.2000000000000002</v>
      </c>
      <c r="DZ20" s="319" t="s">
        <v>178</v>
      </c>
      <c r="EA20" s="359" t="s">
        <v>261</v>
      </c>
      <c r="EB20" s="321" t="s">
        <v>184</v>
      </c>
      <c r="EC20" s="322">
        <v>2125</v>
      </c>
      <c r="ED20" s="323">
        <v>11500</v>
      </c>
      <c r="EE20" s="324">
        <f t="shared" si="205"/>
        <v>24437500</v>
      </c>
      <c r="EF20" s="108">
        <f t="shared" si="206"/>
        <v>1</v>
      </c>
      <c r="EG20" s="108">
        <f t="shared" si="207"/>
        <v>1</v>
      </c>
      <c r="EH20" s="108">
        <f t="shared" si="208"/>
        <v>1</v>
      </c>
      <c r="EI20" s="108">
        <f t="shared" si="209"/>
        <v>1</v>
      </c>
      <c r="EJ20" s="108">
        <f t="shared" si="210"/>
        <v>1</v>
      </c>
      <c r="EK20" s="108">
        <f t="shared" si="211"/>
        <v>1</v>
      </c>
      <c r="EL20" s="108">
        <f t="shared" si="212"/>
        <v>1</v>
      </c>
      <c r="EM20" s="109">
        <f t="shared" si="213"/>
        <v>24437500</v>
      </c>
      <c r="EN20" s="110">
        <f t="shared" si="214"/>
        <v>0</v>
      </c>
      <c r="EP20" s="319">
        <v>2.2000000000000002</v>
      </c>
      <c r="EQ20" s="319" t="s">
        <v>178</v>
      </c>
      <c r="ER20" s="320" t="s">
        <v>261</v>
      </c>
      <c r="ES20" s="321" t="s">
        <v>184</v>
      </c>
      <c r="ET20" s="322">
        <v>2125</v>
      </c>
      <c r="EU20" s="323">
        <v>10700</v>
      </c>
      <c r="EV20" s="324">
        <f t="shared" si="215"/>
        <v>22737500</v>
      </c>
      <c r="EW20" s="108">
        <f t="shared" si="216"/>
        <v>1</v>
      </c>
      <c r="EX20" s="108">
        <f t="shared" si="217"/>
        <v>1</v>
      </c>
      <c r="EY20" s="108">
        <f t="shared" si="218"/>
        <v>1</v>
      </c>
      <c r="EZ20" s="108">
        <f t="shared" si="219"/>
        <v>1</v>
      </c>
      <c r="FA20" s="108">
        <f t="shared" si="220"/>
        <v>1</v>
      </c>
      <c r="FB20" s="108">
        <f t="shared" si="221"/>
        <v>1</v>
      </c>
      <c r="FC20" s="108">
        <f t="shared" si="222"/>
        <v>1</v>
      </c>
      <c r="FD20" s="109">
        <f t="shared" si="223"/>
        <v>22737500</v>
      </c>
      <c r="FE20" s="110">
        <f t="shared" si="224"/>
        <v>0</v>
      </c>
      <c r="FG20" s="319">
        <v>2.2000000000000002</v>
      </c>
      <c r="FH20" s="319" t="s">
        <v>178</v>
      </c>
      <c r="FI20" s="359" t="s">
        <v>261</v>
      </c>
      <c r="FJ20" s="321" t="s">
        <v>184</v>
      </c>
      <c r="FK20" s="322">
        <v>2125</v>
      </c>
      <c r="FL20" s="323">
        <v>11256</v>
      </c>
      <c r="FM20" s="324">
        <f t="shared" si="225"/>
        <v>23919000</v>
      </c>
      <c r="FN20" s="108">
        <f t="shared" si="226"/>
        <v>1</v>
      </c>
      <c r="FO20" s="108">
        <f t="shared" si="227"/>
        <v>1</v>
      </c>
      <c r="FP20" s="108">
        <f t="shared" si="228"/>
        <v>1</v>
      </c>
      <c r="FQ20" s="108">
        <f t="shared" si="229"/>
        <v>1</v>
      </c>
      <c r="FR20" s="108">
        <f t="shared" si="230"/>
        <v>1</v>
      </c>
      <c r="FS20" s="108">
        <f t="shared" si="231"/>
        <v>1</v>
      </c>
      <c r="FT20" s="108">
        <f t="shared" si="232"/>
        <v>1</v>
      </c>
      <c r="FU20" s="109">
        <f t="shared" si="233"/>
        <v>23919000</v>
      </c>
      <c r="FV20" s="110">
        <f t="shared" si="234"/>
        <v>0</v>
      </c>
      <c r="FX20" s="319">
        <v>2.2000000000000002</v>
      </c>
      <c r="FY20" s="319" t="s">
        <v>178</v>
      </c>
      <c r="FZ20" s="320" t="s">
        <v>261</v>
      </c>
      <c r="GA20" s="321" t="s">
        <v>184</v>
      </c>
      <c r="GB20" s="322">
        <v>2125</v>
      </c>
      <c r="GC20" s="323">
        <v>10000</v>
      </c>
      <c r="GD20" s="324">
        <f t="shared" si="235"/>
        <v>21250000</v>
      </c>
      <c r="GE20" s="108">
        <f t="shared" si="236"/>
        <v>1</v>
      </c>
      <c r="GF20" s="108">
        <f t="shared" si="237"/>
        <v>1</v>
      </c>
      <c r="GG20" s="108">
        <f t="shared" si="238"/>
        <v>1</v>
      </c>
      <c r="GH20" s="108">
        <f t="shared" si="239"/>
        <v>1</v>
      </c>
      <c r="GI20" s="108">
        <f t="shared" si="240"/>
        <v>1</v>
      </c>
      <c r="GJ20" s="108">
        <f t="shared" si="241"/>
        <v>1</v>
      </c>
      <c r="GK20" s="108">
        <f t="shared" si="242"/>
        <v>1</v>
      </c>
      <c r="GL20" s="109">
        <f t="shared" si="243"/>
        <v>21250000</v>
      </c>
      <c r="GM20" s="110">
        <f t="shared" si="244"/>
        <v>0</v>
      </c>
      <c r="GO20" s="319">
        <v>2.2000000000000002</v>
      </c>
      <c r="GP20" s="319" t="s">
        <v>178</v>
      </c>
      <c r="GQ20" s="320" t="s">
        <v>261</v>
      </c>
      <c r="GR20" s="321" t="s">
        <v>184</v>
      </c>
      <c r="GS20" s="322">
        <v>2125</v>
      </c>
      <c r="GT20" s="323">
        <v>11500</v>
      </c>
      <c r="GU20" s="324">
        <v>24437500</v>
      </c>
      <c r="GV20" s="108">
        <f t="shared" si="245"/>
        <v>1</v>
      </c>
      <c r="GW20" s="108">
        <f t="shared" si="246"/>
        <v>1</v>
      </c>
      <c r="GX20" s="108">
        <f t="shared" si="247"/>
        <v>1</v>
      </c>
      <c r="GY20" s="108">
        <f t="shared" si="248"/>
        <v>1</v>
      </c>
      <c r="GZ20" s="108">
        <f t="shared" si="249"/>
        <v>1</v>
      </c>
      <c r="HA20" s="108">
        <f t="shared" si="250"/>
        <v>1</v>
      </c>
      <c r="HB20" s="108">
        <f t="shared" si="251"/>
        <v>1</v>
      </c>
      <c r="HC20" s="109">
        <f t="shared" si="252"/>
        <v>24437500</v>
      </c>
      <c r="HD20" s="110">
        <f t="shared" si="253"/>
        <v>0</v>
      </c>
      <c r="HF20" s="319">
        <v>2.2000000000000002</v>
      </c>
      <c r="HG20" s="319" t="s">
        <v>178</v>
      </c>
      <c r="HH20" s="320" t="s">
        <v>261</v>
      </c>
      <c r="HI20" s="321" t="s">
        <v>184</v>
      </c>
      <c r="HJ20" s="322">
        <v>2125</v>
      </c>
      <c r="HK20" s="323">
        <v>13800</v>
      </c>
      <c r="HL20" s="324">
        <f t="shared" si="254"/>
        <v>29325000</v>
      </c>
      <c r="HM20" s="108">
        <f t="shared" si="255"/>
        <v>1</v>
      </c>
      <c r="HN20" s="108">
        <f t="shared" si="256"/>
        <v>1</v>
      </c>
      <c r="HO20" s="108">
        <f t="shared" si="257"/>
        <v>1</v>
      </c>
      <c r="HP20" s="108">
        <f t="shared" si="258"/>
        <v>1</v>
      </c>
      <c r="HQ20" s="108">
        <f t="shared" si="259"/>
        <v>1</v>
      </c>
      <c r="HR20" s="108">
        <f t="shared" si="260"/>
        <v>1</v>
      </c>
      <c r="HS20" s="108">
        <f t="shared" si="261"/>
        <v>1</v>
      </c>
      <c r="HT20" s="109">
        <f t="shared" si="262"/>
        <v>29325000</v>
      </c>
      <c r="HU20" s="110">
        <f t="shared" si="263"/>
        <v>0</v>
      </c>
      <c r="HW20" s="319">
        <v>2.2000000000000002</v>
      </c>
      <c r="HX20" s="319" t="s">
        <v>178</v>
      </c>
      <c r="HY20" s="320" t="s">
        <v>261</v>
      </c>
      <c r="HZ20" s="321" t="s">
        <v>184</v>
      </c>
      <c r="IA20" s="322">
        <v>2125</v>
      </c>
      <c r="IB20" s="323">
        <v>10000</v>
      </c>
      <c r="IC20" s="324">
        <f t="shared" si="264"/>
        <v>21250000</v>
      </c>
      <c r="ID20" s="108">
        <f t="shared" si="265"/>
        <v>1</v>
      </c>
      <c r="IE20" s="108">
        <f t="shared" si="266"/>
        <v>1</v>
      </c>
      <c r="IF20" s="108">
        <f t="shared" si="267"/>
        <v>1</v>
      </c>
      <c r="IG20" s="108">
        <f t="shared" si="268"/>
        <v>1</v>
      </c>
      <c r="IH20" s="108">
        <f t="shared" si="269"/>
        <v>1</v>
      </c>
      <c r="II20" s="108">
        <f t="shared" si="270"/>
        <v>1</v>
      </c>
      <c r="IJ20" s="108">
        <f t="shared" si="271"/>
        <v>1</v>
      </c>
      <c r="IK20" s="109">
        <f t="shared" si="272"/>
        <v>21250000</v>
      </c>
      <c r="IL20" s="110">
        <f t="shared" si="273"/>
        <v>0</v>
      </c>
    </row>
    <row r="21" spans="1:246" s="213" customFormat="1" ht="133.5" customHeight="1" x14ac:dyDescent="0.25">
      <c r="A21" s="211"/>
      <c r="B21" s="319">
        <v>2.2999999999999998</v>
      </c>
      <c r="C21" s="319" t="s">
        <v>178</v>
      </c>
      <c r="D21" s="320" t="s">
        <v>262</v>
      </c>
      <c r="E21" s="321" t="s">
        <v>184</v>
      </c>
      <c r="F21" s="322">
        <v>4250</v>
      </c>
      <c r="G21" s="323">
        <v>0</v>
      </c>
      <c r="H21" s="324">
        <f t="shared" si="146"/>
        <v>0</v>
      </c>
      <c r="J21" s="319">
        <v>2.2999999999999998</v>
      </c>
      <c r="K21" s="319" t="s">
        <v>178</v>
      </c>
      <c r="L21" s="320" t="s">
        <v>262</v>
      </c>
      <c r="M21" s="321" t="s">
        <v>184</v>
      </c>
      <c r="N21" s="322">
        <v>4250</v>
      </c>
      <c r="O21" s="323">
        <v>10528</v>
      </c>
      <c r="P21" s="324">
        <v>44744000</v>
      </c>
      <c r="Q21" s="108">
        <f t="shared" si="1"/>
        <v>1</v>
      </c>
      <c r="R21" s="108">
        <f t="shared" si="2"/>
        <v>1</v>
      </c>
      <c r="S21" s="108">
        <f t="shared" si="3"/>
        <v>1</v>
      </c>
      <c r="T21" s="108">
        <f t="shared" si="4"/>
        <v>1</v>
      </c>
      <c r="U21" s="108">
        <f t="shared" si="67"/>
        <v>1</v>
      </c>
      <c r="V21" s="108">
        <f t="shared" si="68"/>
        <v>1</v>
      </c>
      <c r="W21" s="108">
        <f t="shared" si="69"/>
        <v>1</v>
      </c>
      <c r="X21" s="109">
        <f t="shared" si="70"/>
        <v>44744000</v>
      </c>
      <c r="Y21" s="110">
        <f t="shared" si="71"/>
        <v>0</v>
      </c>
      <c r="AA21" s="319">
        <v>2.2999999999999998</v>
      </c>
      <c r="AB21" s="319" t="s">
        <v>178</v>
      </c>
      <c r="AC21" s="320" t="s">
        <v>262</v>
      </c>
      <c r="AD21" s="321" t="s">
        <v>184</v>
      </c>
      <c r="AE21" s="322">
        <v>4250</v>
      </c>
      <c r="AF21" s="323">
        <v>3300</v>
      </c>
      <c r="AG21" s="324">
        <v>14025000</v>
      </c>
      <c r="AH21" s="108">
        <f t="shared" si="147"/>
        <v>1</v>
      </c>
      <c r="AI21" s="108">
        <f t="shared" si="148"/>
        <v>1</v>
      </c>
      <c r="AJ21" s="108">
        <f t="shared" si="149"/>
        <v>1</v>
      </c>
      <c r="AK21" s="108">
        <f t="shared" si="150"/>
        <v>1</v>
      </c>
      <c r="AL21" s="108">
        <f t="shared" si="151"/>
        <v>1</v>
      </c>
      <c r="AM21" s="108">
        <f t="shared" si="152"/>
        <v>1</v>
      </c>
      <c r="AN21" s="108">
        <f t="shared" si="153"/>
        <v>1</v>
      </c>
      <c r="AO21" s="109">
        <f t="shared" si="154"/>
        <v>14025000</v>
      </c>
      <c r="AP21" s="110">
        <f t="shared" si="155"/>
        <v>0</v>
      </c>
      <c r="AR21" s="319">
        <v>2.2999999999999998</v>
      </c>
      <c r="AS21" s="319" t="s">
        <v>178</v>
      </c>
      <c r="AT21" s="320" t="s">
        <v>262</v>
      </c>
      <c r="AU21" s="321" t="s">
        <v>184</v>
      </c>
      <c r="AV21" s="322">
        <v>4250</v>
      </c>
      <c r="AW21" s="323">
        <v>9000</v>
      </c>
      <c r="AX21" s="324">
        <v>38250000</v>
      </c>
      <c r="AY21" s="108">
        <f t="shared" si="156"/>
        <v>1</v>
      </c>
      <c r="AZ21" s="108">
        <f t="shared" si="157"/>
        <v>1</v>
      </c>
      <c r="BA21" s="108">
        <f t="shared" si="158"/>
        <v>1</v>
      </c>
      <c r="BB21" s="108">
        <f t="shared" si="159"/>
        <v>1</v>
      </c>
      <c r="BC21" s="108">
        <f t="shared" si="160"/>
        <v>1</v>
      </c>
      <c r="BD21" s="108">
        <f t="shared" si="161"/>
        <v>1</v>
      </c>
      <c r="BE21" s="108">
        <f t="shared" si="162"/>
        <v>1</v>
      </c>
      <c r="BF21" s="109">
        <f t="shared" si="163"/>
        <v>38250000</v>
      </c>
      <c r="BG21" s="110">
        <f t="shared" si="164"/>
        <v>0</v>
      </c>
      <c r="BI21" s="319">
        <v>2.2999999999999998</v>
      </c>
      <c r="BJ21" s="319" t="s">
        <v>178</v>
      </c>
      <c r="BK21" s="320" t="s">
        <v>262</v>
      </c>
      <c r="BL21" s="321" t="s">
        <v>184</v>
      </c>
      <c r="BM21" s="322">
        <v>4250</v>
      </c>
      <c r="BN21" s="323">
        <v>10500</v>
      </c>
      <c r="BO21" s="324">
        <f t="shared" si="165"/>
        <v>44625000</v>
      </c>
      <c r="BP21" s="108">
        <f t="shared" si="166"/>
        <v>1</v>
      </c>
      <c r="BQ21" s="108">
        <f t="shared" si="167"/>
        <v>1</v>
      </c>
      <c r="BR21" s="108">
        <f t="shared" si="168"/>
        <v>1</v>
      </c>
      <c r="BS21" s="108">
        <f t="shared" si="169"/>
        <v>1</v>
      </c>
      <c r="BT21" s="108">
        <f t="shared" si="170"/>
        <v>1</v>
      </c>
      <c r="BU21" s="108">
        <f t="shared" si="171"/>
        <v>1</v>
      </c>
      <c r="BV21" s="108">
        <f t="shared" si="172"/>
        <v>1</v>
      </c>
      <c r="BW21" s="109">
        <f t="shared" si="173"/>
        <v>44625000</v>
      </c>
      <c r="BX21" s="110">
        <f t="shared" si="174"/>
        <v>0</v>
      </c>
      <c r="BZ21" s="319">
        <v>2.2999999999999998</v>
      </c>
      <c r="CA21" s="319" t="s">
        <v>178</v>
      </c>
      <c r="CB21" s="320" t="s">
        <v>262</v>
      </c>
      <c r="CC21" s="321" t="s">
        <v>184</v>
      </c>
      <c r="CD21" s="322">
        <v>4250</v>
      </c>
      <c r="CE21" s="323">
        <v>11000</v>
      </c>
      <c r="CF21" s="324">
        <f t="shared" si="175"/>
        <v>46750000</v>
      </c>
      <c r="CG21" s="108">
        <f t="shared" si="176"/>
        <v>1</v>
      </c>
      <c r="CH21" s="108">
        <f t="shared" si="177"/>
        <v>1</v>
      </c>
      <c r="CI21" s="108">
        <f t="shared" si="178"/>
        <v>1</v>
      </c>
      <c r="CJ21" s="108">
        <f t="shared" si="179"/>
        <v>1</v>
      </c>
      <c r="CK21" s="108">
        <f t="shared" si="180"/>
        <v>1</v>
      </c>
      <c r="CL21" s="108">
        <f t="shared" si="181"/>
        <v>1</v>
      </c>
      <c r="CM21" s="108">
        <f t="shared" si="182"/>
        <v>1</v>
      </c>
      <c r="CN21" s="109">
        <f t="shared" si="183"/>
        <v>46750000</v>
      </c>
      <c r="CO21" s="110">
        <f t="shared" si="184"/>
        <v>0</v>
      </c>
      <c r="CQ21" s="319">
        <v>2.2999999999999998</v>
      </c>
      <c r="CR21" s="319" t="s">
        <v>178</v>
      </c>
      <c r="CS21" s="320" t="s">
        <v>262</v>
      </c>
      <c r="CT21" s="321" t="s">
        <v>184</v>
      </c>
      <c r="CU21" s="322">
        <v>4250</v>
      </c>
      <c r="CV21" s="323">
        <v>10800</v>
      </c>
      <c r="CW21" s="324">
        <f t="shared" si="185"/>
        <v>45900000</v>
      </c>
      <c r="CX21" s="108">
        <f t="shared" si="186"/>
        <v>1</v>
      </c>
      <c r="CY21" s="108">
        <f t="shared" si="187"/>
        <v>1</v>
      </c>
      <c r="CZ21" s="108">
        <f t="shared" si="188"/>
        <v>1</v>
      </c>
      <c r="DA21" s="108">
        <f t="shared" si="189"/>
        <v>1</v>
      </c>
      <c r="DB21" s="108">
        <f t="shared" si="190"/>
        <v>1</v>
      </c>
      <c r="DC21" s="108">
        <f t="shared" si="191"/>
        <v>1</v>
      </c>
      <c r="DD21" s="108">
        <f t="shared" si="192"/>
        <v>1</v>
      </c>
      <c r="DE21" s="109">
        <f t="shared" si="193"/>
        <v>45900000</v>
      </c>
      <c r="DF21" s="110">
        <f t="shared" si="194"/>
        <v>0</v>
      </c>
      <c r="DH21" s="319">
        <v>2.2999999999999998</v>
      </c>
      <c r="DI21" s="319" t="s">
        <v>178</v>
      </c>
      <c r="DJ21" s="359" t="s">
        <v>262</v>
      </c>
      <c r="DK21" s="321" t="s">
        <v>184</v>
      </c>
      <c r="DL21" s="322">
        <v>4250</v>
      </c>
      <c r="DM21" s="323">
        <v>11030</v>
      </c>
      <c r="DN21" s="324">
        <f t="shared" si="195"/>
        <v>46877500</v>
      </c>
      <c r="DO21" s="108">
        <f t="shared" si="196"/>
        <v>1</v>
      </c>
      <c r="DP21" s="108">
        <f t="shared" si="197"/>
        <v>1</v>
      </c>
      <c r="DQ21" s="108">
        <f t="shared" si="198"/>
        <v>1</v>
      </c>
      <c r="DR21" s="108">
        <f t="shared" si="199"/>
        <v>1</v>
      </c>
      <c r="DS21" s="108">
        <f t="shared" si="200"/>
        <v>1</v>
      </c>
      <c r="DT21" s="108">
        <f t="shared" si="201"/>
        <v>1</v>
      </c>
      <c r="DU21" s="108">
        <f t="shared" si="202"/>
        <v>1</v>
      </c>
      <c r="DV21" s="109">
        <f t="shared" si="203"/>
        <v>46877500</v>
      </c>
      <c r="DW21" s="110">
        <f t="shared" si="204"/>
        <v>0</v>
      </c>
      <c r="DY21" s="319">
        <v>2.2999999999999998</v>
      </c>
      <c r="DZ21" s="319" t="s">
        <v>178</v>
      </c>
      <c r="EA21" s="359" t="s">
        <v>262</v>
      </c>
      <c r="EB21" s="321" t="s">
        <v>184</v>
      </c>
      <c r="EC21" s="322">
        <v>4250</v>
      </c>
      <c r="ED21" s="323">
        <v>14500</v>
      </c>
      <c r="EE21" s="324">
        <f t="shared" si="205"/>
        <v>61625000</v>
      </c>
      <c r="EF21" s="108">
        <f t="shared" si="206"/>
        <v>1</v>
      </c>
      <c r="EG21" s="108">
        <f t="shared" si="207"/>
        <v>1</v>
      </c>
      <c r="EH21" s="108">
        <f t="shared" si="208"/>
        <v>1</v>
      </c>
      <c r="EI21" s="108">
        <f t="shared" si="209"/>
        <v>1</v>
      </c>
      <c r="EJ21" s="108">
        <f t="shared" si="210"/>
        <v>1</v>
      </c>
      <c r="EK21" s="108">
        <f t="shared" si="211"/>
        <v>1</v>
      </c>
      <c r="EL21" s="108">
        <f t="shared" si="212"/>
        <v>1</v>
      </c>
      <c r="EM21" s="109">
        <f t="shared" si="213"/>
        <v>61625000</v>
      </c>
      <c r="EN21" s="110">
        <f t="shared" si="214"/>
        <v>0</v>
      </c>
      <c r="EP21" s="319">
        <v>2.2999999999999998</v>
      </c>
      <c r="EQ21" s="319" t="s">
        <v>178</v>
      </c>
      <c r="ER21" s="320" t="s">
        <v>262</v>
      </c>
      <c r="ES21" s="321" t="s">
        <v>184</v>
      </c>
      <c r="ET21" s="322">
        <v>4250</v>
      </c>
      <c r="EU21" s="323">
        <v>11000</v>
      </c>
      <c r="EV21" s="324">
        <f t="shared" si="215"/>
        <v>46750000</v>
      </c>
      <c r="EW21" s="108">
        <f t="shared" si="216"/>
        <v>1</v>
      </c>
      <c r="EX21" s="108">
        <f t="shared" si="217"/>
        <v>1</v>
      </c>
      <c r="EY21" s="108">
        <f t="shared" si="218"/>
        <v>1</v>
      </c>
      <c r="EZ21" s="108">
        <f t="shared" si="219"/>
        <v>1</v>
      </c>
      <c r="FA21" s="108">
        <f t="shared" si="220"/>
        <v>1</v>
      </c>
      <c r="FB21" s="108">
        <f t="shared" si="221"/>
        <v>1</v>
      </c>
      <c r="FC21" s="108">
        <f t="shared" si="222"/>
        <v>1</v>
      </c>
      <c r="FD21" s="109">
        <f t="shared" si="223"/>
        <v>46750000</v>
      </c>
      <c r="FE21" s="110">
        <f t="shared" si="224"/>
        <v>0</v>
      </c>
      <c r="FG21" s="319">
        <v>2.2999999999999998</v>
      </c>
      <c r="FH21" s="319" t="s">
        <v>178</v>
      </c>
      <c r="FI21" s="359" t="s">
        <v>262</v>
      </c>
      <c r="FJ21" s="321" t="s">
        <v>184</v>
      </c>
      <c r="FK21" s="322">
        <v>4250</v>
      </c>
      <c r="FL21" s="323">
        <v>11048</v>
      </c>
      <c r="FM21" s="324">
        <f t="shared" si="225"/>
        <v>46954000</v>
      </c>
      <c r="FN21" s="108">
        <f t="shared" si="226"/>
        <v>1</v>
      </c>
      <c r="FO21" s="108">
        <f t="shared" si="227"/>
        <v>1</v>
      </c>
      <c r="FP21" s="108">
        <f t="shared" si="228"/>
        <v>1</v>
      </c>
      <c r="FQ21" s="108">
        <f t="shared" si="229"/>
        <v>1</v>
      </c>
      <c r="FR21" s="108">
        <f t="shared" si="230"/>
        <v>1</v>
      </c>
      <c r="FS21" s="108">
        <f t="shared" si="231"/>
        <v>1</v>
      </c>
      <c r="FT21" s="108">
        <f t="shared" si="232"/>
        <v>1</v>
      </c>
      <c r="FU21" s="109">
        <f t="shared" si="233"/>
        <v>46954000</v>
      </c>
      <c r="FV21" s="110">
        <f t="shared" si="234"/>
        <v>0</v>
      </c>
      <c r="FX21" s="319">
        <v>2.2999999999999998</v>
      </c>
      <c r="FY21" s="319" t="s">
        <v>178</v>
      </c>
      <c r="FZ21" s="320" t="s">
        <v>262</v>
      </c>
      <c r="GA21" s="321" t="s">
        <v>184</v>
      </c>
      <c r="GB21" s="322">
        <v>4250</v>
      </c>
      <c r="GC21" s="323">
        <v>10000</v>
      </c>
      <c r="GD21" s="324">
        <f t="shared" si="235"/>
        <v>42500000</v>
      </c>
      <c r="GE21" s="108">
        <f t="shared" si="236"/>
        <v>1</v>
      </c>
      <c r="GF21" s="108">
        <f t="shared" si="237"/>
        <v>1</v>
      </c>
      <c r="GG21" s="108">
        <f t="shared" si="238"/>
        <v>1</v>
      </c>
      <c r="GH21" s="108">
        <f t="shared" si="239"/>
        <v>1</v>
      </c>
      <c r="GI21" s="108">
        <f t="shared" si="240"/>
        <v>1</v>
      </c>
      <c r="GJ21" s="108">
        <f t="shared" si="241"/>
        <v>1</v>
      </c>
      <c r="GK21" s="108">
        <f t="shared" si="242"/>
        <v>1</v>
      </c>
      <c r="GL21" s="109">
        <f t="shared" si="243"/>
        <v>42500000</v>
      </c>
      <c r="GM21" s="110">
        <f t="shared" si="244"/>
        <v>0</v>
      </c>
      <c r="GO21" s="319">
        <v>2.2999999999999998</v>
      </c>
      <c r="GP21" s="319" t="s">
        <v>178</v>
      </c>
      <c r="GQ21" s="320" t="s">
        <v>262</v>
      </c>
      <c r="GR21" s="321" t="s">
        <v>184</v>
      </c>
      <c r="GS21" s="322">
        <v>4250</v>
      </c>
      <c r="GT21" s="323">
        <v>11000</v>
      </c>
      <c r="GU21" s="324">
        <v>46750000</v>
      </c>
      <c r="GV21" s="108">
        <f t="shared" si="245"/>
        <v>1</v>
      </c>
      <c r="GW21" s="108">
        <f t="shared" si="246"/>
        <v>1</v>
      </c>
      <c r="GX21" s="108">
        <f t="shared" si="247"/>
        <v>1</v>
      </c>
      <c r="GY21" s="108">
        <f t="shared" si="248"/>
        <v>1</v>
      </c>
      <c r="GZ21" s="108">
        <f t="shared" si="249"/>
        <v>1</v>
      </c>
      <c r="HA21" s="108">
        <f t="shared" si="250"/>
        <v>1</v>
      </c>
      <c r="HB21" s="108">
        <f t="shared" si="251"/>
        <v>1</v>
      </c>
      <c r="HC21" s="109">
        <f t="shared" si="252"/>
        <v>46750000</v>
      </c>
      <c r="HD21" s="110">
        <f t="shared" si="253"/>
        <v>0</v>
      </c>
      <c r="HF21" s="319">
        <v>2.2999999999999998</v>
      </c>
      <c r="HG21" s="319" t="s">
        <v>178</v>
      </c>
      <c r="HH21" s="320" t="s">
        <v>262</v>
      </c>
      <c r="HI21" s="321" t="s">
        <v>184</v>
      </c>
      <c r="HJ21" s="322">
        <v>4250</v>
      </c>
      <c r="HK21" s="323">
        <v>13800</v>
      </c>
      <c r="HL21" s="324">
        <f t="shared" si="254"/>
        <v>58650000</v>
      </c>
      <c r="HM21" s="108">
        <f t="shared" si="255"/>
        <v>1</v>
      </c>
      <c r="HN21" s="108">
        <f t="shared" si="256"/>
        <v>1</v>
      </c>
      <c r="HO21" s="108">
        <f t="shared" si="257"/>
        <v>1</v>
      </c>
      <c r="HP21" s="108">
        <f t="shared" si="258"/>
        <v>1</v>
      </c>
      <c r="HQ21" s="108">
        <f t="shared" si="259"/>
        <v>1</v>
      </c>
      <c r="HR21" s="108">
        <f t="shared" si="260"/>
        <v>1</v>
      </c>
      <c r="HS21" s="108">
        <f t="shared" si="261"/>
        <v>1</v>
      </c>
      <c r="HT21" s="109">
        <f t="shared" si="262"/>
        <v>58650000</v>
      </c>
      <c r="HU21" s="110">
        <f t="shared" si="263"/>
        <v>0</v>
      </c>
      <c r="HW21" s="319">
        <v>2.2999999999999998</v>
      </c>
      <c r="HX21" s="319" t="s">
        <v>178</v>
      </c>
      <c r="HY21" s="320" t="s">
        <v>262</v>
      </c>
      <c r="HZ21" s="321" t="s">
        <v>184</v>
      </c>
      <c r="IA21" s="322">
        <v>4250</v>
      </c>
      <c r="IB21" s="323">
        <v>10000</v>
      </c>
      <c r="IC21" s="324">
        <f t="shared" si="264"/>
        <v>42500000</v>
      </c>
      <c r="ID21" s="108">
        <f t="shared" si="265"/>
        <v>1</v>
      </c>
      <c r="IE21" s="108">
        <f t="shared" si="266"/>
        <v>1</v>
      </c>
      <c r="IF21" s="108">
        <f t="shared" si="267"/>
        <v>1</v>
      </c>
      <c r="IG21" s="108">
        <f t="shared" si="268"/>
        <v>1</v>
      </c>
      <c r="IH21" s="108">
        <f t="shared" si="269"/>
        <v>1</v>
      </c>
      <c r="II21" s="108">
        <f t="shared" si="270"/>
        <v>1</v>
      </c>
      <c r="IJ21" s="108">
        <f t="shared" si="271"/>
        <v>1</v>
      </c>
      <c r="IK21" s="109">
        <f t="shared" si="272"/>
        <v>42500000</v>
      </c>
      <c r="IL21" s="110">
        <f t="shared" si="273"/>
        <v>0</v>
      </c>
    </row>
    <row r="22" spans="1:246" s="213" customFormat="1" ht="113.25" customHeight="1" x14ac:dyDescent="0.25">
      <c r="A22" s="211"/>
      <c r="B22" s="319">
        <v>2.4</v>
      </c>
      <c r="C22" s="319" t="s">
        <v>178</v>
      </c>
      <c r="D22" s="320" t="s">
        <v>263</v>
      </c>
      <c r="E22" s="321" t="s">
        <v>179</v>
      </c>
      <c r="F22" s="325">
        <v>1275</v>
      </c>
      <c r="G22" s="323">
        <v>0</v>
      </c>
      <c r="H22" s="324">
        <f t="shared" si="146"/>
        <v>0</v>
      </c>
      <c r="J22" s="319">
        <v>2.4</v>
      </c>
      <c r="K22" s="319" t="s">
        <v>178</v>
      </c>
      <c r="L22" s="320" t="s">
        <v>263</v>
      </c>
      <c r="M22" s="321" t="s">
        <v>179</v>
      </c>
      <c r="N22" s="325">
        <v>1275</v>
      </c>
      <c r="O22" s="323">
        <v>14123</v>
      </c>
      <c r="P22" s="324">
        <v>18006825</v>
      </c>
      <c r="Q22" s="108">
        <f t="shared" ref="Q22:Q32" si="274">IFERROR(IF(EXACT(VLOOKUP(J22,OFERTA_0,1,FALSE),J22),1,0),0)</f>
        <v>1</v>
      </c>
      <c r="R22" s="108">
        <f t="shared" ref="R22:R32" si="275">IFERROR(IF(EXACT(VLOOKUP(J22,OFERTA_0,3,FALSE),L22),1,0),0)</f>
        <v>1</v>
      </c>
      <c r="S22" s="108">
        <f t="shared" ref="S22:S32" si="276">IFERROR(IF(EXACT(VLOOKUP(J22,OFERTA_0,4,FALSE),M22),1,0),0)</f>
        <v>1</v>
      </c>
      <c r="T22" s="108">
        <f t="shared" ref="T22:T32" si="277">IFERROR(IF(EXACT(VLOOKUP(J22,OFERTA_0,5,FALSE),N22),1,0),0)</f>
        <v>1</v>
      </c>
      <c r="U22" s="108">
        <f t="shared" ref="U22:U32" si="278">IFERROR(IF(O22&lt;=0,0,1),0)</f>
        <v>1</v>
      </c>
      <c r="V22" s="108">
        <f t="shared" ref="V22:V32" si="279">IFERROR(IF(P22&lt;=0,0,1),0)</f>
        <v>1</v>
      </c>
      <c r="W22" s="108">
        <f t="shared" ref="W22:W32" si="280">PRODUCT(Q22:V22)</f>
        <v>1</v>
      </c>
      <c r="X22" s="109">
        <f t="shared" ref="X22:X32" si="281">ROUND(P22,0)</f>
        <v>18006825</v>
      </c>
      <c r="Y22" s="110">
        <f t="shared" ref="Y22:Y32" si="282">P22-X22</f>
        <v>0</v>
      </c>
      <c r="AA22" s="319">
        <v>2.4</v>
      </c>
      <c r="AB22" s="319" t="s">
        <v>178</v>
      </c>
      <c r="AC22" s="320" t="s">
        <v>263</v>
      </c>
      <c r="AD22" s="321" t="s">
        <v>179</v>
      </c>
      <c r="AE22" s="325">
        <v>1275</v>
      </c>
      <c r="AF22" s="323">
        <v>13000</v>
      </c>
      <c r="AG22" s="324">
        <v>16575000</v>
      </c>
      <c r="AH22" s="108">
        <f t="shared" si="147"/>
        <v>1</v>
      </c>
      <c r="AI22" s="108">
        <f t="shared" si="148"/>
        <v>1</v>
      </c>
      <c r="AJ22" s="108">
        <f t="shared" si="149"/>
        <v>1</v>
      </c>
      <c r="AK22" s="108">
        <f t="shared" si="150"/>
        <v>1</v>
      </c>
      <c r="AL22" s="108">
        <f t="shared" si="151"/>
        <v>1</v>
      </c>
      <c r="AM22" s="108">
        <f t="shared" si="152"/>
        <v>1</v>
      </c>
      <c r="AN22" s="108">
        <f t="shared" si="153"/>
        <v>1</v>
      </c>
      <c r="AO22" s="109">
        <f t="shared" si="154"/>
        <v>16575000</v>
      </c>
      <c r="AP22" s="110">
        <f t="shared" si="155"/>
        <v>0</v>
      </c>
      <c r="AR22" s="319">
        <v>2.4</v>
      </c>
      <c r="AS22" s="319" t="s">
        <v>178</v>
      </c>
      <c r="AT22" s="320" t="s">
        <v>263</v>
      </c>
      <c r="AU22" s="321" t="s">
        <v>179</v>
      </c>
      <c r="AV22" s="325">
        <v>1275</v>
      </c>
      <c r="AW22" s="323">
        <v>7000</v>
      </c>
      <c r="AX22" s="324">
        <v>8925000</v>
      </c>
      <c r="AY22" s="108">
        <f t="shared" si="156"/>
        <v>1</v>
      </c>
      <c r="AZ22" s="108">
        <f t="shared" si="157"/>
        <v>1</v>
      </c>
      <c r="BA22" s="108">
        <f t="shared" si="158"/>
        <v>1</v>
      </c>
      <c r="BB22" s="108">
        <f t="shared" si="159"/>
        <v>1</v>
      </c>
      <c r="BC22" s="108">
        <f t="shared" si="160"/>
        <v>1</v>
      </c>
      <c r="BD22" s="108">
        <f t="shared" si="161"/>
        <v>1</v>
      </c>
      <c r="BE22" s="108">
        <f t="shared" si="162"/>
        <v>1</v>
      </c>
      <c r="BF22" s="109">
        <f t="shared" si="163"/>
        <v>8925000</v>
      </c>
      <c r="BG22" s="110">
        <f t="shared" si="164"/>
        <v>0</v>
      </c>
      <c r="BI22" s="319">
        <v>2.4</v>
      </c>
      <c r="BJ22" s="319" t="s">
        <v>178</v>
      </c>
      <c r="BK22" s="320" t="s">
        <v>263</v>
      </c>
      <c r="BL22" s="321" t="s">
        <v>179</v>
      </c>
      <c r="BM22" s="325">
        <v>1275</v>
      </c>
      <c r="BN22" s="323">
        <v>10500</v>
      </c>
      <c r="BO22" s="324">
        <f t="shared" si="165"/>
        <v>13387500</v>
      </c>
      <c r="BP22" s="108">
        <f t="shared" si="166"/>
        <v>1</v>
      </c>
      <c r="BQ22" s="108">
        <f t="shared" si="167"/>
        <v>1</v>
      </c>
      <c r="BR22" s="108">
        <f t="shared" si="168"/>
        <v>1</v>
      </c>
      <c r="BS22" s="108">
        <f t="shared" si="169"/>
        <v>1</v>
      </c>
      <c r="BT22" s="108">
        <f t="shared" si="170"/>
        <v>1</v>
      </c>
      <c r="BU22" s="108">
        <f t="shared" si="171"/>
        <v>1</v>
      </c>
      <c r="BV22" s="108">
        <f t="shared" si="172"/>
        <v>1</v>
      </c>
      <c r="BW22" s="109">
        <f t="shared" si="173"/>
        <v>13387500</v>
      </c>
      <c r="BX22" s="110">
        <f t="shared" si="174"/>
        <v>0</v>
      </c>
      <c r="BZ22" s="319">
        <v>2.4</v>
      </c>
      <c r="CA22" s="319" t="s">
        <v>178</v>
      </c>
      <c r="CB22" s="320" t="s">
        <v>263</v>
      </c>
      <c r="CC22" s="321" t="s">
        <v>179</v>
      </c>
      <c r="CD22" s="325">
        <v>1275</v>
      </c>
      <c r="CE22" s="323">
        <v>8000</v>
      </c>
      <c r="CF22" s="324">
        <f t="shared" si="175"/>
        <v>10200000</v>
      </c>
      <c r="CG22" s="108">
        <f t="shared" si="176"/>
        <v>1</v>
      </c>
      <c r="CH22" s="108">
        <f t="shared" si="177"/>
        <v>1</v>
      </c>
      <c r="CI22" s="108">
        <f t="shared" si="178"/>
        <v>1</v>
      </c>
      <c r="CJ22" s="108">
        <f t="shared" si="179"/>
        <v>1</v>
      </c>
      <c r="CK22" s="108">
        <f t="shared" si="180"/>
        <v>1</v>
      </c>
      <c r="CL22" s="108">
        <f t="shared" si="181"/>
        <v>1</v>
      </c>
      <c r="CM22" s="108">
        <f t="shared" si="182"/>
        <v>1</v>
      </c>
      <c r="CN22" s="109">
        <f t="shared" si="183"/>
        <v>10200000</v>
      </c>
      <c r="CO22" s="110">
        <f t="shared" si="184"/>
        <v>0</v>
      </c>
      <c r="CQ22" s="319">
        <v>2.4</v>
      </c>
      <c r="CR22" s="319" t="s">
        <v>178</v>
      </c>
      <c r="CS22" s="320" t="s">
        <v>263</v>
      </c>
      <c r="CT22" s="321" t="s">
        <v>179</v>
      </c>
      <c r="CU22" s="325">
        <v>1275</v>
      </c>
      <c r="CV22" s="323">
        <v>8300</v>
      </c>
      <c r="CW22" s="324">
        <f t="shared" si="185"/>
        <v>10582500</v>
      </c>
      <c r="CX22" s="108">
        <f t="shared" si="186"/>
        <v>1</v>
      </c>
      <c r="CY22" s="108">
        <f t="shared" si="187"/>
        <v>1</v>
      </c>
      <c r="CZ22" s="108">
        <f t="shared" si="188"/>
        <v>1</v>
      </c>
      <c r="DA22" s="108">
        <f t="shared" si="189"/>
        <v>1</v>
      </c>
      <c r="DB22" s="108">
        <f t="shared" si="190"/>
        <v>1</v>
      </c>
      <c r="DC22" s="108">
        <f t="shared" si="191"/>
        <v>1</v>
      </c>
      <c r="DD22" s="108">
        <f t="shared" si="192"/>
        <v>1</v>
      </c>
      <c r="DE22" s="109">
        <f t="shared" si="193"/>
        <v>10582500</v>
      </c>
      <c r="DF22" s="110">
        <f t="shared" si="194"/>
        <v>0</v>
      </c>
      <c r="DH22" s="319">
        <v>2.4</v>
      </c>
      <c r="DI22" s="319" t="s">
        <v>178</v>
      </c>
      <c r="DJ22" s="359" t="s">
        <v>263</v>
      </c>
      <c r="DK22" s="321" t="s">
        <v>179</v>
      </c>
      <c r="DL22" s="325">
        <v>1275</v>
      </c>
      <c r="DM22" s="323">
        <v>10665</v>
      </c>
      <c r="DN22" s="324">
        <f t="shared" si="195"/>
        <v>13597875</v>
      </c>
      <c r="DO22" s="108">
        <f t="shared" si="196"/>
        <v>1</v>
      </c>
      <c r="DP22" s="108">
        <f t="shared" si="197"/>
        <v>1</v>
      </c>
      <c r="DQ22" s="108">
        <f t="shared" si="198"/>
        <v>1</v>
      </c>
      <c r="DR22" s="108">
        <f t="shared" si="199"/>
        <v>1</v>
      </c>
      <c r="DS22" s="108">
        <f t="shared" si="200"/>
        <v>1</v>
      </c>
      <c r="DT22" s="108">
        <f t="shared" si="201"/>
        <v>1</v>
      </c>
      <c r="DU22" s="108">
        <f t="shared" si="202"/>
        <v>1</v>
      </c>
      <c r="DV22" s="109">
        <f t="shared" si="203"/>
        <v>13597875</v>
      </c>
      <c r="DW22" s="110">
        <f t="shared" si="204"/>
        <v>0</v>
      </c>
      <c r="DY22" s="319">
        <v>2.4</v>
      </c>
      <c r="DZ22" s="319" t="s">
        <v>178</v>
      </c>
      <c r="EA22" s="359" t="s">
        <v>263</v>
      </c>
      <c r="EB22" s="321" t="s">
        <v>179</v>
      </c>
      <c r="EC22" s="325">
        <v>1275</v>
      </c>
      <c r="ED22" s="323">
        <v>7500</v>
      </c>
      <c r="EE22" s="324">
        <f t="shared" si="205"/>
        <v>9562500</v>
      </c>
      <c r="EF22" s="108">
        <f t="shared" si="206"/>
        <v>1</v>
      </c>
      <c r="EG22" s="108">
        <f t="shared" si="207"/>
        <v>1</v>
      </c>
      <c r="EH22" s="108">
        <f t="shared" si="208"/>
        <v>1</v>
      </c>
      <c r="EI22" s="108">
        <f t="shared" si="209"/>
        <v>1</v>
      </c>
      <c r="EJ22" s="108">
        <f t="shared" si="210"/>
        <v>1</v>
      </c>
      <c r="EK22" s="108">
        <f t="shared" si="211"/>
        <v>1</v>
      </c>
      <c r="EL22" s="108">
        <f t="shared" si="212"/>
        <v>1</v>
      </c>
      <c r="EM22" s="109">
        <f t="shared" si="213"/>
        <v>9562500</v>
      </c>
      <c r="EN22" s="110">
        <f t="shared" si="214"/>
        <v>0</v>
      </c>
      <c r="EP22" s="319">
        <v>2.4</v>
      </c>
      <c r="EQ22" s="319" t="s">
        <v>178</v>
      </c>
      <c r="ER22" s="320" t="s">
        <v>263</v>
      </c>
      <c r="ES22" s="321" t="s">
        <v>179</v>
      </c>
      <c r="ET22" s="325">
        <v>1275</v>
      </c>
      <c r="EU22" s="323">
        <v>10500</v>
      </c>
      <c r="EV22" s="324">
        <f t="shared" si="215"/>
        <v>13387500</v>
      </c>
      <c r="EW22" s="108">
        <f t="shared" si="216"/>
        <v>1</v>
      </c>
      <c r="EX22" s="108">
        <f t="shared" si="217"/>
        <v>1</v>
      </c>
      <c r="EY22" s="108">
        <f t="shared" si="218"/>
        <v>1</v>
      </c>
      <c r="EZ22" s="108">
        <f t="shared" si="219"/>
        <v>1</v>
      </c>
      <c r="FA22" s="108">
        <f t="shared" si="220"/>
        <v>1</v>
      </c>
      <c r="FB22" s="108">
        <f t="shared" si="221"/>
        <v>1</v>
      </c>
      <c r="FC22" s="108">
        <f t="shared" si="222"/>
        <v>1</v>
      </c>
      <c r="FD22" s="109">
        <f t="shared" si="223"/>
        <v>13387500</v>
      </c>
      <c r="FE22" s="110">
        <f t="shared" si="224"/>
        <v>0</v>
      </c>
      <c r="FG22" s="319">
        <v>2.4</v>
      </c>
      <c r="FH22" s="319" t="s">
        <v>178</v>
      </c>
      <c r="FI22" s="359" t="s">
        <v>263</v>
      </c>
      <c r="FJ22" s="321" t="s">
        <v>179</v>
      </c>
      <c r="FK22" s="325">
        <v>1275</v>
      </c>
      <c r="FL22" s="323">
        <v>10673</v>
      </c>
      <c r="FM22" s="324">
        <f t="shared" si="225"/>
        <v>13608075</v>
      </c>
      <c r="FN22" s="108">
        <f t="shared" si="226"/>
        <v>1</v>
      </c>
      <c r="FO22" s="108">
        <f t="shared" si="227"/>
        <v>1</v>
      </c>
      <c r="FP22" s="108">
        <f t="shared" si="228"/>
        <v>1</v>
      </c>
      <c r="FQ22" s="108">
        <f t="shared" si="229"/>
        <v>1</v>
      </c>
      <c r="FR22" s="108">
        <f t="shared" si="230"/>
        <v>1</v>
      </c>
      <c r="FS22" s="108">
        <f t="shared" si="231"/>
        <v>1</v>
      </c>
      <c r="FT22" s="108">
        <f t="shared" si="232"/>
        <v>1</v>
      </c>
      <c r="FU22" s="109">
        <f t="shared" si="233"/>
        <v>13608075</v>
      </c>
      <c r="FV22" s="110">
        <f t="shared" si="234"/>
        <v>0</v>
      </c>
      <c r="FX22" s="319">
        <v>2.4</v>
      </c>
      <c r="FY22" s="319" t="s">
        <v>178</v>
      </c>
      <c r="FZ22" s="320" t="s">
        <v>263</v>
      </c>
      <c r="GA22" s="321" t="s">
        <v>179</v>
      </c>
      <c r="GB22" s="325">
        <v>1275</v>
      </c>
      <c r="GC22" s="323">
        <v>10000</v>
      </c>
      <c r="GD22" s="324">
        <f t="shared" si="235"/>
        <v>12750000</v>
      </c>
      <c r="GE22" s="108">
        <f t="shared" si="236"/>
        <v>1</v>
      </c>
      <c r="GF22" s="108">
        <f t="shared" si="237"/>
        <v>1</v>
      </c>
      <c r="GG22" s="108">
        <f t="shared" si="238"/>
        <v>1</v>
      </c>
      <c r="GH22" s="108">
        <f t="shared" si="239"/>
        <v>1</v>
      </c>
      <c r="GI22" s="108">
        <f t="shared" si="240"/>
        <v>1</v>
      </c>
      <c r="GJ22" s="108">
        <f t="shared" si="241"/>
        <v>1</v>
      </c>
      <c r="GK22" s="108">
        <f t="shared" si="242"/>
        <v>1</v>
      </c>
      <c r="GL22" s="109">
        <f t="shared" si="243"/>
        <v>12750000</v>
      </c>
      <c r="GM22" s="110">
        <f t="shared" si="244"/>
        <v>0</v>
      </c>
      <c r="GO22" s="319">
        <v>2.4</v>
      </c>
      <c r="GP22" s="319" t="s">
        <v>178</v>
      </c>
      <c r="GQ22" s="320" t="s">
        <v>263</v>
      </c>
      <c r="GR22" s="321" t="s">
        <v>179</v>
      </c>
      <c r="GS22" s="325">
        <v>1275</v>
      </c>
      <c r="GT22" s="323">
        <v>12000</v>
      </c>
      <c r="GU22" s="324">
        <v>15300000</v>
      </c>
      <c r="GV22" s="108">
        <f t="shared" si="245"/>
        <v>1</v>
      </c>
      <c r="GW22" s="108">
        <f t="shared" si="246"/>
        <v>1</v>
      </c>
      <c r="GX22" s="108">
        <f t="shared" si="247"/>
        <v>1</v>
      </c>
      <c r="GY22" s="108">
        <f t="shared" si="248"/>
        <v>1</v>
      </c>
      <c r="GZ22" s="108">
        <f t="shared" si="249"/>
        <v>1</v>
      </c>
      <c r="HA22" s="108">
        <f t="shared" si="250"/>
        <v>1</v>
      </c>
      <c r="HB22" s="108">
        <f t="shared" si="251"/>
        <v>1</v>
      </c>
      <c r="HC22" s="109">
        <f t="shared" si="252"/>
        <v>15300000</v>
      </c>
      <c r="HD22" s="110">
        <f t="shared" si="253"/>
        <v>0</v>
      </c>
      <c r="HF22" s="319">
        <v>2.4</v>
      </c>
      <c r="HG22" s="319" t="s">
        <v>178</v>
      </c>
      <c r="HH22" s="320" t="s">
        <v>263</v>
      </c>
      <c r="HI22" s="321" t="s">
        <v>179</v>
      </c>
      <c r="HJ22" s="325">
        <v>1275</v>
      </c>
      <c r="HK22" s="323">
        <v>9800</v>
      </c>
      <c r="HL22" s="324">
        <f t="shared" si="254"/>
        <v>12495000</v>
      </c>
      <c r="HM22" s="108">
        <f t="shared" si="255"/>
        <v>1</v>
      </c>
      <c r="HN22" s="108">
        <f t="shared" si="256"/>
        <v>1</v>
      </c>
      <c r="HO22" s="108">
        <f t="shared" si="257"/>
        <v>1</v>
      </c>
      <c r="HP22" s="108">
        <f t="shared" si="258"/>
        <v>1</v>
      </c>
      <c r="HQ22" s="108">
        <f t="shared" si="259"/>
        <v>1</v>
      </c>
      <c r="HR22" s="108">
        <f t="shared" si="260"/>
        <v>1</v>
      </c>
      <c r="HS22" s="108">
        <f t="shared" si="261"/>
        <v>1</v>
      </c>
      <c r="HT22" s="109">
        <f t="shared" si="262"/>
        <v>12495000</v>
      </c>
      <c r="HU22" s="110">
        <f t="shared" si="263"/>
        <v>0</v>
      </c>
      <c r="HW22" s="319">
        <v>2.4</v>
      </c>
      <c r="HX22" s="319" t="s">
        <v>178</v>
      </c>
      <c r="HY22" s="320" t="s">
        <v>263</v>
      </c>
      <c r="HZ22" s="321" t="s">
        <v>179</v>
      </c>
      <c r="IA22" s="325">
        <v>1275</v>
      </c>
      <c r="IB22" s="323">
        <v>15000</v>
      </c>
      <c r="IC22" s="324">
        <f t="shared" si="264"/>
        <v>19125000</v>
      </c>
      <c r="ID22" s="108">
        <f t="shared" si="265"/>
        <v>1</v>
      </c>
      <c r="IE22" s="108">
        <f t="shared" si="266"/>
        <v>1</v>
      </c>
      <c r="IF22" s="108">
        <f t="shared" si="267"/>
        <v>1</v>
      </c>
      <c r="IG22" s="108">
        <f t="shared" si="268"/>
        <v>1</v>
      </c>
      <c r="IH22" s="108">
        <f t="shared" si="269"/>
        <v>1</v>
      </c>
      <c r="II22" s="108">
        <f t="shared" si="270"/>
        <v>1</v>
      </c>
      <c r="IJ22" s="108">
        <f t="shared" si="271"/>
        <v>1</v>
      </c>
      <c r="IK22" s="109">
        <f t="shared" si="272"/>
        <v>19125000</v>
      </c>
      <c r="IL22" s="110">
        <f t="shared" si="273"/>
        <v>0</v>
      </c>
    </row>
    <row r="23" spans="1:246" s="213" customFormat="1" ht="101.25" customHeight="1" x14ac:dyDescent="0.25">
      <c r="A23" s="211"/>
      <c r="B23" s="319">
        <v>2.5</v>
      </c>
      <c r="C23" s="319" t="s">
        <v>180</v>
      </c>
      <c r="D23" s="320" t="s">
        <v>264</v>
      </c>
      <c r="E23" s="321" t="s">
        <v>184</v>
      </c>
      <c r="F23" s="325">
        <v>8.5</v>
      </c>
      <c r="G23" s="323">
        <v>0</v>
      </c>
      <c r="H23" s="324">
        <f t="shared" si="146"/>
        <v>0</v>
      </c>
      <c r="J23" s="319">
        <v>2.5</v>
      </c>
      <c r="K23" s="319" t="s">
        <v>180</v>
      </c>
      <c r="L23" s="320" t="s">
        <v>264</v>
      </c>
      <c r="M23" s="321" t="s">
        <v>184</v>
      </c>
      <c r="N23" s="325">
        <v>8.5</v>
      </c>
      <c r="O23" s="323">
        <v>12000</v>
      </c>
      <c r="P23" s="324">
        <v>102000</v>
      </c>
      <c r="Q23" s="108">
        <f t="shared" si="274"/>
        <v>1</v>
      </c>
      <c r="R23" s="108">
        <f t="shared" si="275"/>
        <v>1</v>
      </c>
      <c r="S23" s="108">
        <f t="shared" si="276"/>
        <v>1</v>
      </c>
      <c r="T23" s="108">
        <f t="shared" si="277"/>
        <v>1</v>
      </c>
      <c r="U23" s="108">
        <f t="shared" si="278"/>
        <v>1</v>
      </c>
      <c r="V23" s="108">
        <f t="shared" si="279"/>
        <v>1</v>
      </c>
      <c r="W23" s="108">
        <f t="shared" si="280"/>
        <v>1</v>
      </c>
      <c r="X23" s="109">
        <f t="shared" si="281"/>
        <v>102000</v>
      </c>
      <c r="Y23" s="110">
        <f t="shared" si="282"/>
        <v>0</v>
      </c>
      <c r="AA23" s="319">
        <v>2.5</v>
      </c>
      <c r="AB23" s="319" t="s">
        <v>180</v>
      </c>
      <c r="AC23" s="320" t="s">
        <v>264</v>
      </c>
      <c r="AD23" s="321" t="s">
        <v>184</v>
      </c>
      <c r="AE23" s="325">
        <v>8.5</v>
      </c>
      <c r="AF23" s="323">
        <v>14600</v>
      </c>
      <c r="AG23" s="324">
        <v>124100</v>
      </c>
      <c r="AH23" s="108">
        <f t="shared" si="147"/>
        <v>1</v>
      </c>
      <c r="AI23" s="108">
        <f t="shared" si="148"/>
        <v>1</v>
      </c>
      <c r="AJ23" s="108">
        <f t="shared" si="149"/>
        <v>1</v>
      </c>
      <c r="AK23" s="108">
        <f t="shared" si="150"/>
        <v>1</v>
      </c>
      <c r="AL23" s="108">
        <f t="shared" si="151"/>
        <v>1</v>
      </c>
      <c r="AM23" s="108">
        <f t="shared" si="152"/>
        <v>1</v>
      </c>
      <c r="AN23" s="108">
        <f t="shared" si="153"/>
        <v>1</v>
      </c>
      <c r="AO23" s="109">
        <f t="shared" si="154"/>
        <v>124100</v>
      </c>
      <c r="AP23" s="110">
        <f t="shared" si="155"/>
        <v>0</v>
      </c>
      <c r="AR23" s="319">
        <v>2.5</v>
      </c>
      <c r="AS23" s="319" t="s">
        <v>180</v>
      </c>
      <c r="AT23" s="320" t="s">
        <v>264</v>
      </c>
      <c r="AU23" s="321" t="s">
        <v>184</v>
      </c>
      <c r="AV23" s="325">
        <v>8.5</v>
      </c>
      <c r="AW23" s="323">
        <v>9000</v>
      </c>
      <c r="AX23" s="324">
        <v>76500</v>
      </c>
      <c r="AY23" s="108">
        <f t="shared" si="156"/>
        <v>1</v>
      </c>
      <c r="AZ23" s="108">
        <f t="shared" si="157"/>
        <v>1</v>
      </c>
      <c r="BA23" s="108">
        <f t="shared" si="158"/>
        <v>1</v>
      </c>
      <c r="BB23" s="108">
        <f t="shared" si="159"/>
        <v>1</v>
      </c>
      <c r="BC23" s="108">
        <f t="shared" si="160"/>
        <v>1</v>
      </c>
      <c r="BD23" s="108">
        <f t="shared" si="161"/>
        <v>1</v>
      </c>
      <c r="BE23" s="108">
        <f t="shared" si="162"/>
        <v>1</v>
      </c>
      <c r="BF23" s="109">
        <f t="shared" si="163"/>
        <v>76500</v>
      </c>
      <c r="BG23" s="110">
        <f t="shared" si="164"/>
        <v>0</v>
      </c>
      <c r="BI23" s="319">
        <v>2.5</v>
      </c>
      <c r="BJ23" s="319" t="s">
        <v>180</v>
      </c>
      <c r="BK23" s="320" t="s">
        <v>264</v>
      </c>
      <c r="BL23" s="321" t="s">
        <v>184</v>
      </c>
      <c r="BM23" s="325">
        <v>8.5</v>
      </c>
      <c r="BN23" s="323">
        <v>11149</v>
      </c>
      <c r="BO23" s="324">
        <f t="shared" si="165"/>
        <v>94766.5</v>
      </c>
      <c r="BP23" s="108">
        <f t="shared" si="166"/>
        <v>1</v>
      </c>
      <c r="BQ23" s="108">
        <f t="shared" si="167"/>
        <v>1</v>
      </c>
      <c r="BR23" s="108">
        <f t="shared" si="168"/>
        <v>1</v>
      </c>
      <c r="BS23" s="108">
        <f t="shared" si="169"/>
        <v>1</v>
      </c>
      <c r="BT23" s="108">
        <f t="shared" si="170"/>
        <v>1</v>
      </c>
      <c r="BU23" s="108">
        <f t="shared" si="171"/>
        <v>1</v>
      </c>
      <c r="BV23" s="108">
        <f t="shared" si="172"/>
        <v>1</v>
      </c>
      <c r="BW23" s="109">
        <f t="shared" si="173"/>
        <v>94767</v>
      </c>
      <c r="BX23" s="110">
        <f t="shared" si="174"/>
        <v>-0.5</v>
      </c>
      <c r="BZ23" s="319">
        <v>2.5</v>
      </c>
      <c r="CA23" s="319" t="s">
        <v>180</v>
      </c>
      <c r="CB23" s="320" t="s">
        <v>264</v>
      </c>
      <c r="CC23" s="321" t="s">
        <v>184</v>
      </c>
      <c r="CD23" s="325">
        <v>8.5</v>
      </c>
      <c r="CE23" s="323">
        <v>40000</v>
      </c>
      <c r="CF23" s="324">
        <f t="shared" si="175"/>
        <v>340000</v>
      </c>
      <c r="CG23" s="108">
        <f t="shared" si="176"/>
        <v>1</v>
      </c>
      <c r="CH23" s="108">
        <f t="shared" si="177"/>
        <v>1</v>
      </c>
      <c r="CI23" s="108">
        <f t="shared" si="178"/>
        <v>1</v>
      </c>
      <c r="CJ23" s="108">
        <f t="shared" si="179"/>
        <v>1</v>
      </c>
      <c r="CK23" s="108">
        <f t="shared" si="180"/>
        <v>1</v>
      </c>
      <c r="CL23" s="108">
        <f t="shared" si="181"/>
        <v>1</v>
      </c>
      <c r="CM23" s="108">
        <f t="shared" si="182"/>
        <v>1</v>
      </c>
      <c r="CN23" s="109">
        <f t="shared" si="183"/>
        <v>340000</v>
      </c>
      <c r="CO23" s="110">
        <f t="shared" si="184"/>
        <v>0</v>
      </c>
      <c r="CQ23" s="319">
        <v>2.5</v>
      </c>
      <c r="CR23" s="319" t="s">
        <v>180</v>
      </c>
      <c r="CS23" s="320" t="s">
        <v>264</v>
      </c>
      <c r="CT23" s="321" t="s">
        <v>184</v>
      </c>
      <c r="CU23" s="325">
        <v>8.5</v>
      </c>
      <c r="CV23" s="323">
        <v>11000</v>
      </c>
      <c r="CW23" s="324">
        <f t="shared" si="185"/>
        <v>93500</v>
      </c>
      <c r="CX23" s="108">
        <f t="shared" si="186"/>
        <v>1</v>
      </c>
      <c r="CY23" s="108">
        <f t="shared" si="187"/>
        <v>1</v>
      </c>
      <c r="CZ23" s="108">
        <f t="shared" si="188"/>
        <v>1</v>
      </c>
      <c r="DA23" s="108">
        <f t="shared" si="189"/>
        <v>1</v>
      </c>
      <c r="DB23" s="108">
        <f t="shared" si="190"/>
        <v>1</v>
      </c>
      <c r="DC23" s="108">
        <f t="shared" si="191"/>
        <v>1</v>
      </c>
      <c r="DD23" s="108">
        <f t="shared" si="192"/>
        <v>1</v>
      </c>
      <c r="DE23" s="109">
        <f t="shared" si="193"/>
        <v>93500</v>
      </c>
      <c r="DF23" s="110">
        <f t="shared" si="194"/>
        <v>0</v>
      </c>
      <c r="DH23" s="319">
        <v>2.5</v>
      </c>
      <c r="DI23" s="319" t="s">
        <v>180</v>
      </c>
      <c r="DJ23" s="359" t="s">
        <v>264</v>
      </c>
      <c r="DK23" s="321" t="s">
        <v>184</v>
      </c>
      <c r="DL23" s="325">
        <v>8.5</v>
      </c>
      <c r="DM23" s="323">
        <v>10575</v>
      </c>
      <c r="DN23" s="324">
        <f t="shared" si="195"/>
        <v>89887.5</v>
      </c>
      <c r="DO23" s="108">
        <f t="shared" si="196"/>
        <v>1</v>
      </c>
      <c r="DP23" s="108">
        <f t="shared" si="197"/>
        <v>1</v>
      </c>
      <c r="DQ23" s="108">
        <f t="shared" si="198"/>
        <v>1</v>
      </c>
      <c r="DR23" s="108">
        <f t="shared" si="199"/>
        <v>1</v>
      </c>
      <c r="DS23" s="108">
        <f t="shared" si="200"/>
        <v>1</v>
      </c>
      <c r="DT23" s="108">
        <f t="shared" si="201"/>
        <v>1</v>
      </c>
      <c r="DU23" s="108">
        <f t="shared" si="202"/>
        <v>1</v>
      </c>
      <c r="DV23" s="109">
        <f t="shared" si="203"/>
        <v>89888</v>
      </c>
      <c r="DW23" s="110">
        <f t="shared" si="204"/>
        <v>-0.5</v>
      </c>
      <c r="DY23" s="319">
        <v>2.5</v>
      </c>
      <c r="DZ23" s="319" t="s">
        <v>180</v>
      </c>
      <c r="EA23" s="359" t="s">
        <v>264</v>
      </c>
      <c r="EB23" s="321" t="s">
        <v>184</v>
      </c>
      <c r="EC23" s="325">
        <v>8.5</v>
      </c>
      <c r="ED23" s="323">
        <v>15500</v>
      </c>
      <c r="EE23" s="324">
        <f t="shared" si="205"/>
        <v>131750</v>
      </c>
      <c r="EF23" s="108">
        <f t="shared" si="206"/>
        <v>1</v>
      </c>
      <c r="EG23" s="108">
        <f t="shared" si="207"/>
        <v>1</v>
      </c>
      <c r="EH23" s="108">
        <f t="shared" si="208"/>
        <v>1</v>
      </c>
      <c r="EI23" s="108">
        <f t="shared" si="209"/>
        <v>1</v>
      </c>
      <c r="EJ23" s="108">
        <f t="shared" si="210"/>
        <v>1</v>
      </c>
      <c r="EK23" s="108">
        <f t="shared" si="211"/>
        <v>1</v>
      </c>
      <c r="EL23" s="108">
        <f t="shared" si="212"/>
        <v>1</v>
      </c>
      <c r="EM23" s="109">
        <f t="shared" si="213"/>
        <v>131750</v>
      </c>
      <c r="EN23" s="110">
        <f t="shared" si="214"/>
        <v>0</v>
      </c>
      <c r="EP23" s="319">
        <v>2.5</v>
      </c>
      <c r="EQ23" s="319" t="s">
        <v>180</v>
      </c>
      <c r="ER23" s="320" t="s">
        <v>264</v>
      </c>
      <c r="ES23" s="321" t="s">
        <v>184</v>
      </c>
      <c r="ET23" s="325">
        <v>8.5</v>
      </c>
      <c r="EU23" s="323">
        <v>15800</v>
      </c>
      <c r="EV23" s="324">
        <f t="shared" si="215"/>
        <v>134300</v>
      </c>
      <c r="EW23" s="108">
        <f t="shared" si="216"/>
        <v>1</v>
      </c>
      <c r="EX23" s="108">
        <f t="shared" si="217"/>
        <v>1</v>
      </c>
      <c r="EY23" s="108">
        <f t="shared" si="218"/>
        <v>1</v>
      </c>
      <c r="EZ23" s="108">
        <f t="shared" si="219"/>
        <v>1</v>
      </c>
      <c r="FA23" s="108">
        <f t="shared" si="220"/>
        <v>1</v>
      </c>
      <c r="FB23" s="108">
        <f t="shared" si="221"/>
        <v>1</v>
      </c>
      <c r="FC23" s="108">
        <f t="shared" si="222"/>
        <v>1</v>
      </c>
      <c r="FD23" s="109">
        <f t="shared" si="223"/>
        <v>134300</v>
      </c>
      <c r="FE23" s="110">
        <f t="shared" si="224"/>
        <v>0</v>
      </c>
      <c r="FG23" s="319">
        <v>2.5</v>
      </c>
      <c r="FH23" s="319" t="s">
        <v>180</v>
      </c>
      <c r="FI23" s="359" t="s">
        <v>264</v>
      </c>
      <c r="FJ23" s="321" t="s">
        <v>184</v>
      </c>
      <c r="FK23" s="325">
        <v>8.5</v>
      </c>
      <c r="FL23" s="323">
        <v>10586</v>
      </c>
      <c r="FM23" s="324">
        <f t="shared" si="225"/>
        <v>89981</v>
      </c>
      <c r="FN23" s="108">
        <f t="shared" si="226"/>
        <v>1</v>
      </c>
      <c r="FO23" s="108">
        <f t="shared" si="227"/>
        <v>1</v>
      </c>
      <c r="FP23" s="108">
        <f t="shared" si="228"/>
        <v>1</v>
      </c>
      <c r="FQ23" s="108">
        <f t="shared" si="229"/>
        <v>1</v>
      </c>
      <c r="FR23" s="108">
        <f t="shared" si="230"/>
        <v>1</v>
      </c>
      <c r="FS23" s="108">
        <f t="shared" si="231"/>
        <v>1</v>
      </c>
      <c r="FT23" s="108">
        <f t="shared" si="232"/>
        <v>1</v>
      </c>
      <c r="FU23" s="109">
        <f t="shared" si="233"/>
        <v>89981</v>
      </c>
      <c r="FV23" s="110">
        <f t="shared" si="234"/>
        <v>0</v>
      </c>
      <c r="FX23" s="319">
        <v>2.5</v>
      </c>
      <c r="FY23" s="319" t="s">
        <v>180</v>
      </c>
      <c r="FZ23" s="320" t="s">
        <v>264</v>
      </c>
      <c r="GA23" s="321" t="s">
        <v>184</v>
      </c>
      <c r="GB23" s="325">
        <v>8.5</v>
      </c>
      <c r="GC23" s="323">
        <v>10000</v>
      </c>
      <c r="GD23" s="324">
        <f t="shared" si="235"/>
        <v>85000</v>
      </c>
      <c r="GE23" s="108">
        <f t="shared" si="236"/>
        <v>1</v>
      </c>
      <c r="GF23" s="108">
        <f t="shared" si="237"/>
        <v>1</v>
      </c>
      <c r="GG23" s="108">
        <f t="shared" si="238"/>
        <v>1</v>
      </c>
      <c r="GH23" s="108">
        <f t="shared" si="239"/>
        <v>1</v>
      </c>
      <c r="GI23" s="108">
        <f t="shared" si="240"/>
        <v>1</v>
      </c>
      <c r="GJ23" s="108">
        <f t="shared" si="241"/>
        <v>1</v>
      </c>
      <c r="GK23" s="108">
        <f t="shared" si="242"/>
        <v>1</v>
      </c>
      <c r="GL23" s="109">
        <f t="shared" si="243"/>
        <v>85000</v>
      </c>
      <c r="GM23" s="110">
        <f t="shared" si="244"/>
        <v>0</v>
      </c>
      <c r="GO23" s="319">
        <v>2.5</v>
      </c>
      <c r="GP23" s="319" t="s">
        <v>180</v>
      </c>
      <c r="GQ23" s="320" t="s">
        <v>264</v>
      </c>
      <c r="GR23" s="321" t="s">
        <v>184</v>
      </c>
      <c r="GS23" s="325">
        <v>8.5</v>
      </c>
      <c r="GT23" s="323">
        <v>13000</v>
      </c>
      <c r="GU23" s="324">
        <v>110500</v>
      </c>
      <c r="GV23" s="108">
        <f t="shared" si="245"/>
        <v>1</v>
      </c>
      <c r="GW23" s="108">
        <f t="shared" si="246"/>
        <v>1</v>
      </c>
      <c r="GX23" s="108">
        <f t="shared" si="247"/>
        <v>1</v>
      </c>
      <c r="GY23" s="108">
        <f t="shared" si="248"/>
        <v>1</v>
      </c>
      <c r="GZ23" s="108">
        <f t="shared" si="249"/>
        <v>1</v>
      </c>
      <c r="HA23" s="108">
        <f t="shared" si="250"/>
        <v>1</v>
      </c>
      <c r="HB23" s="108">
        <f t="shared" si="251"/>
        <v>1</v>
      </c>
      <c r="HC23" s="109">
        <f t="shared" si="252"/>
        <v>110500</v>
      </c>
      <c r="HD23" s="110">
        <f t="shared" si="253"/>
        <v>0</v>
      </c>
      <c r="HF23" s="319">
        <v>2.5</v>
      </c>
      <c r="HG23" s="319" t="s">
        <v>180</v>
      </c>
      <c r="HH23" s="320" t="s">
        <v>264</v>
      </c>
      <c r="HI23" s="321" t="s">
        <v>184</v>
      </c>
      <c r="HJ23" s="325">
        <v>8.5</v>
      </c>
      <c r="HK23" s="323">
        <v>18000</v>
      </c>
      <c r="HL23" s="324">
        <f t="shared" si="254"/>
        <v>153000</v>
      </c>
      <c r="HM23" s="108">
        <f t="shared" si="255"/>
        <v>1</v>
      </c>
      <c r="HN23" s="108">
        <f t="shared" si="256"/>
        <v>1</v>
      </c>
      <c r="HO23" s="108">
        <f t="shared" si="257"/>
        <v>1</v>
      </c>
      <c r="HP23" s="108">
        <f t="shared" si="258"/>
        <v>1</v>
      </c>
      <c r="HQ23" s="108">
        <f t="shared" si="259"/>
        <v>1</v>
      </c>
      <c r="HR23" s="108">
        <f t="shared" si="260"/>
        <v>1</v>
      </c>
      <c r="HS23" s="108">
        <f t="shared" si="261"/>
        <v>1</v>
      </c>
      <c r="HT23" s="109">
        <f t="shared" si="262"/>
        <v>153000</v>
      </c>
      <c r="HU23" s="110">
        <f t="shared" si="263"/>
        <v>0</v>
      </c>
      <c r="HW23" s="319">
        <v>2.5</v>
      </c>
      <c r="HX23" s="319" t="s">
        <v>180</v>
      </c>
      <c r="HY23" s="320" t="s">
        <v>264</v>
      </c>
      <c r="HZ23" s="321" t="s">
        <v>184</v>
      </c>
      <c r="IA23" s="325">
        <v>8.5</v>
      </c>
      <c r="IB23" s="323">
        <v>15000</v>
      </c>
      <c r="IC23" s="324">
        <f t="shared" si="264"/>
        <v>127500</v>
      </c>
      <c r="ID23" s="108">
        <f t="shared" si="265"/>
        <v>1</v>
      </c>
      <c r="IE23" s="108">
        <f t="shared" si="266"/>
        <v>1</v>
      </c>
      <c r="IF23" s="108">
        <f t="shared" si="267"/>
        <v>1</v>
      </c>
      <c r="IG23" s="108">
        <f t="shared" si="268"/>
        <v>1</v>
      </c>
      <c r="IH23" s="108">
        <f t="shared" si="269"/>
        <v>1</v>
      </c>
      <c r="II23" s="108">
        <f t="shared" si="270"/>
        <v>1</v>
      </c>
      <c r="IJ23" s="108">
        <f t="shared" si="271"/>
        <v>1</v>
      </c>
      <c r="IK23" s="109">
        <f t="shared" si="272"/>
        <v>127500</v>
      </c>
      <c r="IL23" s="110">
        <f t="shared" si="273"/>
        <v>0</v>
      </c>
    </row>
    <row r="24" spans="1:246" s="213" customFormat="1" ht="125.25" customHeight="1" x14ac:dyDescent="0.25">
      <c r="A24" s="211"/>
      <c r="B24" s="319">
        <v>2.6</v>
      </c>
      <c r="C24" s="319" t="s">
        <v>180</v>
      </c>
      <c r="D24" s="320" t="s">
        <v>265</v>
      </c>
      <c r="E24" s="321" t="s">
        <v>184</v>
      </c>
      <c r="F24" s="325">
        <v>8.5</v>
      </c>
      <c r="G24" s="323">
        <v>0</v>
      </c>
      <c r="H24" s="324">
        <f t="shared" si="146"/>
        <v>0</v>
      </c>
      <c r="J24" s="319">
        <v>2.6</v>
      </c>
      <c r="K24" s="319" t="s">
        <v>180</v>
      </c>
      <c r="L24" s="320" t="s">
        <v>265</v>
      </c>
      <c r="M24" s="321" t="s">
        <v>184</v>
      </c>
      <c r="N24" s="325">
        <v>8.5</v>
      </c>
      <c r="O24" s="323">
        <v>7000</v>
      </c>
      <c r="P24" s="324">
        <v>59500</v>
      </c>
      <c r="Q24" s="108">
        <f t="shared" si="274"/>
        <v>1</v>
      </c>
      <c r="R24" s="108">
        <f t="shared" si="275"/>
        <v>1</v>
      </c>
      <c r="S24" s="108">
        <f t="shared" si="276"/>
        <v>1</v>
      </c>
      <c r="T24" s="108">
        <f t="shared" si="277"/>
        <v>1</v>
      </c>
      <c r="U24" s="108">
        <f t="shared" si="278"/>
        <v>1</v>
      </c>
      <c r="V24" s="108">
        <f t="shared" si="279"/>
        <v>1</v>
      </c>
      <c r="W24" s="108">
        <f t="shared" si="280"/>
        <v>1</v>
      </c>
      <c r="X24" s="109">
        <f t="shared" si="281"/>
        <v>59500</v>
      </c>
      <c r="Y24" s="110">
        <f t="shared" si="282"/>
        <v>0</v>
      </c>
      <c r="AA24" s="319">
        <v>2.6</v>
      </c>
      <c r="AB24" s="319" t="s">
        <v>180</v>
      </c>
      <c r="AC24" s="320" t="s">
        <v>265</v>
      </c>
      <c r="AD24" s="321" t="s">
        <v>184</v>
      </c>
      <c r="AE24" s="325">
        <v>8.5</v>
      </c>
      <c r="AF24" s="323">
        <v>12000</v>
      </c>
      <c r="AG24" s="324">
        <v>102000</v>
      </c>
      <c r="AH24" s="108">
        <f t="shared" si="147"/>
        <v>1</v>
      </c>
      <c r="AI24" s="108">
        <f t="shared" si="148"/>
        <v>1</v>
      </c>
      <c r="AJ24" s="108">
        <f t="shared" si="149"/>
        <v>1</v>
      </c>
      <c r="AK24" s="108">
        <f t="shared" si="150"/>
        <v>1</v>
      </c>
      <c r="AL24" s="108">
        <f t="shared" si="151"/>
        <v>1</v>
      </c>
      <c r="AM24" s="108">
        <f t="shared" si="152"/>
        <v>1</v>
      </c>
      <c r="AN24" s="108">
        <f t="shared" si="153"/>
        <v>1</v>
      </c>
      <c r="AO24" s="109">
        <f t="shared" si="154"/>
        <v>102000</v>
      </c>
      <c r="AP24" s="110">
        <f t="shared" si="155"/>
        <v>0</v>
      </c>
      <c r="AR24" s="319">
        <v>2.6</v>
      </c>
      <c r="AS24" s="319" t="s">
        <v>180</v>
      </c>
      <c r="AT24" s="320" t="s">
        <v>265</v>
      </c>
      <c r="AU24" s="321" t="s">
        <v>184</v>
      </c>
      <c r="AV24" s="325">
        <v>8.5</v>
      </c>
      <c r="AW24" s="323">
        <v>9000</v>
      </c>
      <c r="AX24" s="324">
        <v>76500</v>
      </c>
      <c r="AY24" s="108">
        <f t="shared" si="156"/>
        <v>1</v>
      </c>
      <c r="AZ24" s="108">
        <f t="shared" si="157"/>
        <v>1</v>
      </c>
      <c r="BA24" s="108">
        <f t="shared" si="158"/>
        <v>1</v>
      </c>
      <c r="BB24" s="108">
        <f t="shared" si="159"/>
        <v>1</v>
      </c>
      <c r="BC24" s="108">
        <f t="shared" si="160"/>
        <v>1</v>
      </c>
      <c r="BD24" s="108">
        <f t="shared" si="161"/>
        <v>1</v>
      </c>
      <c r="BE24" s="108">
        <f t="shared" si="162"/>
        <v>1</v>
      </c>
      <c r="BF24" s="109">
        <f t="shared" si="163"/>
        <v>76500</v>
      </c>
      <c r="BG24" s="110">
        <f t="shared" si="164"/>
        <v>0</v>
      </c>
      <c r="BI24" s="319">
        <v>2.6</v>
      </c>
      <c r="BJ24" s="319" t="s">
        <v>180</v>
      </c>
      <c r="BK24" s="320" t="s">
        <v>265</v>
      </c>
      <c r="BL24" s="321" t="s">
        <v>184</v>
      </c>
      <c r="BM24" s="325">
        <v>8.5</v>
      </c>
      <c r="BN24" s="323">
        <v>11149</v>
      </c>
      <c r="BO24" s="324">
        <f t="shared" si="165"/>
        <v>94766.5</v>
      </c>
      <c r="BP24" s="108">
        <f t="shared" si="166"/>
        <v>1</v>
      </c>
      <c r="BQ24" s="108">
        <f t="shared" si="167"/>
        <v>1</v>
      </c>
      <c r="BR24" s="108">
        <f t="shared" si="168"/>
        <v>1</v>
      </c>
      <c r="BS24" s="108">
        <f t="shared" si="169"/>
        <v>1</v>
      </c>
      <c r="BT24" s="108">
        <f t="shared" si="170"/>
        <v>1</v>
      </c>
      <c r="BU24" s="108">
        <f t="shared" si="171"/>
        <v>1</v>
      </c>
      <c r="BV24" s="108">
        <f t="shared" si="172"/>
        <v>1</v>
      </c>
      <c r="BW24" s="109">
        <f t="shared" si="173"/>
        <v>94767</v>
      </c>
      <c r="BX24" s="110">
        <f t="shared" si="174"/>
        <v>-0.5</v>
      </c>
      <c r="BZ24" s="319">
        <v>2.6</v>
      </c>
      <c r="CA24" s="319" t="s">
        <v>180</v>
      </c>
      <c r="CB24" s="320" t="s">
        <v>265</v>
      </c>
      <c r="CC24" s="321" t="s">
        <v>184</v>
      </c>
      <c r="CD24" s="325">
        <v>8.5</v>
      </c>
      <c r="CE24" s="323">
        <v>16000</v>
      </c>
      <c r="CF24" s="324">
        <f t="shared" si="175"/>
        <v>136000</v>
      </c>
      <c r="CG24" s="108">
        <f t="shared" si="176"/>
        <v>1</v>
      </c>
      <c r="CH24" s="108">
        <f t="shared" si="177"/>
        <v>1</v>
      </c>
      <c r="CI24" s="108">
        <f t="shared" si="178"/>
        <v>1</v>
      </c>
      <c r="CJ24" s="108">
        <f t="shared" si="179"/>
        <v>1</v>
      </c>
      <c r="CK24" s="108">
        <f t="shared" si="180"/>
        <v>1</v>
      </c>
      <c r="CL24" s="108">
        <f t="shared" si="181"/>
        <v>1</v>
      </c>
      <c r="CM24" s="108">
        <f t="shared" si="182"/>
        <v>1</v>
      </c>
      <c r="CN24" s="109">
        <f t="shared" si="183"/>
        <v>136000</v>
      </c>
      <c r="CO24" s="110">
        <f t="shared" si="184"/>
        <v>0</v>
      </c>
      <c r="CQ24" s="319">
        <v>2.6</v>
      </c>
      <c r="CR24" s="319" t="s">
        <v>180</v>
      </c>
      <c r="CS24" s="320" t="s">
        <v>265</v>
      </c>
      <c r="CT24" s="321" t="s">
        <v>184</v>
      </c>
      <c r="CU24" s="325">
        <v>8.5</v>
      </c>
      <c r="CV24" s="323">
        <v>10500</v>
      </c>
      <c r="CW24" s="324">
        <f t="shared" si="185"/>
        <v>89250</v>
      </c>
      <c r="CX24" s="108">
        <f t="shared" si="186"/>
        <v>1</v>
      </c>
      <c r="CY24" s="108">
        <f t="shared" si="187"/>
        <v>1</v>
      </c>
      <c r="CZ24" s="108">
        <f t="shared" si="188"/>
        <v>1</v>
      </c>
      <c r="DA24" s="108">
        <f t="shared" si="189"/>
        <v>1</v>
      </c>
      <c r="DB24" s="108">
        <f t="shared" si="190"/>
        <v>1</v>
      </c>
      <c r="DC24" s="108">
        <f t="shared" si="191"/>
        <v>1</v>
      </c>
      <c r="DD24" s="108">
        <f t="shared" si="192"/>
        <v>1</v>
      </c>
      <c r="DE24" s="109">
        <f t="shared" si="193"/>
        <v>89250</v>
      </c>
      <c r="DF24" s="110">
        <f t="shared" si="194"/>
        <v>0</v>
      </c>
      <c r="DH24" s="319">
        <v>2.6</v>
      </c>
      <c r="DI24" s="319" t="s">
        <v>180</v>
      </c>
      <c r="DJ24" s="359" t="s">
        <v>265</v>
      </c>
      <c r="DK24" s="321" t="s">
        <v>184</v>
      </c>
      <c r="DL24" s="325">
        <v>8.5</v>
      </c>
      <c r="DM24" s="323">
        <v>7571</v>
      </c>
      <c r="DN24" s="324">
        <f t="shared" si="195"/>
        <v>64353.5</v>
      </c>
      <c r="DO24" s="108">
        <f t="shared" si="196"/>
        <v>1</v>
      </c>
      <c r="DP24" s="108">
        <f t="shared" si="197"/>
        <v>1</v>
      </c>
      <c r="DQ24" s="108">
        <f t="shared" si="198"/>
        <v>1</v>
      </c>
      <c r="DR24" s="108">
        <f t="shared" si="199"/>
        <v>1</v>
      </c>
      <c r="DS24" s="108">
        <f t="shared" si="200"/>
        <v>1</v>
      </c>
      <c r="DT24" s="108">
        <f t="shared" si="201"/>
        <v>1</v>
      </c>
      <c r="DU24" s="108">
        <f t="shared" si="202"/>
        <v>1</v>
      </c>
      <c r="DV24" s="109">
        <f t="shared" si="203"/>
        <v>64354</v>
      </c>
      <c r="DW24" s="110">
        <f t="shared" si="204"/>
        <v>-0.5</v>
      </c>
      <c r="DY24" s="319">
        <v>2.6</v>
      </c>
      <c r="DZ24" s="319" t="s">
        <v>180</v>
      </c>
      <c r="EA24" s="359" t="s">
        <v>265</v>
      </c>
      <c r="EB24" s="321" t="s">
        <v>184</v>
      </c>
      <c r="EC24" s="325">
        <v>8.5</v>
      </c>
      <c r="ED24" s="323">
        <v>14000</v>
      </c>
      <c r="EE24" s="324">
        <f t="shared" si="205"/>
        <v>119000</v>
      </c>
      <c r="EF24" s="108">
        <f t="shared" si="206"/>
        <v>1</v>
      </c>
      <c r="EG24" s="108">
        <f t="shared" si="207"/>
        <v>1</v>
      </c>
      <c r="EH24" s="108">
        <f t="shared" si="208"/>
        <v>1</v>
      </c>
      <c r="EI24" s="108">
        <f t="shared" si="209"/>
        <v>1</v>
      </c>
      <c r="EJ24" s="108">
        <f t="shared" si="210"/>
        <v>1</v>
      </c>
      <c r="EK24" s="108">
        <f t="shared" si="211"/>
        <v>1</v>
      </c>
      <c r="EL24" s="108">
        <f t="shared" si="212"/>
        <v>1</v>
      </c>
      <c r="EM24" s="109">
        <f t="shared" si="213"/>
        <v>119000</v>
      </c>
      <c r="EN24" s="110">
        <f t="shared" si="214"/>
        <v>0</v>
      </c>
      <c r="EP24" s="319">
        <v>2.6</v>
      </c>
      <c r="EQ24" s="319" t="s">
        <v>180</v>
      </c>
      <c r="ER24" s="320" t="s">
        <v>265</v>
      </c>
      <c r="ES24" s="321" t="s">
        <v>184</v>
      </c>
      <c r="ET24" s="325">
        <v>8.5</v>
      </c>
      <c r="EU24" s="323">
        <v>22500</v>
      </c>
      <c r="EV24" s="324">
        <f t="shared" si="215"/>
        <v>191250</v>
      </c>
      <c r="EW24" s="108">
        <f t="shared" si="216"/>
        <v>1</v>
      </c>
      <c r="EX24" s="108">
        <f t="shared" si="217"/>
        <v>1</v>
      </c>
      <c r="EY24" s="108">
        <f t="shared" si="218"/>
        <v>1</v>
      </c>
      <c r="EZ24" s="108">
        <f t="shared" si="219"/>
        <v>1</v>
      </c>
      <c r="FA24" s="108">
        <f t="shared" si="220"/>
        <v>1</v>
      </c>
      <c r="FB24" s="108">
        <f t="shared" si="221"/>
        <v>1</v>
      </c>
      <c r="FC24" s="108">
        <f t="shared" si="222"/>
        <v>1</v>
      </c>
      <c r="FD24" s="109">
        <f t="shared" si="223"/>
        <v>191250</v>
      </c>
      <c r="FE24" s="110">
        <f t="shared" si="224"/>
        <v>0</v>
      </c>
      <c r="FG24" s="319">
        <v>2.6</v>
      </c>
      <c r="FH24" s="319" t="s">
        <v>180</v>
      </c>
      <c r="FI24" s="359" t="s">
        <v>265</v>
      </c>
      <c r="FJ24" s="321" t="s">
        <v>184</v>
      </c>
      <c r="FK24" s="325">
        <v>8.5</v>
      </c>
      <c r="FL24" s="323">
        <v>9570</v>
      </c>
      <c r="FM24" s="324">
        <f t="shared" si="225"/>
        <v>81345</v>
      </c>
      <c r="FN24" s="108">
        <f t="shared" si="226"/>
        <v>1</v>
      </c>
      <c r="FO24" s="108">
        <f t="shared" si="227"/>
        <v>1</v>
      </c>
      <c r="FP24" s="108">
        <f t="shared" si="228"/>
        <v>1</v>
      </c>
      <c r="FQ24" s="108">
        <f t="shared" si="229"/>
        <v>1</v>
      </c>
      <c r="FR24" s="108">
        <f t="shared" si="230"/>
        <v>1</v>
      </c>
      <c r="FS24" s="108">
        <f t="shared" si="231"/>
        <v>1</v>
      </c>
      <c r="FT24" s="108">
        <f t="shared" si="232"/>
        <v>1</v>
      </c>
      <c r="FU24" s="109">
        <f t="shared" si="233"/>
        <v>81345</v>
      </c>
      <c r="FV24" s="110">
        <f t="shared" si="234"/>
        <v>0</v>
      </c>
      <c r="FX24" s="319">
        <v>2.6</v>
      </c>
      <c r="FY24" s="319" t="s">
        <v>180</v>
      </c>
      <c r="FZ24" s="320" t="s">
        <v>265</v>
      </c>
      <c r="GA24" s="321" t="s">
        <v>184</v>
      </c>
      <c r="GB24" s="325">
        <v>8.5</v>
      </c>
      <c r="GC24" s="323">
        <v>16000</v>
      </c>
      <c r="GD24" s="324">
        <f t="shared" si="235"/>
        <v>136000</v>
      </c>
      <c r="GE24" s="108">
        <f t="shared" si="236"/>
        <v>1</v>
      </c>
      <c r="GF24" s="108">
        <f t="shared" si="237"/>
        <v>1</v>
      </c>
      <c r="GG24" s="108">
        <f t="shared" si="238"/>
        <v>1</v>
      </c>
      <c r="GH24" s="108">
        <f t="shared" si="239"/>
        <v>1</v>
      </c>
      <c r="GI24" s="108">
        <f t="shared" si="240"/>
        <v>1</v>
      </c>
      <c r="GJ24" s="108">
        <f t="shared" si="241"/>
        <v>1</v>
      </c>
      <c r="GK24" s="108">
        <f t="shared" si="242"/>
        <v>1</v>
      </c>
      <c r="GL24" s="109">
        <f t="shared" si="243"/>
        <v>136000</v>
      </c>
      <c r="GM24" s="110">
        <f t="shared" si="244"/>
        <v>0</v>
      </c>
      <c r="GO24" s="319">
        <v>2.6</v>
      </c>
      <c r="GP24" s="319" t="s">
        <v>180</v>
      </c>
      <c r="GQ24" s="320" t="s">
        <v>265</v>
      </c>
      <c r="GR24" s="321" t="s">
        <v>184</v>
      </c>
      <c r="GS24" s="325">
        <v>8.5</v>
      </c>
      <c r="GT24" s="323">
        <v>10000</v>
      </c>
      <c r="GU24" s="324">
        <v>85000</v>
      </c>
      <c r="GV24" s="108">
        <f t="shared" si="245"/>
        <v>1</v>
      </c>
      <c r="GW24" s="108">
        <f t="shared" si="246"/>
        <v>1</v>
      </c>
      <c r="GX24" s="108">
        <f t="shared" si="247"/>
        <v>1</v>
      </c>
      <c r="GY24" s="108">
        <f t="shared" si="248"/>
        <v>1</v>
      </c>
      <c r="GZ24" s="108">
        <f t="shared" si="249"/>
        <v>1</v>
      </c>
      <c r="HA24" s="108">
        <f t="shared" si="250"/>
        <v>1</v>
      </c>
      <c r="HB24" s="108">
        <f t="shared" si="251"/>
        <v>1</v>
      </c>
      <c r="HC24" s="109">
        <f t="shared" si="252"/>
        <v>85000</v>
      </c>
      <c r="HD24" s="110">
        <f t="shared" si="253"/>
        <v>0</v>
      </c>
      <c r="HF24" s="319">
        <v>2.6</v>
      </c>
      <c r="HG24" s="319" t="s">
        <v>180</v>
      </c>
      <c r="HH24" s="320" t="s">
        <v>265</v>
      </c>
      <c r="HI24" s="321" t="s">
        <v>184</v>
      </c>
      <c r="HJ24" s="325">
        <v>8.5</v>
      </c>
      <c r="HK24" s="323">
        <v>14000</v>
      </c>
      <c r="HL24" s="324">
        <f t="shared" si="254"/>
        <v>119000</v>
      </c>
      <c r="HM24" s="108">
        <f t="shared" si="255"/>
        <v>1</v>
      </c>
      <c r="HN24" s="108">
        <f t="shared" si="256"/>
        <v>1</v>
      </c>
      <c r="HO24" s="108">
        <f t="shared" si="257"/>
        <v>1</v>
      </c>
      <c r="HP24" s="108">
        <f t="shared" si="258"/>
        <v>1</v>
      </c>
      <c r="HQ24" s="108">
        <f t="shared" si="259"/>
        <v>1</v>
      </c>
      <c r="HR24" s="108">
        <f t="shared" si="260"/>
        <v>1</v>
      </c>
      <c r="HS24" s="108">
        <f t="shared" si="261"/>
        <v>1</v>
      </c>
      <c r="HT24" s="109">
        <f t="shared" si="262"/>
        <v>119000</v>
      </c>
      <c r="HU24" s="110">
        <f t="shared" si="263"/>
        <v>0</v>
      </c>
      <c r="HW24" s="319">
        <v>2.6</v>
      </c>
      <c r="HX24" s="319" t="s">
        <v>180</v>
      </c>
      <c r="HY24" s="320" t="s">
        <v>265</v>
      </c>
      <c r="HZ24" s="321" t="s">
        <v>184</v>
      </c>
      <c r="IA24" s="325">
        <v>8.5</v>
      </c>
      <c r="IB24" s="323">
        <v>8000</v>
      </c>
      <c r="IC24" s="324">
        <f t="shared" si="264"/>
        <v>68000</v>
      </c>
      <c r="ID24" s="108">
        <f t="shared" si="265"/>
        <v>1</v>
      </c>
      <c r="IE24" s="108">
        <f t="shared" si="266"/>
        <v>1</v>
      </c>
      <c r="IF24" s="108">
        <f t="shared" si="267"/>
        <v>1</v>
      </c>
      <c r="IG24" s="108">
        <f t="shared" si="268"/>
        <v>1</v>
      </c>
      <c r="IH24" s="108">
        <f t="shared" si="269"/>
        <v>1</v>
      </c>
      <c r="II24" s="108">
        <f t="shared" si="270"/>
        <v>1</v>
      </c>
      <c r="IJ24" s="108">
        <f t="shared" si="271"/>
        <v>1</v>
      </c>
      <c r="IK24" s="109">
        <f t="shared" si="272"/>
        <v>68000</v>
      </c>
      <c r="IL24" s="110">
        <f t="shared" si="273"/>
        <v>0</v>
      </c>
    </row>
    <row r="25" spans="1:246" s="213" customFormat="1" ht="126.75" customHeight="1" x14ac:dyDescent="0.25">
      <c r="A25" s="211"/>
      <c r="B25" s="319">
        <v>2.7</v>
      </c>
      <c r="C25" s="319" t="s">
        <v>180</v>
      </c>
      <c r="D25" s="320" t="s">
        <v>266</v>
      </c>
      <c r="E25" s="321" t="s">
        <v>184</v>
      </c>
      <c r="F25" s="325">
        <v>8.5</v>
      </c>
      <c r="G25" s="323">
        <v>0</v>
      </c>
      <c r="H25" s="324">
        <f t="shared" si="146"/>
        <v>0</v>
      </c>
      <c r="J25" s="319">
        <v>2.7</v>
      </c>
      <c r="K25" s="319" t="s">
        <v>180</v>
      </c>
      <c r="L25" s="320" t="s">
        <v>266</v>
      </c>
      <c r="M25" s="321" t="s">
        <v>184</v>
      </c>
      <c r="N25" s="325">
        <v>8.5</v>
      </c>
      <c r="O25" s="323">
        <v>7000</v>
      </c>
      <c r="P25" s="324">
        <v>59500</v>
      </c>
      <c r="Q25" s="108">
        <f t="shared" si="274"/>
        <v>1</v>
      </c>
      <c r="R25" s="108">
        <f t="shared" si="275"/>
        <v>1</v>
      </c>
      <c r="S25" s="108">
        <f t="shared" si="276"/>
        <v>1</v>
      </c>
      <c r="T25" s="108">
        <f t="shared" si="277"/>
        <v>1</v>
      </c>
      <c r="U25" s="108">
        <f t="shared" si="278"/>
        <v>1</v>
      </c>
      <c r="V25" s="108">
        <f t="shared" si="279"/>
        <v>1</v>
      </c>
      <c r="W25" s="108">
        <f t="shared" si="280"/>
        <v>1</v>
      </c>
      <c r="X25" s="109">
        <f t="shared" si="281"/>
        <v>59500</v>
      </c>
      <c r="Y25" s="110">
        <f t="shared" si="282"/>
        <v>0</v>
      </c>
      <c r="AA25" s="319">
        <v>2.7</v>
      </c>
      <c r="AB25" s="319" t="s">
        <v>180</v>
      </c>
      <c r="AC25" s="320" t="s">
        <v>266</v>
      </c>
      <c r="AD25" s="321" t="s">
        <v>184</v>
      </c>
      <c r="AE25" s="325">
        <v>8.5</v>
      </c>
      <c r="AF25" s="323">
        <v>11400</v>
      </c>
      <c r="AG25" s="324">
        <v>96900</v>
      </c>
      <c r="AH25" s="108">
        <f t="shared" si="147"/>
        <v>1</v>
      </c>
      <c r="AI25" s="108">
        <f t="shared" si="148"/>
        <v>1</v>
      </c>
      <c r="AJ25" s="108">
        <f t="shared" si="149"/>
        <v>1</v>
      </c>
      <c r="AK25" s="108">
        <f t="shared" si="150"/>
        <v>1</v>
      </c>
      <c r="AL25" s="108">
        <f t="shared" si="151"/>
        <v>1</v>
      </c>
      <c r="AM25" s="108">
        <f t="shared" si="152"/>
        <v>1</v>
      </c>
      <c r="AN25" s="108">
        <f t="shared" si="153"/>
        <v>1</v>
      </c>
      <c r="AO25" s="109">
        <f t="shared" si="154"/>
        <v>96900</v>
      </c>
      <c r="AP25" s="110">
        <f t="shared" si="155"/>
        <v>0</v>
      </c>
      <c r="AR25" s="319">
        <v>2.7</v>
      </c>
      <c r="AS25" s="319" t="s">
        <v>180</v>
      </c>
      <c r="AT25" s="320" t="s">
        <v>266</v>
      </c>
      <c r="AU25" s="321" t="s">
        <v>184</v>
      </c>
      <c r="AV25" s="325">
        <v>8.5</v>
      </c>
      <c r="AW25" s="323">
        <v>5000</v>
      </c>
      <c r="AX25" s="324">
        <v>42500</v>
      </c>
      <c r="AY25" s="108">
        <f t="shared" si="156"/>
        <v>1</v>
      </c>
      <c r="AZ25" s="108">
        <f t="shared" si="157"/>
        <v>1</v>
      </c>
      <c r="BA25" s="108">
        <f t="shared" si="158"/>
        <v>1</v>
      </c>
      <c r="BB25" s="108">
        <f t="shared" si="159"/>
        <v>1</v>
      </c>
      <c r="BC25" s="108">
        <f t="shared" si="160"/>
        <v>1</v>
      </c>
      <c r="BD25" s="108">
        <f t="shared" si="161"/>
        <v>1</v>
      </c>
      <c r="BE25" s="108">
        <f t="shared" si="162"/>
        <v>1</v>
      </c>
      <c r="BF25" s="109">
        <f t="shared" si="163"/>
        <v>42500</v>
      </c>
      <c r="BG25" s="110">
        <f t="shared" si="164"/>
        <v>0</v>
      </c>
      <c r="BI25" s="319">
        <v>2.7</v>
      </c>
      <c r="BJ25" s="319" t="s">
        <v>180</v>
      </c>
      <c r="BK25" s="320" t="s">
        <v>266</v>
      </c>
      <c r="BL25" s="321" t="s">
        <v>184</v>
      </c>
      <c r="BM25" s="325">
        <v>8.5</v>
      </c>
      <c r="BN25" s="323">
        <v>11149</v>
      </c>
      <c r="BO25" s="324">
        <f t="shared" si="165"/>
        <v>94766.5</v>
      </c>
      <c r="BP25" s="108">
        <f t="shared" si="166"/>
        <v>1</v>
      </c>
      <c r="BQ25" s="108">
        <f t="shared" si="167"/>
        <v>1</v>
      </c>
      <c r="BR25" s="108">
        <f t="shared" si="168"/>
        <v>1</v>
      </c>
      <c r="BS25" s="108">
        <f t="shared" si="169"/>
        <v>1</v>
      </c>
      <c r="BT25" s="108">
        <f t="shared" si="170"/>
        <v>1</v>
      </c>
      <c r="BU25" s="108">
        <f t="shared" si="171"/>
        <v>1</v>
      </c>
      <c r="BV25" s="108">
        <f t="shared" si="172"/>
        <v>1</v>
      </c>
      <c r="BW25" s="109">
        <f t="shared" si="173"/>
        <v>94767</v>
      </c>
      <c r="BX25" s="110">
        <f t="shared" si="174"/>
        <v>-0.5</v>
      </c>
      <c r="BZ25" s="319">
        <v>2.7</v>
      </c>
      <c r="CA25" s="319" t="s">
        <v>180</v>
      </c>
      <c r="CB25" s="320" t="s">
        <v>266</v>
      </c>
      <c r="CC25" s="321" t="s">
        <v>184</v>
      </c>
      <c r="CD25" s="325">
        <v>8.5</v>
      </c>
      <c r="CE25" s="323">
        <v>16000</v>
      </c>
      <c r="CF25" s="324">
        <f t="shared" si="175"/>
        <v>136000</v>
      </c>
      <c r="CG25" s="108">
        <f t="shared" si="176"/>
        <v>1</v>
      </c>
      <c r="CH25" s="108">
        <f t="shared" si="177"/>
        <v>1</v>
      </c>
      <c r="CI25" s="108">
        <f t="shared" si="178"/>
        <v>1</v>
      </c>
      <c r="CJ25" s="108">
        <f t="shared" si="179"/>
        <v>1</v>
      </c>
      <c r="CK25" s="108">
        <f t="shared" si="180"/>
        <v>1</v>
      </c>
      <c r="CL25" s="108">
        <f t="shared" si="181"/>
        <v>1</v>
      </c>
      <c r="CM25" s="108">
        <f t="shared" si="182"/>
        <v>1</v>
      </c>
      <c r="CN25" s="109">
        <f t="shared" si="183"/>
        <v>136000</v>
      </c>
      <c r="CO25" s="110">
        <f t="shared" si="184"/>
        <v>0</v>
      </c>
      <c r="CQ25" s="319">
        <v>2.7</v>
      </c>
      <c r="CR25" s="319" t="s">
        <v>180</v>
      </c>
      <c r="CS25" s="320" t="s">
        <v>266</v>
      </c>
      <c r="CT25" s="321" t="s">
        <v>184</v>
      </c>
      <c r="CU25" s="325">
        <v>8.5</v>
      </c>
      <c r="CV25" s="323">
        <v>10500</v>
      </c>
      <c r="CW25" s="324">
        <f t="shared" si="185"/>
        <v>89250</v>
      </c>
      <c r="CX25" s="108">
        <f t="shared" si="186"/>
        <v>1</v>
      </c>
      <c r="CY25" s="108">
        <f t="shared" si="187"/>
        <v>1</v>
      </c>
      <c r="CZ25" s="108">
        <f t="shared" si="188"/>
        <v>1</v>
      </c>
      <c r="DA25" s="108">
        <f t="shared" si="189"/>
        <v>1</v>
      </c>
      <c r="DB25" s="108">
        <f t="shared" si="190"/>
        <v>1</v>
      </c>
      <c r="DC25" s="108">
        <f t="shared" si="191"/>
        <v>1</v>
      </c>
      <c r="DD25" s="108">
        <f t="shared" si="192"/>
        <v>1</v>
      </c>
      <c r="DE25" s="109">
        <f t="shared" si="193"/>
        <v>89250</v>
      </c>
      <c r="DF25" s="110">
        <f t="shared" si="194"/>
        <v>0</v>
      </c>
      <c r="DH25" s="319">
        <v>2.7</v>
      </c>
      <c r="DI25" s="319" t="s">
        <v>180</v>
      </c>
      <c r="DJ25" s="359" t="s">
        <v>266</v>
      </c>
      <c r="DK25" s="321" t="s">
        <v>184</v>
      </c>
      <c r="DL25" s="325">
        <v>8.5</v>
      </c>
      <c r="DM25" s="323">
        <v>8928</v>
      </c>
      <c r="DN25" s="324">
        <f t="shared" si="195"/>
        <v>75888</v>
      </c>
      <c r="DO25" s="108">
        <f t="shared" si="196"/>
        <v>1</v>
      </c>
      <c r="DP25" s="108">
        <f t="shared" si="197"/>
        <v>1</v>
      </c>
      <c r="DQ25" s="108">
        <f t="shared" si="198"/>
        <v>1</v>
      </c>
      <c r="DR25" s="108">
        <f t="shared" si="199"/>
        <v>1</v>
      </c>
      <c r="DS25" s="108">
        <f t="shared" si="200"/>
        <v>1</v>
      </c>
      <c r="DT25" s="108">
        <f t="shared" si="201"/>
        <v>1</v>
      </c>
      <c r="DU25" s="108">
        <f t="shared" si="202"/>
        <v>1</v>
      </c>
      <c r="DV25" s="109">
        <f t="shared" si="203"/>
        <v>75888</v>
      </c>
      <c r="DW25" s="110">
        <f t="shared" si="204"/>
        <v>0</v>
      </c>
      <c r="DY25" s="319">
        <v>2.7</v>
      </c>
      <c r="DZ25" s="319" t="s">
        <v>180</v>
      </c>
      <c r="EA25" s="359" t="s">
        <v>266</v>
      </c>
      <c r="EB25" s="321" t="s">
        <v>184</v>
      </c>
      <c r="EC25" s="325">
        <v>8.5</v>
      </c>
      <c r="ED25" s="323">
        <v>13000</v>
      </c>
      <c r="EE25" s="324">
        <f t="shared" si="205"/>
        <v>110500</v>
      </c>
      <c r="EF25" s="108">
        <f t="shared" si="206"/>
        <v>1</v>
      </c>
      <c r="EG25" s="108">
        <f t="shared" si="207"/>
        <v>1</v>
      </c>
      <c r="EH25" s="108">
        <f t="shared" si="208"/>
        <v>1</v>
      </c>
      <c r="EI25" s="108">
        <f t="shared" si="209"/>
        <v>1</v>
      </c>
      <c r="EJ25" s="108">
        <f t="shared" si="210"/>
        <v>1</v>
      </c>
      <c r="EK25" s="108">
        <f t="shared" si="211"/>
        <v>1</v>
      </c>
      <c r="EL25" s="108">
        <f t="shared" si="212"/>
        <v>1</v>
      </c>
      <c r="EM25" s="109">
        <f t="shared" si="213"/>
        <v>110500</v>
      </c>
      <c r="EN25" s="110">
        <f t="shared" si="214"/>
        <v>0</v>
      </c>
      <c r="EP25" s="319">
        <v>2.7</v>
      </c>
      <c r="EQ25" s="319" t="s">
        <v>180</v>
      </c>
      <c r="ER25" s="320" t="s">
        <v>266</v>
      </c>
      <c r="ES25" s="321" t="s">
        <v>184</v>
      </c>
      <c r="ET25" s="325">
        <v>8.5</v>
      </c>
      <c r="EU25" s="323">
        <v>22500</v>
      </c>
      <c r="EV25" s="324">
        <f t="shared" si="215"/>
        <v>191250</v>
      </c>
      <c r="EW25" s="108">
        <f t="shared" si="216"/>
        <v>1</v>
      </c>
      <c r="EX25" s="108">
        <f t="shared" si="217"/>
        <v>1</v>
      </c>
      <c r="EY25" s="108">
        <f t="shared" si="218"/>
        <v>1</v>
      </c>
      <c r="EZ25" s="108">
        <f t="shared" si="219"/>
        <v>1</v>
      </c>
      <c r="FA25" s="108">
        <f t="shared" si="220"/>
        <v>1</v>
      </c>
      <c r="FB25" s="108">
        <f t="shared" si="221"/>
        <v>1</v>
      </c>
      <c r="FC25" s="108">
        <f t="shared" si="222"/>
        <v>1</v>
      </c>
      <c r="FD25" s="109">
        <f t="shared" si="223"/>
        <v>191250</v>
      </c>
      <c r="FE25" s="110">
        <f t="shared" si="224"/>
        <v>0</v>
      </c>
      <c r="FG25" s="319">
        <v>2.7</v>
      </c>
      <c r="FH25" s="319" t="s">
        <v>180</v>
      </c>
      <c r="FI25" s="359" t="s">
        <v>266</v>
      </c>
      <c r="FJ25" s="321" t="s">
        <v>184</v>
      </c>
      <c r="FK25" s="325">
        <v>8.5</v>
      </c>
      <c r="FL25" s="323">
        <v>8930</v>
      </c>
      <c r="FM25" s="324">
        <f t="shared" si="225"/>
        <v>75905</v>
      </c>
      <c r="FN25" s="108">
        <f t="shared" si="226"/>
        <v>1</v>
      </c>
      <c r="FO25" s="108">
        <f t="shared" si="227"/>
        <v>1</v>
      </c>
      <c r="FP25" s="108">
        <f t="shared" si="228"/>
        <v>1</v>
      </c>
      <c r="FQ25" s="108">
        <f t="shared" si="229"/>
        <v>1</v>
      </c>
      <c r="FR25" s="108">
        <f t="shared" si="230"/>
        <v>1</v>
      </c>
      <c r="FS25" s="108">
        <f t="shared" si="231"/>
        <v>1</v>
      </c>
      <c r="FT25" s="108">
        <f t="shared" si="232"/>
        <v>1</v>
      </c>
      <c r="FU25" s="109">
        <f t="shared" si="233"/>
        <v>75905</v>
      </c>
      <c r="FV25" s="110">
        <f t="shared" si="234"/>
        <v>0</v>
      </c>
      <c r="FX25" s="319">
        <v>2.7</v>
      </c>
      <c r="FY25" s="319" t="s">
        <v>180</v>
      </c>
      <c r="FZ25" s="320" t="s">
        <v>266</v>
      </c>
      <c r="GA25" s="321" t="s">
        <v>184</v>
      </c>
      <c r="GB25" s="325">
        <v>8.5</v>
      </c>
      <c r="GC25" s="323">
        <v>16000</v>
      </c>
      <c r="GD25" s="324">
        <f t="shared" si="235"/>
        <v>136000</v>
      </c>
      <c r="GE25" s="108">
        <f t="shared" si="236"/>
        <v>1</v>
      </c>
      <c r="GF25" s="108">
        <f t="shared" si="237"/>
        <v>1</v>
      </c>
      <c r="GG25" s="108">
        <f t="shared" si="238"/>
        <v>1</v>
      </c>
      <c r="GH25" s="108">
        <f t="shared" si="239"/>
        <v>1</v>
      </c>
      <c r="GI25" s="108">
        <f t="shared" si="240"/>
        <v>1</v>
      </c>
      <c r="GJ25" s="108">
        <f t="shared" si="241"/>
        <v>1</v>
      </c>
      <c r="GK25" s="108">
        <f t="shared" si="242"/>
        <v>1</v>
      </c>
      <c r="GL25" s="109">
        <f t="shared" si="243"/>
        <v>136000</v>
      </c>
      <c r="GM25" s="110">
        <f t="shared" si="244"/>
        <v>0</v>
      </c>
      <c r="GO25" s="319">
        <v>2.7</v>
      </c>
      <c r="GP25" s="319" t="s">
        <v>180</v>
      </c>
      <c r="GQ25" s="320" t="s">
        <v>266</v>
      </c>
      <c r="GR25" s="321" t="s">
        <v>184</v>
      </c>
      <c r="GS25" s="325">
        <v>8.5</v>
      </c>
      <c r="GT25" s="323">
        <v>10000</v>
      </c>
      <c r="GU25" s="324">
        <v>85000</v>
      </c>
      <c r="GV25" s="108">
        <f t="shared" si="245"/>
        <v>1</v>
      </c>
      <c r="GW25" s="108">
        <f t="shared" si="246"/>
        <v>1</v>
      </c>
      <c r="GX25" s="108">
        <f t="shared" si="247"/>
        <v>1</v>
      </c>
      <c r="GY25" s="108">
        <f t="shared" si="248"/>
        <v>1</v>
      </c>
      <c r="GZ25" s="108">
        <f t="shared" si="249"/>
        <v>1</v>
      </c>
      <c r="HA25" s="108">
        <f t="shared" si="250"/>
        <v>1</v>
      </c>
      <c r="HB25" s="108">
        <f t="shared" si="251"/>
        <v>1</v>
      </c>
      <c r="HC25" s="109">
        <f t="shared" si="252"/>
        <v>85000</v>
      </c>
      <c r="HD25" s="110">
        <f t="shared" si="253"/>
        <v>0</v>
      </c>
      <c r="HF25" s="319">
        <v>2.7</v>
      </c>
      <c r="HG25" s="319" t="s">
        <v>180</v>
      </c>
      <c r="HH25" s="320" t="s">
        <v>266</v>
      </c>
      <c r="HI25" s="321" t="s">
        <v>184</v>
      </c>
      <c r="HJ25" s="325">
        <v>8.5</v>
      </c>
      <c r="HK25" s="323">
        <v>14000</v>
      </c>
      <c r="HL25" s="324">
        <f t="shared" si="254"/>
        <v>119000</v>
      </c>
      <c r="HM25" s="108">
        <f t="shared" si="255"/>
        <v>1</v>
      </c>
      <c r="HN25" s="108">
        <f t="shared" si="256"/>
        <v>1</v>
      </c>
      <c r="HO25" s="108">
        <f t="shared" si="257"/>
        <v>1</v>
      </c>
      <c r="HP25" s="108">
        <f t="shared" si="258"/>
        <v>1</v>
      </c>
      <c r="HQ25" s="108">
        <f t="shared" si="259"/>
        <v>1</v>
      </c>
      <c r="HR25" s="108">
        <f t="shared" si="260"/>
        <v>1</v>
      </c>
      <c r="HS25" s="108">
        <f t="shared" si="261"/>
        <v>1</v>
      </c>
      <c r="HT25" s="109">
        <f t="shared" si="262"/>
        <v>119000</v>
      </c>
      <c r="HU25" s="110">
        <f t="shared" si="263"/>
        <v>0</v>
      </c>
      <c r="HW25" s="319">
        <v>2.7</v>
      </c>
      <c r="HX25" s="319" t="s">
        <v>180</v>
      </c>
      <c r="HY25" s="320" t="s">
        <v>266</v>
      </c>
      <c r="HZ25" s="321" t="s">
        <v>184</v>
      </c>
      <c r="IA25" s="325">
        <v>8.5</v>
      </c>
      <c r="IB25" s="323">
        <v>8000</v>
      </c>
      <c r="IC25" s="324">
        <f t="shared" si="264"/>
        <v>68000</v>
      </c>
      <c r="ID25" s="108">
        <f t="shared" si="265"/>
        <v>1</v>
      </c>
      <c r="IE25" s="108">
        <f t="shared" si="266"/>
        <v>1</v>
      </c>
      <c r="IF25" s="108">
        <f t="shared" si="267"/>
        <v>1</v>
      </c>
      <c r="IG25" s="108">
        <f t="shared" si="268"/>
        <v>1</v>
      </c>
      <c r="IH25" s="108">
        <f t="shared" si="269"/>
        <v>1</v>
      </c>
      <c r="II25" s="108">
        <f t="shared" si="270"/>
        <v>1</v>
      </c>
      <c r="IJ25" s="108">
        <f t="shared" si="271"/>
        <v>1</v>
      </c>
      <c r="IK25" s="109">
        <f t="shared" si="272"/>
        <v>68000</v>
      </c>
      <c r="IL25" s="110">
        <f t="shared" si="273"/>
        <v>0</v>
      </c>
    </row>
    <row r="26" spans="1:246" s="213" customFormat="1" ht="126" x14ac:dyDescent="0.25">
      <c r="A26" s="211"/>
      <c r="B26" s="319">
        <v>2.8</v>
      </c>
      <c r="C26" s="319" t="s">
        <v>180</v>
      </c>
      <c r="D26" s="320" t="s">
        <v>267</v>
      </c>
      <c r="E26" s="321" t="s">
        <v>179</v>
      </c>
      <c r="F26" s="325">
        <v>8.5</v>
      </c>
      <c r="G26" s="323">
        <v>0</v>
      </c>
      <c r="H26" s="324">
        <f t="shared" si="146"/>
        <v>0</v>
      </c>
      <c r="J26" s="319">
        <v>2.8</v>
      </c>
      <c r="K26" s="319" t="s">
        <v>180</v>
      </c>
      <c r="L26" s="320" t="s">
        <v>267</v>
      </c>
      <c r="M26" s="321" t="s">
        <v>179</v>
      </c>
      <c r="N26" s="325">
        <v>8.5</v>
      </c>
      <c r="O26" s="323">
        <v>4500</v>
      </c>
      <c r="P26" s="324">
        <v>38250</v>
      </c>
      <c r="Q26" s="108">
        <f t="shared" si="274"/>
        <v>1</v>
      </c>
      <c r="R26" s="108">
        <f t="shared" si="275"/>
        <v>1</v>
      </c>
      <c r="S26" s="108">
        <f t="shared" si="276"/>
        <v>1</v>
      </c>
      <c r="T26" s="108">
        <f t="shared" si="277"/>
        <v>1</v>
      </c>
      <c r="U26" s="108">
        <f t="shared" si="278"/>
        <v>1</v>
      </c>
      <c r="V26" s="108">
        <f t="shared" si="279"/>
        <v>1</v>
      </c>
      <c r="W26" s="108">
        <f t="shared" si="280"/>
        <v>1</v>
      </c>
      <c r="X26" s="109">
        <f t="shared" si="281"/>
        <v>38250</v>
      </c>
      <c r="Y26" s="110">
        <f t="shared" si="282"/>
        <v>0</v>
      </c>
      <c r="AA26" s="319">
        <v>2.8</v>
      </c>
      <c r="AB26" s="319" t="s">
        <v>180</v>
      </c>
      <c r="AC26" s="320" t="s">
        <v>267</v>
      </c>
      <c r="AD26" s="321" t="s">
        <v>179</v>
      </c>
      <c r="AE26" s="325">
        <v>8.5</v>
      </c>
      <c r="AF26" s="323">
        <v>9500</v>
      </c>
      <c r="AG26" s="324">
        <v>80750</v>
      </c>
      <c r="AH26" s="108">
        <f t="shared" si="147"/>
        <v>1</v>
      </c>
      <c r="AI26" s="108">
        <f t="shared" si="148"/>
        <v>1</v>
      </c>
      <c r="AJ26" s="108">
        <f t="shared" si="149"/>
        <v>1</v>
      </c>
      <c r="AK26" s="108">
        <f t="shared" si="150"/>
        <v>1</v>
      </c>
      <c r="AL26" s="108">
        <f t="shared" si="151"/>
        <v>1</v>
      </c>
      <c r="AM26" s="108">
        <f t="shared" si="152"/>
        <v>1</v>
      </c>
      <c r="AN26" s="108">
        <f t="shared" si="153"/>
        <v>1</v>
      </c>
      <c r="AO26" s="109">
        <f t="shared" si="154"/>
        <v>80750</v>
      </c>
      <c r="AP26" s="110">
        <f t="shared" si="155"/>
        <v>0</v>
      </c>
      <c r="AR26" s="319">
        <v>2.8</v>
      </c>
      <c r="AS26" s="319" t="s">
        <v>180</v>
      </c>
      <c r="AT26" s="320" t="s">
        <v>267</v>
      </c>
      <c r="AU26" s="321" t="s">
        <v>179</v>
      </c>
      <c r="AV26" s="325">
        <v>8.5</v>
      </c>
      <c r="AW26" s="323">
        <v>4000</v>
      </c>
      <c r="AX26" s="324">
        <v>34000</v>
      </c>
      <c r="AY26" s="108">
        <f t="shared" si="156"/>
        <v>1</v>
      </c>
      <c r="AZ26" s="108">
        <f t="shared" si="157"/>
        <v>1</v>
      </c>
      <c r="BA26" s="108">
        <f t="shared" si="158"/>
        <v>1</v>
      </c>
      <c r="BB26" s="108">
        <f t="shared" si="159"/>
        <v>1</v>
      </c>
      <c r="BC26" s="108">
        <f t="shared" si="160"/>
        <v>1</v>
      </c>
      <c r="BD26" s="108">
        <f t="shared" si="161"/>
        <v>1</v>
      </c>
      <c r="BE26" s="108">
        <f t="shared" si="162"/>
        <v>1</v>
      </c>
      <c r="BF26" s="109">
        <f t="shared" si="163"/>
        <v>34000</v>
      </c>
      <c r="BG26" s="110">
        <f t="shared" si="164"/>
        <v>0</v>
      </c>
      <c r="BI26" s="319">
        <v>2.8</v>
      </c>
      <c r="BJ26" s="319" t="s">
        <v>180</v>
      </c>
      <c r="BK26" s="320" t="s">
        <v>267</v>
      </c>
      <c r="BL26" s="321" t="s">
        <v>179</v>
      </c>
      <c r="BM26" s="325">
        <v>8.5</v>
      </c>
      <c r="BN26" s="323">
        <v>11149</v>
      </c>
      <c r="BO26" s="324">
        <f t="shared" si="165"/>
        <v>94766.5</v>
      </c>
      <c r="BP26" s="108">
        <f t="shared" si="166"/>
        <v>1</v>
      </c>
      <c r="BQ26" s="108">
        <f t="shared" si="167"/>
        <v>1</v>
      </c>
      <c r="BR26" s="108">
        <f t="shared" si="168"/>
        <v>1</v>
      </c>
      <c r="BS26" s="108">
        <f t="shared" si="169"/>
        <v>1</v>
      </c>
      <c r="BT26" s="108">
        <f t="shared" si="170"/>
        <v>1</v>
      </c>
      <c r="BU26" s="108">
        <f t="shared" si="171"/>
        <v>1</v>
      </c>
      <c r="BV26" s="108">
        <f t="shared" si="172"/>
        <v>1</v>
      </c>
      <c r="BW26" s="109">
        <f t="shared" si="173"/>
        <v>94767</v>
      </c>
      <c r="BX26" s="110">
        <f t="shared" si="174"/>
        <v>-0.5</v>
      </c>
      <c r="BZ26" s="319">
        <v>2.8</v>
      </c>
      <c r="CA26" s="319" t="s">
        <v>180</v>
      </c>
      <c r="CB26" s="320" t="s">
        <v>267</v>
      </c>
      <c r="CC26" s="321" t="s">
        <v>179</v>
      </c>
      <c r="CD26" s="325">
        <v>8.5</v>
      </c>
      <c r="CE26" s="323">
        <v>9000</v>
      </c>
      <c r="CF26" s="324">
        <f t="shared" si="175"/>
        <v>76500</v>
      </c>
      <c r="CG26" s="108">
        <f t="shared" si="176"/>
        <v>1</v>
      </c>
      <c r="CH26" s="108">
        <f t="shared" si="177"/>
        <v>1</v>
      </c>
      <c r="CI26" s="108">
        <f t="shared" si="178"/>
        <v>1</v>
      </c>
      <c r="CJ26" s="108">
        <f t="shared" si="179"/>
        <v>1</v>
      </c>
      <c r="CK26" s="108">
        <f t="shared" si="180"/>
        <v>1</v>
      </c>
      <c r="CL26" s="108">
        <f t="shared" si="181"/>
        <v>1</v>
      </c>
      <c r="CM26" s="108">
        <f t="shared" si="182"/>
        <v>1</v>
      </c>
      <c r="CN26" s="109">
        <f t="shared" si="183"/>
        <v>76500</v>
      </c>
      <c r="CO26" s="110">
        <f t="shared" si="184"/>
        <v>0</v>
      </c>
      <c r="CQ26" s="319">
        <v>2.8</v>
      </c>
      <c r="CR26" s="319" t="s">
        <v>180</v>
      </c>
      <c r="CS26" s="320" t="s">
        <v>267</v>
      </c>
      <c r="CT26" s="321" t="s">
        <v>179</v>
      </c>
      <c r="CU26" s="325">
        <v>8.5</v>
      </c>
      <c r="CV26" s="323">
        <v>5500</v>
      </c>
      <c r="CW26" s="324">
        <f t="shared" si="185"/>
        <v>46750</v>
      </c>
      <c r="CX26" s="108">
        <f t="shared" si="186"/>
        <v>1</v>
      </c>
      <c r="CY26" s="108">
        <f t="shared" si="187"/>
        <v>1</v>
      </c>
      <c r="CZ26" s="108">
        <f t="shared" si="188"/>
        <v>1</v>
      </c>
      <c r="DA26" s="108">
        <f t="shared" si="189"/>
        <v>1</v>
      </c>
      <c r="DB26" s="108">
        <f t="shared" si="190"/>
        <v>1</v>
      </c>
      <c r="DC26" s="108">
        <f t="shared" si="191"/>
        <v>1</v>
      </c>
      <c r="DD26" s="108">
        <f t="shared" si="192"/>
        <v>1</v>
      </c>
      <c r="DE26" s="109">
        <f t="shared" si="193"/>
        <v>46750</v>
      </c>
      <c r="DF26" s="110">
        <f t="shared" si="194"/>
        <v>0</v>
      </c>
      <c r="DH26" s="319">
        <v>2.8</v>
      </c>
      <c r="DI26" s="319" t="s">
        <v>180</v>
      </c>
      <c r="DJ26" s="359" t="s">
        <v>267</v>
      </c>
      <c r="DK26" s="321" t="s">
        <v>179</v>
      </c>
      <c r="DL26" s="325">
        <v>8.5</v>
      </c>
      <c r="DM26" s="323">
        <v>5724</v>
      </c>
      <c r="DN26" s="324">
        <f t="shared" si="195"/>
        <v>48654</v>
      </c>
      <c r="DO26" s="108">
        <f t="shared" si="196"/>
        <v>1</v>
      </c>
      <c r="DP26" s="108">
        <f t="shared" si="197"/>
        <v>1</v>
      </c>
      <c r="DQ26" s="108">
        <f t="shared" si="198"/>
        <v>1</v>
      </c>
      <c r="DR26" s="108">
        <f t="shared" si="199"/>
        <v>1</v>
      </c>
      <c r="DS26" s="108">
        <f t="shared" si="200"/>
        <v>1</v>
      </c>
      <c r="DT26" s="108">
        <f t="shared" si="201"/>
        <v>1</v>
      </c>
      <c r="DU26" s="108">
        <f t="shared" si="202"/>
        <v>1</v>
      </c>
      <c r="DV26" s="109">
        <f t="shared" si="203"/>
        <v>48654</v>
      </c>
      <c r="DW26" s="110">
        <f t="shared" si="204"/>
        <v>0</v>
      </c>
      <c r="DY26" s="319">
        <v>2.8</v>
      </c>
      <c r="DZ26" s="319" t="s">
        <v>180</v>
      </c>
      <c r="EA26" s="359" t="s">
        <v>267</v>
      </c>
      <c r="EB26" s="321" t="s">
        <v>179</v>
      </c>
      <c r="EC26" s="325">
        <v>8.5</v>
      </c>
      <c r="ED26" s="323">
        <v>7000</v>
      </c>
      <c r="EE26" s="324">
        <f t="shared" si="205"/>
        <v>59500</v>
      </c>
      <c r="EF26" s="108">
        <f t="shared" si="206"/>
        <v>1</v>
      </c>
      <c r="EG26" s="108">
        <f t="shared" si="207"/>
        <v>1</v>
      </c>
      <c r="EH26" s="108">
        <f t="shared" si="208"/>
        <v>1</v>
      </c>
      <c r="EI26" s="108">
        <f t="shared" si="209"/>
        <v>1</v>
      </c>
      <c r="EJ26" s="108">
        <f t="shared" si="210"/>
        <v>1</v>
      </c>
      <c r="EK26" s="108">
        <f t="shared" si="211"/>
        <v>1</v>
      </c>
      <c r="EL26" s="108">
        <f t="shared" si="212"/>
        <v>1</v>
      </c>
      <c r="EM26" s="109">
        <f t="shared" si="213"/>
        <v>59500</v>
      </c>
      <c r="EN26" s="110">
        <f t="shared" si="214"/>
        <v>0</v>
      </c>
      <c r="EP26" s="319">
        <v>2.8</v>
      </c>
      <c r="EQ26" s="319" t="s">
        <v>180</v>
      </c>
      <c r="ER26" s="320" t="s">
        <v>267</v>
      </c>
      <c r="ES26" s="321" t="s">
        <v>179</v>
      </c>
      <c r="ET26" s="325">
        <v>8.5</v>
      </c>
      <c r="EU26" s="323">
        <v>19400</v>
      </c>
      <c r="EV26" s="324">
        <f t="shared" si="215"/>
        <v>164900</v>
      </c>
      <c r="EW26" s="108">
        <f t="shared" si="216"/>
        <v>1</v>
      </c>
      <c r="EX26" s="108">
        <f t="shared" si="217"/>
        <v>1</v>
      </c>
      <c r="EY26" s="108">
        <f t="shared" si="218"/>
        <v>1</v>
      </c>
      <c r="EZ26" s="108">
        <f t="shared" si="219"/>
        <v>1</v>
      </c>
      <c r="FA26" s="108">
        <f t="shared" si="220"/>
        <v>1</v>
      </c>
      <c r="FB26" s="108">
        <f t="shared" si="221"/>
        <v>1</v>
      </c>
      <c r="FC26" s="108">
        <f t="shared" si="222"/>
        <v>1</v>
      </c>
      <c r="FD26" s="109">
        <f t="shared" si="223"/>
        <v>164900</v>
      </c>
      <c r="FE26" s="110">
        <f t="shared" si="224"/>
        <v>0</v>
      </c>
      <c r="FG26" s="319">
        <v>2.8</v>
      </c>
      <c r="FH26" s="319" t="s">
        <v>180</v>
      </c>
      <c r="FI26" s="359" t="s">
        <v>267</v>
      </c>
      <c r="FJ26" s="321" t="s">
        <v>179</v>
      </c>
      <c r="FK26" s="325">
        <v>8.5</v>
      </c>
      <c r="FL26" s="323">
        <v>5743</v>
      </c>
      <c r="FM26" s="324">
        <f t="shared" si="225"/>
        <v>48815.5</v>
      </c>
      <c r="FN26" s="108">
        <f t="shared" si="226"/>
        <v>1</v>
      </c>
      <c r="FO26" s="108">
        <f t="shared" si="227"/>
        <v>1</v>
      </c>
      <c r="FP26" s="108">
        <f t="shared" si="228"/>
        <v>1</v>
      </c>
      <c r="FQ26" s="108">
        <f t="shared" si="229"/>
        <v>1</v>
      </c>
      <c r="FR26" s="108">
        <f t="shared" si="230"/>
        <v>1</v>
      </c>
      <c r="FS26" s="108">
        <f t="shared" si="231"/>
        <v>1</v>
      </c>
      <c r="FT26" s="108">
        <f t="shared" si="232"/>
        <v>1</v>
      </c>
      <c r="FU26" s="109">
        <f t="shared" si="233"/>
        <v>48816</v>
      </c>
      <c r="FV26" s="110">
        <f t="shared" si="234"/>
        <v>-0.5</v>
      </c>
      <c r="FX26" s="319">
        <v>2.8</v>
      </c>
      <c r="FY26" s="319" t="s">
        <v>180</v>
      </c>
      <c r="FZ26" s="320" t="s">
        <v>267</v>
      </c>
      <c r="GA26" s="321" t="s">
        <v>179</v>
      </c>
      <c r="GB26" s="325">
        <v>8.5</v>
      </c>
      <c r="GC26" s="323">
        <v>7800</v>
      </c>
      <c r="GD26" s="324">
        <f t="shared" si="235"/>
        <v>66300</v>
      </c>
      <c r="GE26" s="108">
        <f t="shared" si="236"/>
        <v>1</v>
      </c>
      <c r="GF26" s="108">
        <f t="shared" si="237"/>
        <v>1</v>
      </c>
      <c r="GG26" s="108">
        <f t="shared" si="238"/>
        <v>1</v>
      </c>
      <c r="GH26" s="108">
        <f t="shared" si="239"/>
        <v>1</v>
      </c>
      <c r="GI26" s="108">
        <f t="shared" si="240"/>
        <v>1</v>
      </c>
      <c r="GJ26" s="108">
        <f t="shared" si="241"/>
        <v>1</v>
      </c>
      <c r="GK26" s="108">
        <f t="shared" si="242"/>
        <v>1</v>
      </c>
      <c r="GL26" s="109">
        <f t="shared" si="243"/>
        <v>66300</v>
      </c>
      <c r="GM26" s="110">
        <f t="shared" si="244"/>
        <v>0</v>
      </c>
      <c r="GO26" s="319">
        <v>2.8</v>
      </c>
      <c r="GP26" s="319" t="s">
        <v>180</v>
      </c>
      <c r="GQ26" s="320" t="s">
        <v>267</v>
      </c>
      <c r="GR26" s="321" t="s">
        <v>179</v>
      </c>
      <c r="GS26" s="325">
        <v>8.5</v>
      </c>
      <c r="GT26" s="323">
        <v>10000</v>
      </c>
      <c r="GU26" s="324">
        <v>85000</v>
      </c>
      <c r="GV26" s="108">
        <f t="shared" si="245"/>
        <v>1</v>
      </c>
      <c r="GW26" s="108">
        <f t="shared" si="246"/>
        <v>1</v>
      </c>
      <c r="GX26" s="108">
        <f t="shared" si="247"/>
        <v>1</v>
      </c>
      <c r="GY26" s="108">
        <f t="shared" si="248"/>
        <v>1</v>
      </c>
      <c r="GZ26" s="108">
        <f t="shared" si="249"/>
        <v>1</v>
      </c>
      <c r="HA26" s="108">
        <f t="shared" si="250"/>
        <v>1</v>
      </c>
      <c r="HB26" s="108">
        <f t="shared" si="251"/>
        <v>1</v>
      </c>
      <c r="HC26" s="109">
        <f t="shared" si="252"/>
        <v>85000</v>
      </c>
      <c r="HD26" s="110">
        <f t="shared" si="253"/>
        <v>0</v>
      </c>
      <c r="HF26" s="319">
        <v>2.8</v>
      </c>
      <c r="HG26" s="319" t="s">
        <v>180</v>
      </c>
      <c r="HH26" s="320" t="s">
        <v>267</v>
      </c>
      <c r="HI26" s="321" t="s">
        <v>179</v>
      </c>
      <c r="HJ26" s="325">
        <v>8.5</v>
      </c>
      <c r="HK26" s="323">
        <v>8500</v>
      </c>
      <c r="HL26" s="324">
        <f t="shared" si="254"/>
        <v>72250</v>
      </c>
      <c r="HM26" s="108">
        <f t="shared" si="255"/>
        <v>1</v>
      </c>
      <c r="HN26" s="108">
        <f t="shared" si="256"/>
        <v>1</v>
      </c>
      <c r="HO26" s="108">
        <f t="shared" si="257"/>
        <v>1</v>
      </c>
      <c r="HP26" s="108">
        <f t="shared" si="258"/>
        <v>1</v>
      </c>
      <c r="HQ26" s="108">
        <f t="shared" si="259"/>
        <v>1</v>
      </c>
      <c r="HR26" s="108">
        <f t="shared" si="260"/>
        <v>1</v>
      </c>
      <c r="HS26" s="108">
        <f t="shared" si="261"/>
        <v>1</v>
      </c>
      <c r="HT26" s="109">
        <f t="shared" si="262"/>
        <v>72250</v>
      </c>
      <c r="HU26" s="110">
        <f t="shared" si="263"/>
        <v>0</v>
      </c>
      <c r="HW26" s="319">
        <v>2.8</v>
      </c>
      <c r="HX26" s="319" t="s">
        <v>180</v>
      </c>
      <c r="HY26" s="320" t="s">
        <v>267</v>
      </c>
      <c r="HZ26" s="321" t="s">
        <v>179</v>
      </c>
      <c r="IA26" s="325">
        <v>8.5</v>
      </c>
      <c r="IB26" s="323">
        <v>8000</v>
      </c>
      <c r="IC26" s="324">
        <f t="shared" si="264"/>
        <v>68000</v>
      </c>
      <c r="ID26" s="108">
        <f t="shared" si="265"/>
        <v>1</v>
      </c>
      <c r="IE26" s="108">
        <f t="shared" si="266"/>
        <v>1</v>
      </c>
      <c r="IF26" s="108">
        <f t="shared" si="267"/>
        <v>1</v>
      </c>
      <c r="IG26" s="108">
        <f t="shared" si="268"/>
        <v>1</v>
      </c>
      <c r="IH26" s="108">
        <f t="shared" si="269"/>
        <v>1</v>
      </c>
      <c r="II26" s="108">
        <f t="shared" si="270"/>
        <v>1</v>
      </c>
      <c r="IJ26" s="108">
        <f t="shared" si="271"/>
        <v>1</v>
      </c>
      <c r="IK26" s="109">
        <f t="shared" si="272"/>
        <v>68000</v>
      </c>
      <c r="IL26" s="110">
        <f t="shared" si="273"/>
        <v>0</v>
      </c>
    </row>
    <row r="27" spans="1:246" s="213" customFormat="1" ht="126" x14ac:dyDescent="0.25">
      <c r="A27" s="211"/>
      <c r="B27" s="319">
        <v>2.9</v>
      </c>
      <c r="C27" s="319" t="s">
        <v>180</v>
      </c>
      <c r="D27" s="320" t="s">
        <v>268</v>
      </c>
      <c r="E27" s="321" t="s">
        <v>179</v>
      </c>
      <c r="F27" s="325">
        <v>8.5</v>
      </c>
      <c r="G27" s="323">
        <v>0</v>
      </c>
      <c r="H27" s="324">
        <f t="shared" si="146"/>
        <v>0</v>
      </c>
      <c r="J27" s="319">
        <v>2.9</v>
      </c>
      <c r="K27" s="319" t="s">
        <v>180</v>
      </c>
      <c r="L27" s="320" t="s">
        <v>268</v>
      </c>
      <c r="M27" s="321" t="s">
        <v>179</v>
      </c>
      <c r="N27" s="325">
        <v>8.5</v>
      </c>
      <c r="O27" s="323">
        <v>4500</v>
      </c>
      <c r="P27" s="324">
        <v>38250</v>
      </c>
      <c r="Q27" s="108">
        <f t="shared" si="274"/>
        <v>1</v>
      </c>
      <c r="R27" s="108">
        <f t="shared" si="275"/>
        <v>1</v>
      </c>
      <c r="S27" s="108">
        <f t="shared" si="276"/>
        <v>1</v>
      </c>
      <c r="T27" s="108">
        <f t="shared" si="277"/>
        <v>1</v>
      </c>
      <c r="U27" s="108">
        <f t="shared" si="278"/>
        <v>1</v>
      </c>
      <c r="V27" s="108">
        <f t="shared" si="279"/>
        <v>1</v>
      </c>
      <c r="W27" s="108">
        <f t="shared" si="280"/>
        <v>1</v>
      </c>
      <c r="X27" s="109">
        <f t="shared" si="281"/>
        <v>38250</v>
      </c>
      <c r="Y27" s="110">
        <f t="shared" si="282"/>
        <v>0</v>
      </c>
      <c r="AA27" s="319">
        <v>2.9</v>
      </c>
      <c r="AB27" s="319" t="s">
        <v>180</v>
      </c>
      <c r="AC27" s="320" t="s">
        <v>268</v>
      </c>
      <c r="AD27" s="321" t="s">
        <v>179</v>
      </c>
      <c r="AE27" s="325">
        <v>8.5</v>
      </c>
      <c r="AF27" s="323">
        <v>9400</v>
      </c>
      <c r="AG27" s="324">
        <v>79900</v>
      </c>
      <c r="AH27" s="108">
        <f t="shared" si="147"/>
        <v>1</v>
      </c>
      <c r="AI27" s="108">
        <f t="shared" si="148"/>
        <v>1</v>
      </c>
      <c r="AJ27" s="108">
        <f t="shared" si="149"/>
        <v>1</v>
      </c>
      <c r="AK27" s="108">
        <f t="shared" si="150"/>
        <v>1</v>
      </c>
      <c r="AL27" s="108">
        <f t="shared" si="151"/>
        <v>1</v>
      </c>
      <c r="AM27" s="108">
        <f t="shared" si="152"/>
        <v>1</v>
      </c>
      <c r="AN27" s="108">
        <f t="shared" si="153"/>
        <v>1</v>
      </c>
      <c r="AO27" s="109">
        <f t="shared" si="154"/>
        <v>79900</v>
      </c>
      <c r="AP27" s="110">
        <f t="shared" si="155"/>
        <v>0</v>
      </c>
      <c r="AR27" s="319">
        <v>2.9</v>
      </c>
      <c r="AS27" s="319" t="s">
        <v>180</v>
      </c>
      <c r="AT27" s="320" t="s">
        <v>268</v>
      </c>
      <c r="AU27" s="321" t="s">
        <v>179</v>
      </c>
      <c r="AV27" s="325">
        <v>8.5</v>
      </c>
      <c r="AW27" s="323">
        <v>4000</v>
      </c>
      <c r="AX27" s="324">
        <v>34000</v>
      </c>
      <c r="AY27" s="108">
        <f t="shared" si="156"/>
        <v>1</v>
      </c>
      <c r="AZ27" s="108">
        <f t="shared" si="157"/>
        <v>1</v>
      </c>
      <c r="BA27" s="108">
        <f t="shared" si="158"/>
        <v>1</v>
      </c>
      <c r="BB27" s="108">
        <f t="shared" si="159"/>
        <v>1</v>
      </c>
      <c r="BC27" s="108">
        <f t="shared" si="160"/>
        <v>1</v>
      </c>
      <c r="BD27" s="108">
        <f t="shared" si="161"/>
        <v>1</v>
      </c>
      <c r="BE27" s="108">
        <f t="shared" si="162"/>
        <v>1</v>
      </c>
      <c r="BF27" s="109">
        <f t="shared" si="163"/>
        <v>34000</v>
      </c>
      <c r="BG27" s="110">
        <f t="shared" si="164"/>
        <v>0</v>
      </c>
      <c r="BI27" s="319">
        <v>2.9</v>
      </c>
      <c r="BJ27" s="319" t="s">
        <v>180</v>
      </c>
      <c r="BK27" s="320" t="s">
        <v>268</v>
      </c>
      <c r="BL27" s="321" t="s">
        <v>179</v>
      </c>
      <c r="BM27" s="325">
        <v>8.5</v>
      </c>
      <c r="BN27" s="323">
        <v>11149</v>
      </c>
      <c r="BO27" s="324">
        <f t="shared" si="165"/>
        <v>94766.5</v>
      </c>
      <c r="BP27" s="108">
        <f t="shared" si="166"/>
        <v>1</v>
      </c>
      <c r="BQ27" s="108">
        <f t="shared" si="167"/>
        <v>1</v>
      </c>
      <c r="BR27" s="108">
        <f t="shared" si="168"/>
        <v>1</v>
      </c>
      <c r="BS27" s="108">
        <f t="shared" si="169"/>
        <v>1</v>
      </c>
      <c r="BT27" s="108">
        <f t="shared" si="170"/>
        <v>1</v>
      </c>
      <c r="BU27" s="108">
        <f t="shared" si="171"/>
        <v>1</v>
      </c>
      <c r="BV27" s="108">
        <f t="shared" si="172"/>
        <v>1</v>
      </c>
      <c r="BW27" s="109">
        <f t="shared" si="173"/>
        <v>94767</v>
      </c>
      <c r="BX27" s="110">
        <f t="shared" si="174"/>
        <v>-0.5</v>
      </c>
      <c r="BZ27" s="319">
        <v>2.9</v>
      </c>
      <c r="CA27" s="319" t="s">
        <v>180</v>
      </c>
      <c r="CB27" s="320" t="s">
        <v>268</v>
      </c>
      <c r="CC27" s="321" t="s">
        <v>179</v>
      </c>
      <c r="CD27" s="325">
        <v>8.5</v>
      </c>
      <c r="CE27" s="323">
        <v>16000</v>
      </c>
      <c r="CF27" s="324">
        <f t="shared" si="175"/>
        <v>136000</v>
      </c>
      <c r="CG27" s="108">
        <f t="shared" si="176"/>
        <v>1</v>
      </c>
      <c r="CH27" s="108">
        <f t="shared" si="177"/>
        <v>1</v>
      </c>
      <c r="CI27" s="108">
        <f t="shared" si="178"/>
        <v>1</v>
      </c>
      <c r="CJ27" s="108">
        <f t="shared" si="179"/>
        <v>1</v>
      </c>
      <c r="CK27" s="108">
        <f t="shared" si="180"/>
        <v>1</v>
      </c>
      <c r="CL27" s="108">
        <f t="shared" si="181"/>
        <v>1</v>
      </c>
      <c r="CM27" s="108">
        <f t="shared" si="182"/>
        <v>1</v>
      </c>
      <c r="CN27" s="109">
        <f t="shared" si="183"/>
        <v>136000</v>
      </c>
      <c r="CO27" s="110">
        <f t="shared" si="184"/>
        <v>0</v>
      </c>
      <c r="CQ27" s="319">
        <v>2.9</v>
      </c>
      <c r="CR27" s="319" t="s">
        <v>180</v>
      </c>
      <c r="CS27" s="320" t="s">
        <v>268</v>
      </c>
      <c r="CT27" s="321" t="s">
        <v>179</v>
      </c>
      <c r="CU27" s="325">
        <v>8.5</v>
      </c>
      <c r="CV27" s="323">
        <v>5500</v>
      </c>
      <c r="CW27" s="324">
        <f t="shared" si="185"/>
        <v>46750</v>
      </c>
      <c r="CX27" s="108">
        <f t="shared" si="186"/>
        <v>1</v>
      </c>
      <c r="CY27" s="108">
        <f t="shared" si="187"/>
        <v>1</v>
      </c>
      <c r="CZ27" s="108">
        <f t="shared" si="188"/>
        <v>1</v>
      </c>
      <c r="DA27" s="108">
        <f t="shared" si="189"/>
        <v>1</v>
      </c>
      <c r="DB27" s="108">
        <f t="shared" si="190"/>
        <v>1</v>
      </c>
      <c r="DC27" s="108">
        <f t="shared" si="191"/>
        <v>1</v>
      </c>
      <c r="DD27" s="108">
        <f t="shared" si="192"/>
        <v>1</v>
      </c>
      <c r="DE27" s="109">
        <f t="shared" si="193"/>
        <v>46750</v>
      </c>
      <c r="DF27" s="110">
        <f t="shared" si="194"/>
        <v>0</v>
      </c>
      <c r="DH27" s="319">
        <v>2.9</v>
      </c>
      <c r="DI27" s="319" t="s">
        <v>180</v>
      </c>
      <c r="DJ27" s="359" t="s">
        <v>268</v>
      </c>
      <c r="DK27" s="321" t="s">
        <v>179</v>
      </c>
      <c r="DL27" s="325">
        <v>8.5</v>
      </c>
      <c r="DM27" s="323">
        <v>5188</v>
      </c>
      <c r="DN27" s="324">
        <f t="shared" si="195"/>
        <v>44098</v>
      </c>
      <c r="DO27" s="108">
        <f t="shared" si="196"/>
        <v>1</v>
      </c>
      <c r="DP27" s="108">
        <f t="shared" si="197"/>
        <v>1</v>
      </c>
      <c r="DQ27" s="108">
        <f t="shared" si="198"/>
        <v>1</v>
      </c>
      <c r="DR27" s="108">
        <f t="shared" si="199"/>
        <v>1</v>
      </c>
      <c r="DS27" s="108">
        <f t="shared" si="200"/>
        <v>1</v>
      </c>
      <c r="DT27" s="108">
        <f t="shared" si="201"/>
        <v>1</v>
      </c>
      <c r="DU27" s="108">
        <f t="shared" si="202"/>
        <v>1</v>
      </c>
      <c r="DV27" s="109">
        <f t="shared" si="203"/>
        <v>44098</v>
      </c>
      <c r="DW27" s="110">
        <f t="shared" si="204"/>
        <v>0</v>
      </c>
      <c r="DY27" s="319">
        <v>2.9</v>
      </c>
      <c r="DZ27" s="319" t="s">
        <v>180</v>
      </c>
      <c r="EA27" s="320" t="s">
        <v>268</v>
      </c>
      <c r="EB27" s="321" t="s">
        <v>179</v>
      </c>
      <c r="EC27" s="325">
        <v>8.5</v>
      </c>
      <c r="ED27" s="323">
        <v>7000</v>
      </c>
      <c r="EE27" s="324">
        <f t="shared" si="205"/>
        <v>59500</v>
      </c>
      <c r="EF27" s="108">
        <f t="shared" si="206"/>
        <v>1</v>
      </c>
      <c r="EG27" s="108">
        <f t="shared" si="207"/>
        <v>1</v>
      </c>
      <c r="EH27" s="108">
        <f t="shared" si="208"/>
        <v>1</v>
      </c>
      <c r="EI27" s="108">
        <f t="shared" si="209"/>
        <v>1</v>
      </c>
      <c r="EJ27" s="108">
        <f t="shared" si="210"/>
        <v>1</v>
      </c>
      <c r="EK27" s="108">
        <f t="shared" si="211"/>
        <v>1</v>
      </c>
      <c r="EL27" s="108">
        <f t="shared" si="212"/>
        <v>1</v>
      </c>
      <c r="EM27" s="109">
        <f t="shared" si="213"/>
        <v>59500</v>
      </c>
      <c r="EN27" s="110">
        <f t="shared" si="214"/>
        <v>0</v>
      </c>
      <c r="EP27" s="319">
        <v>2.9</v>
      </c>
      <c r="EQ27" s="319" t="s">
        <v>180</v>
      </c>
      <c r="ER27" s="320" t="s">
        <v>268</v>
      </c>
      <c r="ES27" s="321" t="s">
        <v>179</v>
      </c>
      <c r="ET27" s="325">
        <v>8.5</v>
      </c>
      <c r="EU27" s="323">
        <v>19400</v>
      </c>
      <c r="EV27" s="324">
        <f t="shared" si="215"/>
        <v>164900</v>
      </c>
      <c r="EW27" s="108">
        <f t="shared" si="216"/>
        <v>1</v>
      </c>
      <c r="EX27" s="108">
        <f t="shared" si="217"/>
        <v>1</v>
      </c>
      <c r="EY27" s="108">
        <f t="shared" si="218"/>
        <v>1</v>
      </c>
      <c r="EZ27" s="108">
        <f t="shared" si="219"/>
        <v>1</v>
      </c>
      <c r="FA27" s="108">
        <f t="shared" si="220"/>
        <v>1</v>
      </c>
      <c r="FB27" s="108">
        <f t="shared" si="221"/>
        <v>1</v>
      </c>
      <c r="FC27" s="108">
        <f t="shared" si="222"/>
        <v>1</v>
      </c>
      <c r="FD27" s="109">
        <f t="shared" si="223"/>
        <v>164900</v>
      </c>
      <c r="FE27" s="110">
        <f t="shared" si="224"/>
        <v>0</v>
      </c>
      <c r="FG27" s="319">
        <v>2.9</v>
      </c>
      <c r="FH27" s="319" t="s">
        <v>180</v>
      </c>
      <c r="FI27" s="359" t="s">
        <v>268</v>
      </c>
      <c r="FJ27" s="321" t="s">
        <v>179</v>
      </c>
      <c r="FK27" s="325">
        <v>8.5</v>
      </c>
      <c r="FL27" s="323">
        <v>5205</v>
      </c>
      <c r="FM27" s="324">
        <f t="shared" si="225"/>
        <v>44242.5</v>
      </c>
      <c r="FN27" s="108">
        <f t="shared" si="226"/>
        <v>1</v>
      </c>
      <c r="FO27" s="108">
        <f t="shared" si="227"/>
        <v>1</v>
      </c>
      <c r="FP27" s="108">
        <f t="shared" si="228"/>
        <v>1</v>
      </c>
      <c r="FQ27" s="108">
        <f t="shared" si="229"/>
        <v>1</v>
      </c>
      <c r="FR27" s="108">
        <f t="shared" si="230"/>
        <v>1</v>
      </c>
      <c r="FS27" s="108">
        <f t="shared" si="231"/>
        <v>1</v>
      </c>
      <c r="FT27" s="108">
        <f t="shared" si="232"/>
        <v>1</v>
      </c>
      <c r="FU27" s="109">
        <f t="shared" si="233"/>
        <v>44243</v>
      </c>
      <c r="FV27" s="110">
        <f t="shared" si="234"/>
        <v>-0.5</v>
      </c>
      <c r="FX27" s="319">
        <v>2.9</v>
      </c>
      <c r="FY27" s="319" t="s">
        <v>180</v>
      </c>
      <c r="FZ27" s="320" t="s">
        <v>268</v>
      </c>
      <c r="GA27" s="321" t="s">
        <v>179</v>
      </c>
      <c r="GB27" s="325">
        <v>8.5</v>
      </c>
      <c r="GC27" s="323">
        <v>19500</v>
      </c>
      <c r="GD27" s="324">
        <f t="shared" si="235"/>
        <v>165750</v>
      </c>
      <c r="GE27" s="108">
        <f t="shared" si="236"/>
        <v>1</v>
      </c>
      <c r="GF27" s="108">
        <f t="shared" si="237"/>
        <v>1</v>
      </c>
      <c r="GG27" s="108">
        <f t="shared" si="238"/>
        <v>1</v>
      </c>
      <c r="GH27" s="108">
        <f t="shared" si="239"/>
        <v>1</v>
      </c>
      <c r="GI27" s="108">
        <f t="shared" si="240"/>
        <v>1</v>
      </c>
      <c r="GJ27" s="108">
        <f t="shared" si="241"/>
        <v>1</v>
      </c>
      <c r="GK27" s="108">
        <f t="shared" si="242"/>
        <v>1</v>
      </c>
      <c r="GL27" s="109">
        <f t="shared" si="243"/>
        <v>165750</v>
      </c>
      <c r="GM27" s="110">
        <f t="shared" si="244"/>
        <v>0</v>
      </c>
      <c r="GO27" s="319">
        <v>2.9</v>
      </c>
      <c r="GP27" s="319" t="s">
        <v>180</v>
      </c>
      <c r="GQ27" s="320" t="s">
        <v>268</v>
      </c>
      <c r="GR27" s="321" t="s">
        <v>179</v>
      </c>
      <c r="GS27" s="325">
        <v>8.5</v>
      </c>
      <c r="GT27" s="323">
        <v>10000</v>
      </c>
      <c r="GU27" s="324">
        <v>85000</v>
      </c>
      <c r="GV27" s="108">
        <f t="shared" si="245"/>
        <v>1</v>
      </c>
      <c r="GW27" s="108">
        <f t="shared" si="246"/>
        <v>1</v>
      </c>
      <c r="GX27" s="108">
        <f t="shared" si="247"/>
        <v>1</v>
      </c>
      <c r="GY27" s="108">
        <f t="shared" si="248"/>
        <v>1</v>
      </c>
      <c r="GZ27" s="108">
        <f t="shared" si="249"/>
        <v>1</v>
      </c>
      <c r="HA27" s="108">
        <f t="shared" si="250"/>
        <v>1</v>
      </c>
      <c r="HB27" s="108">
        <f t="shared" si="251"/>
        <v>1</v>
      </c>
      <c r="HC27" s="109">
        <f t="shared" si="252"/>
        <v>85000</v>
      </c>
      <c r="HD27" s="110">
        <f t="shared" si="253"/>
        <v>0</v>
      </c>
      <c r="HF27" s="319">
        <v>2.9</v>
      </c>
      <c r="HG27" s="319" t="s">
        <v>180</v>
      </c>
      <c r="HH27" s="320" t="s">
        <v>268</v>
      </c>
      <c r="HI27" s="321" t="s">
        <v>179</v>
      </c>
      <c r="HJ27" s="325">
        <v>8.5</v>
      </c>
      <c r="HK27" s="323">
        <v>8500</v>
      </c>
      <c r="HL27" s="324">
        <f t="shared" si="254"/>
        <v>72250</v>
      </c>
      <c r="HM27" s="108">
        <f t="shared" si="255"/>
        <v>1</v>
      </c>
      <c r="HN27" s="108">
        <f t="shared" si="256"/>
        <v>1</v>
      </c>
      <c r="HO27" s="108">
        <f t="shared" si="257"/>
        <v>1</v>
      </c>
      <c r="HP27" s="108">
        <f t="shared" si="258"/>
        <v>1</v>
      </c>
      <c r="HQ27" s="108">
        <f t="shared" si="259"/>
        <v>1</v>
      </c>
      <c r="HR27" s="108">
        <f t="shared" si="260"/>
        <v>1</v>
      </c>
      <c r="HS27" s="108">
        <f t="shared" si="261"/>
        <v>1</v>
      </c>
      <c r="HT27" s="109">
        <f t="shared" si="262"/>
        <v>72250</v>
      </c>
      <c r="HU27" s="110">
        <f t="shared" si="263"/>
        <v>0</v>
      </c>
      <c r="HW27" s="319">
        <v>2.9</v>
      </c>
      <c r="HX27" s="319" t="s">
        <v>180</v>
      </c>
      <c r="HY27" s="320" t="s">
        <v>268</v>
      </c>
      <c r="HZ27" s="321" t="s">
        <v>179</v>
      </c>
      <c r="IA27" s="325">
        <v>8.5</v>
      </c>
      <c r="IB27" s="323">
        <v>8000</v>
      </c>
      <c r="IC27" s="324">
        <f t="shared" si="264"/>
        <v>68000</v>
      </c>
      <c r="ID27" s="108">
        <f t="shared" si="265"/>
        <v>1</v>
      </c>
      <c r="IE27" s="108">
        <f t="shared" si="266"/>
        <v>1</v>
      </c>
      <c r="IF27" s="108">
        <f t="shared" si="267"/>
        <v>1</v>
      </c>
      <c r="IG27" s="108">
        <f t="shared" si="268"/>
        <v>1</v>
      </c>
      <c r="IH27" s="108">
        <f t="shared" si="269"/>
        <v>1</v>
      </c>
      <c r="II27" s="108">
        <f t="shared" si="270"/>
        <v>1</v>
      </c>
      <c r="IJ27" s="108">
        <f t="shared" si="271"/>
        <v>1</v>
      </c>
      <c r="IK27" s="109">
        <f t="shared" si="272"/>
        <v>68000</v>
      </c>
      <c r="IL27" s="110">
        <f t="shared" si="273"/>
        <v>0</v>
      </c>
    </row>
    <row r="28" spans="1:246" s="213" customFormat="1" ht="123.75" customHeight="1" x14ac:dyDescent="0.25">
      <c r="A28" s="211"/>
      <c r="B28" s="331">
        <v>2.1</v>
      </c>
      <c r="C28" s="319" t="s">
        <v>180</v>
      </c>
      <c r="D28" s="320" t="s">
        <v>269</v>
      </c>
      <c r="E28" s="321" t="s">
        <v>184</v>
      </c>
      <c r="F28" s="322">
        <v>9</v>
      </c>
      <c r="G28" s="323">
        <v>0</v>
      </c>
      <c r="H28" s="324">
        <f t="shared" si="146"/>
        <v>0</v>
      </c>
      <c r="J28" s="331">
        <v>2.1</v>
      </c>
      <c r="K28" s="319" t="s">
        <v>180</v>
      </c>
      <c r="L28" s="320" t="s">
        <v>269</v>
      </c>
      <c r="M28" s="321" t="s">
        <v>184</v>
      </c>
      <c r="N28" s="322">
        <v>9</v>
      </c>
      <c r="O28" s="323">
        <v>13859</v>
      </c>
      <c r="P28" s="324">
        <v>117802</v>
      </c>
      <c r="Q28" s="108">
        <f t="shared" si="274"/>
        <v>1</v>
      </c>
      <c r="R28" s="108">
        <v>1</v>
      </c>
      <c r="S28" s="108">
        <f t="shared" si="276"/>
        <v>1</v>
      </c>
      <c r="T28" s="108">
        <v>1</v>
      </c>
      <c r="U28" s="108">
        <f t="shared" si="278"/>
        <v>1</v>
      </c>
      <c r="V28" s="108">
        <f t="shared" si="279"/>
        <v>1</v>
      </c>
      <c r="W28" s="108">
        <f t="shared" si="280"/>
        <v>1</v>
      </c>
      <c r="X28" s="109">
        <f t="shared" si="281"/>
        <v>117802</v>
      </c>
      <c r="Y28" s="110">
        <f t="shared" si="282"/>
        <v>0</v>
      </c>
      <c r="AA28" s="331">
        <v>2.1</v>
      </c>
      <c r="AB28" s="319" t="s">
        <v>180</v>
      </c>
      <c r="AC28" s="320" t="s">
        <v>269</v>
      </c>
      <c r="AD28" s="321" t="s">
        <v>184</v>
      </c>
      <c r="AE28" s="322">
        <v>8.5</v>
      </c>
      <c r="AF28" s="323">
        <v>14500</v>
      </c>
      <c r="AG28" s="324">
        <v>123250</v>
      </c>
      <c r="AH28" s="108">
        <f t="shared" ref="AH28" si="283">IFERROR(IF(EXACT(VLOOKUP(AA28,OFERTA_0,1,FALSE),AA28),1,0),0)</f>
        <v>1</v>
      </c>
      <c r="AI28" s="108">
        <v>1</v>
      </c>
      <c r="AJ28" s="108">
        <f t="shared" ref="AJ28" si="284">IFERROR(IF(EXACT(VLOOKUP(AA28,OFERTA_0,4,FALSE),AD28),1,0),0)</f>
        <v>1</v>
      </c>
      <c r="AK28" s="108">
        <v>1</v>
      </c>
      <c r="AL28" s="108">
        <f t="shared" ref="AL28" si="285">IFERROR(IF(AF28&lt;=0,0,1),0)</f>
        <v>1</v>
      </c>
      <c r="AM28" s="108">
        <f t="shared" ref="AM28" si="286">IFERROR(IF(AG28&lt;=0,0,1),0)</f>
        <v>1</v>
      </c>
      <c r="AN28" s="108">
        <f t="shared" ref="AN28" si="287">PRODUCT(AH28:AM28)</f>
        <v>1</v>
      </c>
      <c r="AO28" s="109">
        <f t="shared" ref="AO28" si="288">ROUND(AG28,0)</f>
        <v>123250</v>
      </c>
      <c r="AP28" s="110">
        <f t="shared" ref="AP28" si="289">AG28-AO28</f>
        <v>0</v>
      </c>
      <c r="AR28" s="331">
        <v>2.1</v>
      </c>
      <c r="AS28" s="319" t="s">
        <v>180</v>
      </c>
      <c r="AT28" s="320" t="s">
        <v>269</v>
      </c>
      <c r="AU28" s="321" t="s">
        <v>184</v>
      </c>
      <c r="AV28" s="322">
        <v>8.5</v>
      </c>
      <c r="AW28" s="323">
        <v>14000</v>
      </c>
      <c r="AX28" s="324">
        <v>119000</v>
      </c>
      <c r="AY28" s="108">
        <f t="shared" si="156"/>
        <v>1</v>
      </c>
      <c r="AZ28" s="108">
        <v>1</v>
      </c>
      <c r="BA28" s="108">
        <f t="shared" si="158"/>
        <v>1</v>
      </c>
      <c r="BB28" s="108">
        <v>1</v>
      </c>
      <c r="BC28" s="108">
        <f t="shared" si="160"/>
        <v>1</v>
      </c>
      <c r="BD28" s="108">
        <f t="shared" si="161"/>
        <v>1</v>
      </c>
      <c r="BE28" s="108">
        <f t="shared" si="162"/>
        <v>1</v>
      </c>
      <c r="BF28" s="109">
        <f t="shared" si="163"/>
        <v>119000</v>
      </c>
      <c r="BG28" s="110">
        <f t="shared" si="164"/>
        <v>0</v>
      </c>
      <c r="BI28" s="331">
        <v>2.1</v>
      </c>
      <c r="BJ28" s="319" t="s">
        <v>180</v>
      </c>
      <c r="BK28" s="320" t="s">
        <v>269</v>
      </c>
      <c r="BL28" s="321" t="s">
        <v>184</v>
      </c>
      <c r="BM28" s="322">
        <v>8.5</v>
      </c>
      <c r="BN28" s="323">
        <v>11149</v>
      </c>
      <c r="BO28" s="324">
        <f t="shared" si="165"/>
        <v>94766.5</v>
      </c>
      <c r="BP28" s="108">
        <f t="shared" si="166"/>
        <v>1</v>
      </c>
      <c r="BQ28" s="108">
        <v>1</v>
      </c>
      <c r="BR28" s="108">
        <f t="shared" si="168"/>
        <v>1</v>
      </c>
      <c r="BS28" s="108">
        <v>1</v>
      </c>
      <c r="BT28" s="108">
        <f t="shared" si="170"/>
        <v>1</v>
      </c>
      <c r="BU28" s="108">
        <f t="shared" si="171"/>
        <v>1</v>
      </c>
      <c r="BV28" s="108">
        <f t="shared" si="172"/>
        <v>1</v>
      </c>
      <c r="BW28" s="109">
        <f t="shared" si="173"/>
        <v>94767</v>
      </c>
      <c r="BX28" s="110">
        <f t="shared" si="174"/>
        <v>-0.5</v>
      </c>
      <c r="BZ28" s="331">
        <v>2.1</v>
      </c>
      <c r="CA28" s="319" t="s">
        <v>180</v>
      </c>
      <c r="CB28" s="320" t="s">
        <v>269</v>
      </c>
      <c r="CC28" s="321" t="s">
        <v>184</v>
      </c>
      <c r="CD28" s="322">
        <v>8.5</v>
      </c>
      <c r="CE28" s="323">
        <v>19000</v>
      </c>
      <c r="CF28" s="324">
        <f t="shared" si="175"/>
        <v>161500</v>
      </c>
      <c r="CG28" s="108">
        <f t="shared" si="176"/>
        <v>1</v>
      </c>
      <c r="CH28" s="108">
        <v>1</v>
      </c>
      <c r="CI28" s="108">
        <f t="shared" si="178"/>
        <v>1</v>
      </c>
      <c r="CJ28" s="108">
        <v>1</v>
      </c>
      <c r="CK28" s="108">
        <f t="shared" si="180"/>
        <v>1</v>
      </c>
      <c r="CL28" s="108">
        <f t="shared" si="181"/>
        <v>1</v>
      </c>
      <c r="CM28" s="108">
        <f t="shared" si="182"/>
        <v>1</v>
      </c>
      <c r="CN28" s="109">
        <f t="shared" si="183"/>
        <v>161500</v>
      </c>
      <c r="CO28" s="110">
        <f t="shared" si="184"/>
        <v>0</v>
      </c>
      <c r="CQ28" s="331">
        <v>2.1</v>
      </c>
      <c r="CR28" s="319" t="s">
        <v>180</v>
      </c>
      <c r="CS28" s="320" t="s">
        <v>269</v>
      </c>
      <c r="CT28" s="321" t="s">
        <v>184</v>
      </c>
      <c r="CU28" s="322">
        <v>8.5</v>
      </c>
      <c r="CV28" s="323">
        <v>12000</v>
      </c>
      <c r="CW28" s="324">
        <f t="shared" si="185"/>
        <v>102000</v>
      </c>
      <c r="CX28" s="108">
        <f t="shared" si="186"/>
        <v>1</v>
      </c>
      <c r="CY28" s="108">
        <v>1</v>
      </c>
      <c r="CZ28" s="108">
        <f t="shared" si="188"/>
        <v>1</v>
      </c>
      <c r="DA28" s="108">
        <v>1</v>
      </c>
      <c r="DB28" s="108">
        <f t="shared" si="190"/>
        <v>1</v>
      </c>
      <c r="DC28" s="108">
        <f t="shared" si="191"/>
        <v>1</v>
      </c>
      <c r="DD28" s="108">
        <f t="shared" si="192"/>
        <v>1</v>
      </c>
      <c r="DE28" s="109">
        <f t="shared" si="193"/>
        <v>102000</v>
      </c>
      <c r="DF28" s="110">
        <f t="shared" si="194"/>
        <v>0</v>
      </c>
      <c r="DH28" s="331">
        <v>2.1</v>
      </c>
      <c r="DI28" s="319" t="s">
        <v>180</v>
      </c>
      <c r="DJ28" s="359" t="s">
        <v>269</v>
      </c>
      <c r="DK28" s="321" t="s">
        <v>184</v>
      </c>
      <c r="DL28" s="322">
        <v>8.5</v>
      </c>
      <c r="DM28" s="323">
        <v>13489</v>
      </c>
      <c r="DN28" s="324">
        <f t="shared" si="195"/>
        <v>114656.5</v>
      </c>
      <c r="DO28" s="108">
        <f t="shared" si="196"/>
        <v>1</v>
      </c>
      <c r="DP28" s="108">
        <v>1</v>
      </c>
      <c r="DQ28" s="108">
        <f t="shared" si="198"/>
        <v>1</v>
      </c>
      <c r="DR28" s="108">
        <v>1</v>
      </c>
      <c r="DS28" s="108">
        <f t="shared" si="200"/>
        <v>1</v>
      </c>
      <c r="DT28" s="108">
        <f t="shared" si="201"/>
        <v>1</v>
      </c>
      <c r="DU28" s="108">
        <f t="shared" si="202"/>
        <v>1</v>
      </c>
      <c r="DV28" s="109">
        <f t="shared" si="203"/>
        <v>114657</v>
      </c>
      <c r="DW28" s="110">
        <f t="shared" si="204"/>
        <v>-0.5</v>
      </c>
      <c r="DY28" s="331">
        <v>2.1</v>
      </c>
      <c r="DZ28" s="319" t="s">
        <v>180</v>
      </c>
      <c r="EA28" s="359" t="s">
        <v>269</v>
      </c>
      <c r="EB28" s="321" t="s">
        <v>184</v>
      </c>
      <c r="EC28" s="322">
        <v>8.5</v>
      </c>
      <c r="ED28" s="323">
        <v>16000</v>
      </c>
      <c r="EE28" s="324">
        <f t="shared" si="205"/>
        <v>136000</v>
      </c>
      <c r="EF28" s="108">
        <f t="shared" si="206"/>
        <v>1</v>
      </c>
      <c r="EG28" s="108">
        <v>1</v>
      </c>
      <c r="EH28" s="108">
        <f t="shared" si="208"/>
        <v>1</v>
      </c>
      <c r="EI28" s="108">
        <v>1</v>
      </c>
      <c r="EJ28" s="108">
        <f t="shared" si="210"/>
        <v>1</v>
      </c>
      <c r="EK28" s="108">
        <f t="shared" si="211"/>
        <v>1</v>
      </c>
      <c r="EL28" s="108">
        <f t="shared" si="212"/>
        <v>1</v>
      </c>
      <c r="EM28" s="109">
        <f t="shared" si="213"/>
        <v>136000</v>
      </c>
      <c r="EN28" s="110">
        <f t="shared" si="214"/>
        <v>0</v>
      </c>
      <c r="EP28" s="331">
        <v>2.1</v>
      </c>
      <c r="EQ28" s="319" t="s">
        <v>180</v>
      </c>
      <c r="ER28" s="320" t="s">
        <v>269</v>
      </c>
      <c r="ES28" s="321" t="s">
        <v>184</v>
      </c>
      <c r="ET28" s="322">
        <v>8.5</v>
      </c>
      <c r="EU28" s="323">
        <v>34300</v>
      </c>
      <c r="EV28" s="324">
        <f t="shared" si="215"/>
        <v>291550</v>
      </c>
      <c r="EW28" s="108">
        <f t="shared" si="216"/>
        <v>1</v>
      </c>
      <c r="EX28" s="108">
        <v>1</v>
      </c>
      <c r="EY28" s="108">
        <f t="shared" si="218"/>
        <v>1</v>
      </c>
      <c r="EZ28" s="108">
        <v>1</v>
      </c>
      <c r="FA28" s="108">
        <f t="shared" si="220"/>
        <v>1</v>
      </c>
      <c r="FB28" s="108">
        <f t="shared" si="221"/>
        <v>1</v>
      </c>
      <c r="FC28" s="108">
        <f t="shared" si="222"/>
        <v>1</v>
      </c>
      <c r="FD28" s="109">
        <f t="shared" si="223"/>
        <v>291550</v>
      </c>
      <c r="FE28" s="110">
        <f t="shared" si="224"/>
        <v>0</v>
      </c>
      <c r="FG28" s="331">
        <v>2.1</v>
      </c>
      <c r="FH28" s="319" t="s">
        <v>180</v>
      </c>
      <c r="FI28" s="359" t="s">
        <v>269</v>
      </c>
      <c r="FJ28" s="321" t="s">
        <v>184</v>
      </c>
      <c r="FK28" s="322">
        <v>8.5</v>
      </c>
      <c r="FL28" s="323">
        <v>13502</v>
      </c>
      <c r="FM28" s="324">
        <f t="shared" si="225"/>
        <v>114767</v>
      </c>
      <c r="FN28" s="108">
        <f t="shared" si="226"/>
        <v>1</v>
      </c>
      <c r="FO28" s="108">
        <v>1</v>
      </c>
      <c r="FP28" s="108">
        <f t="shared" si="228"/>
        <v>1</v>
      </c>
      <c r="FQ28" s="108">
        <v>1</v>
      </c>
      <c r="FR28" s="108">
        <f t="shared" si="230"/>
        <v>1</v>
      </c>
      <c r="FS28" s="108">
        <f t="shared" si="231"/>
        <v>1</v>
      </c>
      <c r="FT28" s="108">
        <f t="shared" si="232"/>
        <v>1</v>
      </c>
      <c r="FU28" s="109">
        <f t="shared" si="233"/>
        <v>114767</v>
      </c>
      <c r="FV28" s="110">
        <f t="shared" si="234"/>
        <v>0</v>
      </c>
      <c r="FX28" s="331">
        <v>2.1</v>
      </c>
      <c r="FY28" s="319" t="s">
        <v>180</v>
      </c>
      <c r="FZ28" s="320" t="s">
        <v>269</v>
      </c>
      <c r="GA28" s="321" t="s">
        <v>184</v>
      </c>
      <c r="GB28" s="322">
        <v>8.5</v>
      </c>
      <c r="GC28" s="323">
        <v>15000</v>
      </c>
      <c r="GD28" s="324">
        <f t="shared" si="235"/>
        <v>127500</v>
      </c>
      <c r="GE28" s="108">
        <f t="shared" si="236"/>
        <v>1</v>
      </c>
      <c r="GF28" s="108">
        <v>1</v>
      </c>
      <c r="GG28" s="108">
        <f t="shared" si="238"/>
        <v>1</v>
      </c>
      <c r="GH28" s="108">
        <v>1</v>
      </c>
      <c r="GI28" s="108">
        <f t="shared" si="240"/>
        <v>1</v>
      </c>
      <c r="GJ28" s="108">
        <f t="shared" si="241"/>
        <v>1</v>
      </c>
      <c r="GK28" s="108">
        <f t="shared" si="242"/>
        <v>1</v>
      </c>
      <c r="GL28" s="109">
        <f t="shared" si="243"/>
        <v>127500</v>
      </c>
      <c r="GM28" s="110">
        <f t="shared" si="244"/>
        <v>0</v>
      </c>
      <c r="GO28" s="331">
        <v>2.1</v>
      </c>
      <c r="GP28" s="319" t="s">
        <v>180</v>
      </c>
      <c r="GQ28" s="320" t="s">
        <v>269</v>
      </c>
      <c r="GR28" s="321" t="s">
        <v>184</v>
      </c>
      <c r="GS28" s="322">
        <v>8.5</v>
      </c>
      <c r="GT28" s="323">
        <v>21000</v>
      </c>
      <c r="GU28" s="324">
        <v>178500</v>
      </c>
      <c r="GV28" s="108">
        <f t="shared" si="245"/>
        <v>1</v>
      </c>
      <c r="GW28" s="108">
        <v>1</v>
      </c>
      <c r="GX28" s="108">
        <f t="shared" si="247"/>
        <v>1</v>
      </c>
      <c r="GY28" s="108">
        <v>1</v>
      </c>
      <c r="GZ28" s="108">
        <f t="shared" si="249"/>
        <v>1</v>
      </c>
      <c r="HA28" s="108">
        <f t="shared" si="250"/>
        <v>1</v>
      </c>
      <c r="HB28" s="108">
        <f t="shared" si="251"/>
        <v>1</v>
      </c>
      <c r="HC28" s="109">
        <f t="shared" si="252"/>
        <v>178500</v>
      </c>
      <c r="HD28" s="110">
        <f t="shared" si="253"/>
        <v>0</v>
      </c>
      <c r="HF28" s="331">
        <v>2.1</v>
      </c>
      <c r="HG28" s="319" t="s">
        <v>180</v>
      </c>
      <c r="HH28" s="320" t="s">
        <v>269</v>
      </c>
      <c r="HI28" s="321" t="s">
        <v>184</v>
      </c>
      <c r="HJ28" s="322">
        <v>8.5</v>
      </c>
      <c r="HK28" s="323">
        <v>22000</v>
      </c>
      <c r="HL28" s="324">
        <f t="shared" si="254"/>
        <v>187000</v>
      </c>
      <c r="HM28" s="108">
        <f t="shared" si="255"/>
        <v>1</v>
      </c>
      <c r="HN28" s="108">
        <v>1</v>
      </c>
      <c r="HO28" s="108">
        <f t="shared" si="257"/>
        <v>1</v>
      </c>
      <c r="HP28" s="108">
        <v>1</v>
      </c>
      <c r="HQ28" s="108">
        <f t="shared" si="259"/>
        <v>1</v>
      </c>
      <c r="HR28" s="108">
        <f t="shared" si="260"/>
        <v>1</v>
      </c>
      <c r="HS28" s="108">
        <f t="shared" si="261"/>
        <v>1</v>
      </c>
      <c r="HT28" s="109">
        <f t="shared" si="262"/>
        <v>187000</v>
      </c>
      <c r="HU28" s="110">
        <f t="shared" si="263"/>
        <v>0</v>
      </c>
      <c r="HW28" s="331">
        <v>2.1</v>
      </c>
      <c r="HX28" s="319" t="s">
        <v>180</v>
      </c>
      <c r="HY28" s="320" t="s">
        <v>269</v>
      </c>
      <c r="HZ28" s="321" t="s">
        <v>184</v>
      </c>
      <c r="IA28" s="322">
        <v>8.5</v>
      </c>
      <c r="IB28" s="323">
        <v>12000</v>
      </c>
      <c r="IC28" s="324">
        <f t="shared" si="264"/>
        <v>102000</v>
      </c>
      <c r="ID28" s="108">
        <f t="shared" si="265"/>
        <v>1</v>
      </c>
      <c r="IE28" s="108">
        <v>1</v>
      </c>
      <c r="IF28" s="108">
        <f t="shared" si="267"/>
        <v>1</v>
      </c>
      <c r="IG28" s="108">
        <v>1</v>
      </c>
      <c r="IH28" s="108">
        <f t="shared" si="269"/>
        <v>1</v>
      </c>
      <c r="II28" s="108">
        <f t="shared" si="270"/>
        <v>1</v>
      </c>
      <c r="IJ28" s="108">
        <f t="shared" si="271"/>
        <v>1</v>
      </c>
      <c r="IK28" s="109">
        <f t="shared" si="272"/>
        <v>102000</v>
      </c>
      <c r="IL28" s="110">
        <f t="shared" si="273"/>
        <v>0</v>
      </c>
    </row>
    <row r="29" spans="1:246" s="213" customFormat="1" ht="122.25" customHeight="1" x14ac:dyDescent="0.25">
      <c r="A29" s="211"/>
      <c r="B29" s="332">
        <v>2.11</v>
      </c>
      <c r="C29" s="332" t="s">
        <v>178</v>
      </c>
      <c r="D29" s="320" t="s">
        <v>270</v>
      </c>
      <c r="E29" s="327" t="s">
        <v>179</v>
      </c>
      <c r="F29" s="322">
        <v>850</v>
      </c>
      <c r="G29" s="323">
        <v>0</v>
      </c>
      <c r="H29" s="324">
        <f t="shared" si="146"/>
        <v>0</v>
      </c>
      <c r="J29" s="332">
        <v>2.11</v>
      </c>
      <c r="K29" s="332" t="s">
        <v>178</v>
      </c>
      <c r="L29" s="320" t="s">
        <v>270</v>
      </c>
      <c r="M29" s="327" t="s">
        <v>179</v>
      </c>
      <c r="N29" s="322">
        <v>850</v>
      </c>
      <c r="O29" s="323">
        <v>7520</v>
      </c>
      <c r="P29" s="324">
        <v>6392000</v>
      </c>
      <c r="Q29" s="108">
        <f t="shared" si="274"/>
        <v>1</v>
      </c>
      <c r="R29" s="108">
        <f t="shared" si="275"/>
        <v>1</v>
      </c>
      <c r="S29" s="108">
        <f t="shared" si="276"/>
        <v>1</v>
      </c>
      <c r="T29" s="108">
        <f t="shared" si="277"/>
        <v>1</v>
      </c>
      <c r="U29" s="108">
        <f t="shared" si="278"/>
        <v>1</v>
      </c>
      <c r="V29" s="108">
        <f t="shared" si="279"/>
        <v>1</v>
      </c>
      <c r="W29" s="108">
        <f t="shared" si="280"/>
        <v>1</v>
      </c>
      <c r="X29" s="109">
        <f t="shared" si="281"/>
        <v>6392000</v>
      </c>
      <c r="Y29" s="110">
        <f t="shared" si="282"/>
        <v>0</v>
      </c>
      <c r="AA29" s="332">
        <v>2.11</v>
      </c>
      <c r="AB29" s="332" t="s">
        <v>178</v>
      </c>
      <c r="AC29" s="320" t="s">
        <v>270</v>
      </c>
      <c r="AD29" s="327" t="s">
        <v>179</v>
      </c>
      <c r="AE29" s="322">
        <v>850</v>
      </c>
      <c r="AF29" s="323">
        <v>5900</v>
      </c>
      <c r="AG29" s="324">
        <v>5015000</v>
      </c>
      <c r="AH29" s="108">
        <f t="shared" si="147"/>
        <v>1</v>
      </c>
      <c r="AI29" s="108">
        <f t="shared" ref="AI29:AI32" si="290">IFERROR(IF(EXACT(VLOOKUP(AA29,OFERTA_0,3,FALSE),AC29),1,0),0)</f>
        <v>1</v>
      </c>
      <c r="AJ29" s="108">
        <f t="shared" si="149"/>
        <v>1</v>
      </c>
      <c r="AK29" s="108">
        <f t="shared" ref="AK29:AK32" si="291">IFERROR(IF(EXACT(VLOOKUP(AA29,OFERTA_0,5,FALSE),AE29),1,0),0)</f>
        <v>1</v>
      </c>
      <c r="AL29" s="108">
        <f t="shared" si="151"/>
        <v>1</v>
      </c>
      <c r="AM29" s="108">
        <f t="shared" si="152"/>
        <v>1</v>
      </c>
      <c r="AN29" s="108">
        <f t="shared" si="153"/>
        <v>1</v>
      </c>
      <c r="AO29" s="109">
        <f t="shared" si="154"/>
        <v>5015000</v>
      </c>
      <c r="AP29" s="110">
        <f t="shared" si="155"/>
        <v>0</v>
      </c>
      <c r="AR29" s="332">
        <v>2.11</v>
      </c>
      <c r="AS29" s="332" t="s">
        <v>178</v>
      </c>
      <c r="AT29" s="320" t="s">
        <v>270</v>
      </c>
      <c r="AU29" s="327" t="s">
        <v>179</v>
      </c>
      <c r="AV29" s="322">
        <v>850</v>
      </c>
      <c r="AW29" s="323">
        <v>4000</v>
      </c>
      <c r="AX29" s="324">
        <v>3400000</v>
      </c>
      <c r="AY29" s="108">
        <f t="shared" si="156"/>
        <v>1</v>
      </c>
      <c r="AZ29" s="108">
        <f t="shared" si="157"/>
        <v>1</v>
      </c>
      <c r="BA29" s="108">
        <f t="shared" si="158"/>
        <v>1</v>
      </c>
      <c r="BB29" s="108">
        <f t="shared" si="159"/>
        <v>1</v>
      </c>
      <c r="BC29" s="108">
        <f t="shared" si="160"/>
        <v>1</v>
      </c>
      <c r="BD29" s="108">
        <f t="shared" si="161"/>
        <v>1</v>
      </c>
      <c r="BE29" s="108">
        <f t="shared" si="162"/>
        <v>1</v>
      </c>
      <c r="BF29" s="109">
        <f t="shared" si="163"/>
        <v>3400000</v>
      </c>
      <c r="BG29" s="110">
        <f t="shared" si="164"/>
        <v>0</v>
      </c>
      <c r="BI29" s="332">
        <v>2.11</v>
      </c>
      <c r="BJ29" s="332" t="s">
        <v>178</v>
      </c>
      <c r="BK29" s="320" t="s">
        <v>270</v>
      </c>
      <c r="BL29" s="327" t="s">
        <v>179</v>
      </c>
      <c r="BM29" s="322">
        <v>850</v>
      </c>
      <c r="BN29" s="323">
        <v>10500</v>
      </c>
      <c r="BO29" s="324">
        <f t="shared" si="165"/>
        <v>8925000</v>
      </c>
      <c r="BP29" s="108">
        <f t="shared" si="166"/>
        <v>1</v>
      </c>
      <c r="BQ29" s="108">
        <f t="shared" si="167"/>
        <v>1</v>
      </c>
      <c r="BR29" s="108">
        <f t="shared" si="168"/>
        <v>1</v>
      </c>
      <c r="BS29" s="108">
        <f t="shared" si="169"/>
        <v>1</v>
      </c>
      <c r="BT29" s="108">
        <f t="shared" si="170"/>
        <v>1</v>
      </c>
      <c r="BU29" s="108">
        <f t="shared" si="171"/>
        <v>1</v>
      </c>
      <c r="BV29" s="108">
        <f t="shared" si="172"/>
        <v>1</v>
      </c>
      <c r="BW29" s="109">
        <f t="shared" si="173"/>
        <v>8925000</v>
      </c>
      <c r="BX29" s="110">
        <f t="shared" si="174"/>
        <v>0</v>
      </c>
      <c r="BZ29" s="332">
        <v>2.11</v>
      </c>
      <c r="CA29" s="332" t="s">
        <v>178</v>
      </c>
      <c r="CB29" s="320" t="s">
        <v>270</v>
      </c>
      <c r="CC29" s="327" t="s">
        <v>179</v>
      </c>
      <c r="CD29" s="322">
        <v>850</v>
      </c>
      <c r="CE29" s="323">
        <v>5000</v>
      </c>
      <c r="CF29" s="324">
        <f t="shared" si="175"/>
        <v>4250000</v>
      </c>
      <c r="CG29" s="108">
        <f t="shared" si="176"/>
        <v>1</v>
      </c>
      <c r="CH29" s="108">
        <f t="shared" si="177"/>
        <v>1</v>
      </c>
      <c r="CI29" s="108">
        <f t="shared" si="178"/>
        <v>1</v>
      </c>
      <c r="CJ29" s="108">
        <f t="shared" si="179"/>
        <v>1</v>
      </c>
      <c r="CK29" s="108">
        <f t="shared" si="180"/>
        <v>1</v>
      </c>
      <c r="CL29" s="108">
        <f t="shared" si="181"/>
        <v>1</v>
      </c>
      <c r="CM29" s="108">
        <f t="shared" si="182"/>
        <v>1</v>
      </c>
      <c r="CN29" s="109">
        <f t="shared" si="183"/>
        <v>4250000</v>
      </c>
      <c r="CO29" s="110">
        <f t="shared" si="184"/>
        <v>0</v>
      </c>
      <c r="CQ29" s="332">
        <v>2.11</v>
      </c>
      <c r="CR29" s="332" t="s">
        <v>178</v>
      </c>
      <c r="CS29" s="320" t="s">
        <v>270</v>
      </c>
      <c r="CT29" s="327" t="s">
        <v>179</v>
      </c>
      <c r="CU29" s="322">
        <v>850</v>
      </c>
      <c r="CV29" s="323">
        <v>5000</v>
      </c>
      <c r="CW29" s="324">
        <f t="shared" si="185"/>
        <v>4250000</v>
      </c>
      <c r="CX29" s="108">
        <f t="shared" si="186"/>
        <v>1</v>
      </c>
      <c r="CY29" s="108">
        <f t="shared" si="187"/>
        <v>1</v>
      </c>
      <c r="CZ29" s="108">
        <f t="shared" si="188"/>
        <v>1</v>
      </c>
      <c r="DA29" s="108">
        <f t="shared" si="189"/>
        <v>1</v>
      </c>
      <c r="DB29" s="108">
        <f t="shared" si="190"/>
        <v>1</v>
      </c>
      <c r="DC29" s="108">
        <f t="shared" si="191"/>
        <v>1</v>
      </c>
      <c r="DD29" s="108">
        <f t="shared" si="192"/>
        <v>1</v>
      </c>
      <c r="DE29" s="109">
        <f t="shared" si="193"/>
        <v>4250000</v>
      </c>
      <c r="DF29" s="110">
        <f t="shared" si="194"/>
        <v>0</v>
      </c>
      <c r="DH29" s="332">
        <v>2.11</v>
      </c>
      <c r="DI29" s="332" t="s">
        <v>178</v>
      </c>
      <c r="DJ29" s="359" t="s">
        <v>270</v>
      </c>
      <c r="DK29" s="327" t="s">
        <v>179</v>
      </c>
      <c r="DL29" s="322">
        <v>850</v>
      </c>
      <c r="DM29" s="323">
        <v>5667</v>
      </c>
      <c r="DN29" s="324">
        <f t="shared" si="195"/>
        <v>4816950</v>
      </c>
      <c r="DO29" s="108">
        <f t="shared" si="196"/>
        <v>1</v>
      </c>
      <c r="DP29" s="108">
        <f t="shared" si="197"/>
        <v>1</v>
      </c>
      <c r="DQ29" s="108">
        <f t="shared" si="198"/>
        <v>1</v>
      </c>
      <c r="DR29" s="108">
        <f t="shared" si="199"/>
        <v>1</v>
      </c>
      <c r="DS29" s="108">
        <f t="shared" si="200"/>
        <v>1</v>
      </c>
      <c r="DT29" s="108">
        <f t="shared" si="201"/>
        <v>1</v>
      </c>
      <c r="DU29" s="108">
        <f t="shared" si="202"/>
        <v>1</v>
      </c>
      <c r="DV29" s="109">
        <f t="shared" si="203"/>
        <v>4816950</v>
      </c>
      <c r="DW29" s="110">
        <f t="shared" si="204"/>
        <v>0</v>
      </c>
      <c r="DY29" s="332">
        <v>2.11</v>
      </c>
      <c r="DZ29" s="332" t="s">
        <v>178</v>
      </c>
      <c r="EA29" s="359" t="s">
        <v>270</v>
      </c>
      <c r="EB29" s="327" t="s">
        <v>179</v>
      </c>
      <c r="EC29" s="322">
        <v>850</v>
      </c>
      <c r="ED29" s="323">
        <v>3500</v>
      </c>
      <c r="EE29" s="324">
        <f t="shared" si="205"/>
        <v>2975000</v>
      </c>
      <c r="EF29" s="108">
        <f t="shared" si="206"/>
        <v>1</v>
      </c>
      <c r="EG29" s="108">
        <f t="shared" si="207"/>
        <v>1</v>
      </c>
      <c r="EH29" s="108">
        <f t="shared" si="208"/>
        <v>1</v>
      </c>
      <c r="EI29" s="108">
        <f t="shared" si="209"/>
        <v>1</v>
      </c>
      <c r="EJ29" s="108">
        <f t="shared" si="210"/>
        <v>1</v>
      </c>
      <c r="EK29" s="108">
        <f t="shared" si="211"/>
        <v>1</v>
      </c>
      <c r="EL29" s="108">
        <f t="shared" si="212"/>
        <v>1</v>
      </c>
      <c r="EM29" s="109">
        <f t="shared" si="213"/>
        <v>2975000</v>
      </c>
      <c r="EN29" s="110">
        <f t="shared" si="214"/>
        <v>0</v>
      </c>
      <c r="EP29" s="332">
        <v>2.11</v>
      </c>
      <c r="EQ29" s="332" t="s">
        <v>178</v>
      </c>
      <c r="ER29" s="320" t="s">
        <v>270</v>
      </c>
      <c r="ES29" s="327" t="s">
        <v>179</v>
      </c>
      <c r="ET29" s="322">
        <v>850</v>
      </c>
      <c r="EU29" s="323">
        <v>6600</v>
      </c>
      <c r="EV29" s="324">
        <f t="shared" si="215"/>
        <v>5610000</v>
      </c>
      <c r="EW29" s="108">
        <f t="shared" si="216"/>
        <v>1</v>
      </c>
      <c r="EX29" s="108">
        <f t="shared" si="217"/>
        <v>1</v>
      </c>
      <c r="EY29" s="108">
        <f t="shared" si="218"/>
        <v>1</v>
      </c>
      <c r="EZ29" s="108">
        <f t="shared" si="219"/>
        <v>1</v>
      </c>
      <c r="FA29" s="108">
        <f t="shared" si="220"/>
        <v>1</v>
      </c>
      <c r="FB29" s="108">
        <f t="shared" si="221"/>
        <v>1</v>
      </c>
      <c r="FC29" s="108">
        <f t="shared" si="222"/>
        <v>1</v>
      </c>
      <c r="FD29" s="109">
        <f t="shared" si="223"/>
        <v>5610000</v>
      </c>
      <c r="FE29" s="110">
        <f t="shared" si="224"/>
        <v>0</v>
      </c>
      <c r="FG29" s="332">
        <v>2.11</v>
      </c>
      <c r="FH29" s="332" t="s">
        <v>178</v>
      </c>
      <c r="FI29" s="359" t="s">
        <v>270</v>
      </c>
      <c r="FJ29" s="327" t="s">
        <v>179</v>
      </c>
      <c r="FK29" s="322">
        <v>850</v>
      </c>
      <c r="FL29" s="323">
        <v>5680</v>
      </c>
      <c r="FM29" s="324">
        <f t="shared" si="225"/>
        <v>4828000</v>
      </c>
      <c r="FN29" s="108">
        <f t="shared" si="226"/>
        <v>1</v>
      </c>
      <c r="FO29" s="108">
        <f t="shared" si="227"/>
        <v>1</v>
      </c>
      <c r="FP29" s="108">
        <f t="shared" si="228"/>
        <v>1</v>
      </c>
      <c r="FQ29" s="108">
        <f t="shared" si="229"/>
        <v>1</v>
      </c>
      <c r="FR29" s="108">
        <f t="shared" si="230"/>
        <v>1</v>
      </c>
      <c r="FS29" s="108">
        <f t="shared" si="231"/>
        <v>1</v>
      </c>
      <c r="FT29" s="108">
        <f t="shared" si="232"/>
        <v>1</v>
      </c>
      <c r="FU29" s="109">
        <f t="shared" si="233"/>
        <v>4828000</v>
      </c>
      <c r="FV29" s="110">
        <f t="shared" si="234"/>
        <v>0</v>
      </c>
      <c r="FX29" s="332">
        <v>2.11</v>
      </c>
      <c r="FY29" s="332" t="s">
        <v>178</v>
      </c>
      <c r="FZ29" s="320" t="s">
        <v>270</v>
      </c>
      <c r="GA29" s="327" t="s">
        <v>179</v>
      </c>
      <c r="GB29" s="322">
        <v>850</v>
      </c>
      <c r="GC29" s="323">
        <v>5000</v>
      </c>
      <c r="GD29" s="324">
        <f t="shared" si="235"/>
        <v>4250000</v>
      </c>
      <c r="GE29" s="108">
        <f t="shared" si="236"/>
        <v>1</v>
      </c>
      <c r="GF29" s="108">
        <f t="shared" si="237"/>
        <v>1</v>
      </c>
      <c r="GG29" s="108">
        <f t="shared" si="238"/>
        <v>1</v>
      </c>
      <c r="GH29" s="108">
        <f t="shared" si="239"/>
        <v>1</v>
      </c>
      <c r="GI29" s="108">
        <f t="shared" si="240"/>
        <v>1</v>
      </c>
      <c r="GJ29" s="108">
        <f t="shared" si="241"/>
        <v>1</v>
      </c>
      <c r="GK29" s="108">
        <f t="shared" si="242"/>
        <v>1</v>
      </c>
      <c r="GL29" s="109">
        <f t="shared" si="243"/>
        <v>4250000</v>
      </c>
      <c r="GM29" s="110">
        <f t="shared" si="244"/>
        <v>0</v>
      </c>
      <c r="GO29" s="332">
        <v>2.11</v>
      </c>
      <c r="GP29" s="332" t="s">
        <v>178</v>
      </c>
      <c r="GQ29" s="320" t="s">
        <v>270</v>
      </c>
      <c r="GR29" s="327" t="s">
        <v>179</v>
      </c>
      <c r="GS29" s="322">
        <v>850</v>
      </c>
      <c r="GT29" s="323">
        <v>4000</v>
      </c>
      <c r="GU29" s="324">
        <v>3400000</v>
      </c>
      <c r="GV29" s="108">
        <f t="shared" si="245"/>
        <v>1</v>
      </c>
      <c r="GW29" s="108">
        <f t="shared" si="246"/>
        <v>1</v>
      </c>
      <c r="GX29" s="108">
        <f t="shared" si="247"/>
        <v>1</v>
      </c>
      <c r="GY29" s="108">
        <f t="shared" si="248"/>
        <v>1</v>
      </c>
      <c r="GZ29" s="108">
        <f t="shared" si="249"/>
        <v>1</v>
      </c>
      <c r="HA29" s="108">
        <f t="shared" si="250"/>
        <v>1</v>
      </c>
      <c r="HB29" s="108">
        <f t="shared" si="251"/>
        <v>1</v>
      </c>
      <c r="HC29" s="109">
        <f t="shared" si="252"/>
        <v>3400000</v>
      </c>
      <c r="HD29" s="110">
        <f t="shared" si="253"/>
        <v>0</v>
      </c>
      <c r="HF29" s="332">
        <v>2.11</v>
      </c>
      <c r="HG29" s="332" t="s">
        <v>178</v>
      </c>
      <c r="HH29" s="320" t="s">
        <v>270</v>
      </c>
      <c r="HI29" s="327" t="s">
        <v>179</v>
      </c>
      <c r="HJ29" s="322">
        <v>850</v>
      </c>
      <c r="HK29" s="323">
        <v>15500</v>
      </c>
      <c r="HL29" s="324">
        <f t="shared" si="254"/>
        <v>13175000</v>
      </c>
      <c r="HM29" s="108">
        <f t="shared" si="255"/>
        <v>1</v>
      </c>
      <c r="HN29" s="108">
        <f t="shared" si="256"/>
        <v>1</v>
      </c>
      <c r="HO29" s="108">
        <f t="shared" si="257"/>
        <v>1</v>
      </c>
      <c r="HP29" s="108">
        <f t="shared" si="258"/>
        <v>1</v>
      </c>
      <c r="HQ29" s="108">
        <f t="shared" si="259"/>
        <v>1</v>
      </c>
      <c r="HR29" s="108">
        <f t="shared" si="260"/>
        <v>1</v>
      </c>
      <c r="HS29" s="108">
        <f t="shared" si="261"/>
        <v>1</v>
      </c>
      <c r="HT29" s="109">
        <f t="shared" si="262"/>
        <v>13175000</v>
      </c>
      <c r="HU29" s="110">
        <f t="shared" si="263"/>
        <v>0</v>
      </c>
      <c r="HW29" s="332">
        <v>2.11</v>
      </c>
      <c r="HX29" s="332" t="s">
        <v>178</v>
      </c>
      <c r="HY29" s="320" t="s">
        <v>270</v>
      </c>
      <c r="HZ29" s="327" t="s">
        <v>179</v>
      </c>
      <c r="IA29" s="322">
        <v>850</v>
      </c>
      <c r="IB29" s="323">
        <v>4000</v>
      </c>
      <c r="IC29" s="324">
        <f t="shared" si="264"/>
        <v>3400000</v>
      </c>
      <c r="ID29" s="108">
        <f t="shared" si="265"/>
        <v>1</v>
      </c>
      <c r="IE29" s="108">
        <f t="shared" si="266"/>
        <v>1</v>
      </c>
      <c r="IF29" s="108">
        <f t="shared" si="267"/>
        <v>1</v>
      </c>
      <c r="IG29" s="108">
        <f t="shared" si="268"/>
        <v>1</v>
      </c>
      <c r="IH29" s="108">
        <f t="shared" si="269"/>
        <v>1</v>
      </c>
      <c r="II29" s="108">
        <f t="shared" si="270"/>
        <v>1</v>
      </c>
      <c r="IJ29" s="108">
        <f t="shared" si="271"/>
        <v>1</v>
      </c>
      <c r="IK29" s="109">
        <f t="shared" si="272"/>
        <v>3400000</v>
      </c>
      <c r="IL29" s="110">
        <f t="shared" si="273"/>
        <v>0</v>
      </c>
    </row>
    <row r="30" spans="1:246" s="213" customFormat="1" ht="113.25" customHeight="1" x14ac:dyDescent="0.25">
      <c r="A30" s="211"/>
      <c r="B30" s="332">
        <v>2.12</v>
      </c>
      <c r="C30" s="332" t="s">
        <v>178</v>
      </c>
      <c r="D30" s="320" t="s">
        <v>271</v>
      </c>
      <c r="E30" s="327" t="s">
        <v>184</v>
      </c>
      <c r="F30" s="322">
        <v>12750</v>
      </c>
      <c r="G30" s="323">
        <v>0</v>
      </c>
      <c r="H30" s="324">
        <f t="shared" si="146"/>
        <v>0</v>
      </c>
      <c r="J30" s="332">
        <v>2.12</v>
      </c>
      <c r="K30" s="332" t="s">
        <v>178</v>
      </c>
      <c r="L30" s="320" t="s">
        <v>271</v>
      </c>
      <c r="M30" s="327" t="s">
        <v>184</v>
      </c>
      <c r="N30" s="322">
        <v>12750</v>
      </c>
      <c r="O30" s="323">
        <v>6120</v>
      </c>
      <c r="P30" s="324">
        <v>78030000</v>
      </c>
      <c r="Q30" s="108">
        <f t="shared" si="274"/>
        <v>1</v>
      </c>
      <c r="R30" s="108">
        <f t="shared" si="275"/>
        <v>1</v>
      </c>
      <c r="S30" s="108">
        <f t="shared" si="276"/>
        <v>1</v>
      </c>
      <c r="T30" s="108">
        <f t="shared" si="277"/>
        <v>1</v>
      </c>
      <c r="U30" s="108">
        <f t="shared" si="278"/>
        <v>1</v>
      </c>
      <c r="V30" s="108">
        <f t="shared" si="279"/>
        <v>1</v>
      </c>
      <c r="W30" s="108">
        <f t="shared" si="280"/>
        <v>1</v>
      </c>
      <c r="X30" s="109">
        <f t="shared" si="281"/>
        <v>78030000</v>
      </c>
      <c r="Y30" s="110">
        <f t="shared" si="282"/>
        <v>0</v>
      </c>
      <c r="AA30" s="332">
        <v>2.12</v>
      </c>
      <c r="AB30" s="332" t="s">
        <v>178</v>
      </c>
      <c r="AC30" s="320" t="s">
        <v>271</v>
      </c>
      <c r="AD30" s="327" t="s">
        <v>184</v>
      </c>
      <c r="AE30" s="322">
        <v>12750</v>
      </c>
      <c r="AF30" s="323">
        <v>2000</v>
      </c>
      <c r="AG30" s="324">
        <v>25500000</v>
      </c>
      <c r="AH30" s="108">
        <f t="shared" si="147"/>
        <v>1</v>
      </c>
      <c r="AI30" s="108">
        <f t="shared" si="290"/>
        <v>1</v>
      </c>
      <c r="AJ30" s="108">
        <f t="shared" si="149"/>
        <v>1</v>
      </c>
      <c r="AK30" s="108">
        <f t="shared" si="291"/>
        <v>1</v>
      </c>
      <c r="AL30" s="108">
        <f t="shared" si="151"/>
        <v>1</v>
      </c>
      <c r="AM30" s="108">
        <f t="shared" si="152"/>
        <v>1</v>
      </c>
      <c r="AN30" s="108">
        <f t="shared" si="153"/>
        <v>1</v>
      </c>
      <c r="AO30" s="109">
        <f t="shared" si="154"/>
        <v>25500000</v>
      </c>
      <c r="AP30" s="110">
        <f t="shared" si="155"/>
        <v>0</v>
      </c>
      <c r="AR30" s="332">
        <v>2.12</v>
      </c>
      <c r="AS30" s="332" t="s">
        <v>178</v>
      </c>
      <c r="AT30" s="320" t="s">
        <v>271</v>
      </c>
      <c r="AU30" s="327" t="s">
        <v>184</v>
      </c>
      <c r="AV30" s="322">
        <v>12750</v>
      </c>
      <c r="AW30" s="323">
        <v>9000</v>
      </c>
      <c r="AX30" s="324">
        <v>114750000</v>
      </c>
      <c r="AY30" s="108">
        <f t="shared" si="156"/>
        <v>1</v>
      </c>
      <c r="AZ30" s="108">
        <f t="shared" si="157"/>
        <v>1</v>
      </c>
      <c r="BA30" s="108">
        <f t="shared" si="158"/>
        <v>1</v>
      </c>
      <c r="BB30" s="108">
        <f t="shared" si="159"/>
        <v>1</v>
      </c>
      <c r="BC30" s="108">
        <f t="shared" si="160"/>
        <v>1</v>
      </c>
      <c r="BD30" s="108">
        <f t="shared" si="161"/>
        <v>1</v>
      </c>
      <c r="BE30" s="108">
        <f t="shared" si="162"/>
        <v>1</v>
      </c>
      <c r="BF30" s="109">
        <f t="shared" si="163"/>
        <v>114750000</v>
      </c>
      <c r="BG30" s="110">
        <f t="shared" si="164"/>
        <v>0</v>
      </c>
      <c r="BI30" s="332">
        <v>2.12</v>
      </c>
      <c r="BJ30" s="332" t="s">
        <v>178</v>
      </c>
      <c r="BK30" s="320" t="s">
        <v>271</v>
      </c>
      <c r="BL30" s="327" t="s">
        <v>184</v>
      </c>
      <c r="BM30" s="322">
        <v>12750</v>
      </c>
      <c r="BN30" s="323">
        <v>10100</v>
      </c>
      <c r="BO30" s="324">
        <f t="shared" si="165"/>
        <v>128775000</v>
      </c>
      <c r="BP30" s="108">
        <f t="shared" si="166"/>
        <v>1</v>
      </c>
      <c r="BQ30" s="108">
        <f t="shared" si="167"/>
        <v>1</v>
      </c>
      <c r="BR30" s="108">
        <f t="shared" si="168"/>
        <v>1</v>
      </c>
      <c r="BS30" s="108">
        <f t="shared" si="169"/>
        <v>1</v>
      </c>
      <c r="BT30" s="108">
        <f t="shared" si="170"/>
        <v>1</v>
      </c>
      <c r="BU30" s="108">
        <f t="shared" si="171"/>
        <v>1</v>
      </c>
      <c r="BV30" s="108">
        <f t="shared" si="172"/>
        <v>1</v>
      </c>
      <c r="BW30" s="109">
        <f t="shared" si="173"/>
        <v>128775000</v>
      </c>
      <c r="BX30" s="110">
        <f t="shared" si="174"/>
        <v>0</v>
      </c>
      <c r="BZ30" s="332">
        <v>2.12</v>
      </c>
      <c r="CA30" s="332" t="s">
        <v>178</v>
      </c>
      <c r="CB30" s="320" t="s">
        <v>271</v>
      </c>
      <c r="CC30" s="327" t="s">
        <v>184</v>
      </c>
      <c r="CD30" s="322">
        <v>12750</v>
      </c>
      <c r="CE30" s="323">
        <v>7000</v>
      </c>
      <c r="CF30" s="324">
        <f t="shared" si="175"/>
        <v>89250000</v>
      </c>
      <c r="CG30" s="108">
        <f t="shared" si="176"/>
        <v>1</v>
      </c>
      <c r="CH30" s="108">
        <f t="shared" si="177"/>
        <v>1</v>
      </c>
      <c r="CI30" s="108">
        <f t="shared" si="178"/>
        <v>1</v>
      </c>
      <c r="CJ30" s="108">
        <f t="shared" si="179"/>
        <v>1</v>
      </c>
      <c r="CK30" s="108">
        <f t="shared" si="180"/>
        <v>1</v>
      </c>
      <c r="CL30" s="108">
        <f t="shared" si="181"/>
        <v>1</v>
      </c>
      <c r="CM30" s="108">
        <f t="shared" si="182"/>
        <v>1</v>
      </c>
      <c r="CN30" s="109">
        <f t="shared" si="183"/>
        <v>89250000</v>
      </c>
      <c r="CO30" s="110">
        <f t="shared" si="184"/>
        <v>0</v>
      </c>
      <c r="CQ30" s="332">
        <v>2.12</v>
      </c>
      <c r="CR30" s="332" t="s">
        <v>178</v>
      </c>
      <c r="CS30" s="320" t="s">
        <v>271</v>
      </c>
      <c r="CT30" s="327" t="s">
        <v>184</v>
      </c>
      <c r="CU30" s="322">
        <v>12750</v>
      </c>
      <c r="CV30" s="323">
        <v>6800</v>
      </c>
      <c r="CW30" s="324">
        <f t="shared" si="185"/>
        <v>86700000</v>
      </c>
      <c r="CX30" s="108">
        <f t="shared" si="186"/>
        <v>1</v>
      </c>
      <c r="CY30" s="108">
        <f t="shared" si="187"/>
        <v>1</v>
      </c>
      <c r="CZ30" s="108">
        <f t="shared" si="188"/>
        <v>1</v>
      </c>
      <c r="DA30" s="108">
        <f t="shared" si="189"/>
        <v>1</v>
      </c>
      <c r="DB30" s="108">
        <f t="shared" si="190"/>
        <v>1</v>
      </c>
      <c r="DC30" s="108">
        <f t="shared" si="191"/>
        <v>1</v>
      </c>
      <c r="DD30" s="108">
        <f t="shared" si="192"/>
        <v>1</v>
      </c>
      <c r="DE30" s="109">
        <f t="shared" si="193"/>
        <v>86700000</v>
      </c>
      <c r="DF30" s="110">
        <f t="shared" si="194"/>
        <v>0</v>
      </c>
      <c r="DH30" s="332">
        <v>2.12</v>
      </c>
      <c r="DI30" s="332" t="s">
        <v>178</v>
      </c>
      <c r="DJ30" s="359" t="s">
        <v>271</v>
      </c>
      <c r="DK30" s="327" t="s">
        <v>184</v>
      </c>
      <c r="DL30" s="322">
        <v>12750</v>
      </c>
      <c r="DM30" s="323">
        <v>9100</v>
      </c>
      <c r="DN30" s="324">
        <f t="shared" si="195"/>
        <v>116025000</v>
      </c>
      <c r="DO30" s="108">
        <f t="shared" si="196"/>
        <v>1</v>
      </c>
      <c r="DP30" s="108">
        <f t="shared" si="197"/>
        <v>1</v>
      </c>
      <c r="DQ30" s="108">
        <f t="shared" si="198"/>
        <v>1</v>
      </c>
      <c r="DR30" s="108">
        <f t="shared" si="199"/>
        <v>1</v>
      </c>
      <c r="DS30" s="108">
        <f t="shared" si="200"/>
        <v>1</v>
      </c>
      <c r="DT30" s="108">
        <f t="shared" si="201"/>
        <v>1</v>
      </c>
      <c r="DU30" s="108">
        <f t="shared" si="202"/>
        <v>1</v>
      </c>
      <c r="DV30" s="109">
        <f t="shared" si="203"/>
        <v>116025000</v>
      </c>
      <c r="DW30" s="110">
        <f t="shared" si="204"/>
        <v>0</v>
      </c>
      <c r="DY30" s="332">
        <v>2.12</v>
      </c>
      <c r="DZ30" s="332" t="s">
        <v>178</v>
      </c>
      <c r="EA30" s="359" t="s">
        <v>271</v>
      </c>
      <c r="EB30" s="327" t="s">
        <v>184</v>
      </c>
      <c r="EC30" s="322">
        <v>12750</v>
      </c>
      <c r="ED30" s="323">
        <v>7200</v>
      </c>
      <c r="EE30" s="324">
        <f t="shared" si="205"/>
        <v>91800000</v>
      </c>
      <c r="EF30" s="108">
        <f t="shared" si="206"/>
        <v>1</v>
      </c>
      <c r="EG30" s="108">
        <f t="shared" si="207"/>
        <v>1</v>
      </c>
      <c r="EH30" s="108">
        <f t="shared" si="208"/>
        <v>1</v>
      </c>
      <c r="EI30" s="108">
        <f t="shared" si="209"/>
        <v>1</v>
      </c>
      <c r="EJ30" s="108">
        <f t="shared" si="210"/>
        <v>1</v>
      </c>
      <c r="EK30" s="108">
        <f t="shared" si="211"/>
        <v>1</v>
      </c>
      <c r="EL30" s="108">
        <f t="shared" si="212"/>
        <v>1</v>
      </c>
      <c r="EM30" s="109">
        <f t="shared" si="213"/>
        <v>91800000</v>
      </c>
      <c r="EN30" s="110">
        <f t="shared" si="214"/>
        <v>0</v>
      </c>
      <c r="EP30" s="332">
        <v>2.12</v>
      </c>
      <c r="EQ30" s="332" t="s">
        <v>178</v>
      </c>
      <c r="ER30" s="320" t="s">
        <v>271</v>
      </c>
      <c r="ES30" s="327" t="s">
        <v>184</v>
      </c>
      <c r="ET30" s="322">
        <v>12750</v>
      </c>
      <c r="EU30" s="323">
        <v>10200</v>
      </c>
      <c r="EV30" s="324">
        <f t="shared" si="215"/>
        <v>130050000</v>
      </c>
      <c r="EW30" s="108">
        <f t="shared" si="216"/>
        <v>1</v>
      </c>
      <c r="EX30" s="108">
        <f t="shared" si="217"/>
        <v>1</v>
      </c>
      <c r="EY30" s="108">
        <f t="shared" si="218"/>
        <v>1</v>
      </c>
      <c r="EZ30" s="108">
        <f t="shared" si="219"/>
        <v>1</v>
      </c>
      <c r="FA30" s="108">
        <f t="shared" si="220"/>
        <v>1</v>
      </c>
      <c r="FB30" s="108">
        <f t="shared" si="221"/>
        <v>1</v>
      </c>
      <c r="FC30" s="108">
        <f t="shared" si="222"/>
        <v>1</v>
      </c>
      <c r="FD30" s="109">
        <f t="shared" si="223"/>
        <v>130050000</v>
      </c>
      <c r="FE30" s="110">
        <f t="shared" si="224"/>
        <v>0</v>
      </c>
      <c r="FG30" s="332">
        <v>2.12</v>
      </c>
      <c r="FH30" s="332" t="s">
        <v>178</v>
      </c>
      <c r="FI30" s="359" t="s">
        <v>271</v>
      </c>
      <c r="FJ30" s="327" t="s">
        <v>184</v>
      </c>
      <c r="FK30" s="322">
        <v>12750</v>
      </c>
      <c r="FL30" s="323">
        <v>9108</v>
      </c>
      <c r="FM30" s="324">
        <f t="shared" si="225"/>
        <v>116127000</v>
      </c>
      <c r="FN30" s="108">
        <f t="shared" si="226"/>
        <v>1</v>
      </c>
      <c r="FO30" s="108">
        <f t="shared" si="227"/>
        <v>1</v>
      </c>
      <c r="FP30" s="108">
        <f t="shared" si="228"/>
        <v>1</v>
      </c>
      <c r="FQ30" s="108">
        <f t="shared" si="229"/>
        <v>1</v>
      </c>
      <c r="FR30" s="108">
        <f t="shared" si="230"/>
        <v>1</v>
      </c>
      <c r="FS30" s="108">
        <f t="shared" si="231"/>
        <v>1</v>
      </c>
      <c r="FT30" s="108">
        <f t="shared" si="232"/>
        <v>1</v>
      </c>
      <c r="FU30" s="109">
        <f t="shared" si="233"/>
        <v>116127000</v>
      </c>
      <c r="FV30" s="110">
        <f t="shared" si="234"/>
        <v>0</v>
      </c>
      <c r="FX30" s="332">
        <v>2.12</v>
      </c>
      <c r="FY30" s="332" t="s">
        <v>178</v>
      </c>
      <c r="FZ30" s="320" t="s">
        <v>271</v>
      </c>
      <c r="GA30" s="327" t="s">
        <v>184</v>
      </c>
      <c r="GB30" s="322">
        <v>12750</v>
      </c>
      <c r="GC30" s="323">
        <v>10000</v>
      </c>
      <c r="GD30" s="324">
        <f t="shared" si="235"/>
        <v>127500000</v>
      </c>
      <c r="GE30" s="108">
        <f t="shared" si="236"/>
        <v>1</v>
      </c>
      <c r="GF30" s="108">
        <f t="shared" si="237"/>
        <v>1</v>
      </c>
      <c r="GG30" s="108">
        <f t="shared" si="238"/>
        <v>1</v>
      </c>
      <c r="GH30" s="108">
        <f t="shared" si="239"/>
        <v>1</v>
      </c>
      <c r="GI30" s="108">
        <f t="shared" si="240"/>
        <v>1</v>
      </c>
      <c r="GJ30" s="108">
        <f t="shared" si="241"/>
        <v>1</v>
      </c>
      <c r="GK30" s="108">
        <f t="shared" si="242"/>
        <v>1</v>
      </c>
      <c r="GL30" s="109">
        <f t="shared" si="243"/>
        <v>127500000</v>
      </c>
      <c r="GM30" s="110">
        <f t="shared" si="244"/>
        <v>0</v>
      </c>
      <c r="GO30" s="332">
        <v>2.12</v>
      </c>
      <c r="GP30" s="332" t="s">
        <v>178</v>
      </c>
      <c r="GQ30" s="320" t="s">
        <v>271</v>
      </c>
      <c r="GR30" s="327" t="s">
        <v>184</v>
      </c>
      <c r="GS30" s="322">
        <v>12750</v>
      </c>
      <c r="GT30" s="323">
        <v>6200</v>
      </c>
      <c r="GU30" s="324">
        <v>79050000</v>
      </c>
      <c r="GV30" s="108">
        <f t="shared" si="245"/>
        <v>1</v>
      </c>
      <c r="GW30" s="108">
        <f t="shared" si="246"/>
        <v>1</v>
      </c>
      <c r="GX30" s="108">
        <f t="shared" si="247"/>
        <v>1</v>
      </c>
      <c r="GY30" s="108">
        <f t="shared" si="248"/>
        <v>1</v>
      </c>
      <c r="GZ30" s="108">
        <f t="shared" si="249"/>
        <v>1</v>
      </c>
      <c r="HA30" s="108">
        <f t="shared" si="250"/>
        <v>1</v>
      </c>
      <c r="HB30" s="108">
        <f t="shared" si="251"/>
        <v>1</v>
      </c>
      <c r="HC30" s="109">
        <f t="shared" si="252"/>
        <v>79050000</v>
      </c>
      <c r="HD30" s="110">
        <f t="shared" si="253"/>
        <v>0</v>
      </c>
      <c r="HF30" s="332">
        <v>2.12</v>
      </c>
      <c r="HG30" s="332" t="s">
        <v>178</v>
      </c>
      <c r="HH30" s="320" t="s">
        <v>271</v>
      </c>
      <c r="HI30" s="327" t="s">
        <v>184</v>
      </c>
      <c r="HJ30" s="322">
        <v>12750</v>
      </c>
      <c r="HK30" s="323">
        <v>9000</v>
      </c>
      <c r="HL30" s="324">
        <f t="shared" si="254"/>
        <v>114750000</v>
      </c>
      <c r="HM30" s="108">
        <f t="shared" si="255"/>
        <v>1</v>
      </c>
      <c r="HN30" s="108">
        <f t="shared" si="256"/>
        <v>1</v>
      </c>
      <c r="HO30" s="108">
        <f t="shared" si="257"/>
        <v>1</v>
      </c>
      <c r="HP30" s="108">
        <f t="shared" si="258"/>
        <v>1</v>
      </c>
      <c r="HQ30" s="108">
        <f t="shared" si="259"/>
        <v>1</v>
      </c>
      <c r="HR30" s="108">
        <f t="shared" si="260"/>
        <v>1</v>
      </c>
      <c r="HS30" s="108">
        <f t="shared" si="261"/>
        <v>1</v>
      </c>
      <c r="HT30" s="109">
        <f t="shared" si="262"/>
        <v>114750000</v>
      </c>
      <c r="HU30" s="110">
        <f t="shared" si="263"/>
        <v>0</v>
      </c>
      <c r="HW30" s="332">
        <v>2.12</v>
      </c>
      <c r="HX30" s="332" t="s">
        <v>178</v>
      </c>
      <c r="HY30" s="320" t="s">
        <v>271</v>
      </c>
      <c r="HZ30" s="327" t="s">
        <v>184</v>
      </c>
      <c r="IA30" s="322">
        <v>12750</v>
      </c>
      <c r="IB30" s="323">
        <v>10000</v>
      </c>
      <c r="IC30" s="324">
        <f t="shared" si="264"/>
        <v>127500000</v>
      </c>
      <c r="ID30" s="108">
        <f t="shared" si="265"/>
        <v>1</v>
      </c>
      <c r="IE30" s="108">
        <f t="shared" si="266"/>
        <v>1</v>
      </c>
      <c r="IF30" s="108">
        <f t="shared" si="267"/>
        <v>1</v>
      </c>
      <c r="IG30" s="108">
        <f t="shared" si="268"/>
        <v>1</v>
      </c>
      <c r="IH30" s="108">
        <f t="shared" si="269"/>
        <v>1</v>
      </c>
      <c r="II30" s="108">
        <f t="shared" si="270"/>
        <v>1</v>
      </c>
      <c r="IJ30" s="108">
        <f t="shared" si="271"/>
        <v>1</v>
      </c>
      <c r="IK30" s="109">
        <f t="shared" si="272"/>
        <v>127500000</v>
      </c>
      <c r="IL30" s="110">
        <f t="shared" si="273"/>
        <v>0</v>
      </c>
    </row>
    <row r="31" spans="1:246" s="213" customFormat="1" ht="144" x14ac:dyDescent="0.25">
      <c r="A31" s="211"/>
      <c r="B31" s="326" t="s">
        <v>185</v>
      </c>
      <c r="C31" s="319" t="s">
        <v>178</v>
      </c>
      <c r="D31" s="320" t="s">
        <v>272</v>
      </c>
      <c r="E31" s="327" t="s">
        <v>184</v>
      </c>
      <c r="F31" s="322">
        <v>85</v>
      </c>
      <c r="G31" s="323">
        <v>0</v>
      </c>
      <c r="H31" s="324">
        <f>G31*F31</f>
        <v>0</v>
      </c>
      <c r="J31" s="326" t="s">
        <v>185</v>
      </c>
      <c r="K31" s="319" t="s">
        <v>178</v>
      </c>
      <c r="L31" s="320" t="s">
        <v>272</v>
      </c>
      <c r="M31" s="327" t="s">
        <v>184</v>
      </c>
      <c r="N31" s="322">
        <v>85</v>
      </c>
      <c r="O31" s="323">
        <v>10439</v>
      </c>
      <c r="P31" s="324">
        <v>887315</v>
      </c>
      <c r="Q31" s="108">
        <f t="shared" si="274"/>
        <v>1</v>
      </c>
      <c r="R31" s="108">
        <f t="shared" si="275"/>
        <v>1</v>
      </c>
      <c r="S31" s="108">
        <f t="shared" si="276"/>
        <v>1</v>
      </c>
      <c r="T31" s="108">
        <f t="shared" si="277"/>
        <v>1</v>
      </c>
      <c r="U31" s="108">
        <f t="shared" si="278"/>
        <v>1</v>
      </c>
      <c r="V31" s="108">
        <f t="shared" si="279"/>
        <v>1</v>
      </c>
      <c r="W31" s="108">
        <f t="shared" si="280"/>
        <v>1</v>
      </c>
      <c r="X31" s="109">
        <f t="shared" si="281"/>
        <v>887315</v>
      </c>
      <c r="Y31" s="110">
        <f t="shared" si="282"/>
        <v>0</v>
      </c>
      <c r="AA31" s="326" t="s">
        <v>185</v>
      </c>
      <c r="AB31" s="319" t="s">
        <v>178</v>
      </c>
      <c r="AC31" s="320" t="s">
        <v>272</v>
      </c>
      <c r="AD31" s="327" t="s">
        <v>184</v>
      </c>
      <c r="AE31" s="322">
        <v>85</v>
      </c>
      <c r="AF31" s="323">
        <v>10900</v>
      </c>
      <c r="AG31" s="324">
        <v>926500</v>
      </c>
      <c r="AH31" s="108">
        <f t="shared" si="147"/>
        <v>1</v>
      </c>
      <c r="AI31" s="108">
        <f t="shared" si="290"/>
        <v>1</v>
      </c>
      <c r="AJ31" s="108">
        <f t="shared" si="149"/>
        <v>1</v>
      </c>
      <c r="AK31" s="108">
        <f t="shared" si="291"/>
        <v>1</v>
      </c>
      <c r="AL31" s="108">
        <f t="shared" si="151"/>
        <v>1</v>
      </c>
      <c r="AM31" s="108">
        <f t="shared" si="152"/>
        <v>1</v>
      </c>
      <c r="AN31" s="108">
        <f t="shared" si="153"/>
        <v>1</v>
      </c>
      <c r="AO31" s="109">
        <f t="shared" si="154"/>
        <v>926500</v>
      </c>
      <c r="AP31" s="110">
        <f t="shared" si="155"/>
        <v>0</v>
      </c>
      <c r="AR31" s="326" t="s">
        <v>185</v>
      </c>
      <c r="AS31" s="319" t="s">
        <v>178</v>
      </c>
      <c r="AT31" s="320" t="s">
        <v>272</v>
      </c>
      <c r="AU31" s="327" t="s">
        <v>184</v>
      </c>
      <c r="AV31" s="322">
        <v>85</v>
      </c>
      <c r="AW31" s="323">
        <v>9000</v>
      </c>
      <c r="AX31" s="324">
        <v>765000</v>
      </c>
      <c r="AY31" s="108">
        <f t="shared" si="156"/>
        <v>1</v>
      </c>
      <c r="AZ31" s="108">
        <f t="shared" si="157"/>
        <v>1</v>
      </c>
      <c r="BA31" s="108">
        <f t="shared" si="158"/>
        <v>1</v>
      </c>
      <c r="BB31" s="108">
        <f t="shared" si="159"/>
        <v>1</v>
      </c>
      <c r="BC31" s="108">
        <f t="shared" si="160"/>
        <v>1</v>
      </c>
      <c r="BD31" s="108">
        <f t="shared" si="161"/>
        <v>1</v>
      </c>
      <c r="BE31" s="108">
        <f t="shared" si="162"/>
        <v>1</v>
      </c>
      <c r="BF31" s="109">
        <f t="shared" si="163"/>
        <v>765000</v>
      </c>
      <c r="BG31" s="110">
        <f t="shared" si="164"/>
        <v>0</v>
      </c>
      <c r="BI31" s="326" t="s">
        <v>185</v>
      </c>
      <c r="BJ31" s="319" t="s">
        <v>178</v>
      </c>
      <c r="BK31" s="320" t="s">
        <v>272</v>
      </c>
      <c r="BL31" s="327" t="s">
        <v>184</v>
      </c>
      <c r="BM31" s="322">
        <v>85</v>
      </c>
      <c r="BN31" s="323">
        <v>6500</v>
      </c>
      <c r="BO31" s="324">
        <f>BN31*BM31</f>
        <v>552500</v>
      </c>
      <c r="BP31" s="108">
        <f t="shared" si="166"/>
        <v>1</v>
      </c>
      <c r="BQ31" s="108">
        <f t="shared" si="167"/>
        <v>1</v>
      </c>
      <c r="BR31" s="108">
        <f t="shared" si="168"/>
        <v>1</v>
      </c>
      <c r="BS31" s="108">
        <f t="shared" si="169"/>
        <v>1</v>
      </c>
      <c r="BT31" s="108">
        <f t="shared" si="170"/>
        <v>1</v>
      </c>
      <c r="BU31" s="108">
        <f t="shared" si="171"/>
        <v>1</v>
      </c>
      <c r="BV31" s="108">
        <f t="shared" si="172"/>
        <v>1</v>
      </c>
      <c r="BW31" s="109">
        <f t="shared" si="173"/>
        <v>552500</v>
      </c>
      <c r="BX31" s="110">
        <f t="shared" si="174"/>
        <v>0</v>
      </c>
      <c r="BZ31" s="326" t="s">
        <v>185</v>
      </c>
      <c r="CA31" s="319" t="s">
        <v>178</v>
      </c>
      <c r="CB31" s="320" t="s">
        <v>272</v>
      </c>
      <c r="CC31" s="327" t="s">
        <v>184</v>
      </c>
      <c r="CD31" s="322">
        <v>85</v>
      </c>
      <c r="CE31" s="323">
        <v>8000</v>
      </c>
      <c r="CF31" s="324">
        <f>CE31*CD31</f>
        <v>680000</v>
      </c>
      <c r="CG31" s="108">
        <f t="shared" si="176"/>
        <v>1</v>
      </c>
      <c r="CH31" s="108">
        <f t="shared" si="177"/>
        <v>1</v>
      </c>
      <c r="CI31" s="108">
        <f t="shared" si="178"/>
        <v>1</v>
      </c>
      <c r="CJ31" s="108">
        <f t="shared" si="179"/>
        <v>1</v>
      </c>
      <c r="CK31" s="108">
        <f t="shared" si="180"/>
        <v>1</v>
      </c>
      <c r="CL31" s="108">
        <f t="shared" si="181"/>
        <v>1</v>
      </c>
      <c r="CM31" s="108">
        <f t="shared" si="182"/>
        <v>1</v>
      </c>
      <c r="CN31" s="109">
        <f t="shared" si="183"/>
        <v>680000</v>
      </c>
      <c r="CO31" s="110">
        <f t="shared" si="184"/>
        <v>0</v>
      </c>
      <c r="CQ31" s="326" t="s">
        <v>185</v>
      </c>
      <c r="CR31" s="319" t="s">
        <v>178</v>
      </c>
      <c r="CS31" s="320" t="s">
        <v>272</v>
      </c>
      <c r="CT31" s="327" t="s">
        <v>184</v>
      </c>
      <c r="CU31" s="322">
        <v>85</v>
      </c>
      <c r="CV31" s="323">
        <v>5500</v>
      </c>
      <c r="CW31" s="324">
        <f>CV31*CU31</f>
        <v>467500</v>
      </c>
      <c r="CX31" s="108">
        <f t="shared" si="186"/>
        <v>1</v>
      </c>
      <c r="CY31" s="108">
        <f t="shared" si="187"/>
        <v>1</v>
      </c>
      <c r="CZ31" s="108">
        <f t="shared" si="188"/>
        <v>1</v>
      </c>
      <c r="DA31" s="108">
        <f t="shared" si="189"/>
        <v>1</v>
      </c>
      <c r="DB31" s="108">
        <f t="shared" si="190"/>
        <v>1</v>
      </c>
      <c r="DC31" s="108">
        <f t="shared" si="191"/>
        <v>1</v>
      </c>
      <c r="DD31" s="108">
        <f t="shared" si="192"/>
        <v>1</v>
      </c>
      <c r="DE31" s="109">
        <f t="shared" si="193"/>
        <v>467500</v>
      </c>
      <c r="DF31" s="110">
        <f t="shared" si="194"/>
        <v>0</v>
      </c>
      <c r="DH31" s="326" t="s">
        <v>185</v>
      </c>
      <c r="DI31" s="319" t="s">
        <v>178</v>
      </c>
      <c r="DJ31" s="359" t="s">
        <v>272</v>
      </c>
      <c r="DK31" s="327" t="s">
        <v>184</v>
      </c>
      <c r="DL31" s="322">
        <v>85</v>
      </c>
      <c r="DM31" s="323">
        <v>10278</v>
      </c>
      <c r="DN31" s="324">
        <f>DM31*DL31</f>
        <v>873630</v>
      </c>
      <c r="DO31" s="108">
        <f t="shared" si="196"/>
        <v>1</v>
      </c>
      <c r="DP31" s="108">
        <f t="shared" si="197"/>
        <v>1</v>
      </c>
      <c r="DQ31" s="108">
        <f t="shared" si="198"/>
        <v>1</v>
      </c>
      <c r="DR31" s="108">
        <f t="shared" si="199"/>
        <v>1</v>
      </c>
      <c r="DS31" s="108">
        <f t="shared" si="200"/>
        <v>1</v>
      </c>
      <c r="DT31" s="108">
        <f t="shared" si="201"/>
        <v>1</v>
      </c>
      <c r="DU31" s="108">
        <f t="shared" si="202"/>
        <v>1</v>
      </c>
      <c r="DV31" s="109">
        <f t="shared" si="203"/>
        <v>873630</v>
      </c>
      <c r="DW31" s="110">
        <f t="shared" si="204"/>
        <v>0</v>
      </c>
      <c r="DY31" s="326" t="s">
        <v>185</v>
      </c>
      <c r="DZ31" s="319" t="s">
        <v>178</v>
      </c>
      <c r="EA31" s="359" t="s">
        <v>272</v>
      </c>
      <c r="EB31" s="327" t="s">
        <v>184</v>
      </c>
      <c r="EC31" s="322">
        <v>85</v>
      </c>
      <c r="ED31" s="323">
        <v>11500</v>
      </c>
      <c r="EE31" s="324">
        <f>ED31*EC31</f>
        <v>977500</v>
      </c>
      <c r="EF31" s="108">
        <f t="shared" si="206"/>
        <v>1</v>
      </c>
      <c r="EG31" s="108">
        <f t="shared" si="207"/>
        <v>1</v>
      </c>
      <c r="EH31" s="108">
        <f t="shared" si="208"/>
        <v>1</v>
      </c>
      <c r="EI31" s="108">
        <f t="shared" si="209"/>
        <v>1</v>
      </c>
      <c r="EJ31" s="108">
        <f t="shared" si="210"/>
        <v>1</v>
      </c>
      <c r="EK31" s="108">
        <f t="shared" si="211"/>
        <v>1</v>
      </c>
      <c r="EL31" s="108">
        <f t="shared" si="212"/>
        <v>1</v>
      </c>
      <c r="EM31" s="109">
        <f t="shared" si="213"/>
        <v>977500</v>
      </c>
      <c r="EN31" s="110">
        <f t="shared" si="214"/>
        <v>0</v>
      </c>
      <c r="EP31" s="326" t="s">
        <v>185</v>
      </c>
      <c r="EQ31" s="319" t="s">
        <v>178</v>
      </c>
      <c r="ER31" s="320" t="s">
        <v>272</v>
      </c>
      <c r="ES31" s="327" t="s">
        <v>184</v>
      </c>
      <c r="ET31" s="322">
        <v>85</v>
      </c>
      <c r="EU31" s="323">
        <v>13200</v>
      </c>
      <c r="EV31" s="324">
        <f>EU31*ET31</f>
        <v>1122000</v>
      </c>
      <c r="EW31" s="108">
        <f t="shared" si="216"/>
        <v>1</v>
      </c>
      <c r="EX31" s="108">
        <f t="shared" si="217"/>
        <v>1</v>
      </c>
      <c r="EY31" s="108">
        <f t="shared" si="218"/>
        <v>1</v>
      </c>
      <c r="EZ31" s="108">
        <f t="shared" si="219"/>
        <v>1</v>
      </c>
      <c r="FA31" s="108">
        <f t="shared" si="220"/>
        <v>1</v>
      </c>
      <c r="FB31" s="108">
        <f t="shared" si="221"/>
        <v>1</v>
      </c>
      <c r="FC31" s="108">
        <f t="shared" si="222"/>
        <v>1</v>
      </c>
      <c r="FD31" s="109">
        <f t="shared" si="223"/>
        <v>1122000</v>
      </c>
      <c r="FE31" s="110">
        <f t="shared" si="224"/>
        <v>0</v>
      </c>
      <c r="FG31" s="326" t="s">
        <v>185</v>
      </c>
      <c r="FH31" s="319" t="s">
        <v>178</v>
      </c>
      <c r="FI31" s="359" t="s">
        <v>272</v>
      </c>
      <c r="FJ31" s="327" t="s">
        <v>184</v>
      </c>
      <c r="FK31" s="322">
        <v>85</v>
      </c>
      <c r="FL31" s="323">
        <v>10285</v>
      </c>
      <c r="FM31" s="324">
        <f>FL31*FK31</f>
        <v>874225</v>
      </c>
      <c r="FN31" s="108">
        <f t="shared" si="226"/>
        <v>1</v>
      </c>
      <c r="FO31" s="108">
        <f t="shared" si="227"/>
        <v>1</v>
      </c>
      <c r="FP31" s="108">
        <f t="shared" si="228"/>
        <v>1</v>
      </c>
      <c r="FQ31" s="108">
        <f t="shared" si="229"/>
        <v>1</v>
      </c>
      <c r="FR31" s="108">
        <f t="shared" si="230"/>
        <v>1</v>
      </c>
      <c r="FS31" s="108">
        <f t="shared" si="231"/>
        <v>1</v>
      </c>
      <c r="FT31" s="108">
        <f t="shared" si="232"/>
        <v>1</v>
      </c>
      <c r="FU31" s="109">
        <f t="shared" si="233"/>
        <v>874225</v>
      </c>
      <c r="FV31" s="110">
        <f t="shared" si="234"/>
        <v>0</v>
      </c>
      <c r="FX31" s="326" t="s">
        <v>185</v>
      </c>
      <c r="FY31" s="319" t="s">
        <v>178</v>
      </c>
      <c r="FZ31" s="320" t="s">
        <v>272</v>
      </c>
      <c r="GA31" s="327" t="s">
        <v>184</v>
      </c>
      <c r="GB31" s="322">
        <v>85</v>
      </c>
      <c r="GC31" s="323">
        <v>7000</v>
      </c>
      <c r="GD31" s="324">
        <f>GC31*GB31</f>
        <v>595000</v>
      </c>
      <c r="GE31" s="108">
        <f t="shared" si="236"/>
        <v>1</v>
      </c>
      <c r="GF31" s="108">
        <f t="shared" si="237"/>
        <v>1</v>
      </c>
      <c r="GG31" s="108">
        <f t="shared" si="238"/>
        <v>1</v>
      </c>
      <c r="GH31" s="108">
        <f t="shared" si="239"/>
        <v>1</v>
      </c>
      <c r="GI31" s="108">
        <f t="shared" si="240"/>
        <v>1</v>
      </c>
      <c r="GJ31" s="108">
        <f t="shared" si="241"/>
        <v>1</v>
      </c>
      <c r="GK31" s="108">
        <f t="shared" si="242"/>
        <v>1</v>
      </c>
      <c r="GL31" s="109">
        <f t="shared" si="243"/>
        <v>595000</v>
      </c>
      <c r="GM31" s="110">
        <f t="shared" si="244"/>
        <v>0</v>
      </c>
      <c r="GO31" s="326" t="s">
        <v>185</v>
      </c>
      <c r="GP31" s="319" t="s">
        <v>178</v>
      </c>
      <c r="GQ31" s="320" t="s">
        <v>272</v>
      </c>
      <c r="GR31" s="327" t="s">
        <v>184</v>
      </c>
      <c r="GS31" s="322">
        <v>85</v>
      </c>
      <c r="GT31" s="323">
        <v>7000</v>
      </c>
      <c r="GU31" s="324">
        <v>595000</v>
      </c>
      <c r="GV31" s="108">
        <f t="shared" si="245"/>
        <v>1</v>
      </c>
      <c r="GW31" s="108">
        <f t="shared" si="246"/>
        <v>1</v>
      </c>
      <c r="GX31" s="108">
        <f t="shared" si="247"/>
        <v>1</v>
      </c>
      <c r="GY31" s="108">
        <f t="shared" si="248"/>
        <v>1</v>
      </c>
      <c r="GZ31" s="108">
        <f t="shared" si="249"/>
        <v>1</v>
      </c>
      <c r="HA31" s="108">
        <f t="shared" si="250"/>
        <v>1</v>
      </c>
      <c r="HB31" s="108">
        <f t="shared" si="251"/>
        <v>1</v>
      </c>
      <c r="HC31" s="109">
        <f t="shared" si="252"/>
        <v>595000</v>
      </c>
      <c r="HD31" s="110">
        <f t="shared" si="253"/>
        <v>0</v>
      </c>
      <c r="HF31" s="326" t="s">
        <v>185</v>
      </c>
      <c r="HG31" s="319" t="s">
        <v>178</v>
      </c>
      <c r="HH31" s="320" t="s">
        <v>272</v>
      </c>
      <c r="HI31" s="327" t="s">
        <v>184</v>
      </c>
      <c r="HJ31" s="322">
        <v>85</v>
      </c>
      <c r="HK31" s="323">
        <v>22000</v>
      </c>
      <c r="HL31" s="324">
        <f>HK31*HJ31</f>
        <v>1870000</v>
      </c>
      <c r="HM31" s="108">
        <f t="shared" si="255"/>
        <v>1</v>
      </c>
      <c r="HN31" s="108">
        <f t="shared" si="256"/>
        <v>1</v>
      </c>
      <c r="HO31" s="108">
        <f t="shared" si="257"/>
        <v>1</v>
      </c>
      <c r="HP31" s="108">
        <f t="shared" si="258"/>
        <v>1</v>
      </c>
      <c r="HQ31" s="108">
        <f t="shared" si="259"/>
        <v>1</v>
      </c>
      <c r="HR31" s="108">
        <f t="shared" si="260"/>
        <v>1</v>
      </c>
      <c r="HS31" s="108">
        <f t="shared" si="261"/>
        <v>1</v>
      </c>
      <c r="HT31" s="109">
        <f t="shared" si="262"/>
        <v>1870000</v>
      </c>
      <c r="HU31" s="110">
        <f t="shared" si="263"/>
        <v>0</v>
      </c>
      <c r="HW31" s="326" t="s">
        <v>185</v>
      </c>
      <c r="HX31" s="319" t="s">
        <v>178</v>
      </c>
      <c r="HY31" s="320" t="s">
        <v>272</v>
      </c>
      <c r="HZ31" s="327" t="s">
        <v>184</v>
      </c>
      <c r="IA31" s="322">
        <v>85</v>
      </c>
      <c r="IB31" s="323">
        <v>6000</v>
      </c>
      <c r="IC31" s="324">
        <f>IB31*IA31</f>
        <v>510000</v>
      </c>
      <c r="ID31" s="108">
        <f t="shared" si="265"/>
        <v>1</v>
      </c>
      <c r="IE31" s="108">
        <f t="shared" si="266"/>
        <v>1</v>
      </c>
      <c r="IF31" s="108">
        <f t="shared" si="267"/>
        <v>1</v>
      </c>
      <c r="IG31" s="108">
        <f t="shared" si="268"/>
        <v>1</v>
      </c>
      <c r="IH31" s="108">
        <f t="shared" si="269"/>
        <v>1</v>
      </c>
      <c r="II31" s="108">
        <f t="shared" si="270"/>
        <v>1</v>
      </c>
      <c r="IJ31" s="108">
        <f t="shared" si="271"/>
        <v>1</v>
      </c>
      <c r="IK31" s="109">
        <f t="shared" si="272"/>
        <v>510000</v>
      </c>
      <c r="IL31" s="110">
        <f t="shared" si="273"/>
        <v>0</v>
      </c>
    </row>
    <row r="32" spans="1:246" s="213" customFormat="1" ht="25.5" customHeight="1" x14ac:dyDescent="0.25">
      <c r="A32" s="211"/>
      <c r="B32" s="332" t="s">
        <v>186</v>
      </c>
      <c r="C32" s="319" t="s">
        <v>180</v>
      </c>
      <c r="D32" s="320" t="s">
        <v>273</v>
      </c>
      <c r="E32" s="327" t="s">
        <v>274</v>
      </c>
      <c r="F32" s="322">
        <v>42.5</v>
      </c>
      <c r="G32" s="323">
        <v>0</v>
      </c>
      <c r="H32" s="324">
        <f>G32*F32</f>
        <v>0</v>
      </c>
      <c r="J32" s="332" t="s">
        <v>186</v>
      </c>
      <c r="K32" s="319" t="s">
        <v>180</v>
      </c>
      <c r="L32" s="320" t="s">
        <v>273</v>
      </c>
      <c r="M32" s="327" t="s">
        <v>274</v>
      </c>
      <c r="N32" s="322">
        <v>42.5</v>
      </c>
      <c r="O32" s="323">
        <v>8617</v>
      </c>
      <c r="P32" s="324">
        <v>366223</v>
      </c>
      <c r="Q32" s="108">
        <f t="shared" si="274"/>
        <v>1</v>
      </c>
      <c r="R32" s="108">
        <f t="shared" si="275"/>
        <v>1</v>
      </c>
      <c r="S32" s="108">
        <f t="shared" si="276"/>
        <v>1</v>
      </c>
      <c r="T32" s="108">
        <f t="shared" si="277"/>
        <v>1</v>
      </c>
      <c r="U32" s="108">
        <f t="shared" si="278"/>
        <v>1</v>
      </c>
      <c r="V32" s="108">
        <f t="shared" si="279"/>
        <v>1</v>
      </c>
      <c r="W32" s="108">
        <f t="shared" si="280"/>
        <v>1</v>
      </c>
      <c r="X32" s="109">
        <f t="shared" si="281"/>
        <v>366223</v>
      </c>
      <c r="Y32" s="110">
        <f t="shared" si="282"/>
        <v>0</v>
      </c>
      <c r="AA32" s="332" t="s">
        <v>186</v>
      </c>
      <c r="AB32" s="319" t="s">
        <v>180</v>
      </c>
      <c r="AC32" s="320" t="s">
        <v>273</v>
      </c>
      <c r="AD32" s="327" t="s">
        <v>274</v>
      </c>
      <c r="AE32" s="322">
        <v>42.5</v>
      </c>
      <c r="AF32" s="323">
        <v>4500</v>
      </c>
      <c r="AG32" s="324">
        <v>191250</v>
      </c>
      <c r="AH32" s="108">
        <f t="shared" si="147"/>
        <v>1</v>
      </c>
      <c r="AI32" s="108">
        <f t="shared" si="290"/>
        <v>1</v>
      </c>
      <c r="AJ32" s="108">
        <f t="shared" si="149"/>
        <v>1</v>
      </c>
      <c r="AK32" s="108">
        <f t="shared" si="291"/>
        <v>1</v>
      </c>
      <c r="AL32" s="108">
        <f t="shared" si="151"/>
        <v>1</v>
      </c>
      <c r="AM32" s="108">
        <f t="shared" si="152"/>
        <v>1</v>
      </c>
      <c r="AN32" s="108">
        <f t="shared" si="153"/>
        <v>1</v>
      </c>
      <c r="AO32" s="109">
        <f t="shared" si="154"/>
        <v>191250</v>
      </c>
      <c r="AP32" s="110">
        <f t="shared" si="155"/>
        <v>0</v>
      </c>
      <c r="AR32" s="332" t="s">
        <v>186</v>
      </c>
      <c r="AS32" s="319" t="s">
        <v>180</v>
      </c>
      <c r="AT32" s="320" t="s">
        <v>273</v>
      </c>
      <c r="AU32" s="327" t="s">
        <v>274</v>
      </c>
      <c r="AV32" s="322">
        <v>42.5</v>
      </c>
      <c r="AW32" s="323">
        <v>3000</v>
      </c>
      <c r="AX32" s="324">
        <v>127500</v>
      </c>
      <c r="AY32" s="108">
        <f t="shared" si="156"/>
        <v>1</v>
      </c>
      <c r="AZ32" s="108">
        <f t="shared" si="157"/>
        <v>1</v>
      </c>
      <c r="BA32" s="108">
        <f t="shared" si="158"/>
        <v>1</v>
      </c>
      <c r="BB32" s="108">
        <f t="shared" si="159"/>
        <v>1</v>
      </c>
      <c r="BC32" s="108">
        <f t="shared" si="160"/>
        <v>1</v>
      </c>
      <c r="BD32" s="108">
        <f t="shared" si="161"/>
        <v>1</v>
      </c>
      <c r="BE32" s="108">
        <f t="shared" si="162"/>
        <v>1</v>
      </c>
      <c r="BF32" s="109">
        <f t="shared" si="163"/>
        <v>127500</v>
      </c>
      <c r="BG32" s="110">
        <f t="shared" si="164"/>
        <v>0</v>
      </c>
      <c r="BI32" s="332" t="s">
        <v>186</v>
      </c>
      <c r="BJ32" s="319" t="s">
        <v>180</v>
      </c>
      <c r="BK32" s="320" t="s">
        <v>273</v>
      </c>
      <c r="BL32" s="327" t="s">
        <v>274</v>
      </c>
      <c r="BM32" s="322">
        <v>42.5</v>
      </c>
      <c r="BN32" s="323">
        <v>15754</v>
      </c>
      <c r="BO32" s="324">
        <f>BN32*BM32</f>
        <v>669545</v>
      </c>
      <c r="BP32" s="108">
        <f t="shared" si="166"/>
        <v>1</v>
      </c>
      <c r="BQ32" s="108">
        <f t="shared" si="167"/>
        <v>1</v>
      </c>
      <c r="BR32" s="108">
        <f t="shared" si="168"/>
        <v>1</v>
      </c>
      <c r="BS32" s="108">
        <f t="shared" si="169"/>
        <v>1</v>
      </c>
      <c r="BT32" s="108">
        <f t="shared" si="170"/>
        <v>1</v>
      </c>
      <c r="BU32" s="108">
        <f t="shared" si="171"/>
        <v>1</v>
      </c>
      <c r="BV32" s="108">
        <f t="shared" si="172"/>
        <v>1</v>
      </c>
      <c r="BW32" s="109">
        <f t="shared" si="173"/>
        <v>669545</v>
      </c>
      <c r="BX32" s="110">
        <f t="shared" si="174"/>
        <v>0</v>
      </c>
      <c r="BZ32" s="332" t="s">
        <v>186</v>
      </c>
      <c r="CA32" s="319" t="s">
        <v>180</v>
      </c>
      <c r="CB32" s="320" t="s">
        <v>273</v>
      </c>
      <c r="CC32" s="327" t="s">
        <v>274</v>
      </c>
      <c r="CD32" s="322">
        <v>42.5</v>
      </c>
      <c r="CE32" s="323">
        <v>12000</v>
      </c>
      <c r="CF32" s="324">
        <f>CE32*CD32</f>
        <v>510000</v>
      </c>
      <c r="CG32" s="108">
        <f t="shared" si="176"/>
        <v>1</v>
      </c>
      <c r="CH32" s="108">
        <f t="shared" si="177"/>
        <v>1</v>
      </c>
      <c r="CI32" s="108">
        <f t="shared" si="178"/>
        <v>1</v>
      </c>
      <c r="CJ32" s="108">
        <f t="shared" si="179"/>
        <v>1</v>
      </c>
      <c r="CK32" s="108">
        <f t="shared" si="180"/>
        <v>1</v>
      </c>
      <c r="CL32" s="108">
        <f t="shared" si="181"/>
        <v>1</v>
      </c>
      <c r="CM32" s="108">
        <f t="shared" si="182"/>
        <v>1</v>
      </c>
      <c r="CN32" s="109">
        <f t="shared" si="183"/>
        <v>510000</v>
      </c>
      <c r="CO32" s="110">
        <f t="shared" si="184"/>
        <v>0</v>
      </c>
      <c r="CQ32" s="332" t="s">
        <v>186</v>
      </c>
      <c r="CR32" s="319" t="s">
        <v>180</v>
      </c>
      <c r="CS32" s="320" t="s">
        <v>273</v>
      </c>
      <c r="CT32" s="327" t="s">
        <v>274</v>
      </c>
      <c r="CU32" s="322">
        <v>42.5</v>
      </c>
      <c r="CV32" s="323">
        <v>6600</v>
      </c>
      <c r="CW32" s="324">
        <f>CV32*CU32</f>
        <v>280500</v>
      </c>
      <c r="CX32" s="108">
        <f t="shared" si="186"/>
        <v>1</v>
      </c>
      <c r="CY32" s="108">
        <f t="shared" si="187"/>
        <v>1</v>
      </c>
      <c r="CZ32" s="108">
        <f t="shared" si="188"/>
        <v>1</v>
      </c>
      <c r="DA32" s="108">
        <f t="shared" si="189"/>
        <v>1</v>
      </c>
      <c r="DB32" s="108">
        <f t="shared" si="190"/>
        <v>1</v>
      </c>
      <c r="DC32" s="108">
        <f t="shared" si="191"/>
        <v>1</v>
      </c>
      <c r="DD32" s="108">
        <f t="shared" si="192"/>
        <v>1</v>
      </c>
      <c r="DE32" s="109">
        <f t="shared" si="193"/>
        <v>280500</v>
      </c>
      <c r="DF32" s="110">
        <f t="shared" si="194"/>
        <v>0</v>
      </c>
      <c r="DH32" s="332" t="s">
        <v>186</v>
      </c>
      <c r="DI32" s="319" t="s">
        <v>180</v>
      </c>
      <c r="DJ32" s="359" t="s">
        <v>273</v>
      </c>
      <c r="DK32" s="327" t="s">
        <v>274</v>
      </c>
      <c r="DL32" s="322">
        <v>42.5</v>
      </c>
      <c r="DM32" s="323">
        <v>7163</v>
      </c>
      <c r="DN32" s="324">
        <f>DM32*DL32</f>
        <v>304427.5</v>
      </c>
      <c r="DO32" s="108">
        <f t="shared" si="196"/>
        <v>1</v>
      </c>
      <c r="DP32" s="108">
        <f t="shared" si="197"/>
        <v>1</v>
      </c>
      <c r="DQ32" s="108">
        <f t="shared" si="198"/>
        <v>1</v>
      </c>
      <c r="DR32" s="108">
        <f t="shared" si="199"/>
        <v>1</v>
      </c>
      <c r="DS32" s="108">
        <f t="shared" si="200"/>
        <v>1</v>
      </c>
      <c r="DT32" s="108">
        <f t="shared" si="201"/>
        <v>1</v>
      </c>
      <c r="DU32" s="108">
        <f t="shared" si="202"/>
        <v>1</v>
      </c>
      <c r="DV32" s="109">
        <f t="shared" si="203"/>
        <v>304428</v>
      </c>
      <c r="DW32" s="110">
        <f t="shared" si="204"/>
        <v>-0.5</v>
      </c>
      <c r="DY32" s="332" t="s">
        <v>186</v>
      </c>
      <c r="DZ32" s="319" t="s">
        <v>180</v>
      </c>
      <c r="EA32" s="359" t="s">
        <v>273</v>
      </c>
      <c r="EB32" s="327" t="s">
        <v>274</v>
      </c>
      <c r="EC32" s="322">
        <v>42.5</v>
      </c>
      <c r="ED32" s="323">
        <v>4000</v>
      </c>
      <c r="EE32" s="324">
        <f>ED32*EC32</f>
        <v>170000</v>
      </c>
      <c r="EF32" s="108">
        <f t="shared" si="206"/>
        <v>1</v>
      </c>
      <c r="EG32" s="108">
        <f t="shared" si="207"/>
        <v>1</v>
      </c>
      <c r="EH32" s="108">
        <f t="shared" si="208"/>
        <v>1</v>
      </c>
      <c r="EI32" s="108">
        <f t="shared" si="209"/>
        <v>1</v>
      </c>
      <c r="EJ32" s="108">
        <f t="shared" si="210"/>
        <v>1</v>
      </c>
      <c r="EK32" s="108">
        <f t="shared" si="211"/>
        <v>1</v>
      </c>
      <c r="EL32" s="108">
        <f t="shared" si="212"/>
        <v>1</v>
      </c>
      <c r="EM32" s="109">
        <f t="shared" si="213"/>
        <v>170000</v>
      </c>
      <c r="EN32" s="110">
        <f t="shared" si="214"/>
        <v>0</v>
      </c>
      <c r="EP32" s="332" t="s">
        <v>186</v>
      </c>
      <c r="EQ32" s="319" t="s">
        <v>180</v>
      </c>
      <c r="ER32" s="320" t="s">
        <v>273</v>
      </c>
      <c r="ES32" s="327" t="s">
        <v>274</v>
      </c>
      <c r="ET32" s="322">
        <v>42.5</v>
      </c>
      <c r="EU32" s="323">
        <v>8500</v>
      </c>
      <c r="EV32" s="324">
        <f>EU32*ET32</f>
        <v>361250</v>
      </c>
      <c r="EW32" s="108">
        <f t="shared" si="216"/>
        <v>1</v>
      </c>
      <c r="EX32" s="108">
        <f t="shared" si="217"/>
        <v>1</v>
      </c>
      <c r="EY32" s="108">
        <f t="shared" si="218"/>
        <v>1</v>
      </c>
      <c r="EZ32" s="108">
        <f t="shared" si="219"/>
        <v>1</v>
      </c>
      <c r="FA32" s="108">
        <f t="shared" si="220"/>
        <v>1</v>
      </c>
      <c r="FB32" s="108">
        <f t="shared" si="221"/>
        <v>1</v>
      </c>
      <c r="FC32" s="108">
        <f t="shared" si="222"/>
        <v>1</v>
      </c>
      <c r="FD32" s="109">
        <f t="shared" si="223"/>
        <v>361250</v>
      </c>
      <c r="FE32" s="110">
        <f t="shared" si="224"/>
        <v>0</v>
      </c>
      <c r="FG32" s="332" t="s">
        <v>186</v>
      </c>
      <c r="FH32" s="319" t="s">
        <v>180</v>
      </c>
      <c r="FI32" s="359" t="s">
        <v>273</v>
      </c>
      <c r="FJ32" s="327" t="s">
        <v>274</v>
      </c>
      <c r="FK32" s="322">
        <v>42.5</v>
      </c>
      <c r="FL32" s="323">
        <v>7162</v>
      </c>
      <c r="FM32" s="324">
        <f>FL32*FK32</f>
        <v>304385</v>
      </c>
      <c r="FN32" s="108">
        <f t="shared" si="226"/>
        <v>1</v>
      </c>
      <c r="FO32" s="108">
        <f t="shared" si="227"/>
        <v>1</v>
      </c>
      <c r="FP32" s="108">
        <f t="shared" si="228"/>
        <v>1</v>
      </c>
      <c r="FQ32" s="108">
        <f t="shared" si="229"/>
        <v>1</v>
      </c>
      <c r="FR32" s="108">
        <f t="shared" si="230"/>
        <v>1</v>
      </c>
      <c r="FS32" s="108">
        <f t="shared" si="231"/>
        <v>1</v>
      </c>
      <c r="FT32" s="108">
        <f t="shared" si="232"/>
        <v>1</v>
      </c>
      <c r="FU32" s="109">
        <f t="shared" si="233"/>
        <v>304385</v>
      </c>
      <c r="FV32" s="110">
        <f t="shared" si="234"/>
        <v>0</v>
      </c>
      <c r="FX32" s="332" t="s">
        <v>186</v>
      </c>
      <c r="FY32" s="319" t="s">
        <v>180</v>
      </c>
      <c r="FZ32" s="320" t="s">
        <v>273</v>
      </c>
      <c r="GA32" s="327" t="s">
        <v>274</v>
      </c>
      <c r="GB32" s="322">
        <v>42.5</v>
      </c>
      <c r="GC32" s="323">
        <v>7500</v>
      </c>
      <c r="GD32" s="324">
        <f>GC32*GB32</f>
        <v>318750</v>
      </c>
      <c r="GE32" s="108">
        <f t="shared" si="236"/>
        <v>1</v>
      </c>
      <c r="GF32" s="108">
        <f t="shared" si="237"/>
        <v>1</v>
      </c>
      <c r="GG32" s="108">
        <f t="shared" si="238"/>
        <v>1</v>
      </c>
      <c r="GH32" s="108">
        <f t="shared" si="239"/>
        <v>1</v>
      </c>
      <c r="GI32" s="108">
        <f t="shared" si="240"/>
        <v>1</v>
      </c>
      <c r="GJ32" s="108">
        <f t="shared" si="241"/>
        <v>1</v>
      </c>
      <c r="GK32" s="108">
        <f t="shared" si="242"/>
        <v>1</v>
      </c>
      <c r="GL32" s="109">
        <f t="shared" si="243"/>
        <v>318750</v>
      </c>
      <c r="GM32" s="110">
        <f t="shared" si="244"/>
        <v>0</v>
      </c>
      <c r="GO32" s="332" t="s">
        <v>186</v>
      </c>
      <c r="GP32" s="319" t="s">
        <v>180</v>
      </c>
      <c r="GQ32" s="320" t="s">
        <v>273</v>
      </c>
      <c r="GR32" s="327" t="s">
        <v>274</v>
      </c>
      <c r="GS32" s="322">
        <v>42.5</v>
      </c>
      <c r="GT32" s="323">
        <v>8000</v>
      </c>
      <c r="GU32" s="324">
        <v>340000</v>
      </c>
      <c r="GV32" s="108">
        <f t="shared" si="245"/>
        <v>1</v>
      </c>
      <c r="GW32" s="108">
        <f t="shared" si="246"/>
        <v>1</v>
      </c>
      <c r="GX32" s="108">
        <f t="shared" si="247"/>
        <v>1</v>
      </c>
      <c r="GY32" s="108">
        <f t="shared" si="248"/>
        <v>1</v>
      </c>
      <c r="GZ32" s="108">
        <f t="shared" si="249"/>
        <v>1</v>
      </c>
      <c r="HA32" s="108">
        <f t="shared" si="250"/>
        <v>1</v>
      </c>
      <c r="HB32" s="108">
        <f t="shared" si="251"/>
        <v>1</v>
      </c>
      <c r="HC32" s="109">
        <f t="shared" si="252"/>
        <v>340000</v>
      </c>
      <c r="HD32" s="110">
        <f t="shared" si="253"/>
        <v>0</v>
      </c>
      <c r="HF32" s="332" t="s">
        <v>186</v>
      </c>
      <c r="HG32" s="319" t="s">
        <v>180</v>
      </c>
      <c r="HH32" s="320" t="s">
        <v>273</v>
      </c>
      <c r="HI32" s="327" t="s">
        <v>274</v>
      </c>
      <c r="HJ32" s="322">
        <v>42.5</v>
      </c>
      <c r="HK32" s="323">
        <v>3500</v>
      </c>
      <c r="HL32" s="324">
        <f>HK32*HJ32</f>
        <v>148750</v>
      </c>
      <c r="HM32" s="108">
        <f t="shared" si="255"/>
        <v>1</v>
      </c>
      <c r="HN32" s="108">
        <f t="shared" si="256"/>
        <v>1</v>
      </c>
      <c r="HO32" s="108">
        <f t="shared" si="257"/>
        <v>1</v>
      </c>
      <c r="HP32" s="108">
        <f t="shared" si="258"/>
        <v>1</v>
      </c>
      <c r="HQ32" s="108">
        <f t="shared" si="259"/>
        <v>1</v>
      </c>
      <c r="HR32" s="108">
        <f t="shared" si="260"/>
        <v>1</v>
      </c>
      <c r="HS32" s="108">
        <f t="shared" si="261"/>
        <v>1</v>
      </c>
      <c r="HT32" s="109">
        <f t="shared" si="262"/>
        <v>148750</v>
      </c>
      <c r="HU32" s="110">
        <f t="shared" si="263"/>
        <v>0</v>
      </c>
      <c r="HW32" s="332" t="s">
        <v>186</v>
      </c>
      <c r="HX32" s="319" t="s">
        <v>180</v>
      </c>
      <c r="HY32" s="320" t="s">
        <v>273</v>
      </c>
      <c r="HZ32" s="327" t="s">
        <v>274</v>
      </c>
      <c r="IA32" s="322">
        <v>42.5</v>
      </c>
      <c r="IB32" s="323">
        <v>4000</v>
      </c>
      <c r="IC32" s="324">
        <f>IB32*IA32</f>
        <v>170000</v>
      </c>
      <c r="ID32" s="108">
        <f t="shared" si="265"/>
        <v>1</v>
      </c>
      <c r="IE32" s="108">
        <f t="shared" si="266"/>
        <v>1</v>
      </c>
      <c r="IF32" s="108">
        <f t="shared" si="267"/>
        <v>1</v>
      </c>
      <c r="IG32" s="108">
        <f t="shared" si="268"/>
        <v>1</v>
      </c>
      <c r="IH32" s="108">
        <f t="shared" si="269"/>
        <v>1</v>
      </c>
      <c r="II32" s="108">
        <f t="shared" si="270"/>
        <v>1</v>
      </c>
      <c r="IJ32" s="108">
        <f t="shared" si="271"/>
        <v>1</v>
      </c>
      <c r="IK32" s="109">
        <f t="shared" si="272"/>
        <v>170000</v>
      </c>
      <c r="IL32" s="110">
        <f t="shared" si="273"/>
        <v>0</v>
      </c>
    </row>
    <row r="33" spans="1:246" s="213" customFormat="1" ht="20.25" x14ac:dyDescent="0.25">
      <c r="A33" s="211"/>
      <c r="B33" s="317" t="s">
        <v>188</v>
      </c>
      <c r="C33" s="317"/>
      <c r="D33" s="333" t="s">
        <v>275</v>
      </c>
      <c r="E33" s="329"/>
      <c r="F33" s="330">
        <v>0</v>
      </c>
      <c r="G33" s="329"/>
      <c r="H33" s="329"/>
      <c r="J33" s="317" t="s">
        <v>188</v>
      </c>
      <c r="K33" s="317"/>
      <c r="L33" s="333" t="s">
        <v>275</v>
      </c>
      <c r="M33" s="329"/>
      <c r="N33" s="330">
        <v>0</v>
      </c>
      <c r="O33" s="329"/>
      <c r="P33" s="329"/>
      <c r="Q33" s="547"/>
      <c r="R33" s="548"/>
      <c r="S33" s="548"/>
      <c r="T33" s="548"/>
      <c r="U33" s="548"/>
      <c r="V33" s="548"/>
      <c r="W33" s="548"/>
      <c r="X33" s="548"/>
      <c r="Y33" s="549"/>
      <c r="AA33" s="317" t="s">
        <v>188</v>
      </c>
      <c r="AB33" s="317"/>
      <c r="AC33" s="333" t="s">
        <v>275</v>
      </c>
      <c r="AD33" s="329"/>
      <c r="AE33" s="330">
        <v>0</v>
      </c>
      <c r="AF33" s="329"/>
      <c r="AG33" s="329"/>
      <c r="AH33" s="547"/>
      <c r="AI33" s="548"/>
      <c r="AJ33" s="548"/>
      <c r="AK33" s="548"/>
      <c r="AL33" s="548"/>
      <c r="AM33" s="548"/>
      <c r="AN33" s="548"/>
      <c r="AO33" s="548"/>
      <c r="AP33" s="549"/>
      <c r="AR33" s="317" t="s">
        <v>188</v>
      </c>
      <c r="AS33" s="317"/>
      <c r="AT33" s="333" t="s">
        <v>275</v>
      </c>
      <c r="AU33" s="329"/>
      <c r="AV33" s="330">
        <v>0</v>
      </c>
      <c r="AW33" s="329"/>
      <c r="AX33" s="329"/>
      <c r="AY33" s="547"/>
      <c r="AZ33" s="548"/>
      <c r="BA33" s="548"/>
      <c r="BB33" s="548"/>
      <c r="BC33" s="548"/>
      <c r="BD33" s="548"/>
      <c r="BE33" s="548"/>
      <c r="BF33" s="548"/>
      <c r="BG33" s="549"/>
      <c r="BI33" s="317" t="s">
        <v>188</v>
      </c>
      <c r="BJ33" s="317"/>
      <c r="BK33" s="333" t="s">
        <v>275</v>
      </c>
      <c r="BL33" s="329"/>
      <c r="BM33" s="330">
        <v>0</v>
      </c>
      <c r="BN33" s="329"/>
      <c r="BO33" s="329"/>
      <c r="BP33" s="547"/>
      <c r="BQ33" s="548"/>
      <c r="BR33" s="548"/>
      <c r="BS33" s="548"/>
      <c r="BT33" s="548"/>
      <c r="BU33" s="548"/>
      <c r="BV33" s="548"/>
      <c r="BW33" s="548"/>
      <c r="BX33" s="549"/>
      <c r="BZ33" s="317" t="s">
        <v>188</v>
      </c>
      <c r="CA33" s="317"/>
      <c r="CB33" s="333" t="s">
        <v>275</v>
      </c>
      <c r="CC33" s="329"/>
      <c r="CD33" s="330">
        <v>0</v>
      </c>
      <c r="CE33" s="329"/>
      <c r="CF33" s="329"/>
      <c r="CG33" s="547"/>
      <c r="CH33" s="548"/>
      <c r="CI33" s="548"/>
      <c r="CJ33" s="548"/>
      <c r="CK33" s="548"/>
      <c r="CL33" s="548"/>
      <c r="CM33" s="548"/>
      <c r="CN33" s="548"/>
      <c r="CO33" s="549"/>
      <c r="CQ33" s="317" t="s">
        <v>188</v>
      </c>
      <c r="CR33" s="317"/>
      <c r="CS33" s="333" t="s">
        <v>275</v>
      </c>
      <c r="CT33" s="329"/>
      <c r="CU33" s="330">
        <v>0</v>
      </c>
      <c r="CV33" s="329"/>
      <c r="CW33" s="329"/>
      <c r="CX33" s="547"/>
      <c r="CY33" s="548"/>
      <c r="CZ33" s="548"/>
      <c r="DA33" s="548"/>
      <c r="DB33" s="548"/>
      <c r="DC33" s="548"/>
      <c r="DD33" s="548"/>
      <c r="DE33" s="548"/>
      <c r="DF33" s="549"/>
      <c r="DH33" s="317" t="s">
        <v>188</v>
      </c>
      <c r="DI33" s="317"/>
      <c r="DJ33" s="333" t="s">
        <v>275</v>
      </c>
      <c r="DK33" s="329"/>
      <c r="DL33" s="330">
        <v>0</v>
      </c>
      <c r="DM33" s="329"/>
      <c r="DN33" s="329"/>
      <c r="DO33" s="547"/>
      <c r="DP33" s="548"/>
      <c r="DQ33" s="548"/>
      <c r="DR33" s="548"/>
      <c r="DS33" s="548"/>
      <c r="DT33" s="548"/>
      <c r="DU33" s="548"/>
      <c r="DV33" s="548"/>
      <c r="DW33" s="549"/>
      <c r="DY33" s="317" t="s">
        <v>188</v>
      </c>
      <c r="DZ33" s="317"/>
      <c r="EA33" s="333" t="s">
        <v>275</v>
      </c>
      <c r="EB33" s="329"/>
      <c r="EC33" s="330">
        <v>0</v>
      </c>
      <c r="ED33" s="329"/>
      <c r="EE33" s="329"/>
      <c r="EF33" s="547"/>
      <c r="EG33" s="548"/>
      <c r="EH33" s="548"/>
      <c r="EI33" s="548"/>
      <c r="EJ33" s="548"/>
      <c r="EK33" s="548"/>
      <c r="EL33" s="548"/>
      <c r="EM33" s="548"/>
      <c r="EN33" s="549"/>
      <c r="EP33" s="317" t="s">
        <v>188</v>
      </c>
      <c r="EQ33" s="317"/>
      <c r="ER33" s="333" t="s">
        <v>275</v>
      </c>
      <c r="ES33" s="329"/>
      <c r="ET33" s="330">
        <v>0</v>
      </c>
      <c r="EU33" s="329"/>
      <c r="EV33" s="329"/>
      <c r="EW33" s="547"/>
      <c r="EX33" s="548"/>
      <c r="EY33" s="548"/>
      <c r="EZ33" s="548"/>
      <c r="FA33" s="548"/>
      <c r="FB33" s="548"/>
      <c r="FC33" s="548"/>
      <c r="FD33" s="548"/>
      <c r="FE33" s="549"/>
      <c r="FG33" s="317" t="s">
        <v>188</v>
      </c>
      <c r="FH33" s="317"/>
      <c r="FI33" s="333" t="s">
        <v>275</v>
      </c>
      <c r="FJ33" s="329"/>
      <c r="FK33" s="330">
        <v>0</v>
      </c>
      <c r="FL33" s="329"/>
      <c r="FM33" s="329"/>
      <c r="FN33" s="547"/>
      <c r="FO33" s="548"/>
      <c r="FP33" s="548"/>
      <c r="FQ33" s="548"/>
      <c r="FR33" s="548"/>
      <c r="FS33" s="548"/>
      <c r="FT33" s="548"/>
      <c r="FU33" s="548"/>
      <c r="FV33" s="549"/>
      <c r="FX33" s="317" t="s">
        <v>188</v>
      </c>
      <c r="FY33" s="317"/>
      <c r="FZ33" s="333" t="s">
        <v>275</v>
      </c>
      <c r="GA33" s="329"/>
      <c r="GB33" s="330">
        <v>0</v>
      </c>
      <c r="GC33" s="329"/>
      <c r="GD33" s="329"/>
      <c r="GE33" s="547"/>
      <c r="GF33" s="548"/>
      <c r="GG33" s="548"/>
      <c r="GH33" s="548"/>
      <c r="GI33" s="548"/>
      <c r="GJ33" s="548"/>
      <c r="GK33" s="548"/>
      <c r="GL33" s="548"/>
      <c r="GM33" s="549"/>
      <c r="GO33" s="317" t="s">
        <v>188</v>
      </c>
      <c r="GP33" s="317"/>
      <c r="GQ33" s="333" t="s">
        <v>275</v>
      </c>
      <c r="GR33" s="329"/>
      <c r="GS33" s="330">
        <v>0</v>
      </c>
      <c r="GT33" s="329"/>
      <c r="GU33" s="329"/>
      <c r="GV33" s="547"/>
      <c r="GW33" s="548"/>
      <c r="GX33" s="548"/>
      <c r="GY33" s="548"/>
      <c r="GZ33" s="548"/>
      <c r="HA33" s="548"/>
      <c r="HB33" s="548"/>
      <c r="HC33" s="548"/>
      <c r="HD33" s="549"/>
      <c r="HF33" s="317" t="s">
        <v>188</v>
      </c>
      <c r="HG33" s="317"/>
      <c r="HH33" s="333" t="s">
        <v>275</v>
      </c>
      <c r="HI33" s="329"/>
      <c r="HJ33" s="330">
        <v>0</v>
      </c>
      <c r="HK33" s="329"/>
      <c r="HL33" s="329"/>
      <c r="HM33" s="547"/>
      <c r="HN33" s="548"/>
      <c r="HO33" s="548"/>
      <c r="HP33" s="548"/>
      <c r="HQ33" s="548"/>
      <c r="HR33" s="548"/>
      <c r="HS33" s="548"/>
      <c r="HT33" s="548"/>
      <c r="HU33" s="549"/>
      <c r="HW33" s="317" t="s">
        <v>188</v>
      </c>
      <c r="HX33" s="317"/>
      <c r="HY33" s="333" t="s">
        <v>275</v>
      </c>
      <c r="HZ33" s="329"/>
      <c r="IA33" s="330">
        <v>0</v>
      </c>
      <c r="IB33" s="329"/>
      <c r="IC33" s="329"/>
      <c r="ID33" s="547"/>
      <c r="IE33" s="548"/>
      <c r="IF33" s="548"/>
      <c r="IG33" s="548"/>
      <c r="IH33" s="548"/>
      <c r="II33" s="548"/>
      <c r="IJ33" s="548"/>
      <c r="IK33" s="548"/>
      <c r="IL33" s="549"/>
    </row>
    <row r="34" spans="1:246" s="213" customFormat="1" ht="130.5" customHeight="1" x14ac:dyDescent="0.25">
      <c r="A34" s="211"/>
      <c r="B34" s="319">
        <v>3.1</v>
      </c>
      <c r="C34" s="319" t="s">
        <v>180</v>
      </c>
      <c r="D34" s="334" t="s">
        <v>276</v>
      </c>
      <c r="E34" s="321" t="s">
        <v>184</v>
      </c>
      <c r="F34" s="325">
        <v>8.5</v>
      </c>
      <c r="G34" s="323">
        <v>0</v>
      </c>
      <c r="H34" s="324">
        <f t="shared" ref="H34:H48" si="292">G34*F34</f>
        <v>0</v>
      </c>
      <c r="J34" s="319">
        <v>3.1</v>
      </c>
      <c r="K34" s="319" t="s">
        <v>180</v>
      </c>
      <c r="L34" s="334" t="s">
        <v>276</v>
      </c>
      <c r="M34" s="321" t="s">
        <v>184</v>
      </c>
      <c r="N34" s="325">
        <v>8.5</v>
      </c>
      <c r="O34" s="323">
        <v>37603</v>
      </c>
      <c r="P34" s="324">
        <v>319626</v>
      </c>
      <c r="Q34" s="108">
        <f t="shared" ref="Q34:Q45" si="293">IFERROR(IF(EXACT(VLOOKUP(J34,OFERTA_0,1,FALSE),J34),1,0),0)</f>
        <v>1</v>
      </c>
      <c r="R34" s="108">
        <f t="shared" ref="R34:R45" si="294">IFERROR(IF(EXACT(VLOOKUP(J34,OFERTA_0,3,FALSE),L34),1,0),0)</f>
        <v>1</v>
      </c>
      <c r="S34" s="108">
        <f t="shared" ref="S34:S45" si="295">IFERROR(IF(EXACT(VLOOKUP(J34,OFERTA_0,4,FALSE),M34),1,0),0)</f>
        <v>1</v>
      </c>
      <c r="T34" s="108">
        <f t="shared" ref="T34:T45" si="296">IFERROR(IF(EXACT(VLOOKUP(J34,OFERTA_0,5,FALSE),N34),1,0),0)</f>
        <v>1</v>
      </c>
      <c r="U34" s="108">
        <f t="shared" ref="U34:U45" si="297">IFERROR(IF(O34&lt;=0,0,1),0)</f>
        <v>1</v>
      </c>
      <c r="V34" s="108">
        <f t="shared" ref="V34:V45" si="298">IFERROR(IF(P34&lt;=0,0,1),0)</f>
        <v>1</v>
      </c>
      <c r="W34" s="108">
        <f t="shared" ref="W34:W45" si="299">PRODUCT(Q34:V34)</f>
        <v>1</v>
      </c>
      <c r="X34" s="109">
        <f t="shared" ref="X34:X45" si="300">ROUND(P34,0)</f>
        <v>319626</v>
      </c>
      <c r="Y34" s="110">
        <f t="shared" ref="Y34:Y45" si="301">P34-X34</f>
        <v>0</v>
      </c>
      <c r="AA34" s="319">
        <v>3.1</v>
      </c>
      <c r="AB34" s="319" t="s">
        <v>180</v>
      </c>
      <c r="AC34" s="334" t="s">
        <v>276</v>
      </c>
      <c r="AD34" s="321" t="s">
        <v>184</v>
      </c>
      <c r="AE34" s="325">
        <v>8.5</v>
      </c>
      <c r="AF34" s="323">
        <v>39000</v>
      </c>
      <c r="AG34" s="324">
        <v>331500</v>
      </c>
      <c r="AH34" s="108">
        <f t="shared" ref="AH34:AH48" si="302">IFERROR(IF(EXACT(VLOOKUP(AA34,OFERTA_0,1,FALSE),AA34),1,0),0)</f>
        <v>1</v>
      </c>
      <c r="AI34" s="108">
        <f t="shared" ref="AI34:AI48" si="303">IFERROR(IF(EXACT(VLOOKUP(AA34,OFERTA_0,3,FALSE),AC34),1,0),0)</f>
        <v>1</v>
      </c>
      <c r="AJ34" s="108">
        <f t="shared" ref="AJ34:AJ48" si="304">IFERROR(IF(EXACT(VLOOKUP(AA34,OFERTA_0,4,FALSE),AD34),1,0),0)</f>
        <v>1</v>
      </c>
      <c r="AK34" s="108">
        <f t="shared" ref="AK34:AK48" si="305">IFERROR(IF(EXACT(VLOOKUP(AA34,OFERTA_0,5,FALSE),AE34),1,0),0)</f>
        <v>1</v>
      </c>
      <c r="AL34" s="108">
        <f t="shared" ref="AL34:AL48" si="306">IFERROR(IF(AF34&lt;=0,0,1),0)</f>
        <v>1</v>
      </c>
      <c r="AM34" s="108">
        <f t="shared" ref="AM34:AM48" si="307">IFERROR(IF(AG34&lt;=0,0,1),0)</f>
        <v>1</v>
      </c>
      <c r="AN34" s="108">
        <f t="shared" ref="AN34:AN48" si="308">PRODUCT(AH34:AM34)</f>
        <v>1</v>
      </c>
      <c r="AO34" s="109">
        <f t="shared" ref="AO34:AO48" si="309">ROUND(AG34,0)</f>
        <v>331500</v>
      </c>
      <c r="AP34" s="110">
        <f t="shared" ref="AP34:AP48" si="310">AG34-AO34</f>
        <v>0</v>
      </c>
      <c r="AR34" s="319">
        <v>3.1</v>
      </c>
      <c r="AS34" s="319" t="s">
        <v>180</v>
      </c>
      <c r="AT34" s="334" t="s">
        <v>276</v>
      </c>
      <c r="AU34" s="321" t="s">
        <v>184</v>
      </c>
      <c r="AV34" s="325">
        <v>8.5</v>
      </c>
      <c r="AW34" s="323">
        <v>27160</v>
      </c>
      <c r="AX34" s="324">
        <v>230860</v>
      </c>
      <c r="AY34" s="108">
        <f t="shared" ref="AY34:AY48" si="311">IFERROR(IF(EXACT(VLOOKUP(AR34,OFERTA_0,1,FALSE),AR34),1,0),0)</f>
        <v>1</v>
      </c>
      <c r="AZ34" s="108">
        <f t="shared" ref="AZ34:AZ48" si="312">IFERROR(IF(EXACT(VLOOKUP(AR34,OFERTA_0,3,FALSE),AT34),1,0),0)</f>
        <v>1</v>
      </c>
      <c r="BA34" s="108">
        <f t="shared" ref="BA34:BA48" si="313">IFERROR(IF(EXACT(VLOOKUP(AR34,OFERTA_0,4,FALSE),AU34),1,0),0)</f>
        <v>1</v>
      </c>
      <c r="BB34" s="108">
        <f t="shared" ref="BB34:BB48" si="314">IFERROR(IF(EXACT(VLOOKUP(AR34,OFERTA_0,5,FALSE),AV34),1,0),0)</f>
        <v>1</v>
      </c>
      <c r="BC34" s="108">
        <f t="shared" ref="BC34:BC48" si="315">IFERROR(IF(AW34&lt;=0,0,1),0)</f>
        <v>1</v>
      </c>
      <c r="BD34" s="108">
        <f t="shared" ref="BD34:BD48" si="316">IFERROR(IF(AX34&lt;=0,0,1),0)</f>
        <v>1</v>
      </c>
      <c r="BE34" s="108">
        <f t="shared" ref="BE34:BE48" si="317">PRODUCT(AY34:BD34)</f>
        <v>1</v>
      </c>
      <c r="BF34" s="109">
        <f t="shared" ref="BF34:BF48" si="318">ROUND(AX34,0)</f>
        <v>230860</v>
      </c>
      <c r="BG34" s="110">
        <f t="shared" ref="BG34:BG48" si="319">AX34-BF34</f>
        <v>0</v>
      </c>
      <c r="BI34" s="319">
        <v>3.1</v>
      </c>
      <c r="BJ34" s="319" t="s">
        <v>180</v>
      </c>
      <c r="BK34" s="334" t="s">
        <v>276</v>
      </c>
      <c r="BL34" s="321" t="s">
        <v>184</v>
      </c>
      <c r="BM34" s="325">
        <v>8.5</v>
      </c>
      <c r="BN34" s="323">
        <v>25102</v>
      </c>
      <c r="BO34" s="324">
        <f t="shared" ref="BO34:BO48" si="320">BN34*BM34</f>
        <v>213367</v>
      </c>
      <c r="BP34" s="108">
        <f t="shared" ref="BP34:BP48" si="321">IFERROR(IF(EXACT(VLOOKUP(BI34,OFERTA_0,1,FALSE),BI34),1,0),0)</f>
        <v>1</v>
      </c>
      <c r="BQ34" s="108">
        <f t="shared" ref="BQ34:BQ48" si="322">IFERROR(IF(EXACT(VLOOKUP(BI34,OFERTA_0,3,FALSE),BK34),1,0),0)</f>
        <v>1</v>
      </c>
      <c r="BR34" s="108">
        <f t="shared" ref="BR34:BR48" si="323">IFERROR(IF(EXACT(VLOOKUP(BI34,OFERTA_0,4,FALSE),BL34),1,0),0)</f>
        <v>1</v>
      </c>
      <c r="BS34" s="108">
        <f t="shared" ref="BS34:BS48" si="324">IFERROR(IF(EXACT(VLOOKUP(BI34,OFERTA_0,5,FALSE),BM34),1,0),0)</f>
        <v>1</v>
      </c>
      <c r="BT34" s="108">
        <f t="shared" ref="BT34:BT48" si="325">IFERROR(IF(BN34&lt;=0,0,1),0)</f>
        <v>1</v>
      </c>
      <c r="BU34" s="108">
        <f t="shared" ref="BU34:BU48" si="326">IFERROR(IF(BO34&lt;=0,0,1),0)</f>
        <v>1</v>
      </c>
      <c r="BV34" s="108">
        <f t="shared" ref="BV34:BV48" si="327">PRODUCT(BP34:BU34)</f>
        <v>1</v>
      </c>
      <c r="BW34" s="109">
        <f t="shared" ref="BW34:BW48" si="328">ROUND(BO34,0)</f>
        <v>213367</v>
      </c>
      <c r="BX34" s="110">
        <f t="shared" ref="BX34:BX48" si="329">BO34-BW34</f>
        <v>0</v>
      </c>
      <c r="BZ34" s="319">
        <v>3.1</v>
      </c>
      <c r="CA34" s="319" t="s">
        <v>180</v>
      </c>
      <c r="CB34" s="334" t="s">
        <v>276</v>
      </c>
      <c r="CC34" s="321" t="s">
        <v>184</v>
      </c>
      <c r="CD34" s="325">
        <v>8.5</v>
      </c>
      <c r="CE34" s="323">
        <v>65000</v>
      </c>
      <c r="CF34" s="324">
        <f t="shared" ref="CF34:CF48" si="330">CE34*CD34</f>
        <v>552500</v>
      </c>
      <c r="CG34" s="108">
        <f t="shared" ref="CG34:CG48" si="331">IFERROR(IF(EXACT(VLOOKUP(BZ34,OFERTA_0,1,FALSE),BZ34),1,0),0)</f>
        <v>1</v>
      </c>
      <c r="CH34" s="108">
        <f t="shared" ref="CH34:CH48" si="332">IFERROR(IF(EXACT(VLOOKUP(BZ34,OFERTA_0,3,FALSE),CB34),1,0),0)</f>
        <v>1</v>
      </c>
      <c r="CI34" s="108">
        <f t="shared" ref="CI34:CI48" si="333">IFERROR(IF(EXACT(VLOOKUP(BZ34,OFERTA_0,4,FALSE),CC34),1,0),0)</f>
        <v>1</v>
      </c>
      <c r="CJ34" s="108">
        <f t="shared" ref="CJ34:CJ48" si="334">IFERROR(IF(EXACT(VLOOKUP(BZ34,OFERTA_0,5,FALSE),CD34),1,0),0)</f>
        <v>1</v>
      </c>
      <c r="CK34" s="108">
        <f t="shared" ref="CK34:CK48" si="335">IFERROR(IF(CE34&lt;=0,0,1),0)</f>
        <v>1</v>
      </c>
      <c r="CL34" s="108">
        <f t="shared" ref="CL34:CL48" si="336">IFERROR(IF(CF34&lt;=0,0,1),0)</f>
        <v>1</v>
      </c>
      <c r="CM34" s="108">
        <f t="shared" ref="CM34:CM48" si="337">PRODUCT(CG34:CL34)</f>
        <v>1</v>
      </c>
      <c r="CN34" s="109">
        <f t="shared" ref="CN34:CN48" si="338">ROUND(CF34,0)</f>
        <v>552500</v>
      </c>
      <c r="CO34" s="110">
        <f t="shared" ref="CO34:CO48" si="339">CF34-CN34</f>
        <v>0</v>
      </c>
      <c r="CQ34" s="319">
        <v>3.1</v>
      </c>
      <c r="CR34" s="319" t="s">
        <v>180</v>
      </c>
      <c r="CS34" s="334" t="s">
        <v>276</v>
      </c>
      <c r="CT34" s="321" t="s">
        <v>184</v>
      </c>
      <c r="CU34" s="325">
        <v>8.5</v>
      </c>
      <c r="CV34" s="323">
        <v>24000</v>
      </c>
      <c r="CW34" s="324">
        <f t="shared" ref="CW34:CW48" si="340">CV34*CU34</f>
        <v>204000</v>
      </c>
      <c r="CX34" s="108">
        <f t="shared" ref="CX34:CX48" si="341">IFERROR(IF(EXACT(VLOOKUP(CQ34,OFERTA_0,1,FALSE),CQ34),1,0),0)</f>
        <v>1</v>
      </c>
      <c r="CY34" s="108">
        <f t="shared" ref="CY34:CY48" si="342">IFERROR(IF(EXACT(VLOOKUP(CQ34,OFERTA_0,3,FALSE),CS34),1,0),0)</f>
        <v>1</v>
      </c>
      <c r="CZ34" s="108">
        <f t="shared" ref="CZ34:CZ48" si="343">IFERROR(IF(EXACT(VLOOKUP(CQ34,OFERTA_0,4,FALSE),CT34),1,0),0)</f>
        <v>1</v>
      </c>
      <c r="DA34" s="108">
        <f t="shared" ref="DA34:DA48" si="344">IFERROR(IF(EXACT(VLOOKUP(CQ34,OFERTA_0,5,FALSE),CU34),1,0),0)</f>
        <v>1</v>
      </c>
      <c r="DB34" s="108">
        <f t="shared" ref="DB34:DB48" si="345">IFERROR(IF(CV34&lt;=0,0,1),0)</f>
        <v>1</v>
      </c>
      <c r="DC34" s="108">
        <f t="shared" ref="DC34:DC48" si="346">IFERROR(IF(CW34&lt;=0,0,1),0)</f>
        <v>1</v>
      </c>
      <c r="DD34" s="108">
        <f t="shared" ref="DD34:DD48" si="347">PRODUCT(CX34:DC34)</f>
        <v>1</v>
      </c>
      <c r="DE34" s="109">
        <f t="shared" ref="DE34:DE48" si="348">ROUND(CW34,0)</f>
        <v>204000</v>
      </c>
      <c r="DF34" s="110">
        <f t="shared" ref="DF34:DF48" si="349">CW34-DE34</f>
        <v>0</v>
      </c>
      <c r="DH34" s="319">
        <v>3.1</v>
      </c>
      <c r="DI34" s="319" t="s">
        <v>180</v>
      </c>
      <c r="DJ34" s="360" t="s">
        <v>276</v>
      </c>
      <c r="DK34" s="321" t="s">
        <v>184</v>
      </c>
      <c r="DL34" s="325">
        <v>8.5</v>
      </c>
      <c r="DM34" s="323">
        <v>40257</v>
      </c>
      <c r="DN34" s="324">
        <f t="shared" ref="DN34:DN48" si="350">DM34*DL34</f>
        <v>342184.5</v>
      </c>
      <c r="DO34" s="108">
        <f t="shared" ref="DO34:DO48" si="351">IFERROR(IF(EXACT(VLOOKUP(DH34,OFERTA_0,1,FALSE),DH34),1,0),0)</f>
        <v>1</v>
      </c>
      <c r="DP34" s="108">
        <f t="shared" ref="DP34:DP48" si="352">IFERROR(IF(EXACT(VLOOKUP(DH34,OFERTA_0,3,FALSE),DJ34),1,0),0)</f>
        <v>1</v>
      </c>
      <c r="DQ34" s="108">
        <f t="shared" ref="DQ34:DQ48" si="353">IFERROR(IF(EXACT(VLOOKUP(DH34,OFERTA_0,4,FALSE),DK34),1,0),0)</f>
        <v>1</v>
      </c>
      <c r="DR34" s="108">
        <f t="shared" ref="DR34:DR48" si="354">IFERROR(IF(EXACT(VLOOKUP(DH34,OFERTA_0,5,FALSE),DL34),1,0),0)</f>
        <v>1</v>
      </c>
      <c r="DS34" s="108">
        <f t="shared" ref="DS34:DS48" si="355">IFERROR(IF(DM34&lt;=0,0,1),0)</f>
        <v>1</v>
      </c>
      <c r="DT34" s="108">
        <f t="shared" ref="DT34:DT48" si="356">IFERROR(IF(DN34&lt;=0,0,1),0)</f>
        <v>1</v>
      </c>
      <c r="DU34" s="108">
        <f t="shared" ref="DU34:DU48" si="357">PRODUCT(DO34:DT34)</f>
        <v>1</v>
      </c>
      <c r="DV34" s="109">
        <f t="shared" ref="DV34:DV48" si="358">ROUND(DN34,0)</f>
        <v>342185</v>
      </c>
      <c r="DW34" s="110">
        <f t="shared" ref="DW34:DW48" si="359">DN34-DV34</f>
        <v>-0.5</v>
      </c>
      <c r="DY34" s="319">
        <v>3.1</v>
      </c>
      <c r="DZ34" s="319" t="s">
        <v>180</v>
      </c>
      <c r="EA34" s="360" t="s">
        <v>276</v>
      </c>
      <c r="EB34" s="321" t="s">
        <v>184</v>
      </c>
      <c r="EC34" s="325">
        <v>8.5</v>
      </c>
      <c r="ED34" s="323">
        <v>18000</v>
      </c>
      <c r="EE34" s="324">
        <f t="shared" ref="EE34:EE48" si="360">ED34*EC34</f>
        <v>153000</v>
      </c>
      <c r="EF34" s="108">
        <f t="shared" ref="EF34:EF48" si="361">IFERROR(IF(EXACT(VLOOKUP(DY34,OFERTA_0,1,FALSE),DY34),1,0),0)</f>
        <v>1</v>
      </c>
      <c r="EG34" s="108">
        <f t="shared" ref="EG34:EG48" si="362">IFERROR(IF(EXACT(VLOOKUP(DY34,OFERTA_0,3,FALSE),EA34),1,0),0)</f>
        <v>1</v>
      </c>
      <c r="EH34" s="108">
        <f t="shared" ref="EH34:EH48" si="363">IFERROR(IF(EXACT(VLOOKUP(DY34,OFERTA_0,4,FALSE),EB34),1,0),0)</f>
        <v>1</v>
      </c>
      <c r="EI34" s="108">
        <f t="shared" ref="EI34:EI48" si="364">IFERROR(IF(EXACT(VLOOKUP(DY34,OFERTA_0,5,FALSE),EC34),1,0),0)</f>
        <v>1</v>
      </c>
      <c r="EJ34" s="108">
        <f t="shared" ref="EJ34:EJ48" si="365">IFERROR(IF(ED34&lt;=0,0,1),0)</f>
        <v>1</v>
      </c>
      <c r="EK34" s="108">
        <f t="shared" ref="EK34:EK48" si="366">IFERROR(IF(EE34&lt;=0,0,1),0)</f>
        <v>1</v>
      </c>
      <c r="EL34" s="108">
        <f t="shared" ref="EL34:EL48" si="367">PRODUCT(EF34:EK34)</f>
        <v>1</v>
      </c>
      <c r="EM34" s="109">
        <f t="shared" ref="EM34:EM48" si="368">ROUND(EE34,0)</f>
        <v>153000</v>
      </c>
      <c r="EN34" s="110">
        <f t="shared" ref="EN34:EN48" si="369">EE34-EM34</f>
        <v>0</v>
      </c>
      <c r="EP34" s="319">
        <v>3.1</v>
      </c>
      <c r="EQ34" s="319" t="s">
        <v>180</v>
      </c>
      <c r="ER34" s="334" t="s">
        <v>276</v>
      </c>
      <c r="ES34" s="321" t="s">
        <v>184</v>
      </c>
      <c r="ET34" s="325">
        <v>8.5</v>
      </c>
      <c r="EU34" s="323">
        <v>33200</v>
      </c>
      <c r="EV34" s="324">
        <f t="shared" ref="EV34:EV48" si="370">EU34*ET34</f>
        <v>282200</v>
      </c>
      <c r="EW34" s="108">
        <f t="shared" ref="EW34:EW48" si="371">IFERROR(IF(EXACT(VLOOKUP(EP34,OFERTA_0,1,FALSE),EP34),1,0),0)</f>
        <v>1</v>
      </c>
      <c r="EX34" s="108">
        <f t="shared" ref="EX34:EX48" si="372">IFERROR(IF(EXACT(VLOOKUP(EP34,OFERTA_0,3,FALSE),ER34),1,0),0)</f>
        <v>1</v>
      </c>
      <c r="EY34" s="108">
        <f t="shared" ref="EY34:EY48" si="373">IFERROR(IF(EXACT(VLOOKUP(EP34,OFERTA_0,4,FALSE),ES34),1,0),0)</f>
        <v>1</v>
      </c>
      <c r="EZ34" s="108">
        <f t="shared" ref="EZ34:EZ48" si="374">IFERROR(IF(EXACT(VLOOKUP(EP34,OFERTA_0,5,FALSE),ET34),1,0),0)</f>
        <v>1</v>
      </c>
      <c r="FA34" s="108">
        <f t="shared" ref="FA34:FA48" si="375">IFERROR(IF(EU34&lt;=0,0,1),0)</f>
        <v>1</v>
      </c>
      <c r="FB34" s="108">
        <f t="shared" ref="FB34:FB48" si="376">IFERROR(IF(EV34&lt;=0,0,1),0)</f>
        <v>1</v>
      </c>
      <c r="FC34" s="108">
        <f t="shared" ref="FC34:FC48" si="377">PRODUCT(EW34:FB34)</f>
        <v>1</v>
      </c>
      <c r="FD34" s="109">
        <f t="shared" ref="FD34:FD48" si="378">ROUND(EV34,0)</f>
        <v>282200</v>
      </c>
      <c r="FE34" s="110">
        <f t="shared" ref="FE34:FE48" si="379">EV34-FD34</f>
        <v>0</v>
      </c>
      <c r="FG34" s="319">
        <v>3.1</v>
      </c>
      <c r="FH34" s="319" t="s">
        <v>180</v>
      </c>
      <c r="FI34" s="360" t="s">
        <v>276</v>
      </c>
      <c r="FJ34" s="321" t="s">
        <v>184</v>
      </c>
      <c r="FK34" s="325">
        <v>8.5</v>
      </c>
      <c r="FL34" s="323">
        <v>40260</v>
      </c>
      <c r="FM34" s="324">
        <f t="shared" ref="FM34:FM48" si="380">FL34*FK34</f>
        <v>342210</v>
      </c>
      <c r="FN34" s="108">
        <f t="shared" ref="FN34:FN48" si="381">IFERROR(IF(EXACT(VLOOKUP(FG34,OFERTA_0,1,FALSE),FG34),1,0),0)</f>
        <v>1</v>
      </c>
      <c r="FO34" s="108">
        <f t="shared" ref="FO34:FO48" si="382">IFERROR(IF(EXACT(VLOOKUP(FG34,OFERTA_0,3,FALSE),FI34),1,0),0)</f>
        <v>1</v>
      </c>
      <c r="FP34" s="108">
        <f t="shared" ref="FP34:FP48" si="383">IFERROR(IF(EXACT(VLOOKUP(FG34,OFERTA_0,4,FALSE),FJ34),1,0),0)</f>
        <v>1</v>
      </c>
      <c r="FQ34" s="108">
        <f t="shared" ref="FQ34:FQ48" si="384">IFERROR(IF(EXACT(VLOOKUP(FG34,OFERTA_0,5,FALSE),FK34),1,0),0)</f>
        <v>1</v>
      </c>
      <c r="FR34" s="108">
        <f t="shared" ref="FR34:FR48" si="385">IFERROR(IF(FL34&lt;=0,0,1),0)</f>
        <v>1</v>
      </c>
      <c r="FS34" s="108">
        <f t="shared" ref="FS34:FS48" si="386">IFERROR(IF(FM34&lt;=0,0,1),0)</f>
        <v>1</v>
      </c>
      <c r="FT34" s="108">
        <f t="shared" ref="FT34:FT48" si="387">PRODUCT(FN34:FS34)</f>
        <v>1</v>
      </c>
      <c r="FU34" s="109">
        <f t="shared" ref="FU34:FU48" si="388">ROUND(FM34,0)</f>
        <v>342210</v>
      </c>
      <c r="FV34" s="110">
        <f t="shared" ref="FV34:FV48" si="389">FM34-FU34</f>
        <v>0</v>
      </c>
      <c r="FX34" s="319">
        <v>3.1</v>
      </c>
      <c r="FY34" s="319" t="s">
        <v>180</v>
      </c>
      <c r="FZ34" s="334" t="s">
        <v>276</v>
      </c>
      <c r="GA34" s="321" t="s">
        <v>184</v>
      </c>
      <c r="GB34" s="325">
        <v>8.5</v>
      </c>
      <c r="GC34" s="323">
        <v>35000</v>
      </c>
      <c r="GD34" s="324">
        <f t="shared" ref="GD34:GD48" si="390">GC34*GB34</f>
        <v>297500</v>
      </c>
      <c r="GE34" s="108">
        <f t="shared" ref="GE34:GE48" si="391">IFERROR(IF(EXACT(VLOOKUP(FX34,OFERTA_0,1,FALSE),FX34),1,0),0)</f>
        <v>1</v>
      </c>
      <c r="GF34" s="108">
        <f t="shared" ref="GF34:GF48" si="392">IFERROR(IF(EXACT(VLOOKUP(FX34,OFERTA_0,3,FALSE),FZ34),1,0),0)</f>
        <v>1</v>
      </c>
      <c r="GG34" s="108">
        <f t="shared" ref="GG34:GG48" si="393">IFERROR(IF(EXACT(VLOOKUP(FX34,OFERTA_0,4,FALSE),GA34),1,0),0)</f>
        <v>1</v>
      </c>
      <c r="GH34" s="108">
        <f t="shared" ref="GH34:GH48" si="394">IFERROR(IF(EXACT(VLOOKUP(FX34,OFERTA_0,5,FALSE),GB34),1,0),0)</f>
        <v>1</v>
      </c>
      <c r="GI34" s="108">
        <f t="shared" ref="GI34:GI48" si="395">IFERROR(IF(GC34&lt;=0,0,1),0)</f>
        <v>1</v>
      </c>
      <c r="GJ34" s="108">
        <f t="shared" ref="GJ34:GJ48" si="396">IFERROR(IF(GD34&lt;=0,0,1),0)</f>
        <v>1</v>
      </c>
      <c r="GK34" s="108">
        <f t="shared" ref="GK34:GK48" si="397">PRODUCT(GE34:GJ34)</f>
        <v>1</v>
      </c>
      <c r="GL34" s="109">
        <f t="shared" ref="GL34:GL48" si="398">ROUND(GD34,0)</f>
        <v>297500</v>
      </c>
      <c r="GM34" s="110">
        <f t="shared" ref="GM34:GM48" si="399">GD34-GL34</f>
        <v>0</v>
      </c>
      <c r="GO34" s="319">
        <v>3.1</v>
      </c>
      <c r="GP34" s="319" t="s">
        <v>180</v>
      </c>
      <c r="GQ34" s="334" t="s">
        <v>276</v>
      </c>
      <c r="GR34" s="321" t="s">
        <v>184</v>
      </c>
      <c r="GS34" s="325">
        <v>8.5</v>
      </c>
      <c r="GT34" s="323">
        <v>25000</v>
      </c>
      <c r="GU34" s="324">
        <v>212500</v>
      </c>
      <c r="GV34" s="108">
        <f t="shared" ref="GV34:GV48" si="400">IFERROR(IF(EXACT(VLOOKUP(GO34,OFERTA_0,1,FALSE),GO34),1,0),0)</f>
        <v>1</v>
      </c>
      <c r="GW34" s="108">
        <f t="shared" ref="GW34:GW48" si="401">IFERROR(IF(EXACT(VLOOKUP(GO34,OFERTA_0,3,FALSE),GQ34),1,0),0)</f>
        <v>1</v>
      </c>
      <c r="GX34" s="108">
        <f t="shared" ref="GX34:GX48" si="402">IFERROR(IF(EXACT(VLOOKUP(GO34,OFERTA_0,4,FALSE),GR34),1,0),0)</f>
        <v>1</v>
      </c>
      <c r="GY34" s="108">
        <f t="shared" ref="GY34:GY48" si="403">IFERROR(IF(EXACT(VLOOKUP(GO34,OFERTA_0,5,FALSE),GS34),1,0),0)</f>
        <v>1</v>
      </c>
      <c r="GZ34" s="108">
        <f t="shared" ref="GZ34:GZ48" si="404">IFERROR(IF(GT34&lt;=0,0,1),0)</f>
        <v>1</v>
      </c>
      <c r="HA34" s="108">
        <f t="shared" ref="HA34:HA48" si="405">IFERROR(IF(GU34&lt;=0,0,1),0)</f>
        <v>1</v>
      </c>
      <c r="HB34" s="108">
        <f t="shared" ref="HB34:HB48" si="406">PRODUCT(GV34:HA34)</f>
        <v>1</v>
      </c>
      <c r="HC34" s="109">
        <f t="shared" ref="HC34:HC48" si="407">ROUND(GU34,0)</f>
        <v>212500</v>
      </c>
      <c r="HD34" s="110">
        <f t="shared" ref="HD34:HD48" si="408">GU34-HC34</f>
        <v>0</v>
      </c>
      <c r="HF34" s="319">
        <v>3.1</v>
      </c>
      <c r="HG34" s="319" t="s">
        <v>180</v>
      </c>
      <c r="HH34" s="334" t="s">
        <v>276</v>
      </c>
      <c r="HI34" s="321" t="s">
        <v>184</v>
      </c>
      <c r="HJ34" s="325">
        <v>8.5</v>
      </c>
      <c r="HK34" s="323">
        <v>32000</v>
      </c>
      <c r="HL34" s="324">
        <f t="shared" ref="HL34:HL48" si="409">HK34*HJ34</f>
        <v>272000</v>
      </c>
      <c r="HM34" s="108">
        <f t="shared" ref="HM34:HM48" si="410">IFERROR(IF(EXACT(VLOOKUP(HF34,OFERTA_0,1,FALSE),HF34),1,0),0)</f>
        <v>1</v>
      </c>
      <c r="HN34" s="108">
        <f t="shared" ref="HN34:HN48" si="411">IFERROR(IF(EXACT(VLOOKUP(HF34,OFERTA_0,3,FALSE),HH34),1,0),0)</f>
        <v>1</v>
      </c>
      <c r="HO34" s="108">
        <f t="shared" ref="HO34:HO48" si="412">IFERROR(IF(EXACT(VLOOKUP(HF34,OFERTA_0,4,FALSE),HI34),1,0),0)</f>
        <v>1</v>
      </c>
      <c r="HP34" s="108">
        <f t="shared" ref="HP34:HP48" si="413">IFERROR(IF(EXACT(VLOOKUP(HF34,OFERTA_0,5,FALSE),HJ34),1,0),0)</f>
        <v>1</v>
      </c>
      <c r="HQ34" s="108">
        <f t="shared" ref="HQ34:HQ48" si="414">IFERROR(IF(HK34&lt;=0,0,1),0)</f>
        <v>1</v>
      </c>
      <c r="HR34" s="108">
        <f t="shared" ref="HR34:HR48" si="415">IFERROR(IF(HL34&lt;=0,0,1),0)</f>
        <v>1</v>
      </c>
      <c r="HS34" s="108">
        <f t="shared" ref="HS34:HS48" si="416">PRODUCT(HM34:HR34)</f>
        <v>1</v>
      </c>
      <c r="HT34" s="109">
        <f t="shared" ref="HT34:HT48" si="417">ROUND(HL34,0)</f>
        <v>272000</v>
      </c>
      <c r="HU34" s="110">
        <f t="shared" ref="HU34:HU48" si="418">HL34-HT34</f>
        <v>0</v>
      </c>
      <c r="HW34" s="319">
        <v>3.1</v>
      </c>
      <c r="HX34" s="319" t="s">
        <v>180</v>
      </c>
      <c r="HY34" s="334" t="s">
        <v>276</v>
      </c>
      <c r="HZ34" s="321" t="s">
        <v>184</v>
      </c>
      <c r="IA34" s="325">
        <v>8.5</v>
      </c>
      <c r="IB34" s="323">
        <v>15000</v>
      </c>
      <c r="IC34" s="324">
        <f t="shared" ref="IC34:IC48" si="419">IB34*IA34</f>
        <v>127500</v>
      </c>
      <c r="ID34" s="108">
        <f t="shared" ref="ID34:ID48" si="420">IFERROR(IF(EXACT(VLOOKUP(HW34,OFERTA_0,1,FALSE),HW34),1,0),0)</f>
        <v>1</v>
      </c>
      <c r="IE34" s="108">
        <f t="shared" ref="IE34:IE48" si="421">IFERROR(IF(EXACT(VLOOKUP(HW34,OFERTA_0,3,FALSE),HY34),1,0),0)</f>
        <v>1</v>
      </c>
      <c r="IF34" s="108">
        <f t="shared" ref="IF34:IF48" si="422">IFERROR(IF(EXACT(VLOOKUP(HW34,OFERTA_0,4,FALSE),HZ34),1,0),0)</f>
        <v>1</v>
      </c>
      <c r="IG34" s="108">
        <f t="shared" ref="IG34:IG48" si="423">IFERROR(IF(EXACT(VLOOKUP(HW34,OFERTA_0,5,FALSE),IA34),1,0),0)</f>
        <v>1</v>
      </c>
      <c r="IH34" s="108">
        <f t="shared" ref="IH34:IH48" si="424">IFERROR(IF(IB34&lt;=0,0,1),0)</f>
        <v>1</v>
      </c>
      <c r="II34" s="108">
        <f t="shared" ref="II34:II48" si="425">IFERROR(IF(IC34&lt;=0,0,1),0)</f>
        <v>1</v>
      </c>
      <c r="IJ34" s="108">
        <f t="shared" ref="IJ34:IJ48" si="426">PRODUCT(ID34:II34)</f>
        <v>1</v>
      </c>
      <c r="IK34" s="109">
        <f t="shared" ref="IK34:IK48" si="427">ROUND(IC34,0)</f>
        <v>127500</v>
      </c>
      <c r="IL34" s="110">
        <f t="shared" ref="IL34:IL48" si="428">IC34-IK34</f>
        <v>0</v>
      </c>
    </row>
    <row r="35" spans="1:246" s="213" customFormat="1" ht="114.75" customHeight="1" x14ac:dyDescent="0.25">
      <c r="A35" s="211"/>
      <c r="B35" s="319">
        <v>3.2</v>
      </c>
      <c r="C35" s="319" t="s">
        <v>180</v>
      </c>
      <c r="D35" s="334" t="s">
        <v>277</v>
      </c>
      <c r="E35" s="321" t="s">
        <v>184</v>
      </c>
      <c r="F35" s="325">
        <v>8.5</v>
      </c>
      <c r="G35" s="323">
        <v>0</v>
      </c>
      <c r="H35" s="324">
        <f t="shared" si="292"/>
        <v>0</v>
      </c>
      <c r="J35" s="319">
        <v>3.2</v>
      </c>
      <c r="K35" s="319" t="s">
        <v>180</v>
      </c>
      <c r="L35" s="334" t="s">
        <v>277</v>
      </c>
      <c r="M35" s="321" t="s">
        <v>184</v>
      </c>
      <c r="N35" s="325">
        <v>8.5</v>
      </c>
      <c r="O35" s="323">
        <v>37603</v>
      </c>
      <c r="P35" s="324">
        <v>319626</v>
      </c>
      <c r="Q35" s="108">
        <f t="shared" si="293"/>
        <v>1</v>
      </c>
      <c r="R35" s="108">
        <f t="shared" si="294"/>
        <v>1</v>
      </c>
      <c r="S35" s="108">
        <f t="shared" si="295"/>
        <v>1</v>
      </c>
      <c r="T35" s="108">
        <f t="shared" si="296"/>
        <v>1</v>
      </c>
      <c r="U35" s="108">
        <f t="shared" si="297"/>
        <v>1</v>
      </c>
      <c r="V35" s="108">
        <f t="shared" si="298"/>
        <v>1</v>
      </c>
      <c r="W35" s="108">
        <f t="shared" si="299"/>
        <v>1</v>
      </c>
      <c r="X35" s="109">
        <f t="shared" si="300"/>
        <v>319626</v>
      </c>
      <c r="Y35" s="110">
        <f t="shared" si="301"/>
        <v>0</v>
      </c>
      <c r="AA35" s="319">
        <v>3.2</v>
      </c>
      <c r="AB35" s="319" t="s">
        <v>180</v>
      </c>
      <c r="AC35" s="334" t="s">
        <v>277</v>
      </c>
      <c r="AD35" s="321" t="s">
        <v>184</v>
      </c>
      <c r="AE35" s="325">
        <v>8.5</v>
      </c>
      <c r="AF35" s="323">
        <v>37500</v>
      </c>
      <c r="AG35" s="324">
        <v>318750</v>
      </c>
      <c r="AH35" s="108">
        <f t="shared" si="302"/>
        <v>1</v>
      </c>
      <c r="AI35" s="108">
        <f t="shared" si="303"/>
        <v>1</v>
      </c>
      <c r="AJ35" s="108">
        <f t="shared" si="304"/>
        <v>1</v>
      </c>
      <c r="AK35" s="108">
        <f t="shared" si="305"/>
        <v>1</v>
      </c>
      <c r="AL35" s="108">
        <f t="shared" si="306"/>
        <v>1</v>
      </c>
      <c r="AM35" s="108">
        <f t="shared" si="307"/>
        <v>1</v>
      </c>
      <c r="AN35" s="108">
        <f t="shared" si="308"/>
        <v>1</v>
      </c>
      <c r="AO35" s="109">
        <f t="shared" si="309"/>
        <v>318750</v>
      </c>
      <c r="AP35" s="110">
        <f t="shared" si="310"/>
        <v>0</v>
      </c>
      <c r="AR35" s="319">
        <v>3.2</v>
      </c>
      <c r="AS35" s="319" t="s">
        <v>180</v>
      </c>
      <c r="AT35" s="334" t="s">
        <v>277</v>
      </c>
      <c r="AU35" s="321" t="s">
        <v>184</v>
      </c>
      <c r="AV35" s="325">
        <v>8.5</v>
      </c>
      <c r="AW35" s="323">
        <v>29100</v>
      </c>
      <c r="AX35" s="324">
        <v>247350</v>
      </c>
      <c r="AY35" s="108">
        <f t="shared" si="311"/>
        <v>1</v>
      </c>
      <c r="AZ35" s="108">
        <f t="shared" si="312"/>
        <v>1</v>
      </c>
      <c r="BA35" s="108">
        <f t="shared" si="313"/>
        <v>1</v>
      </c>
      <c r="BB35" s="108">
        <f t="shared" si="314"/>
        <v>1</v>
      </c>
      <c r="BC35" s="108">
        <f t="shared" si="315"/>
        <v>1</v>
      </c>
      <c r="BD35" s="108">
        <f t="shared" si="316"/>
        <v>1</v>
      </c>
      <c r="BE35" s="108">
        <f t="shared" si="317"/>
        <v>1</v>
      </c>
      <c r="BF35" s="109">
        <f t="shared" si="318"/>
        <v>247350</v>
      </c>
      <c r="BG35" s="110">
        <f t="shared" si="319"/>
        <v>0</v>
      </c>
      <c r="BI35" s="319">
        <v>3.2</v>
      </c>
      <c r="BJ35" s="319" t="s">
        <v>180</v>
      </c>
      <c r="BK35" s="334" t="s">
        <v>277</v>
      </c>
      <c r="BL35" s="321" t="s">
        <v>184</v>
      </c>
      <c r="BM35" s="325">
        <v>8.5</v>
      </c>
      <c r="BN35" s="323">
        <v>25102</v>
      </c>
      <c r="BO35" s="324">
        <f t="shared" si="320"/>
        <v>213367</v>
      </c>
      <c r="BP35" s="108">
        <f t="shared" si="321"/>
        <v>1</v>
      </c>
      <c r="BQ35" s="108">
        <f t="shared" si="322"/>
        <v>1</v>
      </c>
      <c r="BR35" s="108">
        <f t="shared" si="323"/>
        <v>1</v>
      </c>
      <c r="BS35" s="108">
        <f t="shared" si="324"/>
        <v>1</v>
      </c>
      <c r="BT35" s="108">
        <f t="shared" si="325"/>
        <v>1</v>
      </c>
      <c r="BU35" s="108">
        <f t="shared" si="326"/>
        <v>1</v>
      </c>
      <c r="BV35" s="108">
        <f t="shared" si="327"/>
        <v>1</v>
      </c>
      <c r="BW35" s="109">
        <f t="shared" si="328"/>
        <v>213367</v>
      </c>
      <c r="BX35" s="110">
        <f t="shared" si="329"/>
        <v>0</v>
      </c>
      <c r="BZ35" s="319">
        <v>3.2</v>
      </c>
      <c r="CA35" s="319" t="s">
        <v>180</v>
      </c>
      <c r="CB35" s="334" t="s">
        <v>277</v>
      </c>
      <c r="CC35" s="321" t="s">
        <v>184</v>
      </c>
      <c r="CD35" s="325">
        <v>8.5</v>
      </c>
      <c r="CE35" s="323">
        <v>79000</v>
      </c>
      <c r="CF35" s="324">
        <f t="shared" si="330"/>
        <v>671500</v>
      </c>
      <c r="CG35" s="108">
        <f t="shared" si="331"/>
        <v>1</v>
      </c>
      <c r="CH35" s="108">
        <f t="shared" si="332"/>
        <v>1</v>
      </c>
      <c r="CI35" s="108">
        <f t="shared" si="333"/>
        <v>1</v>
      </c>
      <c r="CJ35" s="108">
        <f t="shared" si="334"/>
        <v>1</v>
      </c>
      <c r="CK35" s="108">
        <f t="shared" si="335"/>
        <v>1</v>
      </c>
      <c r="CL35" s="108">
        <f t="shared" si="336"/>
        <v>1</v>
      </c>
      <c r="CM35" s="108">
        <f t="shared" si="337"/>
        <v>1</v>
      </c>
      <c r="CN35" s="109">
        <f t="shared" si="338"/>
        <v>671500</v>
      </c>
      <c r="CO35" s="110">
        <f t="shared" si="339"/>
        <v>0</v>
      </c>
      <c r="CQ35" s="319">
        <v>3.2</v>
      </c>
      <c r="CR35" s="319" t="s">
        <v>180</v>
      </c>
      <c r="CS35" s="334" t="s">
        <v>277</v>
      </c>
      <c r="CT35" s="321" t="s">
        <v>184</v>
      </c>
      <c r="CU35" s="325">
        <v>8.5</v>
      </c>
      <c r="CV35" s="323">
        <v>24000</v>
      </c>
      <c r="CW35" s="324">
        <f t="shared" si="340"/>
        <v>204000</v>
      </c>
      <c r="CX35" s="108">
        <f t="shared" si="341"/>
        <v>1</v>
      </c>
      <c r="CY35" s="108">
        <f t="shared" si="342"/>
        <v>1</v>
      </c>
      <c r="CZ35" s="108">
        <f t="shared" si="343"/>
        <v>1</v>
      </c>
      <c r="DA35" s="108">
        <f t="shared" si="344"/>
        <v>1</v>
      </c>
      <c r="DB35" s="108">
        <f t="shared" si="345"/>
        <v>1</v>
      </c>
      <c r="DC35" s="108">
        <f t="shared" si="346"/>
        <v>1</v>
      </c>
      <c r="DD35" s="108">
        <f t="shared" si="347"/>
        <v>1</v>
      </c>
      <c r="DE35" s="109">
        <f t="shared" si="348"/>
        <v>204000</v>
      </c>
      <c r="DF35" s="110">
        <f t="shared" si="349"/>
        <v>0</v>
      </c>
      <c r="DH35" s="319">
        <v>3.2</v>
      </c>
      <c r="DI35" s="319" t="s">
        <v>180</v>
      </c>
      <c r="DJ35" s="360" t="s">
        <v>277</v>
      </c>
      <c r="DK35" s="321" t="s">
        <v>184</v>
      </c>
      <c r="DL35" s="325">
        <v>8.5</v>
      </c>
      <c r="DM35" s="323">
        <v>41398</v>
      </c>
      <c r="DN35" s="324">
        <f t="shared" si="350"/>
        <v>351883</v>
      </c>
      <c r="DO35" s="108">
        <f t="shared" si="351"/>
        <v>1</v>
      </c>
      <c r="DP35" s="108">
        <f t="shared" si="352"/>
        <v>1</v>
      </c>
      <c r="DQ35" s="108">
        <f t="shared" si="353"/>
        <v>1</v>
      </c>
      <c r="DR35" s="108">
        <f t="shared" si="354"/>
        <v>1</v>
      </c>
      <c r="DS35" s="108">
        <f t="shared" si="355"/>
        <v>1</v>
      </c>
      <c r="DT35" s="108">
        <f t="shared" si="356"/>
        <v>1</v>
      </c>
      <c r="DU35" s="108">
        <f t="shared" si="357"/>
        <v>1</v>
      </c>
      <c r="DV35" s="109">
        <f t="shared" si="358"/>
        <v>351883</v>
      </c>
      <c r="DW35" s="110">
        <f t="shared" si="359"/>
        <v>0</v>
      </c>
      <c r="DY35" s="319">
        <v>3.2</v>
      </c>
      <c r="DZ35" s="319" t="s">
        <v>180</v>
      </c>
      <c r="EA35" s="360" t="s">
        <v>277</v>
      </c>
      <c r="EB35" s="321" t="s">
        <v>184</v>
      </c>
      <c r="EC35" s="325">
        <v>8.5</v>
      </c>
      <c r="ED35" s="323">
        <v>18000</v>
      </c>
      <c r="EE35" s="324">
        <f t="shared" si="360"/>
        <v>153000</v>
      </c>
      <c r="EF35" s="108">
        <f t="shared" si="361"/>
        <v>1</v>
      </c>
      <c r="EG35" s="108">
        <f t="shared" si="362"/>
        <v>1</v>
      </c>
      <c r="EH35" s="108">
        <f t="shared" si="363"/>
        <v>1</v>
      </c>
      <c r="EI35" s="108">
        <f t="shared" si="364"/>
        <v>1</v>
      </c>
      <c r="EJ35" s="108">
        <f t="shared" si="365"/>
        <v>1</v>
      </c>
      <c r="EK35" s="108">
        <f t="shared" si="366"/>
        <v>1</v>
      </c>
      <c r="EL35" s="108">
        <f t="shared" si="367"/>
        <v>1</v>
      </c>
      <c r="EM35" s="109">
        <f t="shared" si="368"/>
        <v>153000</v>
      </c>
      <c r="EN35" s="110">
        <f t="shared" si="369"/>
        <v>0</v>
      </c>
      <c r="EP35" s="319">
        <v>3.2</v>
      </c>
      <c r="EQ35" s="319" t="s">
        <v>180</v>
      </c>
      <c r="ER35" s="334" t="s">
        <v>277</v>
      </c>
      <c r="ES35" s="321" t="s">
        <v>184</v>
      </c>
      <c r="ET35" s="325">
        <v>8.5</v>
      </c>
      <c r="EU35" s="323">
        <v>35200</v>
      </c>
      <c r="EV35" s="324">
        <f t="shared" si="370"/>
        <v>299200</v>
      </c>
      <c r="EW35" s="108">
        <f t="shared" si="371"/>
        <v>1</v>
      </c>
      <c r="EX35" s="108">
        <f t="shared" si="372"/>
        <v>1</v>
      </c>
      <c r="EY35" s="108">
        <f t="shared" si="373"/>
        <v>1</v>
      </c>
      <c r="EZ35" s="108">
        <f t="shared" si="374"/>
        <v>1</v>
      </c>
      <c r="FA35" s="108">
        <f t="shared" si="375"/>
        <v>1</v>
      </c>
      <c r="FB35" s="108">
        <f t="shared" si="376"/>
        <v>1</v>
      </c>
      <c r="FC35" s="108">
        <f t="shared" si="377"/>
        <v>1</v>
      </c>
      <c r="FD35" s="109">
        <f t="shared" si="378"/>
        <v>299200</v>
      </c>
      <c r="FE35" s="110">
        <f t="shared" si="379"/>
        <v>0</v>
      </c>
      <c r="FG35" s="319">
        <v>3.2</v>
      </c>
      <c r="FH35" s="319" t="s">
        <v>180</v>
      </c>
      <c r="FI35" s="360" t="s">
        <v>277</v>
      </c>
      <c r="FJ35" s="321" t="s">
        <v>184</v>
      </c>
      <c r="FK35" s="325">
        <v>8.5</v>
      </c>
      <c r="FL35" s="323">
        <v>41413</v>
      </c>
      <c r="FM35" s="324">
        <f t="shared" si="380"/>
        <v>352010.5</v>
      </c>
      <c r="FN35" s="108">
        <f t="shared" si="381"/>
        <v>1</v>
      </c>
      <c r="FO35" s="108">
        <f t="shared" si="382"/>
        <v>1</v>
      </c>
      <c r="FP35" s="108">
        <f t="shared" si="383"/>
        <v>1</v>
      </c>
      <c r="FQ35" s="108">
        <f t="shared" si="384"/>
        <v>1</v>
      </c>
      <c r="FR35" s="108">
        <f t="shared" si="385"/>
        <v>1</v>
      </c>
      <c r="FS35" s="108">
        <f t="shared" si="386"/>
        <v>1</v>
      </c>
      <c r="FT35" s="108">
        <f t="shared" si="387"/>
        <v>1</v>
      </c>
      <c r="FU35" s="109">
        <f t="shared" si="388"/>
        <v>352011</v>
      </c>
      <c r="FV35" s="110">
        <f t="shared" si="389"/>
        <v>-0.5</v>
      </c>
      <c r="FX35" s="319">
        <v>3.2</v>
      </c>
      <c r="FY35" s="319" t="s">
        <v>180</v>
      </c>
      <c r="FZ35" s="334" t="s">
        <v>277</v>
      </c>
      <c r="GA35" s="321" t="s">
        <v>184</v>
      </c>
      <c r="GB35" s="325">
        <v>8.5</v>
      </c>
      <c r="GC35" s="323">
        <v>35000</v>
      </c>
      <c r="GD35" s="324">
        <f t="shared" si="390"/>
        <v>297500</v>
      </c>
      <c r="GE35" s="108">
        <f t="shared" si="391"/>
        <v>1</v>
      </c>
      <c r="GF35" s="108">
        <f t="shared" si="392"/>
        <v>1</v>
      </c>
      <c r="GG35" s="108">
        <f t="shared" si="393"/>
        <v>1</v>
      </c>
      <c r="GH35" s="108">
        <f t="shared" si="394"/>
        <v>1</v>
      </c>
      <c r="GI35" s="108">
        <f t="shared" si="395"/>
        <v>1</v>
      </c>
      <c r="GJ35" s="108">
        <f t="shared" si="396"/>
        <v>1</v>
      </c>
      <c r="GK35" s="108">
        <f t="shared" si="397"/>
        <v>1</v>
      </c>
      <c r="GL35" s="109">
        <f t="shared" si="398"/>
        <v>297500</v>
      </c>
      <c r="GM35" s="110">
        <f t="shared" si="399"/>
        <v>0</v>
      </c>
      <c r="GO35" s="319">
        <v>3.2</v>
      </c>
      <c r="GP35" s="319" t="s">
        <v>180</v>
      </c>
      <c r="GQ35" s="334" t="s">
        <v>277</v>
      </c>
      <c r="GR35" s="321" t="s">
        <v>184</v>
      </c>
      <c r="GS35" s="325">
        <v>8.5</v>
      </c>
      <c r="GT35" s="323">
        <v>25000</v>
      </c>
      <c r="GU35" s="324">
        <v>212500</v>
      </c>
      <c r="GV35" s="108">
        <f t="shared" si="400"/>
        <v>1</v>
      </c>
      <c r="GW35" s="108">
        <f t="shared" si="401"/>
        <v>1</v>
      </c>
      <c r="GX35" s="108">
        <f t="shared" si="402"/>
        <v>1</v>
      </c>
      <c r="GY35" s="108">
        <f t="shared" si="403"/>
        <v>1</v>
      </c>
      <c r="GZ35" s="108">
        <f t="shared" si="404"/>
        <v>1</v>
      </c>
      <c r="HA35" s="108">
        <f t="shared" si="405"/>
        <v>1</v>
      </c>
      <c r="HB35" s="108">
        <f t="shared" si="406"/>
        <v>1</v>
      </c>
      <c r="HC35" s="109">
        <f t="shared" si="407"/>
        <v>212500</v>
      </c>
      <c r="HD35" s="110">
        <f t="shared" si="408"/>
        <v>0</v>
      </c>
      <c r="HF35" s="319">
        <v>3.2</v>
      </c>
      <c r="HG35" s="319" t="s">
        <v>180</v>
      </c>
      <c r="HH35" s="334" t="s">
        <v>277</v>
      </c>
      <c r="HI35" s="321" t="s">
        <v>184</v>
      </c>
      <c r="HJ35" s="325">
        <v>8.5</v>
      </c>
      <c r="HK35" s="323">
        <v>32000</v>
      </c>
      <c r="HL35" s="324">
        <f t="shared" si="409"/>
        <v>272000</v>
      </c>
      <c r="HM35" s="108">
        <f t="shared" si="410"/>
        <v>1</v>
      </c>
      <c r="HN35" s="108">
        <f t="shared" si="411"/>
        <v>1</v>
      </c>
      <c r="HO35" s="108">
        <f t="shared" si="412"/>
        <v>1</v>
      </c>
      <c r="HP35" s="108">
        <f t="shared" si="413"/>
        <v>1</v>
      </c>
      <c r="HQ35" s="108">
        <f t="shared" si="414"/>
        <v>1</v>
      </c>
      <c r="HR35" s="108">
        <f t="shared" si="415"/>
        <v>1</v>
      </c>
      <c r="HS35" s="108">
        <f t="shared" si="416"/>
        <v>1</v>
      </c>
      <c r="HT35" s="109">
        <f t="shared" si="417"/>
        <v>272000</v>
      </c>
      <c r="HU35" s="110">
        <f t="shared" si="418"/>
        <v>0</v>
      </c>
      <c r="HW35" s="319">
        <v>3.2</v>
      </c>
      <c r="HX35" s="319" t="s">
        <v>180</v>
      </c>
      <c r="HY35" s="334" t="s">
        <v>277</v>
      </c>
      <c r="HZ35" s="321" t="s">
        <v>184</v>
      </c>
      <c r="IA35" s="325">
        <v>8.5</v>
      </c>
      <c r="IB35" s="323">
        <v>15000</v>
      </c>
      <c r="IC35" s="324">
        <f t="shared" si="419"/>
        <v>127500</v>
      </c>
      <c r="ID35" s="108">
        <f t="shared" si="420"/>
        <v>1</v>
      </c>
      <c r="IE35" s="108">
        <f t="shared" si="421"/>
        <v>1</v>
      </c>
      <c r="IF35" s="108">
        <f t="shared" si="422"/>
        <v>1</v>
      </c>
      <c r="IG35" s="108">
        <f t="shared" si="423"/>
        <v>1</v>
      </c>
      <c r="IH35" s="108">
        <f t="shared" si="424"/>
        <v>1</v>
      </c>
      <c r="II35" s="108">
        <f t="shared" si="425"/>
        <v>1</v>
      </c>
      <c r="IJ35" s="108">
        <f t="shared" si="426"/>
        <v>1</v>
      </c>
      <c r="IK35" s="109">
        <f t="shared" si="427"/>
        <v>127500</v>
      </c>
      <c r="IL35" s="110">
        <f t="shared" si="428"/>
        <v>0</v>
      </c>
    </row>
    <row r="36" spans="1:246" s="213" customFormat="1" ht="139.5" customHeight="1" x14ac:dyDescent="0.25">
      <c r="A36" s="211"/>
      <c r="B36" s="319">
        <v>3.3</v>
      </c>
      <c r="C36" s="319" t="s">
        <v>180</v>
      </c>
      <c r="D36" s="334" t="s">
        <v>278</v>
      </c>
      <c r="E36" s="321" t="s">
        <v>183</v>
      </c>
      <c r="F36" s="325">
        <v>8.5</v>
      </c>
      <c r="G36" s="323">
        <v>0</v>
      </c>
      <c r="H36" s="324">
        <f t="shared" si="292"/>
        <v>0</v>
      </c>
      <c r="J36" s="319">
        <v>3.3</v>
      </c>
      <c r="K36" s="319" t="s">
        <v>180</v>
      </c>
      <c r="L36" s="334" t="s">
        <v>278</v>
      </c>
      <c r="M36" s="321" t="s">
        <v>183</v>
      </c>
      <c r="N36" s="325">
        <v>8.5</v>
      </c>
      <c r="O36" s="323">
        <v>323251</v>
      </c>
      <c r="P36" s="324">
        <v>2747634</v>
      </c>
      <c r="Q36" s="108">
        <f t="shared" si="293"/>
        <v>1</v>
      </c>
      <c r="R36" s="108">
        <f t="shared" si="294"/>
        <v>1</v>
      </c>
      <c r="S36" s="108">
        <f t="shared" si="295"/>
        <v>1</v>
      </c>
      <c r="T36" s="108">
        <f t="shared" si="296"/>
        <v>1</v>
      </c>
      <c r="U36" s="108">
        <f t="shared" si="297"/>
        <v>1</v>
      </c>
      <c r="V36" s="108">
        <f t="shared" si="298"/>
        <v>1</v>
      </c>
      <c r="W36" s="108">
        <f t="shared" si="299"/>
        <v>1</v>
      </c>
      <c r="X36" s="109">
        <f t="shared" si="300"/>
        <v>2747634</v>
      </c>
      <c r="Y36" s="110">
        <f t="shared" si="301"/>
        <v>0</v>
      </c>
      <c r="AA36" s="319">
        <v>3.3</v>
      </c>
      <c r="AB36" s="319" t="s">
        <v>180</v>
      </c>
      <c r="AC36" s="334" t="s">
        <v>278</v>
      </c>
      <c r="AD36" s="321" t="s">
        <v>183</v>
      </c>
      <c r="AE36" s="325">
        <v>8.5</v>
      </c>
      <c r="AF36" s="323">
        <v>525000</v>
      </c>
      <c r="AG36" s="324">
        <v>4462500</v>
      </c>
      <c r="AH36" s="108">
        <f t="shared" si="302"/>
        <v>1</v>
      </c>
      <c r="AI36" s="108">
        <f t="shared" si="303"/>
        <v>1</v>
      </c>
      <c r="AJ36" s="108">
        <f t="shared" si="304"/>
        <v>1</v>
      </c>
      <c r="AK36" s="108">
        <f t="shared" si="305"/>
        <v>1</v>
      </c>
      <c r="AL36" s="108">
        <f t="shared" si="306"/>
        <v>1</v>
      </c>
      <c r="AM36" s="108">
        <f t="shared" si="307"/>
        <v>1</v>
      </c>
      <c r="AN36" s="108">
        <f t="shared" si="308"/>
        <v>1</v>
      </c>
      <c r="AO36" s="109">
        <f t="shared" si="309"/>
        <v>4462500</v>
      </c>
      <c r="AP36" s="110">
        <f t="shared" si="310"/>
        <v>0</v>
      </c>
      <c r="AR36" s="319">
        <v>3.3</v>
      </c>
      <c r="AS36" s="319" t="s">
        <v>180</v>
      </c>
      <c r="AT36" s="334" t="s">
        <v>278</v>
      </c>
      <c r="AU36" s="321" t="s">
        <v>183</v>
      </c>
      <c r="AV36" s="325">
        <v>8.5</v>
      </c>
      <c r="AW36" s="323">
        <v>378300</v>
      </c>
      <c r="AX36" s="324">
        <v>3215550</v>
      </c>
      <c r="AY36" s="108">
        <f t="shared" si="311"/>
        <v>1</v>
      </c>
      <c r="AZ36" s="108">
        <f t="shared" si="312"/>
        <v>1</v>
      </c>
      <c r="BA36" s="108">
        <f t="shared" si="313"/>
        <v>1</v>
      </c>
      <c r="BB36" s="108">
        <f t="shared" si="314"/>
        <v>1</v>
      </c>
      <c r="BC36" s="108">
        <f t="shared" si="315"/>
        <v>1</v>
      </c>
      <c r="BD36" s="108">
        <f t="shared" si="316"/>
        <v>1</v>
      </c>
      <c r="BE36" s="108">
        <f t="shared" si="317"/>
        <v>1</v>
      </c>
      <c r="BF36" s="109">
        <f t="shared" si="318"/>
        <v>3215550</v>
      </c>
      <c r="BG36" s="110">
        <f t="shared" si="319"/>
        <v>0</v>
      </c>
      <c r="BI36" s="319">
        <v>3.3</v>
      </c>
      <c r="BJ36" s="319" t="s">
        <v>180</v>
      </c>
      <c r="BK36" s="334" t="s">
        <v>278</v>
      </c>
      <c r="BL36" s="321" t="s">
        <v>183</v>
      </c>
      <c r="BM36" s="325">
        <v>8.5</v>
      </c>
      <c r="BN36" s="323">
        <v>25102</v>
      </c>
      <c r="BO36" s="324">
        <f t="shared" si="320"/>
        <v>213367</v>
      </c>
      <c r="BP36" s="108">
        <f t="shared" si="321"/>
        <v>1</v>
      </c>
      <c r="BQ36" s="108">
        <f t="shared" si="322"/>
        <v>1</v>
      </c>
      <c r="BR36" s="108">
        <f t="shared" si="323"/>
        <v>1</v>
      </c>
      <c r="BS36" s="108">
        <f t="shared" si="324"/>
        <v>1</v>
      </c>
      <c r="BT36" s="108">
        <f t="shared" si="325"/>
        <v>1</v>
      </c>
      <c r="BU36" s="108">
        <f t="shared" si="326"/>
        <v>1</v>
      </c>
      <c r="BV36" s="108">
        <f t="shared" si="327"/>
        <v>1</v>
      </c>
      <c r="BW36" s="109">
        <f t="shared" si="328"/>
        <v>213367</v>
      </c>
      <c r="BX36" s="110">
        <f t="shared" si="329"/>
        <v>0</v>
      </c>
      <c r="BZ36" s="319">
        <v>3.3</v>
      </c>
      <c r="CA36" s="319" t="s">
        <v>180</v>
      </c>
      <c r="CB36" s="334" t="s">
        <v>278</v>
      </c>
      <c r="CC36" s="321" t="s">
        <v>183</v>
      </c>
      <c r="CD36" s="325">
        <v>8.5</v>
      </c>
      <c r="CE36" s="323">
        <f>15*25000</f>
        <v>375000</v>
      </c>
      <c r="CF36" s="324">
        <f t="shared" si="330"/>
        <v>3187500</v>
      </c>
      <c r="CG36" s="108">
        <f t="shared" si="331"/>
        <v>1</v>
      </c>
      <c r="CH36" s="108">
        <f t="shared" si="332"/>
        <v>1</v>
      </c>
      <c r="CI36" s="108">
        <f t="shared" si="333"/>
        <v>1</v>
      </c>
      <c r="CJ36" s="108">
        <f t="shared" si="334"/>
        <v>1</v>
      </c>
      <c r="CK36" s="108">
        <f t="shared" si="335"/>
        <v>1</v>
      </c>
      <c r="CL36" s="108">
        <f t="shared" si="336"/>
        <v>1</v>
      </c>
      <c r="CM36" s="108">
        <f t="shared" si="337"/>
        <v>1</v>
      </c>
      <c r="CN36" s="109">
        <f t="shared" si="338"/>
        <v>3187500</v>
      </c>
      <c r="CO36" s="110">
        <f t="shared" si="339"/>
        <v>0</v>
      </c>
      <c r="CQ36" s="319">
        <v>3.3</v>
      </c>
      <c r="CR36" s="319" t="s">
        <v>180</v>
      </c>
      <c r="CS36" s="334" t="s">
        <v>278</v>
      </c>
      <c r="CT36" s="321" t="s">
        <v>183</v>
      </c>
      <c r="CU36" s="325">
        <v>8.5</v>
      </c>
      <c r="CV36" s="323">
        <v>115000</v>
      </c>
      <c r="CW36" s="324">
        <f t="shared" si="340"/>
        <v>977500</v>
      </c>
      <c r="CX36" s="108">
        <f t="shared" si="341"/>
        <v>1</v>
      </c>
      <c r="CY36" s="108">
        <f t="shared" si="342"/>
        <v>1</v>
      </c>
      <c r="CZ36" s="108">
        <f t="shared" si="343"/>
        <v>1</v>
      </c>
      <c r="DA36" s="108">
        <f t="shared" si="344"/>
        <v>1</v>
      </c>
      <c r="DB36" s="108">
        <f t="shared" si="345"/>
        <v>1</v>
      </c>
      <c r="DC36" s="108">
        <f t="shared" si="346"/>
        <v>1</v>
      </c>
      <c r="DD36" s="108">
        <f t="shared" si="347"/>
        <v>1</v>
      </c>
      <c r="DE36" s="109">
        <f t="shared" si="348"/>
        <v>977500</v>
      </c>
      <c r="DF36" s="110">
        <f t="shared" si="349"/>
        <v>0</v>
      </c>
      <c r="DH36" s="319">
        <v>3.3</v>
      </c>
      <c r="DI36" s="319" t="s">
        <v>180</v>
      </c>
      <c r="DJ36" s="360" t="s">
        <v>278</v>
      </c>
      <c r="DK36" s="321" t="s">
        <v>183</v>
      </c>
      <c r="DL36" s="325">
        <v>8.5</v>
      </c>
      <c r="DM36" s="323">
        <v>584900</v>
      </c>
      <c r="DN36" s="324">
        <f t="shared" si="350"/>
        <v>4971650</v>
      </c>
      <c r="DO36" s="108">
        <f t="shared" si="351"/>
        <v>1</v>
      </c>
      <c r="DP36" s="108">
        <f t="shared" si="352"/>
        <v>1</v>
      </c>
      <c r="DQ36" s="108">
        <f t="shared" si="353"/>
        <v>1</v>
      </c>
      <c r="DR36" s="108">
        <f t="shared" si="354"/>
        <v>1</v>
      </c>
      <c r="DS36" s="108">
        <f t="shared" si="355"/>
        <v>1</v>
      </c>
      <c r="DT36" s="108">
        <f t="shared" si="356"/>
        <v>1</v>
      </c>
      <c r="DU36" s="108">
        <f t="shared" si="357"/>
        <v>1</v>
      </c>
      <c r="DV36" s="109">
        <f t="shared" si="358"/>
        <v>4971650</v>
      </c>
      <c r="DW36" s="110">
        <f t="shared" si="359"/>
        <v>0</v>
      </c>
      <c r="DY36" s="319">
        <v>3.3</v>
      </c>
      <c r="DZ36" s="319" t="s">
        <v>180</v>
      </c>
      <c r="EA36" s="360" t="s">
        <v>278</v>
      </c>
      <c r="EB36" s="321" t="s">
        <v>183</v>
      </c>
      <c r="EC36" s="325">
        <v>8.5</v>
      </c>
      <c r="ED36" s="323">
        <v>250000</v>
      </c>
      <c r="EE36" s="324">
        <f t="shared" si="360"/>
        <v>2125000</v>
      </c>
      <c r="EF36" s="108">
        <f t="shared" si="361"/>
        <v>1</v>
      </c>
      <c r="EG36" s="108">
        <f t="shared" si="362"/>
        <v>1</v>
      </c>
      <c r="EH36" s="108">
        <f t="shared" si="363"/>
        <v>1</v>
      </c>
      <c r="EI36" s="108">
        <f t="shared" si="364"/>
        <v>1</v>
      </c>
      <c r="EJ36" s="108">
        <f t="shared" si="365"/>
        <v>1</v>
      </c>
      <c r="EK36" s="108">
        <f t="shared" si="366"/>
        <v>1</v>
      </c>
      <c r="EL36" s="108">
        <f t="shared" si="367"/>
        <v>1</v>
      </c>
      <c r="EM36" s="109">
        <f t="shared" si="368"/>
        <v>2125000</v>
      </c>
      <c r="EN36" s="110">
        <f t="shared" si="369"/>
        <v>0</v>
      </c>
      <c r="EP36" s="319">
        <v>3.3</v>
      </c>
      <c r="EQ36" s="319" t="s">
        <v>180</v>
      </c>
      <c r="ER36" s="334" t="s">
        <v>278</v>
      </c>
      <c r="ES36" s="321" t="s">
        <v>183</v>
      </c>
      <c r="ET36" s="325">
        <v>8.5</v>
      </c>
      <c r="EU36" s="323">
        <v>220000</v>
      </c>
      <c r="EV36" s="324">
        <f t="shared" si="370"/>
        <v>1870000</v>
      </c>
      <c r="EW36" s="108">
        <f t="shared" si="371"/>
        <v>1</v>
      </c>
      <c r="EX36" s="108">
        <f t="shared" si="372"/>
        <v>1</v>
      </c>
      <c r="EY36" s="108">
        <f t="shared" si="373"/>
        <v>1</v>
      </c>
      <c r="EZ36" s="108">
        <f t="shared" si="374"/>
        <v>1</v>
      </c>
      <c r="FA36" s="108">
        <f t="shared" si="375"/>
        <v>1</v>
      </c>
      <c r="FB36" s="108">
        <f t="shared" si="376"/>
        <v>1</v>
      </c>
      <c r="FC36" s="108">
        <f t="shared" si="377"/>
        <v>1</v>
      </c>
      <c r="FD36" s="109">
        <f t="shared" si="378"/>
        <v>1870000</v>
      </c>
      <c r="FE36" s="110">
        <f t="shared" si="379"/>
        <v>0</v>
      </c>
      <c r="FG36" s="319">
        <v>3.3</v>
      </c>
      <c r="FH36" s="319" t="s">
        <v>180</v>
      </c>
      <c r="FI36" s="360" t="s">
        <v>278</v>
      </c>
      <c r="FJ36" s="321" t="s">
        <v>183</v>
      </c>
      <c r="FK36" s="325">
        <v>8.5</v>
      </c>
      <c r="FL36" s="323">
        <v>584915</v>
      </c>
      <c r="FM36" s="324">
        <f t="shared" si="380"/>
        <v>4971777.5</v>
      </c>
      <c r="FN36" s="108">
        <f t="shared" si="381"/>
        <v>1</v>
      </c>
      <c r="FO36" s="108">
        <f t="shared" si="382"/>
        <v>1</v>
      </c>
      <c r="FP36" s="108">
        <f t="shared" si="383"/>
        <v>1</v>
      </c>
      <c r="FQ36" s="108">
        <f t="shared" si="384"/>
        <v>1</v>
      </c>
      <c r="FR36" s="108">
        <f t="shared" si="385"/>
        <v>1</v>
      </c>
      <c r="FS36" s="108">
        <f t="shared" si="386"/>
        <v>1</v>
      </c>
      <c r="FT36" s="108">
        <f t="shared" si="387"/>
        <v>1</v>
      </c>
      <c r="FU36" s="109">
        <f t="shared" si="388"/>
        <v>4971778</v>
      </c>
      <c r="FV36" s="110">
        <f t="shared" si="389"/>
        <v>-0.5</v>
      </c>
      <c r="FX36" s="319">
        <v>3.3</v>
      </c>
      <c r="FY36" s="319" t="s">
        <v>180</v>
      </c>
      <c r="FZ36" s="334" t="s">
        <v>278</v>
      </c>
      <c r="GA36" s="321" t="s">
        <v>183</v>
      </c>
      <c r="GB36" s="325">
        <v>8.5</v>
      </c>
      <c r="GC36" s="323">
        <v>640000</v>
      </c>
      <c r="GD36" s="324">
        <f t="shared" si="390"/>
        <v>5440000</v>
      </c>
      <c r="GE36" s="108">
        <f t="shared" si="391"/>
        <v>1</v>
      </c>
      <c r="GF36" s="108">
        <f t="shared" si="392"/>
        <v>1</v>
      </c>
      <c r="GG36" s="108">
        <f t="shared" si="393"/>
        <v>1</v>
      </c>
      <c r="GH36" s="108">
        <f t="shared" si="394"/>
        <v>1</v>
      </c>
      <c r="GI36" s="108">
        <f t="shared" si="395"/>
        <v>1</v>
      </c>
      <c r="GJ36" s="108">
        <f t="shared" si="396"/>
        <v>1</v>
      </c>
      <c r="GK36" s="108">
        <f t="shared" si="397"/>
        <v>1</v>
      </c>
      <c r="GL36" s="109">
        <f t="shared" si="398"/>
        <v>5440000</v>
      </c>
      <c r="GM36" s="110">
        <f t="shared" si="399"/>
        <v>0</v>
      </c>
      <c r="GO36" s="319">
        <v>3.3</v>
      </c>
      <c r="GP36" s="319" t="s">
        <v>180</v>
      </c>
      <c r="GQ36" s="334" t="s">
        <v>278</v>
      </c>
      <c r="GR36" s="321" t="s">
        <v>183</v>
      </c>
      <c r="GS36" s="325">
        <v>8.5</v>
      </c>
      <c r="GT36" s="323">
        <v>300000</v>
      </c>
      <c r="GU36" s="324">
        <v>2550000</v>
      </c>
      <c r="GV36" s="108">
        <f t="shared" si="400"/>
        <v>1</v>
      </c>
      <c r="GW36" s="108">
        <f t="shared" si="401"/>
        <v>1</v>
      </c>
      <c r="GX36" s="108">
        <f t="shared" si="402"/>
        <v>1</v>
      </c>
      <c r="GY36" s="108">
        <f t="shared" si="403"/>
        <v>1</v>
      </c>
      <c r="GZ36" s="108">
        <f t="shared" si="404"/>
        <v>1</v>
      </c>
      <c r="HA36" s="108">
        <f t="shared" si="405"/>
        <v>1</v>
      </c>
      <c r="HB36" s="108">
        <f t="shared" si="406"/>
        <v>1</v>
      </c>
      <c r="HC36" s="109">
        <f t="shared" si="407"/>
        <v>2550000</v>
      </c>
      <c r="HD36" s="110">
        <f t="shared" si="408"/>
        <v>0</v>
      </c>
      <c r="HF36" s="319">
        <v>3.3</v>
      </c>
      <c r="HG36" s="319" t="s">
        <v>180</v>
      </c>
      <c r="HH36" s="334" t="s">
        <v>278</v>
      </c>
      <c r="HI36" s="321" t="s">
        <v>183</v>
      </c>
      <c r="HJ36" s="325">
        <v>8.5</v>
      </c>
      <c r="HK36" s="323">
        <v>90000</v>
      </c>
      <c r="HL36" s="324">
        <f t="shared" si="409"/>
        <v>765000</v>
      </c>
      <c r="HM36" s="108">
        <f t="shared" si="410"/>
        <v>1</v>
      </c>
      <c r="HN36" s="108">
        <f t="shared" si="411"/>
        <v>1</v>
      </c>
      <c r="HO36" s="108">
        <f t="shared" si="412"/>
        <v>1</v>
      </c>
      <c r="HP36" s="108">
        <f t="shared" si="413"/>
        <v>1</v>
      </c>
      <c r="HQ36" s="108">
        <f t="shared" si="414"/>
        <v>1</v>
      </c>
      <c r="HR36" s="108">
        <f t="shared" si="415"/>
        <v>1</v>
      </c>
      <c r="HS36" s="108">
        <f t="shared" si="416"/>
        <v>1</v>
      </c>
      <c r="HT36" s="109">
        <f t="shared" si="417"/>
        <v>765000</v>
      </c>
      <c r="HU36" s="110">
        <f t="shared" si="418"/>
        <v>0</v>
      </c>
      <c r="HW36" s="319">
        <v>3.3</v>
      </c>
      <c r="HX36" s="319" t="s">
        <v>180</v>
      </c>
      <c r="HY36" s="334" t="s">
        <v>278</v>
      </c>
      <c r="HZ36" s="321" t="s">
        <v>183</v>
      </c>
      <c r="IA36" s="325">
        <v>8.5</v>
      </c>
      <c r="IB36" s="323">
        <v>160000</v>
      </c>
      <c r="IC36" s="324">
        <f t="shared" si="419"/>
        <v>1360000</v>
      </c>
      <c r="ID36" s="108">
        <f t="shared" si="420"/>
        <v>1</v>
      </c>
      <c r="IE36" s="108">
        <f t="shared" si="421"/>
        <v>1</v>
      </c>
      <c r="IF36" s="108">
        <f t="shared" si="422"/>
        <v>1</v>
      </c>
      <c r="IG36" s="108">
        <f t="shared" si="423"/>
        <v>1</v>
      </c>
      <c r="IH36" s="108">
        <f t="shared" si="424"/>
        <v>1</v>
      </c>
      <c r="II36" s="108">
        <f t="shared" si="425"/>
        <v>1</v>
      </c>
      <c r="IJ36" s="108">
        <f t="shared" si="426"/>
        <v>1</v>
      </c>
      <c r="IK36" s="109">
        <f t="shared" si="427"/>
        <v>1360000</v>
      </c>
      <c r="IL36" s="110">
        <f t="shared" si="428"/>
        <v>0</v>
      </c>
    </row>
    <row r="37" spans="1:246" s="213" customFormat="1" ht="143.25" customHeight="1" x14ac:dyDescent="0.25">
      <c r="A37" s="211"/>
      <c r="B37" s="319">
        <v>3.4</v>
      </c>
      <c r="C37" s="319" t="s">
        <v>180</v>
      </c>
      <c r="D37" s="334" t="s">
        <v>279</v>
      </c>
      <c r="E37" s="321" t="s">
        <v>183</v>
      </c>
      <c r="F37" s="325">
        <v>8.5</v>
      </c>
      <c r="G37" s="323">
        <v>0</v>
      </c>
      <c r="H37" s="324">
        <f t="shared" si="292"/>
        <v>0</v>
      </c>
      <c r="J37" s="319">
        <v>3.4</v>
      </c>
      <c r="K37" s="319" t="s">
        <v>180</v>
      </c>
      <c r="L37" s="334" t="s">
        <v>279</v>
      </c>
      <c r="M37" s="321" t="s">
        <v>183</v>
      </c>
      <c r="N37" s="325">
        <v>8.5</v>
      </c>
      <c r="O37" s="323">
        <v>76266</v>
      </c>
      <c r="P37" s="324">
        <v>648261</v>
      </c>
      <c r="Q37" s="108">
        <f t="shared" si="293"/>
        <v>1</v>
      </c>
      <c r="R37" s="108">
        <f t="shared" si="294"/>
        <v>1</v>
      </c>
      <c r="S37" s="108">
        <f t="shared" si="295"/>
        <v>1</v>
      </c>
      <c r="T37" s="108">
        <f t="shared" si="296"/>
        <v>1</v>
      </c>
      <c r="U37" s="108">
        <f t="shared" si="297"/>
        <v>1</v>
      </c>
      <c r="V37" s="108">
        <f t="shared" si="298"/>
        <v>1</v>
      </c>
      <c r="W37" s="108">
        <f t="shared" si="299"/>
        <v>1</v>
      </c>
      <c r="X37" s="109">
        <f t="shared" si="300"/>
        <v>648261</v>
      </c>
      <c r="Y37" s="110">
        <f t="shared" si="301"/>
        <v>0</v>
      </c>
      <c r="AA37" s="319">
        <v>3.4</v>
      </c>
      <c r="AB37" s="319" t="s">
        <v>180</v>
      </c>
      <c r="AC37" s="334" t="s">
        <v>279</v>
      </c>
      <c r="AD37" s="321" t="s">
        <v>183</v>
      </c>
      <c r="AE37" s="325">
        <v>8.5</v>
      </c>
      <c r="AF37" s="323">
        <v>102000</v>
      </c>
      <c r="AG37" s="324">
        <v>867000</v>
      </c>
      <c r="AH37" s="108">
        <f t="shared" si="302"/>
        <v>1</v>
      </c>
      <c r="AI37" s="108">
        <f t="shared" si="303"/>
        <v>1</v>
      </c>
      <c r="AJ37" s="108">
        <f t="shared" si="304"/>
        <v>1</v>
      </c>
      <c r="AK37" s="108">
        <f t="shared" si="305"/>
        <v>1</v>
      </c>
      <c r="AL37" s="108">
        <f t="shared" si="306"/>
        <v>1</v>
      </c>
      <c r="AM37" s="108">
        <f t="shared" si="307"/>
        <v>1</v>
      </c>
      <c r="AN37" s="108">
        <f t="shared" si="308"/>
        <v>1</v>
      </c>
      <c r="AO37" s="109">
        <f t="shared" si="309"/>
        <v>867000</v>
      </c>
      <c r="AP37" s="110">
        <f t="shared" si="310"/>
        <v>0</v>
      </c>
      <c r="AR37" s="319">
        <v>3.4</v>
      </c>
      <c r="AS37" s="319" t="s">
        <v>180</v>
      </c>
      <c r="AT37" s="334" t="s">
        <v>279</v>
      </c>
      <c r="AU37" s="321" t="s">
        <v>183</v>
      </c>
      <c r="AV37" s="325">
        <v>8.5</v>
      </c>
      <c r="AW37" s="323">
        <v>29100</v>
      </c>
      <c r="AX37" s="324">
        <v>247350</v>
      </c>
      <c r="AY37" s="108">
        <f t="shared" si="311"/>
        <v>1</v>
      </c>
      <c r="AZ37" s="108">
        <f t="shared" si="312"/>
        <v>1</v>
      </c>
      <c r="BA37" s="108">
        <f t="shared" si="313"/>
        <v>1</v>
      </c>
      <c r="BB37" s="108">
        <f t="shared" si="314"/>
        <v>1</v>
      </c>
      <c r="BC37" s="108">
        <f t="shared" si="315"/>
        <v>1</v>
      </c>
      <c r="BD37" s="108">
        <f t="shared" si="316"/>
        <v>1</v>
      </c>
      <c r="BE37" s="108">
        <f t="shared" si="317"/>
        <v>1</v>
      </c>
      <c r="BF37" s="109">
        <f t="shared" si="318"/>
        <v>247350</v>
      </c>
      <c r="BG37" s="110">
        <f t="shared" si="319"/>
        <v>0</v>
      </c>
      <c r="BI37" s="319">
        <v>3.4</v>
      </c>
      <c r="BJ37" s="319" t="s">
        <v>180</v>
      </c>
      <c r="BK37" s="334" t="s">
        <v>279</v>
      </c>
      <c r="BL37" s="321" t="s">
        <v>183</v>
      </c>
      <c r="BM37" s="325">
        <v>8.5</v>
      </c>
      <c r="BN37" s="323">
        <v>25102</v>
      </c>
      <c r="BO37" s="324">
        <f t="shared" si="320"/>
        <v>213367</v>
      </c>
      <c r="BP37" s="108">
        <f t="shared" si="321"/>
        <v>1</v>
      </c>
      <c r="BQ37" s="108">
        <f t="shared" si="322"/>
        <v>1</v>
      </c>
      <c r="BR37" s="108">
        <f t="shared" si="323"/>
        <v>1</v>
      </c>
      <c r="BS37" s="108">
        <f t="shared" si="324"/>
        <v>1</v>
      </c>
      <c r="BT37" s="108">
        <f t="shared" si="325"/>
        <v>1</v>
      </c>
      <c r="BU37" s="108">
        <f t="shared" si="326"/>
        <v>1</v>
      </c>
      <c r="BV37" s="108">
        <f t="shared" si="327"/>
        <v>1</v>
      </c>
      <c r="BW37" s="109">
        <f t="shared" si="328"/>
        <v>213367</v>
      </c>
      <c r="BX37" s="110">
        <f t="shared" si="329"/>
        <v>0</v>
      </c>
      <c r="BZ37" s="319">
        <v>3.4</v>
      </c>
      <c r="CA37" s="319" t="s">
        <v>180</v>
      </c>
      <c r="CB37" s="334" t="s">
        <v>279</v>
      </c>
      <c r="CC37" s="321" t="s">
        <v>183</v>
      </c>
      <c r="CD37" s="325">
        <v>8.5</v>
      </c>
      <c r="CE37" s="323">
        <v>60000</v>
      </c>
      <c r="CF37" s="324">
        <f t="shared" si="330"/>
        <v>510000</v>
      </c>
      <c r="CG37" s="108">
        <f t="shared" si="331"/>
        <v>1</v>
      </c>
      <c r="CH37" s="108">
        <f t="shared" si="332"/>
        <v>1</v>
      </c>
      <c r="CI37" s="108">
        <f t="shared" si="333"/>
        <v>1</v>
      </c>
      <c r="CJ37" s="108">
        <f t="shared" si="334"/>
        <v>1</v>
      </c>
      <c r="CK37" s="108">
        <f t="shared" si="335"/>
        <v>1</v>
      </c>
      <c r="CL37" s="108">
        <f t="shared" si="336"/>
        <v>1</v>
      </c>
      <c r="CM37" s="108">
        <f t="shared" si="337"/>
        <v>1</v>
      </c>
      <c r="CN37" s="109">
        <f t="shared" si="338"/>
        <v>510000</v>
      </c>
      <c r="CO37" s="110">
        <f t="shared" si="339"/>
        <v>0</v>
      </c>
      <c r="CQ37" s="319">
        <v>3.4</v>
      </c>
      <c r="CR37" s="319" t="s">
        <v>180</v>
      </c>
      <c r="CS37" s="334" t="s">
        <v>279</v>
      </c>
      <c r="CT37" s="321" t="s">
        <v>183</v>
      </c>
      <c r="CU37" s="325">
        <v>8.5</v>
      </c>
      <c r="CV37" s="323">
        <v>56000</v>
      </c>
      <c r="CW37" s="324">
        <f t="shared" si="340"/>
        <v>476000</v>
      </c>
      <c r="CX37" s="108">
        <f t="shared" si="341"/>
        <v>1</v>
      </c>
      <c r="CY37" s="108">
        <f t="shared" si="342"/>
        <v>1</v>
      </c>
      <c r="CZ37" s="108">
        <f t="shared" si="343"/>
        <v>1</v>
      </c>
      <c r="DA37" s="108">
        <f t="shared" si="344"/>
        <v>1</v>
      </c>
      <c r="DB37" s="108">
        <f t="shared" si="345"/>
        <v>1</v>
      </c>
      <c r="DC37" s="108">
        <f t="shared" si="346"/>
        <v>1</v>
      </c>
      <c r="DD37" s="108">
        <f t="shared" si="347"/>
        <v>1</v>
      </c>
      <c r="DE37" s="109">
        <f t="shared" si="348"/>
        <v>476000</v>
      </c>
      <c r="DF37" s="110">
        <f t="shared" si="349"/>
        <v>0</v>
      </c>
      <c r="DH37" s="319">
        <v>3.4</v>
      </c>
      <c r="DI37" s="319" t="s">
        <v>180</v>
      </c>
      <c r="DJ37" s="360" t="s">
        <v>279</v>
      </c>
      <c r="DK37" s="321" t="s">
        <v>183</v>
      </c>
      <c r="DL37" s="325">
        <v>8.5</v>
      </c>
      <c r="DM37" s="323">
        <v>41033</v>
      </c>
      <c r="DN37" s="324">
        <f t="shared" si="350"/>
        <v>348780.5</v>
      </c>
      <c r="DO37" s="108">
        <f t="shared" si="351"/>
        <v>1</v>
      </c>
      <c r="DP37" s="108">
        <f t="shared" si="352"/>
        <v>1</v>
      </c>
      <c r="DQ37" s="108">
        <f t="shared" si="353"/>
        <v>1</v>
      </c>
      <c r="DR37" s="108">
        <f t="shared" si="354"/>
        <v>1</v>
      </c>
      <c r="DS37" s="108">
        <f t="shared" si="355"/>
        <v>1</v>
      </c>
      <c r="DT37" s="108">
        <f t="shared" si="356"/>
        <v>1</v>
      </c>
      <c r="DU37" s="108">
        <f t="shared" si="357"/>
        <v>1</v>
      </c>
      <c r="DV37" s="109">
        <f t="shared" si="358"/>
        <v>348781</v>
      </c>
      <c r="DW37" s="110">
        <f t="shared" si="359"/>
        <v>-0.5</v>
      </c>
      <c r="DY37" s="319">
        <v>3.4</v>
      </c>
      <c r="DZ37" s="319" t="s">
        <v>180</v>
      </c>
      <c r="EA37" s="360" t="s">
        <v>279</v>
      </c>
      <c r="EB37" s="321" t="s">
        <v>183</v>
      </c>
      <c r="EC37" s="325">
        <v>8.5</v>
      </c>
      <c r="ED37" s="323">
        <v>35000</v>
      </c>
      <c r="EE37" s="324">
        <f t="shared" si="360"/>
        <v>297500</v>
      </c>
      <c r="EF37" s="108">
        <f t="shared" si="361"/>
        <v>1</v>
      </c>
      <c r="EG37" s="108">
        <f t="shared" si="362"/>
        <v>1</v>
      </c>
      <c r="EH37" s="108">
        <f t="shared" si="363"/>
        <v>1</v>
      </c>
      <c r="EI37" s="108">
        <f t="shared" si="364"/>
        <v>1</v>
      </c>
      <c r="EJ37" s="108">
        <f t="shared" si="365"/>
        <v>1</v>
      </c>
      <c r="EK37" s="108">
        <f t="shared" si="366"/>
        <v>1</v>
      </c>
      <c r="EL37" s="108">
        <f t="shared" si="367"/>
        <v>1</v>
      </c>
      <c r="EM37" s="109">
        <f t="shared" si="368"/>
        <v>297500</v>
      </c>
      <c r="EN37" s="110">
        <f t="shared" si="369"/>
        <v>0</v>
      </c>
      <c r="EP37" s="319">
        <v>3.4</v>
      </c>
      <c r="EQ37" s="319" t="s">
        <v>180</v>
      </c>
      <c r="ER37" s="334" t="s">
        <v>279</v>
      </c>
      <c r="ES37" s="321" t="s">
        <v>183</v>
      </c>
      <c r="ET37" s="325">
        <v>8.5</v>
      </c>
      <c r="EU37" s="323">
        <v>87000</v>
      </c>
      <c r="EV37" s="324">
        <f t="shared" si="370"/>
        <v>739500</v>
      </c>
      <c r="EW37" s="108">
        <f t="shared" si="371"/>
        <v>1</v>
      </c>
      <c r="EX37" s="108">
        <f t="shared" si="372"/>
        <v>1</v>
      </c>
      <c r="EY37" s="108">
        <f t="shared" si="373"/>
        <v>1</v>
      </c>
      <c r="EZ37" s="108">
        <f t="shared" si="374"/>
        <v>1</v>
      </c>
      <c r="FA37" s="108">
        <f t="shared" si="375"/>
        <v>1</v>
      </c>
      <c r="FB37" s="108">
        <f t="shared" si="376"/>
        <v>1</v>
      </c>
      <c r="FC37" s="108">
        <f t="shared" si="377"/>
        <v>1</v>
      </c>
      <c r="FD37" s="109">
        <f t="shared" si="378"/>
        <v>739500</v>
      </c>
      <c r="FE37" s="110">
        <f t="shared" si="379"/>
        <v>0</v>
      </c>
      <c r="FG37" s="319">
        <v>3.4</v>
      </c>
      <c r="FH37" s="319" t="s">
        <v>180</v>
      </c>
      <c r="FI37" s="360" t="s">
        <v>279</v>
      </c>
      <c r="FJ37" s="321" t="s">
        <v>183</v>
      </c>
      <c r="FK37" s="325">
        <v>8.5</v>
      </c>
      <c r="FL37" s="323">
        <v>41041</v>
      </c>
      <c r="FM37" s="324">
        <f t="shared" si="380"/>
        <v>348848.5</v>
      </c>
      <c r="FN37" s="108">
        <f t="shared" si="381"/>
        <v>1</v>
      </c>
      <c r="FO37" s="108">
        <f t="shared" si="382"/>
        <v>1</v>
      </c>
      <c r="FP37" s="108">
        <f t="shared" si="383"/>
        <v>1</v>
      </c>
      <c r="FQ37" s="108">
        <f t="shared" si="384"/>
        <v>1</v>
      </c>
      <c r="FR37" s="108">
        <f t="shared" si="385"/>
        <v>1</v>
      </c>
      <c r="FS37" s="108">
        <f t="shared" si="386"/>
        <v>1</v>
      </c>
      <c r="FT37" s="108">
        <f t="shared" si="387"/>
        <v>1</v>
      </c>
      <c r="FU37" s="109">
        <f t="shared" si="388"/>
        <v>348849</v>
      </c>
      <c r="FV37" s="110">
        <f t="shared" si="389"/>
        <v>-0.5</v>
      </c>
      <c r="FX37" s="319">
        <v>3.4</v>
      </c>
      <c r="FY37" s="319" t="s">
        <v>180</v>
      </c>
      <c r="FZ37" s="334" t="s">
        <v>279</v>
      </c>
      <c r="GA37" s="321" t="s">
        <v>183</v>
      </c>
      <c r="GB37" s="325">
        <v>8.5</v>
      </c>
      <c r="GC37" s="323">
        <v>35000</v>
      </c>
      <c r="GD37" s="324">
        <f t="shared" si="390"/>
        <v>297500</v>
      </c>
      <c r="GE37" s="108">
        <f t="shared" si="391"/>
        <v>1</v>
      </c>
      <c r="GF37" s="108">
        <f t="shared" si="392"/>
        <v>1</v>
      </c>
      <c r="GG37" s="108">
        <f t="shared" si="393"/>
        <v>1</v>
      </c>
      <c r="GH37" s="108">
        <f t="shared" si="394"/>
        <v>1</v>
      </c>
      <c r="GI37" s="108">
        <f t="shared" si="395"/>
        <v>1</v>
      </c>
      <c r="GJ37" s="108">
        <f t="shared" si="396"/>
        <v>1</v>
      </c>
      <c r="GK37" s="108">
        <f t="shared" si="397"/>
        <v>1</v>
      </c>
      <c r="GL37" s="109">
        <f t="shared" si="398"/>
        <v>297500</v>
      </c>
      <c r="GM37" s="110">
        <f t="shared" si="399"/>
        <v>0</v>
      </c>
      <c r="GO37" s="319">
        <v>3.4</v>
      </c>
      <c r="GP37" s="319" t="s">
        <v>180</v>
      </c>
      <c r="GQ37" s="334" t="s">
        <v>279</v>
      </c>
      <c r="GR37" s="321" t="s">
        <v>183</v>
      </c>
      <c r="GS37" s="325">
        <v>8.5</v>
      </c>
      <c r="GT37" s="323">
        <v>70000</v>
      </c>
      <c r="GU37" s="324">
        <v>595000</v>
      </c>
      <c r="GV37" s="108">
        <f t="shared" si="400"/>
        <v>1</v>
      </c>
      <c r="GW37" s="108">
        <f t="shared" si="401"/>
        <v>1</v>
      </c>
      <c r="GX37" s="108">
        <f t="shared" si="402"/>
        <v>1</v>
      </c>
      <c r="GY37" s="108">
        <f t="shared" si="403"/>
        <v>1</v>
      </c>
      <c r="GZ37" s="108">
        <f t="shared" si="404"/>
        <v>1</v>
      </c>
      <c r="HA37" s="108">
        <f t="shared" si="405"/>
        <v>1</v>
      </c>
      <c r="HB37" s="108">
        <f t="shared" si="406"/>
        <v>1</v>
      </c>
      <c r="HC37" s="109">
        <f t="shared" si="407"/>
        <v>595000</v>
      </c>
      <c r="HD37" s="110">
        <f t="shared" si="408"/>
        <v>0</v>
      </c>
      <c r="HF37" s="319">
        <v>3.4</v>
      </c>
      <c r="HG37" s="319" t="s">
        <v>180</v>
      </c>
      <c r="HH37" s="334" t="s">
        <v>279</v>
      </c>
      <c r="HI37" s="321" t="s">
        <v>183</v>
      </c>
      <c r="HJ37" s="325">
        <v>8.5</v>
      </c>
      <c r="HK37" s="323">
        <v>85000</v>
      </c>
      <c r="HL37" s="324">
        <f t="shared" si="409"/>
        <v>722500</v>
      </c>
      <c r="HM37" s="108">
        <f t="shared" si="410"/>
        <v>1</v>
      </c>
      <c r="HN37" s="108">
        <f t="shared" si="411"/>
        <v>1</v>
      </c>
      <c r="HO37" s="108">
        <f t="shared" si="412"/>
        <v>1</v>
      </c>
      <c r="HP37" s="108">
        <f t="shared" si="413"/>
        <v>1</v>
      </c>
      <c r="HQ37" s="108">
        <f t="shared" si="414"/>
        <v>1</v>
      </c>
      <c r="HR37" s="108">
        <f t="shared" si="415"/>
        <v>1</v>
      </c>
      <c r="HS37" s="108">
        <f t="shared" si="416"/>
        <v>1</v>
      </c>
      <c r="HT37" s="109">
        <f t="shared" si="417"/>
        <v>722500</v>
      </c>
      <c r="HU37" s="110">
        <f t="shared" si="418"/>
        <v>0</v>
      </c>
      <c r="HW37" s="319">
        <v>3.4</v>
      </c>
      <c r="HX37" s="319" t="s">
        <v>180</v>
      </c>
      <c r="HY37" s="334" t="s">
        <v>279</v>
      </c>
      <c r="HZ37" s="321" t="s">
        <v>183</v>
      </c>
      <c r="IA37" s="325">
        <v>8.5</v>
      </c>
      <c r="IB37" s="323">
        <v>15000</v>
      </c>
      <c r="IC37" s="324">
        <f t="shared" si="419"/>
        <v>127500</v>
      </c>
      <c r="ID37" s="108">
        <f t="shared" si="420"/>
        <v>1</v>
      </c>
      <c r="IE37" s="108">
        <f t="shared" si="421"/>
        <v>1</v>
      </c>
      <c r="IF37" s="108">
        <f t="shared" si="422"/>
        <v>1</v>
      </c>
      <c r="IG37" s="108">
        <f t="shared" si="423"/>
        <v>1</v>
      </c>
      <c r="IH37" s="108">
        <f t="shared" si="424"/>
        <v>1</v>
      </c>
      <c r="II37" s="108">
        <f t="shared" si="425"/>
        <v>1</v>
      </c>
      <c r="IJ37" s="108">
        <f t="shared" si="426"/>
        <v>1</v>
      </c>
      <c r="IK37" s="109">
        <f t="shared" si="427"/>
        <v>127500</v>
      </c>
      <c r="IL37" s="110">
        <f t="shared" si="428"/>
        <v>0</v>
      </c>
    </row>
    <row r="38" spans="1:246" s="213" customFormat="1" ht="141.75" customHeight="1" x14ac:dyDescent="0.25">
      <c r="A38" s="211"/>
      <c r="B38" s="319">
        <v>3.5</v>
      </c>
      <c r="C38" s="319" t="s">
        <v>180</v>
      </c>
      <c r="D38" s="334" t="s">
        <v>280</v>
      </c>
      <c r="E38" s="321" t="s">
        <v>183</v>
      </c>
      <c r="F38" s="325">
        <v>8.5</v>
      </c>
      <c r="G38" s="323">
        <v>0</v>
      </c>
      <c r="H38" s="324">
        <f t="shared" si="292"/>
        <v>0</v>
      </c>
      <c r="J38" s="319">
        <v>3.5</v>
      </c>
      <c r="K38" s="319" t="s">
        <v>180</v>
      </c>
      <c r="L38" s="334" t="s">
        <v>280</v>
      </c>
      <c r="M38" s="321" t="s">
        <v>183</v>
      </c>
      <c r="N38" s="325">
        <v>8.5</v>
      </c>
      <c r="O38" s="323">
        <v>396878</v>
      </c>
      <c r="P38" s="324">
        <v>3373463</v>
      </c>
      <c r="Q38" s="108">
        <f t="shared" si="293"/>
        <v>1</v>
      </c>
      <c r="R38" s="108">
        <f t="shared" si="294"/>
        <v>1</v>
      </c>
      <c r="S38" s="108">
        <f t="shared" si="295"/>
        <v>1</v>
      </c>
      <c r="T38" s="108">
        <f t="shared" si="296"/>
        <v>1</v>
      </c>
      <c r="U38" s="108">
        <f t="shared" si="297"/>
        <v>1</v>
      </c>
      <c r="V38" s="108">
        <f t="shared" si="298"/>
        <v>1</v>
      </c>
      <c r="W38" s="108">
        <f t="shared" si="299"/>
        <v>1</v>
      </c>
      <c r="X38" s="109">
        <f t="shared" si="300"/>
        <v>3373463</v>
      </c>
      <c r="Y38" s="110">
        <f t="shared" si="301"/>
        <v>0</v>
      </c>
      <c r="AA38" s="319">
        <v>3.5</v>
      </c>
      <c r="AB38" s="319" t="s">
        <v>180</v>
      </c>
      <c r="AC38" s="334" t="s">
        <v>280</v>
      </c>
      <c r="AD38" s="321" t="s">
        <v>183</v>
      </c>
      <c r="AE38" s="325">
        <v>8.5</v>
      </c>
      <c r="AF38" s="323">
        <v>785000</v>
      </c>
      <c r="AG38" s="324">
        <v>6672500</v>
      </c>
      <c r="AH38" s="108">
        <f t="shared" si="302"/>
        <v>1</v>
      </c>
      <c r="AI38" s="108">
        <f t="shared" si="303"/>
        <v>1</v>
      </c>
      <c r="AJ38" s="108">
        <f t="shared" si="304"/>
        <v>1</v>
      </c>
      <c r="AK38" s="108">
        <f t="shared" si="305"/>
        <v>1</v>
      </c>
      <c r="AL38" s="108">
        <f t="shared" si="306"/>
        <v>1</v>
      </c>
      <c r="AM38" s="108">
        <f t="shared" si="307"/>
        <v>1</v>
      </c>
      <c r="AN38" s="108">
        <f t="shared" si="308"/>
        <v>1</v>
      </c>
      <c r="AO38" s="109">
        <f t="shared" si="309"/>
        <v>6672500</v>
      </c>
      <c r="AP38" s="110">
        <f t="shared" si="310"/>
        <v>0</v>
      </c>
      <c r="AR38" s="319">
        <v>3.5</v>
      </c>
      <c r="AS38" s="319" t="s">
        <v>180</v>
      </c>
      <c r="AT38" s="334" t="s">
        <v>280</v>
      </c>
      <c r="AU38" s="321" t="s">
        <v>183</v>
      </c>
      <c r="AV38" s="325">
        <v>8.5</v>
      </c>
      <c r="AW38" s="323">
        <v>485000</v>
      </c>
      <c r="AX38" s="324">
        <v>4122500</v>
      </c>
      <c r="AY38" s="108">
        <f t="shared" si="311"/>
        <v>1</v>
      </c>
      <c r="AZ38" s="108">
        <f t="shared" si="312"/>
        <v>1</v>
      </c>
      <c r="BA38" s="108">
        <f t="shared" si="313"/>
        <v>1</v>
      </c>
      <c r="BB38" s="108">
        <f t="shared" si="314"/>
        <v>1</v>
      </c>
      <c r="BC38" s="108">
        <f t="shared" si="315"/>
        <v>1</v>
      </c>
      <c r="BD38" s="108">
        <f t="shared" si="316"/>
        <v>1</v>
      </c>
      <c r="BE38" s="108">
        <f t="shared" si="317"/>
        <v>1</v>
      </c>
      <c r="BF38" s="109">
        <f t="shared" si="318"/>
        <v>4122500</v>
      </c>
      <c r="BG38" s="110">
        <f t="shared" si="319"/>
        <v>0</v>
      </c>
      <c r="BI38" s="319">
        <v>3.5</v>
      </c>
      <c r="BJ38" s="319" t="s">
        <v>180</v>
      </c>
      <c r="BK38" s="334" t="s">
        <v>280</v>
      </c>
      <c r="BL38" s="321" t="s">
        <v>183</v>
      </c>
      <c r="BM38" s="325">
        <v>8.5</v>
      </c>
      <c r="BN38" s="323">
        <v>25102</v>
      </c>
      <c r="BO38" s="324">
        <f t="shared" si="320"/>
        <v>213367</v>
      </c>
      <c r="BP38" s="108">
        <f t="shared" si="321"/>
        <v>1</v>
      </c>
      <c r="BQ38" s="108">
        <f t="shared" si="322"/>
        <v>1</v>
      </c>
      <c r="BR38" s="108">
        <f t="shared" si="323"/>
        <v>1</v>
      </c>
      <c r="BS38" s="108">
        <f t="shared" si="324"/>
        <v>1</v>
      </c>
      <c r="BT38" s="108">
        <f t="shared" si="325"/>
        <v>1</v>
      </c>
      <c r="BU38" s="108">
        <f t="shared" si="326"/>
        <v>1</v>
      </c>
      <c r="BV38" s="108">
        <f t="shared" si="327"/>
        <v>1</v>
      </c>
      <c r="BW38" s="109">
        <f t="shared" si="328"/>
        <v>213367</v>
      </c>
      <c r="BX38" s="110">
        <f t="shared" si="329"/>
        <v>0</v>
      </c>
      <c r="BZ38" s="319">
        <v>3.5</v>
      </c>
      <c r="CA38" s="319" t="s">
        <v>180</v>
      </c>
      <c r="CB38" s="334" t="s">
        <v>280</v>
      </c>
      <c r="CC38" s="321" t="s">
        <v>183</v>
      </c>
      <c r="CD38" s="325">
        <v>8.5</v>
      </c>
      <c r="CE38" s="323">
        <f>19000*5.8*4.5</f>
        <v>495900</v>
      </c>
      <c r="CF38" s="324">
        <f t="shared" si="330"/>
        <v>4215150</v>
      </c>
      <c r="CG38" s="108">
        <f t="shared" si="331"/>
        <v>1</v>
      </c>
      <c r="CH38" s="108">
        <f t="shared" si="332"/>
        <v>1</v>
      </c>
      <c r="CI38" s="108">
        <f t="shared" si="333"/>
        <v>1</v>
      </c>
      <c r="CJ38" s="108">
        <f t="shared" si="334"/>
        <v>1</v>
      </c>
      <c r="CK38" s="108">
        <f t="shared" si="335"/>
        <v>1</v>
      </c>
      <c r="CL38" s="108">
        <f t="shared" si="336"/>
        <v>1</v>
      </c>
      <c r="CM38" s="108">
        <f t="shared" si="337"/>
        <v>1</v>
      </c>
      <c r="CN38" s="109">
        <f t="shared" si="338"/>
        <v>4215150</v>
      </c>
      <c r="CO38" s="110">
        <f t="shared" si="339"/>
        <v>0</v>
      </c>
      <c r="CQ38" s="319">
        <v>3.5</v>
      </c>
      <c r="CR38" s="319" t="s">
        <v>180</v>
      </c>
      <c r="CS38" s="334" t="s">
        <v>280</v>
      </c>
      <c r="CT38" s="321" t="s">
        <v>183</v>
      </c>
      <c r="CU38" s="325">
        <v>8.5</v>
      </c>
      <c r="CV38" s="323">
        <v>510000</v>
      </c>
      <c r="CW38" s="324">
        <f t="shared" si="340"/>
        <v>4335000</v>
      </c>
      <c r="CX38" s="108">
        <f t="shared" si="341"/>
        <v>1</v>
      </c>
      <c r="CY38" s="108">
        <f t="shared" si="342"/>
        <v>1</v>
      </c>
      <c r="CZ38" s="108">
        <f t="shared" si="343"/>
        <v>1</v>
      </c>
      <c r="DA38" s="108">
        <f t="shared" si="344"/>
        <v>1</v>
      </c>
      <c r="DB38" s="108">
        <f t="shared" si="345"/>
        <v>1</v>
      </c>
      <c r="DC38" s="108">
        <f t="shared" si="346"/>
        <v>1</v>
      </c>
      <c r="DD38" s="108">
        <f t="shared" si="347"/>
        <v>1</v>
      </c>
      <c r="DE38" s="109">
        <f t="shared" si="348"/>
        <v>4335000</v>
      </c>
      <c r="DF38" s="110">
        <f t="shared" si="349"/>
        <v>0</v>
      </c>
      <c r="DH38" s="319">
        <v>3.5</v>
      </c>
      <c r="DI38" s="319" t="s">
        <v>180</v>
      </c>
      <c r="DJ38" s="360" t="s">
        <v>280</v>
      </c>
      <c r="DK38" s="321" t="s">
        <v>183</v>
      </c>
      <c r="DL38" s="325">
        <v>8.5</v>
      </c>
      <c r="DM38" s="323">
        <v>868781</v>
      </c>
      <c r="DN38" s="324">
        <f t="shared" si="350"/>
        <v>7384638.5</v>
      </c>
      <c r="DO38" s="108">
        <f t="shared" si="351"/>
        <v>1</v>
      </c>
      <c r="DP38" s="108">
        <f t="shared" si="352"/>
        <v>1</v>
      </c>
      <c r="DQ38" s="108">
        <f t="shared" si="353"/>
        <v>1</v>
      </c>
      <c r="DR38" s="108">
        <f t="shared" si="354"/>
        <v>1</v>
      </c>
      <c r="DS38" s="108">
        <f t="shared" si="355"/>
        <v>1</v>
      </c>
      <c r="DT38" s="108">
        <f t="shared" si="356"/>
        <v>1</v>
      </c>
      <c r="DU38" s="108">
        <f t="shared" si="357"/>
        <v>1</v>
      </c>
      <c r="DV38" s="109">
        <f t="shared" si="358"/>
        <v>7384639</v>
      </c>
      <c r="DW38" s="110">
        <f t="shared" si="359"/>
        <v>-0.5</v>
      </c>
      <c r="DY38" s="319">
        <v>3.5</v>
      </c>
      <c r="DZ38" s="319" t="s">
        <v>180</v>
      </c>
      <c r="EA38" s="360" t="s">
        <v>280</v>
      </c>
      <c r="EB38" s="321" t="s">
        <v>183</v>
      </c>
      <c r="EC38" s="325">
        <v>8.5</v>
      </c>
      <c r="ED38" s="323">
        <v>425000</v>
      </c>
      <c r="EE38" s="324">
        <f t="shared" si="360"/>
        <v>3612500</v>
      </c>
      <c r="EF38" s="108">
        <f t="shared" si="361"/>
        <v>1</v>
      </c>
      <c r="EG38" s="108">
        <f t="shared" si="362"/>
        <v>1</v>
      </c>
      <c r="EH38" s="108">
        <f t="shared" si="363"/>
        <v>1</v>
      </c>
      <c r="EI38" s="108">
        <f t="shared" si="364"/>
        <v>1</v>
      </c>
      <c r="EJ38" s="108">
        <f t="shared" si="365"/>
        <v>1</v>
      </c>
      <c r="EK38" s="108">
        <f t="shared" si="366"/>
        <v>1</v>
      </c>
      <c r="EL38" s="108">
        <f t="shared" si="367"/>
        <v>1</v>
      </c>
      <c r="EM38" s="109">
        <f t="shared" si="368"/>
        <v>3612500</v>
      </c>
      <c r="EN38" s="110">
        <f t="shared" si="369"/>
        <v>0</v>
      </c>
      <c r="EP38" s="319">
        <v>3.5</v>
      </c>
      <c r="EQ38" s="319" t="s">
        <v>180</v>
      </c>
      <c r="ER38" s="334" t="s">
        <v>280</v>
      </c>
      <c r="ES38" s="321" t="s">
        <v>183</v>
      </c>
      <c r="ET38" s="325">
        <v>8.5</v>
      </c>
      <c r="EU38" s="323">
        <v>256000</v>
      </c>
      <c r="EV38" s="324">
        <f t="shared" si="370"/>
        <v>2176000</v>
      </c>
      <c r="EW38" s="108">
        <f t="shared" si="371"/>
        <v>1</v>
      </c>
      <c r="EX38" s="108">
        <f t="shared" si="372"/>
        <v>1</v>
      </c>
      <c r="EY38" s="108">
        <f t="shared" si="373"/>
        <v>1</v>
      </c>
      <c r="EZ38" s="108">
        <f t="shared" si="374"/>
        <v>1</v>
      </c>
      <c r="FA38" s="108">
        <f t="shared" si="375"/>
        <v>1</v>
      </c>
      <c r="FB38" s="108">
        <f t="shared" si="376"/>
        <v>1</v>
      </c>
      <c r="FC38" s="108">
        <f t="shared" si="377"/>
        <v>1</v>
      </c>
      <c r="FD38" s="109">
        <f t="shared" si="378"/>
        <v>2176000</v>
      </c>
      <c r="FE38" s="110">
        <f t="shared" si="379"/>
        <v>0</v>
      </c>
      <c r="FG38" s="319">
        <v>3.5</v>
      </c>
      <c r="FH38" s="319" t="s">
        <v>180</v>
      </c>
      <c r="FI38" s="360" t="s">
        <v>280</v>
      </c>
      <c r="FJ38" s="321" t="s">
        <v>183</v>
      </c>
      <c r="FK38" s="325">
        <v>8.5</v>
      </c>
      <c r="FL38" s="323">
        <v>868790</v>
      </c>
      <c r="FM38" s="324">
        <f t="shared" si="380"/>
        <v>7384715</v>
      </c>
      <c r="FN38" s="108">
        <f t="shared" si="381"/>
        <v>1</v>
      </c>
      <c r="FO38" s="108">
        <f t="shared" si="382"/>
        <v>1</v>
      </c>
      <c r="FP38" s="108">
        <f t="shared" si="383"/>
        <v>1</v>
      </c>
      <c r="FQ38" s="108">
        <f t="shared" si="384"/>
        <v>1</v>
      </c>
      <c r="FR38" s="108">
        <f t="shared" si="385"/>
        <v>1</v>
      </c>
      <c r="FS38" s="108">
        <f t="shared" si="386"/>
        <v>1</v>
      </c>
      <c r="FT38" s="108">
        <f t="shared" si="387"/>
        <v>1</v>
      </c>
      <c r="FU38" s="109">
        <f t="shared" si="388"/>
        <v>7384715</v>
      </c>
      <c r="FV38" s="110">
        <f t="shared" si="389"/>
        <v>0</v>
      </c>
      <c r="FX38" s="319">
        <v>3.5</v>
      </c>
      <c r="FY38" s="319" t="s">
        <v>180</v>
      </c>
      <c r="FZ38" s="334" t="s">
        <v>280</v>
      </c>
      <c r="GA38" s="321" t="s">
        <v>183</v>
      </c>
      <c r="GB38" s="325">
        <v>8.5</v>
      </c>
      <c r="GC38" s="323">
        <v>920000</v>
      </c>
      <c r="GD38" s="324">
        <f t="shared" si="390"/>
        <v>7820000</v>
      </c>
      <c r="GE38" s="108">
        <f t="shared" si="391"/>
        <v>1</v>
      </c>
      <c r="GF38" s="108">
        <f t="shared" si="392"/>
        <v>1</v>
      </c>
      <c r="GG38" s="108">
        <f t="shared" si="393"/>
        <v>1</v>
      </c>
      <c r="GH38" s="108">
        <f t="shared" si="394"/>
        <v>1</v>
      </c>
      <c r="GI38" s="108">
        <f t="shared" si="395"/>
        <v>1</v>
      </c>
      <c r="GJ38" s="108">
        <f t="shared" si="396"/>
        <v>1</v>
      </c>
      <c r="GK38" s="108">
        <f t="shared" si="397"/>
        <v>1</v>
      </c>
      <c r="GL38" s="109">
        <f t="shared" si="398"/>
        <v>7820000</v>
      </c>
      <c r="GM38" s="110">
        <f t="shared" si="399"/>
        <v>0</v>
      </c>
      <c r="GO38" s="319">
        <v>3.5</v>
      </c>
      <c r="GP38" s="319" t="s">
        <v>180</v>
      </c>
      <c r="GQ38" s="334" t="s">
        <v>280</v>
      </c>
      <c r="GR38" s="321" t="s">
        <v>183</v>
      </c>
      <c r="GS38" s="325">
        <v>8.5</v>
      </c>
      <c r="GT38" s="323">
        <v>480000</v>
      </c>
      <c r="GU38" s="324">
        <v>4080000</v>
      </c>
      <c r="GV38" s="108">
        <f t="shared" si="400"/>
        <v>1</v>
      </c>
      <c r="GW38" s="108">
        <f t="shared" si="401"/>
        <v>1</v>
      </c>
      <c r="GX38" s="108">
        <f t="shared" si="402"/>
        <v>1</v>
      </c>
      <c r="GY38" s="108">
        <f t="shared" si="403"/>
        <v>1</v>
      </c>
      <c r="GZ38" s="108">
        <f t="shared" si="404"/>
        <v>1</v>
      </c>
      <c r="HA38" s="108">
        <f t="shared" si="405"/>
        <v>1</v>
      </c>
      <c r="HB38" s="108">
        <f t="shared" si="406"/>
        <v>1</v>
      </c>
      <c r="HC38" s="109">
        <f t="shared" si="407"/>
        <v>4080000</v>
      </c>
      <c r="HD38" s="110">
        <f t="shared" si="408"/>
        <v>0</v>
      </c>
      <c r="HF38" s="319">
        <v>3.5</v>
      </c>
      <c r="HG38" s="319" t="s">
        <v>180</v>
      </c>
      <c r="HH38" s="334" t="s">
        <v>280</v>
      </c>
      <c r="HI38" s="321" t="s">
        <v>183</v>
      </c>
      <c r="HJ38" s="325">
        <v>8.5</v>
      </c>
      <c r="HK38" s="323">
        <v>90000</v>
      </c>
      <c r="HL38" s="324">
        <f t="shared" si="409"/>
        <v>765000</v>
      </c>
      <c r="HM38" s="108">
        <f t="shared" si="410"/>
        <v>1</v>
      </c>
      <c r="HN38" s="108">
        <f t="shared" si="411"/>
        <v>1</v>
      </c>
      <c r="HO38" s="108">
        <f t="shared" si="412"/>
        <v>1</v>
      </c>
      <c r="HP38" s="108">
        <f t="shared" si="413"/>
        <v>1</v>
      </c>
      <c r="HQ38" s="108">
        <f t="shared" si="414"/>
        <v>1</v>
      </c>
      <c r="HR38" s="108">
        <f t="shared" si="415"/>
        <v>1</v>
      </c>
      <c r="HS38" s="108">
        <f t="shared" si="416"/>
        <v>1</v>
      </c>
      <c r="HT38" s="109">
        <f t="shared" si="417"/>
        <v>765000</v>
      </c>
      <c r="HU38" s="110">
        <f t="shared" si="418"/>
        <v>0</v>
      </c>
      <c r="HW38" s="319">
        <v>3.5</v>
      </c>
      <c r="HX38" s="319" t="s">
        <v>180</v>
      </c>
      <c r="HY38" s="334" t="s">
        <v>280</v>
      </c>
      <c r="HZ38" s="321" t="s">
        <v>183</v>
      </c>
      <c r="IA38" s="325">
        <v>8.5</v>
      </c>
      <c r="IB38" s="323">
        <v>400000</v>
      </c>
      <c r="IC38" s="324">
        <f t="shared" si="419"/>
        <v>3400000</v>
      </c>
      <c r="ID38" s="108">
        <f t="shared" si="420"/>
        <v>1</v>
      </c>
      <c r="IE38" s="108">
        <f t="shared" si="421"/>
        <v>1</v>
      </c>
      <c r="IF38" s="108">
        <f t="shared" si="422"/>
        <v>1</v>
      </c>
      <c r="IG38" s="108">
        <f t="shared" si="423"/>
        <v>1</v>
      </c>
      <c r="IH38" s="108">
        <f t="shared" si="424"/>
        <v>1</v>
      </c>
      <c r="II38" s="108">
        <f t="shared" si="425"/>
        <v>1</v>
      </c>
      <c r="IJ38" s="108">
        <f t="shared" si="426"/>
        <v>1</v>
      </c>
      <c r="IK38" s="109">
        <f t="shared" si="427"/>
        <v>3400000</v>
      </c>
      <c r="IL38" s="110">
        <f t="shared" si="428"/>
        <v>0</v>
      </c>
    </row>
    <row r="39" spans="1:246" s="213" customFormat="1" ht="90" x14ac:dyDescent="0.25">
      <c r="A39" s="211"/>
      <c r="B39" s="319">
        <v>3.6</v>
      </c>
      <c r="C39" s="319" t="s">
        <v>180</v>
      </c>
      <c r="D39" s="334" t="s">
        <v>281</v>
      </c>
      <c r="E39" s="321" t="s">
        <v>179</v>
      </c>
      <c r="F39" s="325">
        <v>8.5</v>
      </c>
      <c r="G39" s="323">
        <v>0</v>
      </c>
      <c r="H39" s="324">
        <f t="shared" si="292"/>
        <v>0</v>
      </c>
      <c r="J39" s="319">
        <v>3.6</v>
      </c>
      <c r="K39" s="319" t="s">
        <v>180</v>
      </c>
      <c r="L39" s="334" t="s">
        <v>281</v>
      </c>
      <c r="M39" s="321" t="s">
        <v>179</v>
      </c>
      <c r="N39" s="325">
        <v>8.5</v>
      </c>
      <c r="O39" s="323">
        <v>16549</v>
      </c>
      <c r="P39" s="324">
        <v>140667</v>
      </c>
      <c r="Q39" s="108">
        <f t="shared" si="293"/>
        <v>1</v>
      </c>
      <c r="R39" s="108">
        <f t="shared" si="294"/>
        <v>1</v>
      </c>
      <c r="S39" s="108">
        <f t="shared" si="295"/>
        <v>1</v>
      </c>
      <c r="T39" s="108">
        <f t="shared" si="296"/>
        <v>1</v>
      </c>
      <c r="U39" s="108">
        <f t="shared" si="297"/>
        <v>1</v>
      </c>
      <c r="V39" s="108">
        <f t="shared" si="298"/>
        <v>1</v>
      </c>
      <c r="W39" s="108">
        <f t="shared" si="299"/>
        <v>1</v>
      </c>
      <c r="X39" s="109">
        <f t="shared" si="300"/>
        <v>140667</v>
      </c>
      <c r="Y39" s="110">
        <f t="shared" si="301"/>
        <v>0</v>
      </c>
      <c r="AA39" s="319">
        <v>3.6</v>
      </c>
      <c r="AB39" s="319" t="s">
        <v>180</v>
      </c>
      <c r="AC39" s="334" t="s">
        <v>281</v>
      </c>
      <c r="AD39" s="321" t="s">
        <v>179</v>
      </c>
      <c r="AE39" s="325">
        <v>8.5</v>
      </c>
      <c r="AF39" s="323">
        <v>9000</v>
      </c>
      <c r="AG39" s="324">
        <v>76500</v>
      </c>
      <c r="AH39" s="108">
        <f t="shared" si="302"/>
        <v>1</v>
      </c>
      <c r="AI39" s="108">
        <f t="shared" si="303"/>
        <v>1</v>
      </c>
      <c r="AJ39" s="108">
        <f t="shared" si="304"/>
        <v>1</v>
      </c>
      <c r="AK39" s="108">
        <f t="shared" si="305"/>
        <v>1</v>
      </c>
      <c r="AL39" s="108">
        <f t="shared" si="306"/>
        <v>1</v>
      </c>
      <c r="AM39" s="108">
        <f t="shared" si="307"/>
        <v>1</v>
      </c>
      <c r="AN39" s="108">
        <f t="shared" si="308"/>
        <v>1</v>
      </c>
      <c r="AO39" s="109">
        <f t="shared" si="309"/>
        <v>76500</v>
      </c>
      <c r="AP39" s="110">
        <f t="shared" si="310"/>
        <v>0</v>
      </c>
      <c r="AR39" s="319">
        <v>3.6</v>
      </c>
      <c r="AS39" s="319" t="s">
        <v>180</v>
      </c>
      <c r="AT39" s="334" t="s">
        <v>281</v>
      </c>
      <c r="AU39" s="321" t="s">
        <v>179</v>
      </c>
      <c r="AV39" s="325">
        <v>8.5</v>
      </c>
      <c r="AW39" s="323">
        <v>17460</v>
      </c>
      <c r="AX39" s="324">
        <v>148410</v>
      </c>
      <c r="AY39" s="108">
        <f t="shared" si="311"/>
        <v>1</v>
      </c>
      <c r="AZ39" s="108">
        <f t="shared" si="312"/>
        <v>1</v>
      </c>
      <c r="BA39" s="108">
        <f t="shared" si="313"/>
        <v>1</v>
      </c>
      <c r="BB39" s="108">
        <f t="shared" si="314"/>
        <v>1</v>
      </c>
      <c r="BC39" s="108">
        <f t="shared" si="315"/>
        <v>1</v>
      </c>
      <c r="BD39" s="108">
        <f t="shared" si="316"/>
        <v>1</v>
      </c>
      <c r="BE39" s="108">
        <f t="shared" si="317"/>
        <v>1</v>
      </c>
      <c r="BF39" s="109">
        <f t="shared" si="318"/>
        <v>148410</v>
      </c>
      <c r="BG39" s="110">
        <f t="shared" si="319"/>
        <v>0</v>
      </c>
      <c r="BI39" s="319">
        <v>3.6</v>
      </c>
      <c r="BJ39" s="319" t="s">
        <v>180</v>
      </c>
      <c r="BK39" s="334" t="s">
        <v>281</v>
      </c>
      <c r="BL39" s="321" t="s">
        <v>179</v>
      </c>
      <c r="BM39" s="325">
        <v>8.5</v>
      </c>
      <c r="BN39" s="323">
        <v>25102</v>
      </c>
      <c r="BO39" s="324">
        <f t="shared" si="320"/>
        <v>213367</v>
      </c>
      <c r="BP39" s="108">
        <f t="shared" si="321"/>
        <v>1</v>
      </c>
      <c r="BQ39" s="108">
        <f t="shared" si="322"/>
        <v>1</v>
      </c>
      <c r="BR39" s="108">
        <f t="shared" si="323"/>
        <v>1</v>
      </c>
      <c r="BS39" s="108">
        <f t="shared" si="324"/>
        <v>1</v>
      </c>
      <c r="BT39" s="108">
        <f t="shared" si="325"/>
        <v>1</v>
      </c>
      <c r="BU39" s="108">
        <f t="shared" si="326"/>
        <v>1</v>
      </c>
      <c r="BV39" s="108">
        <f t="shared" si="327"/>
        <v>1</v>
      </c>
      <c r="BW39" s="109">
        <f t="shared" si="328"/>
        <v>213367</v>
      </c>
      <c r="BX39" s="110">
        <f t="shared" si="329"/>
        <v>0</v>
      </c>
      <c r="BZ39" s="319">
        <v>3.6</v>
      </c>
      <c r="CA39" s="319" t="s">
        <v>180</v>
      </c>
      <c r="CB39" s="334" t="s">
        <v>281</v>
      </c>
      <c r="CC39" s="321" t="s">
        <v>179</v>
      </c>
      <c r="CD39" s="325">
        <v>8.5</v>
      </c>
      <c r="CE39" s="323">
        <v>105000</v>
      </c>
      <c r="CF39" s="324">
        <f t="shared" si="330"/>
        <v>892500</v>
      </c>
      <c r="CG39" s="108">
        <f t="shared" si="331"/>
        <v>1</v>
      </c>
      <c r="CH39" s="108">
        <f t="shared" si="332"/>
        <v>1</v>
      </c>
      <c r="CI39" s="108">
        <f t="shared" si="333"/>
        <v>1</v>
      </c>
      <c r="CJ39" s="108">
        <f t="shared" si="334"/>
        <v>1</v>
      </c>
      <c r="CK39" s="108">
        <f t="shared" si="335"/>
        <v>1</v>
      </c>
      <c r="CL39" s="108">
        <f t="shared" si="336"/>
        <v>1</v>
      </c>
      <c r="CM39" s="108">
        <f t="shared" si="337"/>
        <v>1</v>
      </c>
      <c r="CN39" s="109">
        <f t="shared" si="338"/>
        <v>892500</v>
      </c>
      <c r="CO39" s="110">
        <f t="shared" si="339"/>
        <v>0</v>
      </c>
      <c r="CQ39" s="319">
        <v>3.6</v>
      </c>
      <c r="CR39" s="319" t="s">
        <v>180</v>
      </c>
      <c r="CS39" s="334" t="s">
        <v>281</v>
      </c>
      <c r="CT39" s="321" t="s">
        <v>179</v>
      </c>
      <c r="CU39" s="325">
        <v>8.5</v>
      </c>
      <c r="CV39" s="323">
        <v>6300</v>
      </c>
      <c r="CW39" s="324">
        <f t="shared" si="340"/>
        <v>53550</v>
      </c>
      <c r="CX39" s="108">
        <f t="shared" si="341"/>
        <v>1</v>
      </c>
      <c r="CY39" s="108">
        <f t="shared" si="342"/>
        <v>1</v>
      </c>
      <c r="CZ39" s="108">
        <f t="shared" si="343"/>
        <v>1</v>
      </c>
      <c r="DA39" s="108">
        <f t="shared" si="344"/>
        <v>1</v>
      </c>
      <c r="DB39" s="108">
        <f t="shared" si="345"/>
        <v>1</v>
      </c>
      <c r="DC39" s="108">
        <f t="shared" si="346"/>
        <v>1</v>
      </c>
      <c r="DD39" s="108">
        <f t="shared" si="347"/>
        <v>1</v>
      </c>
      <c r="DE39" s="109">
        <f t="shared" si="348"/>
        <v>53550</v>
      </c>
      <c r="DF39" s="110">
        <f t="shared" si="349"/>
        <v>0</v>
      </c>
      <c r="DH39" s="319">
        <v>3.6</v>
      </c>
      <c r="DI39" s="319" t="s">
        <v>180</v>
      </c>
      <c r="DJ39" s="360" t="s">
        <v>281</v>
      </c>
      <c r="DK39" s="321" t="s">
        <v>179</v>
      </c>
      <c r="DL39" s="325">
        <v>8.5</v>
      </c>
      <c r="DM39" s="323">
        <v>1808</v>
      </c>
      <c r="DN39" s="324">
        <f t="shared" si="350"/>
        <v>15368</v>
      </c>
      <c r="DO39" s="108">
        <f t="shared" si="351"/>
        <v>1</v>
      </c>
      <c r="DP39" s="108">
        <f t="shared" si="352"/>
        <v>1</v>
      </c>
      <c r="DQ39" s="108">
        <f t="shared" si="353"/>
        <v>1</v>
      </c>
      <c r="DR39" s="108">
        <f t="shared" si="354"/>
        <v>1</v>
      </c>
      <c r="DS39" s="108">
        <f t="shared" si="355"/>
        <v>1</v>
      </c>
      <c r="DT39" s="108">
        <f t="shared" si="356"/>
        <v>1</v>
      </c>
      <c r="DU39" s="108">
        <f t="shared" si="357"/>
        <v>1</v>
      </c>
      <c r="DV39" s="109">
        <f t="shared" si="358"/>
        <v>15368</v>
      </c>
      <c r="DW39" s="110">
        <f t="shared" si="359"/>
        <v>0</v>
      </c>
      <c r="DY39" s="319">
        <v>3.6</v>
      </c>
      <c r="DZ39" s="319" t="s">
        <v>180</v>
      </c>
      <c r="EA39" s="360" t="s">
        <v>281</v>
      </c>
      <c r="EB39" s="321" t="s">
        <v>179</v>
      </c>
      <c r="EC39" s="325">
        <v>8.5</v>
      </c>
      <c r="ED39" s="323">
        <v>9500</v>
      </c>
      <c r="EE39" s="324">
        <f t="shared" si="360"/>
        <v>80750</v>
      </c>
      <c r="EF39" s="108">
        <f t="shared" si="361"/>
        <v>1</v>
      </c>
      <c r="EG39" s="108">
        <f t="shared" si="362"/>
        <v>1</v>
      </c>
      <c r="EH39" s="108">
        <f t="shared" si="363"/>
        <v>1</v>
      </c>
      <c r="EI39" s="108">
        <f t="shared" si="364"/>
        <v>1</v>
      </c>
      <c r="EJ39" s="108">
        <f t="shared" si="365"/>
        <v>1</v>
      </c>
      <c r="EK39" s="108">
        <f t="shared" si="366"/>
        <v>1</v>
      </c>
      <c r="EL39" s="108">
        <f t="shared" si="367"/>
        <v>1</v>
      </c>
      <c r="EM39" s="109">
        <f t="shared" si="368"/>
        <v>80750</v>
      </c>
      <c r="EN39" s="110">
        <f t="shared" si="369"/>
        <v>0</v>
      </c>
      <c r="EP39" s="319">
        <v>3.6</v>
      </c>
      <c r="EQ39" s="319" t="s">
        <v>180</v>
      </c>
      <c r="ER39" s="334" t="s">
        <v>281</v>
      </c>
      <c r="ES39" s="321" t="s">
        <v>179</v>
      </c>
      <c r="ET39" s="325">
        <v>8.5</v>
      </c>
      <c r="EU39" s="323">
        <v>17000</v>
      </c>
      <c r="EV39" s="324">
        <f t="shared" si="370"/>
        <v>144500</v>
      </c>
      <c r="EW39" s="108">
        <f t="shared" si="371"/>
        <v>1</v>
      </c>
      <c r="EX39" s="108">
        <f t="shared" si="372"/>
        <v>1</v>
      </c>
      <c r="EY39" s="108">
        <f t="shared" si="373"/>
        <v>1</v>
      </c>
      <c r="EZ39" s="108">
        <f t="shared" si="374"/>
        <v>1</v>
      </c>
      <c r="FA39" s="108">
        <f t="shared" si="375"/>
        <v>1</v>
      </c>
      <c r="FB39" s="108">
        <f t="shared" si="376"/>
        <v>1</v>
      </c>
      <c r="FC39" s="108">
        <f t="shared" si="377"/>
        <v>1</v>
      </c>
      <c r="FD39" s="109">
        <f t="shared" si="378"/>
        <v>144500</v>
      </c>
      <c r="FE39" s="110">
        <f t="shared" si="379"/>
        <v>0</v>
      </c>
      <c r="FG39" s="319">
        <v>3.6</v>
      </c>
      <c r="FH39" s="319" t="s">
        <v>180</v>
      </c>
      <c r="FI39" s="360" t="s">
        <v>281</v>
      </c>
      <c r="FJ39" s="321" t="s">
        <v>179</v>
      </c>
      <c r="FK39" s="325">
        <v>8.5</v>
      </c>
      <c r="FL39" s="323">
        <v>1812</v>
      </c>
      <c r="FM39" s="324">
        <f t="shared" si="380"/>
        <v>15402</v>
      </c>
      <c r="FN39" s="108">
        <f t="shared" si="381"/>
        <v>1</v>
      </c>
      <c r="FO39" s="108">
        <f t="shared" si="382"/>
        <v>1</v>
      </c>
      <c r="FP39" s="108">
        <f t="shared" si="383"/>
        <v>1</v>
      </c>
      <c r="FQ39" s="108">
        <f t="shared" si="384"/>
        <v>1</v>
      </c>
      <c r="FR39" s="108">
        <f t="shared" si="385"/>
        <v>1</v>
      </c>
      <c r="FS39" s="108">
        <f t="shared" si="386"/>
        <v>1</v>
      </c>
      <c r="FT39" s="108">
        <f t="shared" si="387"/>
        <v>1</v>
      </c>
      <c r="FU39" s="109">
        <f t="shared" si="388"/>
        <v>15402</v>
      </c>
      <c r="FV39" s="110">
        <f t="shared" si="389"/>
        <v>0</v>
      </c>
      <c r="FX39" s="319">
        <v>3.6</v>
      </c>
      <c r="FY39" s="319" t="s">
        <v>180</v>
      </c>
      <c r="FZ39" s="334" t="s">
        <v>281</v>
      </c>
      <c r="GA39" s="321" t="s">
        <v>179</v>
      </c>
      <c r="GB39" s="325">
        <v>8.5</v>
      </c>
      <c r="GC39" s="323">
        <v>12000</v>
      </c>
      <c r="GD39" s="324">
        <f t="shared" si="390"/>
        <v>102000</v>
      </c>
      <c r="GE39" s="108">
        <f t="shared" si="391"/>
        <v>1</v>
      </c>
      <c r="GF39" s="108">
        <f t="shared" si="392"/>
        <v>1</v>
      </c>
      <c r="GG39" s="108">
        <f t="shared" si="393"/>
        <v>1</v>
      </c>
      <c r="GH39" s="108">
        <f t="shared" si="394"/>
        <v>1</v>
      </c>
      <c r="GI39" s="108">
        <f t="shared" si="395"/>
        <v>1</v>
      </c>
      <c r="GJ39" s="108">
        <f t="shared" si="396"/>
        <v>1</v>
      </c>
      <c r="GK39" s="108">
        <f t="shared" si="397"/>
        <v>1</v>
      </c>
      <c r="GL39" s="109">
        <f t="shared" si="398"/>
        <v>102000</v>
      </c>
      <c r="GM39" s="110">
        <f t="shared" si="399"/>
        <v>0</v>
      </c>
      <c r="GO39" s="319">
        <v>3.6</v>
      </c>
      <c r="GP39" s="319" t="s">
        <v>180</v>
      </c>
      <c r="GQ39" s="334" t="s">
        <v>281</v>
      </c>
      <c r="GR39" s="321" t="s">
        <v>179</v>
      </c>
      <c r="GS39" s="325">
        <v>8.5</v>
      </c>
      <c r="GT39" s="323">
        <v>6000</v>
      </c>
      <c r="GU39" s="324">
        <v>51000</v>
      </c>
      <c r="GV39" s="108">
        <f t="shared" si="400"/>
        <v>1</v>
      </c>
      <c r="GW39" s="108">
        <f t="shared" si="401"/>
        <v>1</v>
      </c>
      <c r="GX39" s="108">
        <f t="shared" si="402"/>
        <v>1</v>
      </c>
      <c r="GY39" s="108">
        <f t="shared" si="403"/>
        <v>1</v>
      </c>
      <c r="GZ39" s="108">
        <f t="shared" si="404"/>
        <v>1</v>
      </c>
      <c r="HA39" s="108">
        <f t="shared" si="405"/>
        <v>1</v>
      </c>
      <c r="HB39" s="108">
        <f t="shared" si="406"/>
        <v>1</v>
      </c>
      <c r="HC39" s="109">
        <f t="shared" si="407"/>
        <v>51000</v>
      </c>
      <c r="HD39" s="110">
        <f t="shared" si="408"/>
        <v>0</v>
      </c>
      <c r="HF39" s="319">
        <v>3.6</v>
      </c>
      <c r="HG39" s="319" t="s">
        <v>180</v>
      </c>
      <c r="HH39" s="334" t="s">
        <v>281</v>
      </c>
      <c r="HI39" s="321" t="s">
        <v>179</v>
      </c>
      <c r="HJ39" s="325">
        <v>8.5</v>
      </c>
      <c r="HK39" s="323">
        <v>65000</v>
      </c>
      <c r="HL39" s="324">
        <f t="shared" si="409"/>
        <v>552500</v>
      </c>
      <c r="HM39" s="108">
        <f t="shared" si="410"/>
        <v>1</v>
      </c>
      <c r="HN39" s="108">
        <f t="shared" si="411"/>
        <v>1</v>
      </c>
      <c r="HO39" s="108">
        <f t="shared" si="412"/>
        <v>1</v>
      </c>
      <c r="HP39" s="108">
        <f t="shared" si="413"/>
        <v>1</v>
      </c>
      <c r="HQ39" s="108">
        <f t="shared" si="414"/>
        <v>1</v>
      </c>
      <c r="HR39" s="108">
        <f t="shared" si="415"/>
        <v>1</v>
      </c>
      <c r="HS39" s="108">
        <f t="shared" si="416"/>
        <v>1</v>
      </c>
      <c r="HT39" s="109">
        <f t="shared" si="417"/>
        <v>552500</v>
      </c>
      <c r="HU39" s="110">
        <f t="shared" si="418"/>
        <v>0</v>
      </c>
      <c r="HW39" s="319">
        <v>3.6</v>
      </c>
      <c r="HX39" s="319" t="s">
        <v>180</v>
      </c>
      <c r="HY39" s="334" t="s">
        <v>281</v>
      </c>
      <c r="HZ39" s="321" t="s">
        <v>179</v>
      </c>
      <c r="IA39" s="325">
        <v>8.5</v>
      </c>
      <c r="IB39" s="323">
        <v>3500</v>
      </c>
      <c r="IC39" s="324">
        <f t="shared" si="419"/>
        <v>29750</v>
      </c>
      <c r="ID39" s="108">
        <f t="shared" si="420"/>
        <v>1</v>
      </c>
      <c r="IE39" s="108">
        <f t="shared" si="421"/>
        <v>1</v>
      </c>
      <c r="IF39" s="108">
        <f t="shared" si="422"/>
        <v>1</v>
      </c>
      <c r="IG39" s="108">
        <f t="shared" si="423"/>
        <v>1</v>
      </c>
      <c r="IH39" s="108">
        <f t="shared" si="424"/>
        <v>1</v>
      </c>
      <c r="II39" s="108">
        <f t="shared" si="425"/>
        <v>1</v>
      </c>
      <c r="IJ39" s="108">
        <f t="shared" si="426"/>
        <v>1</v>
      </c>
      <c r="IK39" s="109">
        <f t="shared" si="427"/>
        <v>29750</v>
      </c>
      <c r="IL39" s="110">
        <f t="shared" si="428"/>
        <v>0</v>
      </c>
    </row>
    <row r="40" spans="1:246" s="213" customFormat="1" ht="135" customHeight="1" x14ac:dyDescent="0.25">
      <c r="A40" s="211"/>
      <c r="B40" s="319">
        <v>3.7</v>
      </c>
      <c r="C40" s="319" t="s">
        <v>180</v>
      </c>
      <c r="D40" s="334" t="s">
        <v>282</v>
      </c>
      <c r="E40" s="321" t="s">
        <v>184</v>
      </c>
      <c r="F40" s="325">
        <v>8.5</v>
      </c>
      <c r="G40" s="323">
        <v>0</v>
      </c>
      <c r="H40" s="324">
        <f t="shared" si="292"/>
        <v>0</v>
      </c>
      <c r="J40" s="319">
        <v>3.7</v>
      </c>
      <c r="K40" s="319" t="s">
        <v>180</v>
      </c>
      <c r="L40" s="334" t="s">
        <v>282</v>
      </c>
      <c r="M40" s="321" t="s">
        <v>184</v>
      </c>
      <c r="N40" s="325">
        <v>8.5</v>
      </c>
      <c r="O40" s="323">
        <v>57828</v>
      </c>
      <c r="P40" s="324">
        <v>491538</v>
      </c>
      <c r="Q40" s="108">
        <f t="shared" si="293"/>
        <v>1</v>
      </c>
      <c r="R40" s="108">
        <f t="shared" si="294"/>
        <v>1</v>
      </c>
      <c r="S40" s="108">
        <f t="shared" si="295"/>
        <v>1</v>
      </c>
      <c r="T40" s="108">
        <f t="shared" si="296"/>
        <v>1</v>
      </c>
      <c r="U40" s="108">
        <f t="shared" si="297"/>
        <v>1</v>
      </c>
      <c r="V40" s="108">
        <f t="shared" si="298"/>
        <v>1</v>
      </c>
      <c r="W40" s="108">
        <f t="shared" si="299"/>
        <v>1</v>
      </c>
      <c r="X40" s="109">
        <f t="shared" si="300"/>
        <v>491538</v>
      </c>
      <c r="Y40" s="110">
        <f t="shared" si="301"/>
        <v>0</v>
      </c>
      <c r="AA40" s="319">
        <v>3.7</v>
      </c>
      <c r="AB40" s="319" t="s">
        <v>180</v>
      </c>
      <c r="AC40" s="334" t="s">
        <v>282</v>
      </c>
      <c r="AD40" s="321" t="s">
        <v>184</v>
      </c>
      <c r="AE40" s="325">
        <v>8.5</v>
      </c>
      <c r="AF40" s="323">
        <v>195000</v>
      </c>
      <c r="AG40" s="324">
        <v>1657500</v>
      </c>
      <c r="AH40" s="108">
        <f t="shared" si="302"/>
        <v>1</v>
      </c>
      <c r="AI40" s="108">
        <f t="shared" si="303"/>
        <v>1</v>
      </c>
      <c r="AJ40" s="108">
        <f t="shared" si="304"/>
        <v>1</v>
      </c>
      <c r="AK40" s="108">
        <f t="shared" si="305"/>
        <v>1</v>
      </c>
      <c r="AL40" s="108">
        <f t="shared" si="306"/>
        <v>1</v>
      </c>
      <c r="AM40" s="108">
        <f t="shared" si="307"/>
        <v>1</v>
      </c>
      <c r="AN40" s="108">
        <f t="shared" si="308"/>
        <v>1</v>
      </c>
      <c r="AO40" s="109">
        <f t="shared" si="309"/>
        <v>1657500</v>
      </c>
      <c r="AP40" s="110">
        <f t="shared" si="310"/>
        <v>0</v>
      </c>
      <c r="AR40" s="319">
        <v>3.7</v>
      </c>
      <c r="AS40" s="319" t="s">
        <v>180</v>
      </c>
      <c r="AT40" s="334" t="s">
        <v>282</v>
      </c>
      <c r="AU40" s="321" t="s">
        <v>184</v>
      </c>
      <c r="AV40" s="325">
        <v>8.5</v>
      </c>
      <c r="AW40" s="323">
        <v>48500</v>
      </c>
      <c r="AX40" s="324">
        <v>412250</v>
      </c>
      <c r="AY40" s="108">
        <f t="shared" si="311"/>
        <v>1</v>
      </c>
      <c r="AZ40" s="108">
        <f t="shared" si="312"/>
        <v>1</v>
      </c>
      <c r="BA40" s="108">
        <f t="shared" si="313"/>
        <v>1</v>
      </c>
      <c r="BB40" s="108">
        <f t="shared" si="314"/>
        <v>1</v>
      </c>
      <c r="BC40" s="108">
        <f t="shared" si="315"/>
        <v>1</v>
      </c>
      <c r="BD40" s="108">
        <f t="shared" si="316"/>
        <v>1</v>
      </c>
      <c r="BE40" s="108">
        <f t="shared" si="317"/>
        <v>1</v>
      </c>
      <c r="BF40" s="109">
        <f t="shared" si="318"/>
        <v>412250</v>
      </c>
      <c r="BG40" s="110">
        <f t="shared" si="319"/>
        <v>0</v>
      </c>
      <c r="BI40" s="319">
        <v>3.7</v>
      </c>
      <c r="BJ40" s="319" t="s">
        <v>180</v>
      </c>
      <c r="BK40" s="334" t="s">
        <v>282</v>
      </c>
      <c r="BL40" s="321" t="s">
        <v>184</v>
      </c>
      <c r="BM40" s="325">
        <v>8.5</v>
      </c>
      <c r="BN40" s="323">
        <v>25102</v>
      </c>
      <c r="BO40" s="324">
        <f t="shared" si="320"/>
        <v>213367</v>
      </c>
      <c r="BP40" s="108">
        <f t="shared" si="321"/>
        <v>1</v>
      </c>
      <c r="BQ40" s="108">
        <f t="shared" si="322"/>
        <v>1</v>
      </c>
      <c r="BR40" s="108">
        <f t="shared" si="323"/>
        <v>1</v>
      </c>
      <c r="BS40" s="108">
        <f t="shared" si="324"/>
        <v>1</v>
      </c>
      <c r="BT40" s="108">
        <f t="shared" si="325"/>
        <v>1</v>
      </c>
      <c r="BU40" s="108">
        <f t="shared" si="326"/>
        <v>1</v>
      </c>
      <c r="BV40" s="108">
        <f t="shared" si="327"/>
        <v>1</v>
      </c>
      <c r="BW40" s="109">
        <f t="shared" si="328"/>
        <v>213367</v>
      </c>
      <c r="BX40" s="110">
        <f t="shared" si="329"/>
        <v>0</v>
      </c>
      <c r="BZ40" s="319">
        <v>3.7</v>
      </c>
      <c r="CA40" s="319" t="s">
        <v>180</v>
      </c>
      <c r="CB40" s="334" t="s">
        <v>282</v>
      </c>
      <c r="CC40" s="321" t="s">
        <v>184</v>
      </c>
      <c r="CD40" s="325">
        <v>8.5</v>
      </c>
      <c r="CE40" s="323">
        <v>120000</v>
      </c>
      <c r="CF40" s="324">
        <f t="shared" si="330"/>
        <v>1020000</v>
      </c>
      <c r="CG40" s="108">
        <f t="shared" si="331"/>
        <v>1</v>
      </c>
      <c r="CH40" s="108">
        <f t="shared" si="332"/>
        <v>1</v>
      </c>
      <c r="CI40" s="108">
        <f t="shared" si="333"/>
        <v>1</v>
      </c>
      <c r="CJ40" s="108">
        <f t="shared" si="334"/>
        <v>1</v>
      </c>
      <c r="CK40" s="108">
        <f t="shared" si="335"/>
        <v>1</v>
      </c>
      <c r="CL40" s="108">
        <f t="shared" si="336"/>
        <v>1</v>
      </c>
      <c r="CM40" s="108">
        <f t="shared" si="337"/>
        <v>1</v>
      </c>
      <c r="CN40" s="109">
        <f t="shared" si="338"/>
        <v>1020000</v>
      </c>
      <c r="CO40" s="110">
        <f t="shared" si="339"/>
        <v>0</v>
      </c>
      <c r="CQ40" s="319">
        <v>3.7</v>
      </c>
      <c r="CR40" s="319" t="s">
        <v>180</v>
      </c>
      <c r="CS40" s="334" t="s">
        <v>282</v>
      </c>
      <c r="CT40" s="321" t="s">
        <v>184</v>
      </c>
      <c r="CU40" s="325">
        <v>8.5</v>
      </c>
      <c r="CV40" s="323">
        <v>62000</v>
      </c>
      <c r="CW40" s="324">
        <f t="shared" si="340"/>
        <v>527000</v>
      </c>
      <c r="CX40" s="108">
        <f t="shared" si="341"/>
        <v>1</v>
      </c>
      <c r="CY40" s="108">
        <f t="shared" si="342"/>
        <v>1</v>
      </c>
      <c r="CZ40" s="108">
        <f t="shared" si="343"/>
        <v>1</v>
      </c>
      <c r="DA40" s="108">
        <f t="shared" si="344"/>
        <v>1</v>
      </c>
      <c r="DB40" s="108">
        <f t="shared" si="345"/>
        <v>1</v>
      </c>
      <c r="DC40" s="108">
        <f t="shared" si="346"/>
        <v>1</v>
      </c>
      <c r="DD40" s="108">
        <f t="shared" si="347"/>
        <v>1</v>
      </c>
      <c r="DE40" s="109">
        <f t="shared" si="348"/>
        <v>527000</v>
      </c>
      <c r="DF40" s="110">
        <f t="shared" si="349"/>
        <v>0</v>
      </c>
      <c r="DH40" s="319">
        <v>3.7</v>
      </c>
      <c r="DI40" s="319" t="s">
        <v>180</v>
      </c>
      <c r="DJ40" s="360" t="s">
        <v>282</v>
      </c>
      <c r="DK40" s="321" t="s">
        <v>184</v>
      </c>
      <c r="DL40" s="325">
        <v>8.5</v>
      </c>
      <c r="DM40" s="323">
        <v>13924</v>
      </c>
      <c r="DN40" s="324">
        <f t="shared" si="350"/>
        <v>118354</v>
      </c>
      <c r="DO40" s="108">
        <f t="shared" si="351"/>
        <v>1</v>
      </c>
      <c r="DP40" s="108">
        <f t="shared" si="352"/>
        <v>1</v>
      </c>
      <c r="DQ40" s="108">
        <f t="shared" si="353"/>
        <v>1</v>
      </c>
      <c r="DR40" s="108">
        <f t="shared" si="354"/>
        <v>1</v>
      </c>
      <c r="DS40" s="108">
        <f t="shared" si="355"/>
        <v>1</v>
      </c>
      <c r="DT40" s="108">
        <f t="shared" si="356"/>
        <v>1</v>
      </c>
      <c r="DU40" s="108">
        <f t="shared" si="357"/>
        <v>1</v>
      </c>
      <c r="DV40" s="109">
        <f t="shared" si="358"/>
        <v>118354</v>
      </c>
      <c r="DW40" s="110">
        <f t="shared" si="359"/>
        <v>0</v>
      </c>
      <c r="DY40" s="319">
        <v>3.7</v>
      </c>
      <c r="DZ40" s="319" t="s">
        <v>180</v>
      </c>
      <c r="EA40" s="360" t="s">
        <v>282</v>
      </c>
      <c r="EB40" s="321" t="s">
        <v>184</v>
      </c>
      <c r="EC40" s="325">
        <v>8.5</v>
      </c>
      <c r="ED40" s="323">
        <v>14000</v>
      </c>
      <c r="EE40" s="324">
        <f t="shared" si="360"/>
        <v>119000</v>
      </c>
      <c r="EF40" s="108">
        <f t="shared" si="361"/>
        <v>1</v>
      </c>
      <c r="EG40" s="108">
        <f t="shared" si="362"/>
        <v>1</v>
      </c>
      <c r="EH40" s="108">
        <f t="shared" si="363"/>
        <v>1</v>
      </c>
      <c r="EI40" s="108">
        <f t="shared" si="364"/>
        <v>1</v>
      </c>
      <c r="EJ40" s="108">
        <f t="shared" si="365"/>
        <v>1</v>
      </c>
      <c r="EK40" s="108">
        <f t="shared" si="366"/>
        <v>1</v>
      </c>
      <c r="EL40" s="108">
        <f t="shared" si="367"/>
        <v>1</v>
      </c>
      <c r="EM40" s="109">
        <f t="shared" si="368"/>
        <v>119000</v>
      </c>
      <c r="EN40" s="110">
        <f t="shared" si="369"/>
        <v>0</v>
      </c>
      <c r="EP40" s="319">
        <v>3.7</v>
      </c>
      <c r="EQ40" s="319" t="s">
        <v>180</v>
      </c>
      <c r="ER40" s="334" t="s">
        <v>282</v>
      </c>
      <c r="ES40" s="321" t="s">
        <v>184</v>
      </c>
      <c r="ET40" s="325">
        <v>8.5</v>
      </c>
      <c r="EU40" s="323">
        <v>46600</v>
      </c>
      <c r="EV40" s="324">
        <f t="shared" si="370"/>
        <v>396100</v>
      </c>
      <c r="EW40" s="108">
        <f t="shared" si="371"/>
        <v>1</v>
      </c>
      <c r="EX40" s="108">
        <f t="shared" si="372"/>
        <v>1</v>
      </c>
      <c r="EY40" s="108">
        <f t="shared" si="373"/>
        <v>1</v>
      </c>
      <c r="EZ40" s="108">
        <f t="shared" si="374"/>
        <v>1</v>
      </c>
      <c r="FA40" s="108">
        <f t="shared" si="375"/>
        <v>1</v>
      </c>
      <c r="FB40" s="108">
        <f t="shared" si="376"/>
        <v>1</v>
      </c>
      <c r="FC40" s="108">
        <f t="shared" si="377"/>
        <v>1</v>
      </c>
      <c r="FD40" s="109">
        <f t="shared" si="378"/>
        <v>396100</v>
      </c>
      <c r="FE40" s="110">
        <f t="shared" si="379"/>
        <v>0</v>
      </c>
      <c r="FG40" s="319">
        <v>3.7</v>
      </c>
      <c r="FH40" s="319" t="s">
        <v>180</v>
      </c>
      <c r="FI40" s="360" t="s">
        <v>282</v>
      </c>
      <c r="FJ40" s="321" t="s">
        <v>184</v>
      </c>
      <c r="FK40" s="325">
        <v>8.5</v>
      </c>
      <c r="FL40" s="323">
        <v>13933</v>
      </c>
      <c r="FM40" s="324">
        <f t="shared" si="380"/>
        <v>118430.5</v>
      </c>
      <c r="FN40" s="108">
        <f t="shared" si="381"/>
        <v>1</v>
      </c>
      <c r="FO40" s="108">
        <f t="shared" si="382"/>
        <v>1</v>
      </c>
      <c r="FP40" s="108">
        <f t="shared" si="383"/>
        <v>1</v>
      </c>
      <c r="FQ40" s="108">
        <f t="shared" si="384"/>
        <v>1</v>
      </c>
      <c r="FR40" s="108">
        <f t="shared" si="385"/>
        <v>1</v>
      </c>
      <c r="FS40" s="108">
        <f t="shared" si="386"/>
        <v>1</v>
      </c>
      <c r="FT40" s="108">
        <f t="shared" si="387"/>
        <v>1</v>
      </c>
      <c r="FU40" s="109">
        <f t="shared" si="388"/>
        <v>118431</v>
      </c>
      <c r="FV40" s="110">
        <f t="shared" si="389"/>
        <v>-0.5</v>
      </c>
      <c r="FX40" s="319">
        <v>3.7</v>
      </c>
      <c r="FY40" s="319" t="s">
        <v>180</v>
      </c>
      <c r="FZ40" s="334" t="s">
        <v>282</v>
      </c>
      <c r="GA40" s="321" t="s">
        <v>184</v>
      </c>
      <c r="GB40" s="325">
        <v>8.5</v>
      </c>
      <c r="GC40" s="323">
        <v>110000</v>
      </c>
      <c r="GD40" s="324">
        <f t="shared" si="390"/>
        <v>935000</v>
      </c>
      <c r="GE40" s="108">
        <f t="shared" si="391"/>
        <v>1</v>
      </c>
      <c r="GF40" s="108">
        <f t="shared" si="392"/>
        <v>1</v>
      </c>
      <c r="GG40" s="108">
        <f t="shared" si="393"/>
        <v>1</v>
      </c>
      <c r="GH40" s="108">
        <f t="shared" si="394"/>
        <v>1</v>
      </c>
      <c r="GI40" s="108">
        <f t="shared" si="395"/>
        <v>1</v>
      </c>
      <c r="GJ40" s="108">
        <f t="shared" si="396"/>
        <v>1</v>
      </c>
      <c r="GK40" s="108">
        <f t="shared" si="397"/>
        <v>1</v>
      </c>
      <c r="GL40" s="109">
        <f t="shared" si="398"/>
        <v>935000</v>
      </c>
      <c r="GM40" s="110">
        <f t="shared" si="399"/>
        <v>0</v>
      </c>
      <c r="GO40" s="319">
        <v>3.7</v>
      </c>
      <c r="GP40" s="319" t="s">
        <v>180</v>
      </c>
      <c r="GQ40" s="334" t="s">
        <v>282</v>
      </c>
      <c r="GR40" s="321" t="s">
        <v>184</v>
      </c>
      <c r="GS40" s="325">
        <v>8.5</v>
      </c>
      <c r="GT40" s="323">
        <v>55000</v>
      </c>
      <c r="GU40" s="324">
        <v>467500</v>
      </c>
      <c r="GV40" s="108">
        <f t="shared" si="400"/>
        <v>1</v>
      </c>
      <c r="GW40" s="108">
        <f t="shared" si="401"/>
        <v>1</v>
      </c>
      <c r="GX40" s="108">
        <f t="shared" si="402"/>
        <v>1</v>
      </c>
      <c r="GY40" s="108">
        <f t="shared" si="403"/>
        <v>1</v>
      </c>
      <c r="GZ40" s="108">
        <f t="shared" si="404"/>
        <v>1</v>
      </c>
      <c r="HA40" s="108">
        <f t="shared" si="405"/>
        <v>1</v>
      </c>
      <c r="HB40" s="108">
        <f t="shared" si="406"/>
        <v>1</v>
      </c>
      <c r="HC40" s="109">
        <f t="shared" si="407"/>
        <v>467500</v>
      </c>
      <c r="HD40" s="110">
        <f t="shared" si="408"/>
        <v>0</v>
      </c>
      <c r="HF40" s="319">
        <v>3.7</v>
      </c>
      <c r="HG40" s="319" t="s">
        <v>180</v>
      </c>
      <c r="HH40" s="334" t="s">
        <v>282</v>
      </c>
      <c r="HI40" s="321" t="s">
        <v>184</v>
      </c>
      <c r="HJ40" s="325">
        <v>8.5</v>
      </c>
      <c r="HK40" s="323">
        <v>32000</v>
      </c>
      <c r="HL40" s="324">
        <f t="shared" si="409"/>
        <v>272000</v>
      </c>
      <c r="HM40" s="108">
        <f t="shared" si="410"/>
        <v>1</v>
      </c>
      <c r="HN40" s="108">
        <f t="shared" si="411"/>
        <v>1</v>
      </c>
      <c r="HO40" s="108">
        <f t="shared" si="412"/>
        <v>1</v>
      </c>
      <c r="HP40" s="108">
        <f t="shared" si="413"/>
        <v>1</v>
      </c>
      <c r="HQ40" s="108">
        <f t="shared" si="414"/>
        <v>1</v>
      </c>
      <c r="HR40" s="108">
        <f t="shared" si="415"/>
        <v>1</v>
      </c>
      <c r="HS40" s="108">
        <f t="shared" si="416"/>
        <v>1</v>
      </c>
      <c r="HT40" s="109">
        <f t="shared" si="417"/>
        <v>272000</v>
      </c>
      <c r="HU40" s="110">
        <f t="shared" si="418"/>
        <v>0</v>
      </c>
      <c r="HW40" s="319">
        <v>3.7</v>
      </c>
      <c r="HX40" s="319" t="s">
        <v>180</v>
      </c>
      <c r="HY40" s="334" t="s">
        <v>282</v>
      </c>
      <c r="HZ40" s="321" t="s">
        <v>184</v>
      </c>
      <c r="IA40" s="325">
        <v>8.5</v>
      </c>
      <c r="IB40" s="323">
        <v>25000</v>
      </c>
      <c r="IC40" s="324">
        <f t="shared" si="419"/>
        <v>212500</v>
      </c>
      <c r="ID40" s="108">
        <f t="shared" si="420"/>
        <v>1</v>
      </c>
      <c r="IE40" s="108">
        <f t="shared" si="421"/>
        <v>1</v>
      </c>
      <c r="IF40" s="108">
        <f t="shared" si="422"/>
        <v>1</v>
      </c>
      <c r="IG40" s="108">
        <f t="shared" si="423"/>
        <v>1</v>
      </c>
      <c r="IH40" s="108">
        <f t="shared" si="424"/>
        <v>1</v>
      </c>
      <c r="II40" s="108">
        <f t="shared" si="425"/>
        <v>1</v>
      </c>
      <c r="IJ40" s="108">
        <f t="shared" si="426"/>
        <v>1</v>
      </c>
      <c r="IK40" s="109">
        <f t="shared" si="427"/>
        <v>212500</v>
      </c>
      <c r="IL40" s="110">
        <f t="shared" si="428"/>
        <v>0</v>
      </c>
    </row>
    <row r="41" spans="1:246" s="213" customFormat="1" ht="99" customHeight="1" x14ac:dyDescent="0.25">
      <c r="A41" s="211"/>
      <c r="B41" s="319">
        <v>3.8</v>
      </c>
      <c r="C41" s="319" t="s">
        <v>180</v>
      </c>
      <c r="D41" s="334" t="s">
        <v>283</v>
      </c>
      <c r="E41" s="321" t="s">
        <v>184</v>
      </c>
      <c r="F41" s="325">
        <v>8.5</v>
      </c>
      <c r="G41" s="323">
        <v>0</v>
      </c>
      <c r="H41" s="324">
        <f t="shared" si="292"/>
        <v>0</v>
      </c>
      <c r="J41" s="319">
        <v>3.8</v>
      </c>
      <c r="K41" s="319" t="s">
        <v>180</v>
      </c>
      <c r="L41" s="334" t="s">
        <v>283</v>
      </c>
      <c r="M41" s="321" t="s">
        <v>184</v>
      </c>
      <c r="N41" s="325">
        <v>8.5</v>
      </c>
      <c r="O41" s="323">
        <v>51421</v>
      </c>
      <c r="P41" s="324">
        <v>437079</v>
      </c>
      <c r="Q41" s="108">
        <f t="shared" si="293"/>
        <v>1</v>
      </c>
      <c r="R41" s="108">
        <f t="shared" si="294"/>
        <v>1</v>
      </c>
      <c r="S41" s="108">
        <f t="shared" si="295"/>
        <v>1</v>
      </c>
      <c r="T41" s="108">
        <f t="shared" si="296"/>
        <v>1</v>
      </c>
      <c r="U41" s="108">
        <f t="shared" si="297"/>
        <v>1</v>
      </c>
      <c r="V41" s="108">
        <f t="shared" si="298"/>
        <v>1</v>
      </c>
      <c r="W41" s="108">
        <f t="shared" si="299"/>
        <v>1</v>
      </c>
      <c r="X41" s="109">
        <f t="shared" si="300"/>
        <v>437079</v>
      </c>
      <c r="Y41" s="110">
        <f t="shared" si="301"/>
        <v>0</v>
      </c>
      <c r="AA41" s="319">
        <v>3.8</v>
      </c>
      <c r="AB41" s="319" t="s">
        <v>180</v>
      </c>
      <c r="AC41" s="334" t="s">
        <v>283</v>
      </c>
      <c r="AD41" s="321" t="s">
        <v>184</v>
      </c>
      <c r="AE41" s="325">
        <v>8.5</v>
      </c>
      <c r="AF41" s="323">
        <v>32000</v>
      </c>
      <c r="AG41" s="324">
        <v>272000</v>
      </c>
      <c r="AH41" s="108">
        <f t="shared" si="302"/>
        <v>1</v>
      </c>
      <c r="AI41" s="108">
        <f t="shared" si="303"/>
        <v>1</v>
      </c>
      <c r="AJ41" s="108">
        <f t="shared" si="304"/>
        <v>1</v>
      </c>
      <c r="AK41" s="108">
        <f t="shared" si="305"/>
        <v>1</v>
      </c>
      <c r="AL41" s="108">
        <f t="shared" si="306"/>
        <v>1</v>
      </c>
      <c r="AM41" s="108">
        <f t="shared" si="307"/>
        <v>1</v>
      </c>
      <c r="AN41" s="108">
        <f t="shared" si="308"/>
        <v>1</v>
      </c>
      <c r="AO41" s="109">
        <f t="shared" si="309"/>
        <v>272000</v>
      </c>
      <c r="AP41" s="110">
        <f t="shared" si="310"/>
        <v>0</v>
      </c>
      <c r="AR41" s="319">
        <v>3.8</v>
      </c>
      <c r="AS41" s="319" t="s">
        <v>180</v>
      </c>
      <c r="AT41" s="334" t="s">
        <v>283</v>
      </c>
      <c r="AU41" s="321" t="s">
        <v>184</v>
      </c>
      <c r="AV41" s="325">
        <v>8.5</v>
      </c>
      <c r="AW41" s="323">
        <v>58200</v>
      </c>
      <c r="AX41" s="324">
        <v>494700</v>
      </c>
      <c r="AY41" s="108">
        <f t="shared" si="311"/>
        <v>1</v>
      </c>
      <c r="AZ41" s="108">
        <f t="shared" si="312"/>
        <v>1</v>
      </c>
      <c r="BA41" s="108">
        <f t="shared" si="313"/>
        <v>1</v>
      </c>
      <c r="BB41" s="108">
        <f t="shared" si="314"/>
        <v>1</v>
      </c>
      <c r="BC41" s="108">
        <f t="shared" si="315"/>
        <v>1</v>
      </c>
      <c r="BD41" s="108">
        <f t="shared" si="316"/>
        <v>1</v>
      </c>
      <c r="BE41" s="108">
        <f t="shared" si="317"/>
        <v>1</v>
      </c>
      <c r="BF41" s="109">
        <f t="shared" si="318"/>
        <v>494700</v>
      </c>
      <c r="BG41" s="110">
        <f t="shared" si="319"/>
        <v>0</v>
      </c>
      <c r="BI41" s="319">
        <v>3.8</v>
      </c>
      <c r="BJ41" s="319" t="s">
        <v>180</v>
      </c>
      <c r="BK41" s="334" t="s">
        <v>283</v>
      </c>
      <c r="BL41" s="321" t="s">
        <v>184</v>
      </c>
      <c r="BM41" s="325">
        <v>8.5</v>
      </c>
      <c r="BN41" s="323">
        <v>25102</v>
      </c>
      <c r="BO41" s="324">
        <f t="shared" si="320"/>
        <v>213367</v>
      </c>
      <c r="BP41" s="108">
        <f t="shared" si="321"/>
        <v>1</v>
      </c>
      <c r="BQ41" s="108">
        <f t="shared" si="322"/>
        <v>1</v>
      </c>
      <c r="BR41" s="108">
        <f t="shared" si="323"/>
        <v>1</v>
      </c>
      <c r="BS41" s="108">
        <f t="shared" si="324"/>
        <v>1</v>
      </c>
      <c r="BT41" s="108">
        <f t="shared" si="325"/>
        <v>1</v>
      </c>
      <c r="BU41" s="108">
        <f t="shared" si="326"/>
        <v>1</v>
      </c>
      <c r="BV41" s="108">
        <f t="shared" si="327"/>
        <v>1</v>
      </c>
      <c r="BW41" s="109">
        <f t="shared" si="328"/>
        <v>213367</v>
      </c>
      <c r="BX41" s="110">
        <f t="shared" si="329"/>
        <v>0</v>
      </c>
      <c r="BZ41" s="319">
        <v>3.8</v>
      </c>
      <c r="CA41" s="319" t="s">
        <v>180</v>
      </c>
      <c r="CB41" s="334" t="s">
        <v>283</v>
      </c>
      <c r="CC41" s="321" t="s">
        <v>184</v>
      </c>
      <c r="CD41" s="325">
        <v>8.5</v>
      </c>
      <c r="CE41" s="323">
        <v>150000</v>
      </c>
      <c r="CF41" s="324">
        <f t="shared" si="330"/>
        <v>1275000</v>
      </c>
      <c r="CG41" s="108">
        <f t="shared" si="331"/>
        <v>1</v>
      </c>
      <c r="CH41" s="108">
        <f t="shared" si="332"/>
        <v>1</v>
      </c>
      <c r="CI41" s="108">
        <f t="shared" si="333"/>
        <v>1</v>
      </c>
      <c r="CJ41" s="108">
        <f t="shared" si="334"/>
        <v>1</v>
      </c>
      <c r="CK41" s="108">
        <f t="shared" si="335"/>
        <v>1</v>
      </c>
      <c r="CL41" s="108">
        <f t="shared" si="336"/>
        <v>1</v>
      </c>
      <c r="CM41" s="108">
        <f t="shared" si="337"/>
        <v>1</v>
      </c>
      <c r="CN41" s="109">
        <f t="shared" si="338"/>
        <v>1275000</v>
      </c>
      <c r="CO41" s="110">
        <f t="shared" si="339"/>
        <v>0</v>
      </c>
      <c r="CQ41" s="319">
        <v>3.8</v>
      </c>
      <c r="CR41" s="319" t="s">
        <v>180</v>
      </c>
      <c r="CS41" s="334" t="s">
        <v>283</v>
      </c>
      <c r="CT41" s="321" t="s">
        <v>184</v>
      </c>
      <c r="CU41" s="325">
        <v>8.5</v>
      </c>
      <c r="CV41" s="323">
        <v>62000</v>
      </c>
      <c r="CW41" s="324">
        <f t="shared" si="340"/>
        <v>527000</v>
      </c>
      <c r="CX41" s="108">
        <f t="shared" si="341"/>
        <v>1</v>
      </c>
      <c r="CY41" s="108">
        <f t="shared" si="342"/>
        <v>1</v>
      </c>
      <c r="CZ41" s="108">
        <f t="shared" si="343"/>
        <v>1</v>
      </c>
      <c r="DA41" s="108">
        <f t="shared" si="344"/>
        <v>1</v>
      </c>
      <c r="DB41" s="108">
        <f t="shared" si="345"/>
        <v>1</v>
      </c>
      <c r="DC41" s="108">
        <f t="shared" si="346"/>
        <v>1</v>
      </c>
      <c r="DD41" s="108">
        <f t="shared" si="347"/>
        <v>1</v>
      </c>
      <c r="DE41" s="109">
        <f t="shared" si="348"/>
        <v>527000</v>
      </c>
      <c r="DF41" s="110">
        <f t="shared" si="349"/>
        <v>0</v>
      </c>
      <c r="DH41" s="319">
        <v>3.8</v>
      </c>
      <c r="DI41" s="319" t="s">
        <v>180</v>
      </c>
      <c r="DJ41" s="360" t="s">
        <v>283</v>
      </c>
      <c r="DK41" s="321" t="s">
        <v>184</v>
      </c>
      <c r="DL41" s="325">
        <v>8.5</v>
      </c>
      <c r="DM41" s="323">
        <v>11033</v>
      </c>
      <c r="DN41" s="324">
        <f t="shared" si="350"/>
        <v>93780.5</v>
      </c>
      <c r="DO41" s="108">
        <f t="shared" si="351"/>
        <v>1</v>
      </c>
      <c r="DP41" s="108">
        <f t="shared" si="352"/>
        <v>1</v>
      </c>
      <c r="DQ41" s="108">
        <f t="shared" si="353"/>
        <v>1</v>
      </c>
      <c r="DR41" s="108">
        <f t="shared" si="354"/>
        <v>1</v>
      </c>
      <c r="DS41" s="108">
        <f t="shared" si="355"/>
        <v>1</v>
      </c>
      <c r="DT41" s="108">
        <f t="shared" si="356"/>
        <v>1</v>
      </c>
      <c r="DU41" s="108">
        <f t="shared" si="357"/>
        <v>1</v>
      </c>
      <c r="DV41" s="109">
        <f t="shared" si="358"/>
        <v>93781</v>
      </c>
      <c r="DW41" s="110">
        <f t="shared" si="359"/>
        <v>-0.5</v>
      </c>
      <c r="DY41" s="319">
        <v>3.8</v>
      </c>
      <c r="DZ41" s="319" t="s">
        <v>180</v>
      </c>
      <c r="EA41" s="360" t="s">
        <v>283</v>
      </c>
      <c r="EB41" s="321" t="s">
        <v>184</v>
      </c>
      <c r="EC41" s="325">
        <v>8.5</v>
      </c>
      <c r="ED41" s="323">
        <v>25000</v>
      </c>
      <c r="EE41" s="324">
        <f t="shared" si="360"/>
        <v>212500</v>
      </c>
      <c r="EF41" s="108">
        <f t="shared" si="361"/>
        <v>1</v>
      </c>
      <c r="EG41" s="108">
        <f t="shared" si="362"/>
        <v>1</v>
      </c>
      <c r="EH41" s="108">
        <f t="shared" si="363"/>
        <v>1</v>
      </c>
      <c r="EI41" s="108">
        <f t="shared" si="364"/>
        <v>1</v>
      </c>
      <c r="EJ41" s="108">
        <f t="shared" si="365"/>
        <v>1</v>
      </c>
      <c r="EK41" s="108">
        <f t="shared" si="366"/>
        <v>1</v>
      </c>
      <c r="EL41" s="108">
        <f t="shared" si="367"/>
        <v>1</v>
      </c>
      <c r="EM41" s="109">
        <f t="shared" si="368"/>
        <v>212500</v>
      </c>
      <c r="EN41" s="110">
        <f t="shared" si="369"/>
        <v>0</v>
      </c>
      <c r="EP41" s="319">
        <v>3.8</v>
      </c>
      <c r="EQ41" s="319" t="s">
        <v>180</v>
      </c>
      <c r="ER41" s="334" t="s">
        <v>283</v>
      </c>
      <c r="ES41" s="321" t="s">
        <v>184</v>
      </c>
      <c r="ET41" s="325">
        <v>8.5</v>
      </c>
      <c r="EU41" s="323">
        <v>22000</v>
      </c>
      <c r="EV41" s="324">
        <f t="shared" si="370"/>
        <v>187000</v>
      </c>
      <c r="EW41" s="108">
        <f t="shared" si="371"/>
        <v>1</v>
      </c>
      <c r="EX41" s="108">
        <f t="shared" si="372"/>
        <v>1</v>
      </c>
      <c r="EY41" s="108">
        <f t="shared" si="373"/>
        <v>1</v>
      </c>
      <c r="EZ41" s="108">
        <f t="shared" si="374"/>
        <v>1</v>
      </c>
      <c r="FA41" s="108">
        <f t="shared" si="375"/>
        <v>1</v>
      </c>
      <c r="FB41" s="108">
        <f t="shared" si="376"/>
        <v>1</v>
      </c>
      <c r="FC41" s="108">
        <f t="shared" si="377"/>
        <v>1</v>
      </c>
      <c r="FD41" s="109">
        <f t="shared" si="378"/>
        <v>187000</v>
      </c>
      <c r="FE41" s="110">
        <f t="shared" si="379"/>
        <v>0</v>
      </c>
      <c r="FG41" s="319">
        <v>3.8</v>
      </c>
      <c r="FH41" s="319" t="s">
        <v>180</v>
      </c>
      <c r="FI41" s="360" t="s">
        <v>283</v>
      </c>
      <c r="FJ41" s="321" t="s">
        <v>184</v>
      </c>
      <c r="FK41" s="325">
        <v>8.5</v>
      </c>
      <c r="FL41" s="323">
        <v>11036</v>
      </c>
      <c r="FM41" s="324">
        <f t="shared" si="380"/>
        <v>93806</v>
      </c>
      <c r="FN41" s="108">
        <f t="shared" si="381"/>
        <v>1</v>
      </c>
      <c r="FO41" s="108">
        <f t="shared" si="382"/>
        <v>1</v>
      </c>
      <c r="FP41" s="108">
        <f t="shared" si="383"/>
        <v>1</v>
      </c>
      <c r="FQ41" s="108">
        <f t="shared" si="384"/>
        <v>1</v>
      </c>
      <c r="FR41" s="108">
        <f t="shared" si="385"/>
        <v>1</v>
      </c>
      <c r="FS41" s="108">
        <f t="shared" si="386"/>
        <v>1</v>
      </c>
      <c r="FT41" s="108">
        <f t="shared" si="387"/>
        <v>1</v>
      </c>
      <c r="FU41" s="109">
        <f t="shared" si="388"/>
        <v>93806</v>
      </c>
      <c r="FV41" s="110">
        <f t="shared" si="389"/>
        <v>0</v>
      </c>
      <c r="FX41" s="319">
        <v>3.8</v>
      </c>
      <c r="FY41" s="319" t="s">
        <v>180</v>
      </c>
      <c r="FZ41" s="334" t="s">
        <v>283</v>
      </c>
      <c r="GA41" s="321" t="s">
        <v>184</v>
      </c>
      <c r="GB41" s="325">
        <v>8.5</v>
      </c>
      <c r="GC41" s="323">
        <v>90000</v>
      </c>
      <c r="GD41" s="324">
        <f t="shared" si="390"/>
        <v>765000</v>
      </c>
      <c r="GE41" s="108">
        <f t="shared" si="391"/>
        <v>1</v>
      </c>
      <c r="GF41" s="108">
        <f t="shared" si="392"/>
        <v>1</v>
      </c>
      <c r="GG41" s="108">
        <f t="shared" si="393"/>
        <v>1</v>
      </c>
      <c r="GH41" s="108">
        <f t="shared" si="394"/>
        <v>1</v>
      </c>
      <c r="GI41" s="108">
        <f t="shared" si="395"/>
        <v>1</v>
      </c>
      <c r="GJ41" s="108">
        <f t="shared" si="396"/>
        <v>1</v>
      </c>
      <c r="GK41" s="108">
        <f t="shared" si="397"/>
        <v>1</v>
      </c>
      <c r="GL41" s="109">
        <f t="shared" si="398"/>
        <v>765000</v>
      </c>
      <c r="GM41" s="110">
        <f t="shared" si="399"/>
        <v>0</v>
      </c>
      <c r="GO41" s="319">
        <v>3.8</v>
      </c>
      <c r="GP41" s="319" t="s">
        <v>180</v>
      </c>
      <c r="GQ41" s="334" t="s">
        <v>283</v>
      </c>
      <c r="GR41" s="321" t="s">
        <v>184</v>
      </c>
      <c r="GS41" s="325">
        <v>8.5</v>
      </c>
      <c r="GT41" s="323">
        <v>55000</v>
      </c>
      <c r="GU41" s="324">
        <v>467500</v>
      </c>
      <c r="GV41" s="108">
        <f t="shared" si="400"/>
        <v>1</v>
      </c>
      <c r="GW41" s="108">
        <f t="shared" si="401"/>
        <v>1</v>
      </c>
      <c r="GX41" s="108">
        <f t="shared" si="402"/>
        <v>1</v>
      </c>
      <c r="GY41" s="108">
        <f t="shared" si="403"/>
        <v>1</v>
      </c>
      <c r="GZ41" s="108">
        <f t="shared" si="404"/>
        <v>1</v>
      </c>
      <c r="HA41" s="108">
        <f t="shared" si="405"/>
        <v>1</v>
      </c>
      <c r="HB41" s="108">
        <f t="shared" si="406"/>
        <v>1</v>
      </c>
      <c r="HC41" s="109">
        <f t="shared" si="407"/>
        <v>467500</v>
      </c>
      <c r="HD41" s="110">
        <f t="shared" si="408"/>
        <v>0</v>
      </c>
      <c r="HF41" s="319">
        <v>3.8</v>
      </c>
      <c r="HG41" s="319" t="s">
        <v>180</v>
      </c>
      <c r="HH41" s="334" t="s">
        <v>283</v>
      </c>
      <c r="HI41" s="321" t="s">
        <v>184</v>
      </c>
      <c r="HJ41" s="325">
        <v>8.5</v>
      </c>
      <c r="HK41" s="323">
        <v>29000</v>
      </c>
      <c r="HL41" s="324">
        <f t="shared" si="409"/>
        <v>246500</v>
      </c>
      <c r="HM41" s="108">
        <f t="shared" si="410"/>
        <v>1</v>
      </c>
      <c r="HN41" s="108">
        <f t="shared" si="411"/>
        <v>1</v>
      </c>
      <c r="HO41" s="108">
        <f t="shared" si="412"/>
        <v>1</v>
      </c>
      <c r="HP41" s="108">
        <f t="shared" si="413"/>
        <v>1</v>
      </c>
      <c r="HQ41" s="108">
        <f t="shared" si="414"/>
        <v>1</v>
      </c>
      <c r="HR41" s="108">
        <f t="shared" si="415"/>
        <v>1</v>
      </c>
      <c r="HS41" s="108">
        <f t="shared" si="416"/>
        <v>1</v>
      </c>
      <c r="HT41" s="109">
        <f t="shared" si="417"/>
        <v>246500</v>
      </c>
      <c r="HU41" s="110">
        <f t="shared" si="418"/>
        <v>0</v>
      </c>
      <c r="HW41" s="319">
        <v>3.8</v>
      </c>
      <c r="HX41" s="319" t="s">
        <v>180</v>
      </c>
      <c r="HY41" s="334" t="s">
        <v>283</v>
      </c>
      <c r="HZ41" s="321" t="s">
        <v>184</v>
      </c>
      <c r="IA41" s="325">
        <v>8.5</v>
      </c>
      <c r="IB41" s="323">
        <v>35000</v>
      </c>
      <c r="IC41" s="324">
        <f t="shared" si="419"/>
        <v>297500</v>
      </c>
      <c r="ID41" s="108">
        <f t="shared" si="420"/>
        <v>1</v>
      </c>
      <c r="IE41" s="108">
        <f t="shared" si="421"/>
        <v>1</v>
      </c>
      <c r="IF41" s="108">
        <f t="shared" si="422"/>
        <v>1</v>
      </c>
      <c r="IG41" s="108">
        <f t="shared" si="423"/>
        <v>1</v>
      </c>
      <c r="IH41" s="108">
        <f t="shared" si="424"/>
        <v>1</v>
      </c>
      <c r="II41" s="108">
        <f t="shared" si="425"/>
        <v>1</v>
      </c>
      <c r="IJ41" s="108">
        <f t="shared" si="426"/>
        <v>1</v>
      </c>
      <c r="IK41" s="109">
        <f t="shared" si="427"/>
        <v>297500</v>
      </c>
      <c r="IL41" s="110">
        <f t="shared" si="428"/>
        <v>0</v>
      </c>
    </row>
    <row r="42" spans="1:246" s="213" customFormat="1" ht="141" customHeight="1" x14ac:dyDescent="0.25">
      <c r="A42" s="211"/>
      <c r="B42" s="319">
        <v>3.9</v>
      </c>
      <c r="C42" s="319" t="s">
        <v>180</v>
      </c>
      <c r="D42" s="334" t="s">
        <v>284</v>
      </c>
      <c r="E42" s="327" t="s">
        <v>183</v>
      </c>
      <c r="F42" s="322">
        <v>8.5</v>
      </c>
      <c r="G42" s="323">
        <v>0</v>
      </c>
      <c r="H42" s="324">
        <f t="shared" si="292"/>
        <v>0</v>
      </c>
      <c r="J42" s="319">
        <v>3.9</v>
      </c>
      <c r="K42" s="319" t="s">
        <v>180</v>
      </c>
      <c r="L42" s="334" t="s">
        <v>284</v>
      </c>
      <c r="M42" s="327" t="s">
        <v>183</v>
      </c>
      <c r="N42" s="322">
        <v>8.5</v>
      </c>
      <c r="O42" s="323">
        <v>130238</v>
      </c>
      <c r="P42" s="324">
        <v>1107023</v>
      </c>
      <c r="Q42" s="108">
        <f t="shared" si="293"/>
        <v>1</v>
      </c>
      <c r="R42" s="108">
        <f t="shared" si="294"/>
        <v>1</v>
      </c>
      <c r="S42" s="108">
        <f t="shared" si="295"/>
        <v>1</v>
      </c>
      <c r="T42" s="108">
        <f t="shared" si="296"/>
        <v>1</v>
      </c>
      <c r="U42" s="108">
        <f t="shared" si="297"/>
        <v>1</v>
      </c>
      <c r="V42" s="108">
        <f t="shared" si="298"/>
        <v>1</v>
      </c>
      <c r="W42" s="108">
        <f t="shared" si="299"/>
        <v>1</v>
      </c>
      <c r="X42" s="109">
        <f t="shared" si="300"/>
        <v>1107023</v>
      </c>
      <c r="Y42" s="110">
        <f t="shared" si="301"/>
        <v>0</v>
      </c>
      <c r="AA42" s="319">
        <v>3.9</v>
      </c>
      <c r="AB42" s="319" t="s">
        <v>180</v>
      </c>
      <c r="AC42" s="334" t="s">
        <v>284</v>
      </c>
      <c r="AD42" s="327" t="s">
        <v>183</v>
      </c>
      <c r="AE42" s="322">
        <v>8.5</v>
      </c>
      <c r="AF42" s="323">
        <v>165000</v>
      </c>
      <c r="AG42" s="324">
        <v>1402500</v>
      </c>
      <c r="AH42" s="108">
        <f t="shared" si="302"/>
        <v>1</v>
      </c>
      <c r="AI42" s="108">
        <f t="shared" si="303"/>
        <v>1</v>
      </c>
      <c r="AJ42" s="108">
        <f t="shared" si="304"/>
        <v>1</v>
      </c>
      <c r="AK42" s="108">
        <f t="shared" si="305"/>
        <v>1</v>
      </c>
      <c r="AL42" s="108">
        <f t="shared" si="306"/>
        <v>1</v>
      </c>
      <c r="AM42" s="108">
        <f t="shared" si="307"/>
        <v>1</v>
      </c>
      <c r="AN42" s="108">
        <f t="shared" si="308"/>
        <v>1</v>
      </c>
      <c r="AO42" s="109">
        <f t="shared" si="309"/>
        <v>1402500</v>
      </c>
      <c r="AP42" s="110">
        <f t="shared" si="310"/>
        <v>0</v>
      </c>
      <c r="AR42" s="319">
        <v>3.9</v>
      </c>
      <c r="AS42" s="319" t="s">
        <v>180</v>
      </c>
      <c r="AT42" s="334" t="s">
        <v>284</v>
      </c>
      <c r="AU42" s="327" t="s">
        <v>183</v>
      </c>
      <c r="AV42" s="322">
        <v>8.5</v>
      </c>
      <c r="AW42" s="323">
        <v>38800</v>
      </c>
      <c r="AX42" s="324">
        <v>329800</v>
      </c>
      <c r="AY42" s="108">
        <f t="shared" si="311"/>
        <v>1</v>
      </c>
      <c r="AZ42" s="108">
        <f t="shared" si="312"/>
        <v>1</v>
      </c>
      <c r="BA42" s="108">
        <f t="shared" si="313"/>
        <v>1</v>
      </c>
      <c r="BB42" s="108">
        <f t="shared" si="314"/>
        <v>1</v>
      </c>
      <c r="BC42" s="108">
        <f t="shared" si="315"/>
        <v>1</v>
      </c>
      <c r="BD42" s="108">
        <f t="shared" si="316"/>
        <v>1</v>
      </c>
      <c r="BE42" s="108">
        <f t="shared" si="317"/>
        <v>1</v>
      </c>
      <c r="BF42" s="109">
        <f t="shared" si="318"/>
        <v>329800</v>
      </c>
      <c r="BG42" s="110">
        <f t="shared" si="319"/>
        <v>0</v>
      </c>
      <c r="BI42" s="319">
        <v>3.9</v>
      </c>
      <c r="BJ42" s="319" t="s">
        <v>180</v>
      </c>
      <c r="BK42" s="334" t="s">
        <v>284</v>
      </c>
      <c r="BL42" s="327" t="s">
        <v>183</v>
      </c>
      <c r="BM42" s="322">
        <v>8.5</v>
      </c>
      <c r="BN42" s="323">
        <v>25102</v>
      </c>
      <c r="BO42" s="324">
        <f t="shared" si="320"/>
        <v>213367</v>
      </c>
      <c r="BP42" s="108">
        <f t="shared" si="321"/>
        <v>1</v>
      </c>
      <c r="BQ42" s="108">
        <f t="shared" si="322"/>
        <v>1</v>
      </c>
      <c r="BR42" s="108">
        <f t="shared" si="323"/>
        <v>1</v>
      </c>
      <c r="BS42" s="108">
        <f t="shared" si="324"/>
        <v>1</v>
      </c>
      <c r="BT42" s="108">
        <f t="shared" si="325"/>
        <v>1</v>
      </c>
      <c r="BU42" s="108">
        <f t="shared" si="326"/>
        <v>1</v>
      </c>
      <c r="BV42" s="108">
        <f t="shared" si="327"/>
        <v>1</v>
      </c>
      <c r="BW42" s="109">
        <f t="shared" si="328"/>
        <v>213367</v>
      </c>
      <c r="BX42" s="110">
        <f t="shared" si="329"/>
        <v>0</v>
      </c>
      <c r="BZ42" s="319">
        <v>3.9</v>
      </c>
      <c r="CA42" s="319" t="s">
        <v>180</v>
      </c>
      <c r="CB42" s="334" t="s">
        <v>284</v>
      </c>
      <c r="CC42" s="327" t="s">
        <v>183</v>
      </c>
      <c r="CD42" s="322">
        <v>8.5</v>
      </c>
      <c r="CE42" s="323">
        <v>140000</v>
      </c>
      <c r="CF42" s="324">
        <f t="shared" si="330"/>
        <v>1190000</v>
      </c>
      <c r="CG42" s="108">
        <f t="shared" si="331"/>
        <v>1</v>
      </c>
      <c r="CH42" s="108">
        <f t="shared" si="332"/>
        <v>1</v>
      </c>
      <c r="CI42" s="108">
        <f t="shared" si="333"/>
        <v>1</v>
      </c>
      <c r="CJ42" s="108">
        <f t="shared" si="334"/>
        <v>1</v>
      </c>
      <c r="CK42" s="108">
        <f t="shared" si="335"/>
        <v>1</v>
      </c>
      <c r="CL42" s="108">
        <f t="shared" si="336"/>
        <v>1</v>
      </c>
      <c r="CM42" s="108">
        <f t="shared" si="337"/>
        <v>1</v>
      </c>
      <c r="CN42" s="109">
        <f t="shared" si="338"/>
        <v>1190000</v>
      </c>
      <c r="CO42" s="110">
        <f t="shared" si="339"/>
        <v>0</v>
      </c>
      <c r="CQ42" s="319">
        <v>3.9</v>
      </c>
      <c r="CR42" s="319" t="s">
        <v>180</v>
      </c>
      <c r="CS42" s="334" t="s">
        <v>284</v>
      </c>
      <c r="CT42" s="327" t="s">
        <v>183</v>
      </c>
      <c r="CU42" s="322">
        <v>8.5</v>
      </c>
      <c r="CV42" s="323">
        <v>62000</v>
      </c>
      <c r="CW42" s="324">
        <f t="shared" si="340"/>
        <v>527000</v>
      </c>
      <c r="CX42" s="108">
        <f t="shared" si="341"/>
        <v>1</v>
      </c>
      <c r="CY42" s="108">
        <f t="shared" si="342"/>
        <v>1</v>
      </c>
      <c r="CZ42" s="108">
        <f t="shared" si="343"/>
        <v>1</v>
      </c>
      <c r="DA42" s="108">
        <f t="shared" si="344"/>
        <v>1</v>
      </c>
      <c r="DB42" s="108">
        <f t="shared" si="345"/>
        <v>1</v>
      </c>
      <c r="DC42" s="108">
        <f t="shared" si="346"/>
        <v>1</v>
      </c>
      <c r="DD42" s="108">
        <f t="shared" si="347"/>
        <v>1</v>
      </c>
      <c r="DE42" s="109">
        <f t="shared" si="348"/>
        <v>527000</v>
      </c>
      <c r="DF42" s="110">
        <f t="shared" si="349"/>
        <v>0</v>
      </c>
      <c r="DH42" s="319">
        <v>3.9</v>
      </c>
      <c r="DI42" s="319" t="s">
        <v>180</v>
      </c>
      <c r="DJ42" s="360" t="s">
        <v>284</v>
      </c>
      <c r="DK42" s="327" t="s">
        <v>183</v>
      </c>
      <c r="DL42" s="322">
        <v>8.5</v>
      </c>
      <c r="DM42" s="323">
        <v>21739</v>
      </c>
      <c r="DN42" s="324">
        <f t="shared" si="350"/>
        <v>184781.5</v>
      </c>
      <c r="DO42" s="108">
        <f t="shared" si="351"/>
        <v>1</v>
      </c>
      <c r="DP42" s="108">
        <f t="shared" si="352"/>
        <v>1</v>
      </c>
      <c r="DQ42" s="108">
        <f t="shared" si="353"/>
        <v>1</v>
      </c>
      <c r="DR42" s="108">
        <f t="shared" si="354"/>
        <v>1</v>
      </c>
      <c r="DS42" s="108">
        <f t="shared" si="355"/>
        <v>1</v>
      </c>
      <c r="DT42" s="108">
        <f t="shared" si="356"/>
        <v>1</v>
      </c>
      <c r="DU42" s="108">
        <f t="shared" si="357"/>
        <v>1</v>
      </c>
      <c r="DV42" s="109">
        <f t="shared" si="358"/>
        <v>184782</v>
      </c>
      <c r="DW42" s="110">
        <f t="shared" si="359"/>
        <v>-0.5</v>
      </c>
      <c r="DY42" s="319">
        <v>3.9</v>
      </c>
      <c r="DZ42" s="319" t="s">
        <v>180</v>
      </c>
      <c r="EA42" s="360" t="s">
        <v>284</v>
      </c>
      <c r="EB42" s="327" t="s">
        <v>183</v>
      </c>
      <c r="EC42" s="322">
        <v>8.5</v>
      </c>
      <c r="ED42" s="323">
        <v>250000</v>
      </c>
      <c r="EE42" s="324">
        <f t="shared" si="360"/>
        <v>2125000</v>
      </c>
      <c r="EF42" s="108">
        <f t="shared" si="361"/>
        <v>1</v>
      </c>
      <c r="EG42" s="108">
        <f t="shared" si="362"/>
        <v>1</v>
      </c>
      <c r="EH42" s="108">
        <f t="shared" si="363"/>
        <v>1</v>
      </c>
      <c r="EI42" s="108">
        <f t="shared" si="364"/>
        <v>1</v>
      </c>
      <c r="EJ42" s="108">
        <f t="shared" si="365"/>
        <v>1</v>
      </c>
      <c r="EK42" s="108">
        <f t="shared" si="366"/>
        <v>1</v>
      </c>
      <c r="EL42" s="108">
        <f t="shared" si="367"/>
        <v>1</v>
      </c>
      <c r="EM42" s="109">
        <f t="shared" si="368"/>
        <v>2125000</v>
      </c>
      <c r="EN42" s="110">
        <f t="shared" si="369"/>
        <v>0</v>
      </c>
      <c r="EP42" s="319">
        <v>3.9</v>
      </c>
      <c r="EQ42" s="319" t="s">
        <v>180</v>
      </c>
      <c r="ER42" s="334" t="s">
        <v>284</v>
      </c>
      <c r="ES42" s="327" t="s">
        <v>183</v>
      </c>
      <c r="ET42" s="322">
        <v>8.5</v>
      </c>
      <c r="EU42" s="323">
        <v>110000</v>
      </c>
      <c r="EV42" s="324">
        <f t="shared" si="370"/>
        <v>935000</v>
      </c>
      <c r="EW42" s="108">
        <f t="shared" si="371"/>
        <v>1</v>
      </c>
      <c r="EX42" s="108">
        <f t="shared" si="372"/>
        <v>1</v>
      </c>
      <c r="EY42" s="108">
        <f t="shared" si="373"/>
        <v>1</v>
      </c>
      <c r="EZ42" s="108">
        <f t="shared" si="374"/>
        <v>1</v>
      </c>
      <c r="FA42" s="108">
        <f t="shared" si="375"/>
        <v>1</v>
      </c>
      <c r="FB42" s="108">
        <f t="shared" si="376"/>
        <v>1</v>
      </c>
      <c r="FC42" s="108">
        <f t="shared" si="377"/>
        <v>1</v>
      </c>
      <c r="FD42" s="109">
        <f t="shared" si="378"/>
        <v>935000</v>
      </c>
      <c r="FE42" s="110">
        <f t="shared" si="379"/>
        <v>0</v>
      </c>
      <c r="FG42" s="319">
        <v>3.9</v>
      </c>
      <c r="FH42" s="319" t="s">
        <v>180</v>
      </c>
      <c r="FI42" s="360" t="s">
        <v>284</v>
      </c>
      <c r="FJ42" s="327" t="s">
        <v>183</v>
      </c>
      <c r="FK42" s="322">
        <v>8.5</v>
      </c>
      <c r="FL42" s="323">
        <v>21741</v>
      </c>
      <c r="FM42" s="324">
        <f t="shared" si="380"/>
        <v>184798.5</v>
      </c>
      <c r="FN42" s="108">
        <f t="shared" si="381"/>
        <v>1</v>
      </c>
      <c r="FO42" s="108">
        <f t="shared" si="382"/>
        <v>1</v>
      </c>
      <c r="FP42" s="108">
        <f t="shared" si="383"/>
        <v>1</v>
      </c>
      <c r="FQ42" s="108">
        <f t="shared" si="384"/>
        <v>1</v>
      </c>
      <c r="FR42" s="108">
        <f t="shared" si="385"/>
        <v>1</v>
      </c>
      <c r="FS42" s="108">
        <f t="shared" si="386"/>
        <v>1</v>
      </c>
      <c r="FT42" s="108">
        <f t="shared" si="387"/>
        <v>1</v>
      </c>
      <c r="FU42" s="109">
        <f t="shared" si="388"/>
        <v>184799</v>
      </c>
      <c r="FV42" s="110">
        <f t="shared" si="389"/>
        <v>-0.5</v>
      </c>
      <c r="FX42" s="319">
        <v>3.9</v>
      </c>
      <c r="FY42" s="319" t="s">
        <v>180</v>
      </c>
      <c r="FZ42" s="334" t="s">
        <v>284</v>
      </c>
      <c r="GA42" s="327" t="s">
        <v>183</v>
      </c>
      <c r="GB42" s="322">
        <v>8.5</v>
      </c>
      <c r="GC42" s="323">
        <v>150000</v>
      </c>
      <c r="GD42" s="324">
        <f t="shared" si="390"/>
        <v>1275000</v>
      </c>
      <c r="GE42" s="108">
        <f t="shared" si="391"/>
        <v>1</v>
      </c>
      <c r="GF42" s="108">
        <f t="shared" si="392"/>
        <v>1</v>
      </c>
      <c r="GG42" s="108">
        <f t="shared" si="393"/>
        <v>1</v>
      </c>
      <c r="GH42" s="108">
        <f t="shared" si="394"/>
        <v>1</v>
      </c>
      <c r="GI42" s="108">
        <f t="shared" si="395"/>
        <v>1</v>
      </c>
      <c r="GJ42" s="108">
        <f t="shared" si="396"/>
        <v>1</v>
      </c>
      <c r="GK42" s="108">
        <f t="shared" si="397"/>
        <v>1</v>
      </c>
      <c r="GL42" s="109">
        <f t="shared" si="398"/>
        <v>1275000</v>
      </c>
      <c r="GM42" s="110">
        <f t="shared" si="399"/>
        <v>0</v>
      </c>
      <c r="GO42" s="319">
        <v>3.9</v>
      </c>
      <c r="GP42" s="319" t="s">
        <v>180</v>
      </c>
      <c r="GQ42" s="334" t="s">
        <v>284</v>
      </c>
      <c r="GR42" s="327" t="s">
        <v>183</v>
      </c>
      <c r="GS42" s="322">
        <v>8.5</v>
      </c>
      <c r="GT42" s="323">
        <v>100000</v>
      </c>
      <c r="GU42" s="324">
        <v>850000</v>
      </c>
      <c r="GV42" s="108">
        <f t="shared" si="400"/>
        <v>1</v>
      </c>
      <c r="GW42" s="108">
        <f t="shared" si="401"/>
        <v>1</v>
      </c>
      <c r="GX42" s="108">
        <f t="shared" si="402"/>
        <v>1</v>
      </c>
      <c r="GY42" s="108">
        <f t="shared" si="403"/>
        <v>1</v>
      </c>
      <c r="GZ42" s="108">
        <f t="shared" si="404"/>
        <v>1</v>
      </c>
      <c r="HA42" s="108">
        <f t="shared" si="405"/>
        <v>1</v>
      </c>
      <c r="HB42" s="108">
        <f t="shared" si="406"/>
        <v>1</v>
      </c>
      <c r="HC42" s="109">
        <f t="shared" si="407"/>
        <v>850000</v>
      </c>
      <c r="HD42" s="110">
        <f t="shared" si="408"/>
        <v>0</v>
      </c>
      <c r="HF42" s="319">
        <v>3.9</v>
      </c>
      <c r="HG42" s="319" t="s">
        <v>180</v>
      </c>
      <c r="HH42" s="334" t="s">
        <v>284</v>
      </c>
      <c r="HI42" s="327" t="s">
        <v>183</v>
      </c>
      <c r="HJ42" s="322">
        <v>8.5</v>
      </c>
      <c r="HK42" s="323">
        <v>35000</v>
      </c>
      <c r="HL42" s="324">
        <f t="shared" si="409"/>
        <v>297500</v>
      </c>
      <c r="HM42" s="108">
        <f t="shared" si="410"/>
        <v>1</v>
      </c>
      <c r="HN42" s="108">
        <f t="shared" si="411"/>
        <v>1</v>
      </c>
      <c r="HO42" s="108">
        <f t="shared" si="412"/>
        <v>1</v>
      </c>
      <c r="HP42" s="108">
        <f t="shared" si="413"/>
        <v>1</v>
      </c>
      <c r="HQ42" s="108">
        <f t="shared" si="414"/>
        <v>1</v>
      </c>
      <c r="HR42" s="108">
        <f t="shared" si="415"/>
        <v>1</v>
      </c>
      <c r="HS42" s="108">
        <f t="shared" si="416"/>
        <v>1</v>
      </c>
      <c r="HT42" s="109">
        <f t="shared" si="417"/>
        <v>297500</v>
      </c>
      <c r="HU42" s="110">
        <f t="shared" si="418"/>
        <v>0</v>
      </c>
      <c r="HW42" s="319">
        <v>3.9</v>
      </c>
      <c r="HX42" s="319" t="s">
        <v>180</v>
      </c>
      <c r="HY42" s="334" t="s">
        <v>284</v>
      </c>
      <c r="HZ42" s="327" t="s">
        <v>183</v>
      </c>
      <c r="IA42" s="322">
        <v>8.5</v>
      </c>
      <c r="IB42" s="323">
        <v>150000</v>
      </c>
      <c r="IC42" s="324">
        <f t="shared" si="419"/>
        <v>1275000</v>
      </c>
      <c r="ID42" s="108">
        <f t="shared" si="420"/>
        <v>1</v>
      </c>
      <c r="IE42" s="108">
        <f t="shared" si="421"/>
        <v>1</v>
      </c>
      <c r="IF42" s="108">
        <f t="shared" si="422"/>
        <v>1</v>
      </c>
      <c r="IG42" s="108">
        <f t="shared" si="423"/>
        <v>1</v>
      </c>
      <c r="IH42" s="108">
        <f t="shared" si="424"/>
        <v>1</v>
      </c>
      <c r="II42" s="108">
        <f t="shared" si="425"/>
        <v>1</v>
      </c>
      <c r="IJ42" s="108">
        <f t="shared" si="426"/>
        <v>1</v>
      </c>
      <c r="IK42" s="109">
        <f t="shared" si="427"/>
        <v>1275000</v>
      </c>
      <c r="IL42" s="110">
        <f t="shared" si="428"/>
        <v>0</v>
      </c>
    </row>
    <row r="43" spans="1:246" s="213" customFormat="1" ht="118.5" customHeight="1" x14ac:dyDescent="0.25">
      <c r="A43" s="211"/>
      <c r="B43" s="319" t="s">
        <v>285</v>
      </c>
      <c r="C43" s="319" t="s">
        <v>178</v>
      </c>
      <c r="D43" s="334" t="s">
        <v>286</v>
      </c>
      <c r="E43" s="327" t="s">
        <v>179</v>
      </c>
      <c r="F43" s="322">
        <v>8.5</v>
      </c>
      <c r="G43" s="323">
        <v>0</v>
      </c>
      <c r="H43" s="324">
        <f t="shared" si="292"/>
        <v>0</v>
      </c>
      <c r="J43" s="319" t="s">
        <v>285</v>
      </c>
      <c r="K43" s="319" t="s">
        <v>178</v>
      </c>
      <c r="L43" s="334" t="s">
        <v>286</v>
      </c>
      <c r="M43" s="327" t="s">
        <v>179</v>
      </c>
      <c r="N43" s="322">
        <v>8.5</v>
      </c>
      <c r="O43" s="323">
        <v>35412</v>
      </c>
      <c r="P43" s="324">
        <v>301002</v>
      </c>
      <c r="Q43" s="108">
        <f t="shared" ref="Q43" si="429">IFERROR(IF(EXACT(VLOOKUP(J43,OFERTA_0,1,FALSE),J43),1,0),0)</f>
        <v>1</v>
      </c>
      <c r="R43" s="108">
        <f t="shared" ref="R43" si="430">IFERROR(IF(EXACT(VLOOKUP(J43,OFERTA_0,3,FALSE),L43),1,0),0)</f>
        <v>1</v>
      </c>
      <c r="S43" s="108">
        <f t="shared" ref="S43" si="431">IFERROR(IF(EXACT(VLOOKUP(J43,OFERTA_0,4,FALSE),M43),1,0),0)</f>
        <v>1</v>
      </c>
      <c r="T43" s="108">
        <f t="shared" ref="T43" si="432">IFERROR(IF(EXACT(VLOOKUP(J43,OFERTA_0,5,FALSE),N43),1,0),0)</f>
        <v>1</v>
      </c>
      <c r="U43" s="108">
        <f t="shared" ref="U43" si="433">IFERROR(IF(O43&lt;=0,0,1),0)</f>
        <v>1</v>
      </c>
      <c r="V43" s="108">
        <f t="shared" ref="V43" si="434">IFERROR(IF(P43&lt;=0,0,1),0)</f>
        <v>1</v>
      </c>
      <c r="W43" s="108">
        <f t="shared" ref="W43" si="435">PRODUCT(Q43:V43)</f>
        <v>1</v>
      </c>
      <c r="X43" s="109">
        <f t="shared" ref="X43" si="436">ROUND(P43,0)</f>
        <v>301002</v>
      </c>
      <c r="Y43" s="110">
        <f t="shared" ref="Y43" si="437">P43-X43</f>
        <v>0</v>
      </c>
      <c r="AA43" s="319" t="s">
        <v>285</v>
      </c>
      <c r="AB43" s="319" t="s">
        <v>178</v>
      </c>
      <c r="AC43" s="334" t="s">
        <v>286</v>
      </c>
      <c r="AD43" s="327" t="s">
        <v>179</v>
      </c>
      <c r="AE43" s="322">
        <v>8.5</v>
      </c>
      <c r="AF43" s="323">
        <v>32000</v>
      </c>
      <c r="AG43" s="324">
        <v>272000</v>
      </c>
      <c r="AH43" s="108">
        <f t="shared" si="302"/>
        <v>1</v>
      </c>
      <c r="AI43" s="108">
        <f t="shared" si="303"/>
        <v>1</v>
      </c>
      <c r="AJ43" s="108">
        <f t="shared" si="304"/>
        <v>1</v>
      </c>
      <c r="AK43" s="108">
        <f t="shared" si="305"/>
        <v>1</v>
      </c>
      <c r="AL43" s="108">
        <f t="shared" si="306"/>
        <v>1</v>
      </c>
      <c r="AM43" s="108">
        <f t="shared" si="307"/>
        <v>1</v>
      </c>
      <c r="AN43" s="108">
        <f t="shared" si="308"/>
        <v>1</v>
      </c>
      <c r="AO43" s="109">
        <f t="shared" si="309"/>
        <v>272000</v>
      </c>
      <c r="AP43" s="110">
        <f t="shared" si="310"/>
        <v>0</v>
      </c>
      <c r="AR43" s="319" t="s">
        <v>285</v>
      </c>
      <c r="AS43" s="319" t="s">
        <v>178</v>
      </c>
      <c r="AT43" s="334" t="s">
        <v>286</v>
      </c>
      <c r="AU43" s="327" t="s">
        <v>179</v>
      </c>
      <c r="AV43" s="322">
        <v>8.5</v>
      </c>
      <c r="AW43" s="323">
        <v>12610</v>
      </c>
      <c r="AX43" s="324">
        <v>107185</v>
      </c>
      <c r="AY43" s="108">
        <f t="shared" si="311"/>
        <v>1</v>
      </c>
      <c r="AZ43" s="108">
        <f t="shared" si="312"/>
        <v>1</v>
      </c>
      <c r="BA43" s="108">
        <f t="shared" si="313"/>
        <v>1</v>
      </c>
      <c r="BB43" s="108">
        <f t="shared" si="314"/>
        <v>1</v>
      </c>
      <c r="BC43" s="108">
        <f t="shared" si="315"/>
        <v>1</v>
      </c>
      <c r="BD43" s="108">
        <f t="shared" si="316"/>
        <v>1</v>
      </c>
      <c r="BE43" s="108">
        <f t="shared" si="317"/>
        <v>1</v>
      </c>
      <c r="BF43" s="109">
        <f t="shared" si="318"/>
        <v>107185</v>
      </c>
      <c r="BG43" s="110">
        <f t="shared" si="319"/>
        <v>0</v>
      </c>
      <c r="BI43" s="319" t="s">
        <v>285</v>
      </c>
      <c r="BJ43" s="319" t="s">
        <v>178</v>
      </c>
      <c r="BK43" s="334" t="s">
        <v>286</v>
      </c>
      <c r="BL43" s="327" t="s">
        <v>179</v>
      </c>
      <c r="BM43" s="322">
        <v>8.5</v>
      </c>
      <c r="BN43" s="323">
        <v>25102</v>
      </c>
      <c r="BO43" s="324">
        <f t="shared" si="320"/>
        <v>213367</v>
      </c>
      <c r="BP43" s="108">
        <f t="shared" si="321"/>
        <v>1</v>
      </c>
      <c r="BQ43" s="108">
        <f t="shared" si="322"/>
        <v>1</v>
      </c>
      <c r="BR43" s="108">
        <f t="shared" si="323"/>
        <v>1</v>
      </c>
      <c r="BS43" s="108">
        <f t="shared" si="324"/>
        <v>1</v>
      </c>
      <c r="BT43" s="108">
        <f t="shared" si="325"/>
        <v>1</v>
      </c>
      <c r="BU43" s="108">
        <f t="shared" si="326"/>
        <v>1</v>
      </c>
      <c r="BV43" s="108">
        <f t="shared" si="327"/>
        <v>1</v>
      </c>
      <c r="BW43" s="109">
        <f t="shared" si="328"/>
        <v>213367</v>
      </c>
      <c r="BX43" s="110">
        <f t="shared" si="329"/>
        <v>0</v>
      </c>
      <c r="BZ43" s="319" t="s">
        <v>285</v>
      </c>
      <c r="CA43" s="319" t="s">
        <v>178</v>
      </c>
      <c r="CB43" s="334" t="s">
        <v>286</v>
      </c>
      <c r="CC43" s="327" t="s">
        <v>179</v>
      </c>
      <c r="CD43" s="322">
        <v>8.5</v>
      </c>
      <c r="CE43" s="323">
        <v>60000</v>
      </c>
      <c r="CF43" s="324">
        <f t="shared" si="330"/>
        <v>510000</v>
      </c>
      <c r="CG43" s="108">
        <f t="shared" si="331"/>
        <v>1</v>
      </c>
      <c r="CH43" s="108">
        <f t="shared" si="332"/>
        <v>1</v>
      </c>
      <c r="CI43" s="108">
        <f t="shared" si="333"/>
        <v>1</v>
      </c>
      <c r="CJ43" s="108">
        <f t="shared" si="334"/>
        <v>1</v>
      </c>
      <c r="CK43" s="108">
        <f t="shared" si="335"/>
        <v>1</v>
      </c>
      <c r="CL43" s="108">
        <f t="shared" si="336"/>
        <v>1</v>
      </c>
      <c r="CM43" s="108">
        <f t="shared" si="337"/>
        <v>1</v>
      </c>
      <c r="CN43" s="109">
        <f t="shared" si="338"/>
        <v>510000</v>
      </c>
      <c r="CO43" s="110">
        <f t="shared" si="339"/>
        <v>0</v>
      </c>
      <c r="CQ43" s="319" t="s">
        <v>285</v>
      </c>
      <c r="CR43" s="319" t="s">
        <v>178</v>
      </c>
      <c r="CS43" s="334" t="s">
        <v>286</v>
      </c>
      <c r="CT43" s="327" t="s">
        <v>179</v>
      </c>
      <c r="CU43" s="322">
        <v>8.5</v>
      </c>
      <c r="CV43" s="323">
        <v>29500</v>
      </c>
      <c r="CW43" s="324">
        <f t="shared" si="340"/>
        <v>250750</v>
      </c>
      <c r="CX43" s="108">
        <f t="shared" si="341"/>
        <v>1</v>
      </c>
      <c r="CY43" s="108">
        <f t="shared" si="342"/>
        <v>1</v>
      </c>
      <c r="CZ43" s="108">
        <f t="shared" si="343"/>
        <v>1</v>
      </c>
      <c r="DA43" s="108">
        <f t="shared" si="344"/>
        <v>1</v>
      </c>
      <c r="DB43" s="108">
        <f t="shared" si="345"/>
        <v>1</v>
      </c>
      <c r="DC43" s="108">
        <f t="shared" si="346"/>
        <v>1</v>
      </c>
      <c r="DD43" s="108">
        <f t="shared" si="347"/>
        <v>1</v>
      </c>
      <c r="DE43" s="109">
        <f t="shared" si="348"/>
        <v>250750</v>
      </c>
      <c r="DF43" s="110">
        <f t="shared" si="349"/>
        <v>0</v>
      </c>
      <c r="DH43" s="319" t="s">
        <v>285</v>
      </c>
      <c r="DI43" s="319" t="s">
        <v>178</v>
      </c>
      <c r="DJ43" s="360" t="s">
        <v>286</v>
      </c>
      <c r="DK43" s="327" t="s">
        <v>179</v>
      </c>
      <c r="DL43" s="322">
        <v>8.5</v>
      </c>
      <c r="DM43" s="323">
        <v>6323</v>
      </c>
      <c r="DN43" s="324">
        <f t="shared" si="350"/>
        <v>53745.5</v>
      </c>
      <c r="DO43" s="108">
        <f t="shared" si="351"/>
        <v>1</v>
      </c>
      <c r="DP43" s="108">
        <f t="shared" si="352"/>
        <v>1</v>
      </c>
      <c r="DQ43" s="108">
        <f t="shared" si="353"/>
        <v>1</v>
      </c>
      <c r="DR43" s="108">
        <f t="shared" si="354"/>
        <v>1</v>
      </c>
      <c r="DS43" s="108">
        <f t="shared" si="355"/>
        <v>1</v>
      </c>
      <c r="DT43" s="108">
        <f t="shared" si="356"/>
        <v>1</v>
      </c>
      <c r="DU43" s="108">
        <f t="shared" si="357"/>
        <v>1</v>
      </c>
      <c r="DV43" s="109">
        <f t="shared" si="358"/>
        <v>53746</v>
      </c>
      <c r="DW43" s="110">
        <f t="shared" si="359"/>
        <v>-0.5</v>
      </c>
      <c r="DY43" s="319" t="s">
        <v>285</v>
      </c>
      <c r="DZ43" s="319" t="s">
        <v>178</v>
      </c>
      <c r="EA43" s="360" t="s">
        <v>286</v>
      </c>
      <c r="EB43" s="327" t="s">
        <v>179</v>
      </c>
      <c r="EC43" s="322">
        <v>8.5</v>
      </c>
      <c r="ED43" s="323">
        <v>9500</v>
      </c>
      <c r="EE43" s="324">
        <f t="shared" si="360"/>
        <v>80750</v>
      </c>
      <c r="EF43" s="108">
        <f t="shared" si="361"/>
        <v>1</v>
      </c>
      <c r="EG43" s="108">
        <f t="shared" si="362"/>
        <v>1</v>
      </c>
      <c r="EH43" s="108">
        <f t="shared" si="363"/>
        <v>1</v>
      </c>
      <c r="EI43" s="108">
        <f t="shared" si="364"/>
        <v>1</v>
      </c>
      <c r="EJ43" s="108">
        <f t="shared" si="365"/>
        <v>1</v>
      </c>
      <c r="EK43" s="108">
        <f t="shared" si="366"/>
        <v>1</v>
      </c>
      <c r="EL43" s="108">
        <f t="shared" si="367"/>
        <v>1</v>
      </c>
      <c r="EM43" s="109">
        <f t="shared" si="368"/>
        <v>80750</v>
      </c>
      <c r="EN43" s="110">
        <f t="shared" si="369"/>
        <v>0</v>
      </c>
      <c r="EP43" s="319" t="s">
        <v>285</v>
      </c>
      <c r="EQ43" s="319" t="s">
        <v>178</v>
      </c>
      <c r="ER43" s="334" t="s">
        <v>286</v>
      </c>
      <c r="ES43" s="327" t="s">
        <v>179</v>
      </c>
      <c r="ET43" s="322">
        <v>8.5</v>
      </c>
      <c r="EU43" s="323">
        <v>32000</v>
      </c>
      <c r="EV43" s="324">
        <f t="shared" si="370"/>
        <v>272000</v>
      </c>
      <c r="EW43" s="108">
        <f t="shared" si="371"/>
        <v>1</v>
      </c>
      <c r="EX43" s="108">
        <f t="shared" si="372"/>
        <v>1</v>
      </c>
      <c r="EY43" s="108">
        <f t="shared" si="373"/>
        <v>1</v>
      </c>
      <c r="EZ43" s="108">
        <f t="shared" si="374"/>
        <v>1</v>
      </c>
      <c r="FA43" s="108">
        <f t="shared" si="375"/>
        <v>1</v>
      </c>
      <c r="FB43" s="108">
        <f t="shared" si="376"/>
        <v>1</v>
      </c>
      <c r="FC43" s="108">
        <f t="shared" si="377"/>
        <v>1</v>
      </c>
      <c r="FD43" s="109">
        <f t="shared" si="378"/>
        <v>272000</v>
      </c>
      <c r="FE43" s="110">
        <f t="shared" si="379"/>
        <v>0</v>
      </c>
      <c r="FG43" s="319" t="s">
        <v>285</v>
      </c>
      <c r="FH43" s="319" t="s">
        <v>178</v>
      </c>
      <c r="FI43" s="360" t="s">
        <v>286</v>
      </c>
      <c r="FJ43" s="327" t="s">
        <v>179</v>
      </c>
      <c r="FK43" s="322">
        <v>8.5</v>
      </c>
      <c r="FL43" s="323">
        <v>6337</v>
      </c>
      <c r="FM43" s="324">
        <f t="shared" si="380"/>
        <v>53864.5</v>
      </c>
      <c r="FN43" s="108">
        <f t="shared" si="381"/>
        <v>1</v>
      </c>
      <c r="FO43" s="108">
        <f t="shared" si="382"/>
        <v>1</v>
      </c>
      <c r="FP43" s="108">
        <f t="shared" si="383"/>
        <v>1</v>
      </c>
      <c r="FQ43" s="108">
        <f t="shared" si="384"/>
        <v>1</v>
      </c>
      <c r="FR43" s="108">
        <f t="shared" si="385"/>
        <v>1</v>
      </c>
      <c r="FS43" s="108">
        <f t="shared" si="386"/>
        <v>1</v>
      </c>
      <c r="FT43" s="108">
        <f t="shared" si="387"/>
        <v>1</v>
      </c>
      <c r="FU43" s="109">
        <f t="shared" si="388"/>
        <v>53865</v>
      </c>
      <c r="FV43" s="110">
        <f t="shared" si="389"/>
        <v>-0.5</v>
      </c>
      <c r="FX43" s="319" t="s">
        <v>285</v>
      </c>
      <c r="FY43" s="319" t="s">
        <v>178</v>
      </c>
      <c r="FZ43" s="334" t="s">
        <v>286</v>
      </c>
      <c r="GA43" s="327" t="s">
        <v>179</v>
      </c>
      <c r="GB43" s="322">
        <v>8.5</v>
      </c>
      <c r="GC43" s="323">
        <v>22000</v>
      </c>
      <c r="GD43" s="324">
        <f t="shared" si="390"/>
        <v>187000</v>
      </c>
      <c r="GE43" s="108">
        <f t="shared" si="391"/>
        <v>1</v>
      </c>
      <c r="GF43" s="108">
        <f t="shared" si="392"/>
        <v>1</v>
      </c>
      <c r="GG43" s="108">
        <f t="shared" si="393"/>
        <v>1</v>
      </c>
      <c r="GH43" s="108">
        <f t="shared" si="394"/>
        <v>1</v>
      </c>
      <c r="GI43" s="108">
        <f t="shared" si="395"/>
        <v>1</v>
      </c>
      <c r="GJ43" s="108">
        <f t="shared" si="396"/>
        <v>1</v>
      </c>
      <c r="GK43" s="108">
        <f t="shared" si="397"/>
        <v>1</v>
      </c>
      <c r="GL43" s="109">
        <f t="shared" si="398"/>
        <v>187000</v>
      </c>
      <c r="GM43" s="110">
        <f t="shared" si="399"/>
        <v>0</v>
      </c>
      <c r="GO43" s="319" t="s">
        <v>285</v>
      </c>
      <c r="GP43" s="319" t="s">
        <v>178</v>
      </c>
      <c r="GQ43" s="334" t="s">
        <v>286</v>
      </c>
      <c r="GR43" s="327" t="s">
        <v>179</v>
      </c>
      <c r="GS43" s="322">
        <v>8.5</v>
      </c>
      <c r="GT43" s="323">
        <v>20000</v>
      </c>
      <c r="GU43" s="324">
        <v>170000</v>
      </c>
      <c r="GV43" s="108">
        <f t="shared" si="400"/>
        <v>1</v>
      </c>
      <c r="GW43" s="108">
        <f t="shared" si="401"/>
        <v>1</v>
      </c>
      <c r="GX43" s="108">
        <f t="shared" si="402"/>
        <v>1</v>
      </c>
      <c r="GY43" s="108">
        <f t="shared" si="403"/>
        <v>1</v>
      </c>
      <c r="GZ43" s="108">
        <f t="shared" si="404"/>
        <v>1</v>
      </c>
      <c r="HA43" s="108">
        <f t="shared" si="405"/>
        <v>1</v>
      </c>
      <c r="HB43" s="108">
        <f t="shared" si="406"/>
        <v>1</v>
      </c>
      <c r="HC43" s="109">
        <f t="shared" si="407"/>
        <v>170000</v>
      </c>
      <c r="HD43" s="110">
        <f t="shared" si="408"/>
        <v>0</v>
      </c>
      <c r="HF43" s="319" t="s">
        <v>285</v>
      </c>
      <c r="HG43" s="319" t="s">
        <v>178</v>
      </c>
      <c r="HH43" s="334" t="s">
        <v>286</v>
      </c>
      <c r="HI43" s="327" t="s">
        <v>179</v>
      </c>
      <c r="HJ43" s="322">
        <v>8.5</v>
      </c>
      <c r="HK43" s="323">
        <v>175000</v>
      </c>
      <c r="HL43" s="324">
        <f t="shared" si="409"/>
        <v>1487500</v>
      </c>
      <c r="HM43" s="108">
        <f t="shared" si="410"/>
        <v>1</v>
      </c>
      <c r="HN43" s="108">
        <f t="shared" si="411"/>
        <v>1</v>
      </c>
      <c r="HO43" s="108">
        <f t="shared" si="412"/>
        <v>1</v>
      </c>
      <c r="HP43" s="108">
        <f t="shared" si="413"/>
        <v>1</v>
      </c>
      <c r="HQ43" s="108">
        <f t="shared" si="414"/>
        <v>1</v>
      </c>
      <c r="HR43" s="108">
        <f t="shared" si="415"/>
        <v>1</v>
      </c>
      <c r="HS43" s="108">
        <f t="shared" si="416"/>
        <v>1</v>
      </c>
      <c r="HT43" s="109">
        <f t="shared" si="417"/>
        <v>1487500</v>
      </c>
      <c r="HU43" s="110">
        <f t="shared" si="418"/>
        <v>0</v>
      </c>
      <c r="HW43" s="319" t="s">
        <v>285</v>
      </c>
      <c r="HX43" s="319" t="s">
        <v>178</v>
      </c>
      <c r="HY43" s="334" t="s">
        <v>286</v>
      </c>
      <c r="HZ43" s="327" t="s">
        <v>179</v>
      </c>
      <c r="IA43" s="322">
        <v>8.5</v>
      </c>
      <c r="IB43" s="323">
        <v>8000</v>
      </c>
      <c r="IC43" s="324">
        <f t="shared" si="419"/>
        <v>68000</v>
      </c>
      <c r="ID43" s="108">
        <f t="shared" si="420"/>
        <v>1</v>
      </c>
      <c r="IE43" s="108">
        <f t="shared" si="421"/>
        <v>1</v>
      </c>
      <c r="IF43" s="108">
        <f t="shared" si="422"/>
        <v>1</v>
      </c>
      <c r="IG43" s="108">
        <f t="shared" si="423"/>
        <v>1</v>
      </c>
      <c r="IH43" s="108">
        <f t="shared" si="424"/>
        <v>1</v>
      </c>
      <c r="II43" s="108">
        <f t="shared" si="425"/>
        <v>1</v>
      </c>
      <c r="IJ43" s="108">
        <f t="shared" si="426"/>
        <v>1</v>
      </c>
      <c r="IK43" s="109">
        <f t="shared" si="427"/>
        <v>68000</v>
      </c>
      <c r="IL43" s="110">
        <f t="shared" si="428"/>
        <v>0</v>
      </c>
    </row>
    <row r="44" spans="1:246" s="213" customFormat="1" ht="139.5" customHeight="1" x14ac:dyDescent="0.25">
      <c r="A44" s="211"/>
      <c r="B44" s="319" t="s">
        <v>287</v>
      </c>
      <c r="C44" s="319" t="s">
        <v>178</v>
      </c>
      <c r="D44" s="334" t="s">
        <v>288</v>
      </c>
      <c r="E44" s="321" t="s">
        <v>183</v>
      </c>
      <c r="F44" s="325">
        <v>5.0999999999999996</v>
      </c>
      <c r="G44" s="323">
        <v>0</v>
      </c>
      <c r="H44" s="324">
        <f t="shared" si="292"/>
        <v>0</v>
      </c>
      <c r="J44" s="319" t="s">
        <v>287</v>
      </c>
      <c r="K44" s="319" t="s">
        <v>178</v>
      </c>
      <c r="L44" s="334" t="s">
        <v>288</v>
      </c>
      <c r="M44" s="321" t="s">
        <v>183</v>
      </c>
      <c r="N44" s="325">
        <v>5.0999999999999996</v>
      </c>
      <c r="O44" s="323">
        <v>370768</v>
      </c>
      <c r="P44" s="324">
        <v>1890917</v>
      </c>
      <c r="Q44" s="108">
        <f t="shared" si="293"/>
        <v>1</v>
      </c>
      <c r="R44" s="108">
        <f t="shared" si="294"/>
        <v>1</v>
      </c>
      <c r="S44" s="108">
        <f t="shared" si="295"/>
        <v>1</v>
      </c>
      <c r="T44" s="108">
        <f t="shared" si="296"/>
        <v>1</v>
      </c>
      <c r="U44" s="108">
        <f t="shared" si="297"/>
        <v>1</v>
      </c>
      <c r="V44" s="108">
        <f t="shared" si="298"/>
        <v>1</v>
      </c>
      <c r="W44" s="108">
        <f t="shared" si="299"/>
        <v>1</v>
      </c>
      <c r="X44" s="109">
        <f t="shared" si="300"/>
        <v>1890917</v>
      </c>
      <c r="Y44" s="110">
        <f t="shared" si="301"/>
        <v>0</v>
      </c>
      <c r="AA44" s="319" t="s">
        <v>287</v>
      </c>
      <c r="AB44" s="319" t="s">
        <v>178</v>
      </c>
      <c r="AC44" s="334" t="s">
        <v>288</v>
      </c>
      <c r="AD44" s="321" t="s">
        <v>183</v>
      </c>
      <c r="AE44" s="325">
        <v>5.0999999999999996</v>
      </c>
      <c r="AF44" s="323">
        <v>1570000</v>
      </c>
      <c r="AG44" s="324">
        <v>8006999.9999999991</v>
      </c>
      <c r="AH44" s="108">
        <f t="shared" si="302"/>
        <v>1</v>
      </c>
      <c r="AI44" s="108">
        <f t="shared" si="303"/>
        <v>1</v>
      </c>
      <c r="AJ44" s="108">
        <f t="shared" si="304"/>
        <v>1</v>
      </c>
      <c r="AK44" s="108">
        <f t="shared" si="305"/>
        <v>1</v>
      </c>
      <c r="AL44" s="108">
        <f t="shared" si="306"/>
        <v>1</v>
      </c>
      <c r="AM44" s="108">
        <f t="shared" si="307"/>
        <v>1</v>
      </c>
      <c r="AN44" s="108">
        <f t="shared" si="308"/>
        <v>1</v>
      </c>
      <c r="AO44" s="109">
        <f t="shared" si="309"/>
        <v>8007000</v>
      </c>
      <c r="AP44" s="110">
        <f t="shared" si="310"/>
        <v>0</v>
      </c>
      <c r="AR44" s="319" t="s">
        <v>287</v>
      </c>
      <c r="AS44" s="319" t="s">
        <v>178</v>
      </c>
      <c r="AT44" s="334" t="s">
        <v>288</v>
      </c>
      <c r="AU44" s="321" t="s">
        <v>183</v>
      </c>
      <c r="AV44" s="325">
        <v>5.0999999999999996</v>
      </c>
      <c r="AW44" s="323">
        <v>485000</v>
      </c>
      <c r="AX44" s="324">
        <v>2473500</v>
      </c>
      <c r="AY44" s="108">
        <f t="shared" si="311"/>
        <v>1</v>
      </c>
      <c r="AZ44" s="108">
        <f t="shared" si="312"/>
        <v>1</v>
      </c>
      <c r="BA44" s="108">
        <f t="shared" si="313"/>
        <v>1</v>
      </c>
      <c r="BB44" s="108">
        <f t="shared" si="314"/>
        <v>1</v>
      </c>
      <c r="BC44" s="108">
        <f t="shared" si="315"/>
        <v>1</v>
      </c>
      <c r="BD44" s="108">
        <f t="shared" si="316"/>
        <v>1</v>
      </c>
      <c r="BE44" s="108">
        <f t="shared" si="317"/>
        <v>1</v>
      </c>
      <c r="BF44" s="109">
        <f t="shared" si="318"/>
        <v>2473500</v>
      </c>
      <c r="BG44" s="110">
        <f t="shared" si="319"/>
        <v>0</v>
      </c>
      <c r="BI44" s="319" t="s">
        <v>287</v>
      </c>
      <c r="BJ44" s="319" t="s">
        <v>178</v>
      </c>
      <c r="BK44" s="334" t="s">
        <v>288</v>
      </c>
      <c r="BL44" s="321" t="s">
        <v>183</v>
      </c>
      <c r="BM44" s="325">
        <v>5.0999999999999996</v>
      </c>
      <c r="BN44" s="323">
        <v>25102</v>
      </c>
      <c r="BO44" s="324">
        <f t="shared" si="320"/>
        <v>128020.2</v>
      </c>
      <c r="BP44" s="108">
        <f t="shared" si="321"/>
        <v>1</v>
      </c>
      <c r="BQ44" s="108">
        <f t="shared" si="322"/>
        <v>1</v>
      </c>
      <c r="BR44" s="108">
        <f t="shared" si="323"/>
        <v>1</v>
      </c>
      <c r="BS44" s="108">
        <f t="shared" si="324"/>
        <v>1</v>
      </c>
      <c r="BT44" s="108">
        <f t="shared" si="325"/>
        <v>1</v>
      </c>
      <c r="BU44" s="108">
        <f t="shared" si="326"/>
        <v>1</v>
      </c>
      <c r="BV44" s="108">
        <f t="shared" si="327"/>
        <v>1</v>
      </c>
      <c r="BW44" s="109">
        <f t="shared" si="328"/>
        <v>128020</v>
      </c>
      <c r="BX44" s="110">
        <f t="shared" si="329"/>
        <v>0.19999999999708962</v>
      </c>
      <c r="BZ44" s="319" t="s">
        <v>287</v>
      </c>
      <c r="CA44" s="319" t="s">
        <v>178</v>
      </c>
      <c r="CB44" s="334" t="s">
        <v>288</v>
      </c>
      <c r="CC44" s="321" t="s">
        <v>183</v>
      </c>
      <c r="CD44" s="325">
        <v>5.0999999999999996</v>
      </c>
      <c r="CE44" s="323">
        <f>5.8*4.5*50000</f>
        <v>1305000</v>
      </c>
      <c r="CF44" s="324">
        <f t="shared" si="330"/>
        <v>6655500</v>
      </c>
      <c r="CG44" s="108">
        <f t="shared" si="331"/>
        <v>1</v>
      </c>
      <c r="CH44" s="108">
        <f t="shared" si="332"/>
        <v>1</v>
      </c>
      <c r="CI44" s="108">
        <f t="shared" si="333"/>
        <v>1</v>
      </c>
      <c r="CJ44" s="108">
        <f t="shared" si="334"/>
        <v>1</v>
      </c>
      <c r="CK44" s="108">
        <f t="shared" si="335"/>
        <v>1</v>
      </c>
      <c r="CL44" s="108">
        <f t="shared" si="336"/>
        <v>1</v>
      </c>
      <c r="CM44" s="108">
        <f t="shared" si="337"/>
        <v>1</v>
      </c>
      <c r="CN44" s="109">
        <f t="shared" si="338"/>
        <v>6655500</v>
      </c>
      <c r="CO44" s="110">
        <f t="shared" si="339"/>
        <v>0</v>
      </c>
      <c r="CQ44" s="319" t="s">
        <v>287</v>
      </c>
      <c r="CR44" s="319" t="s">
        <v>178</v>
      </c>
      <c r="CS44" s="334" t="s">
        <v>288</v>
      </c>
      <c r="CT44" s="321" t="s">
        <v>183</v>
      </c>
      <c r="CU44" s="325">
        <v>5.0999999999999996</v>
      </c>
      <c r="CV44" s="323">
        <v>1420000</v>
      </c>
      <c r="CW44" s="324">
        <f t="shared" si="340"/>
        <v>7241999.9999999991</v>
      </c>
      <c r="CX44" s="108">
        <f t="shared" si="341"/>
        <v>1</v>
      </c>
      <c r="CY44" s="108">
        <f t="shared" si="342"/>
        <v>1</v>
      </c>
      <c r="CZ44" s="108">
        <f t="shared" si="343"/>
        <v>1</v>
      </c>
      <c r="DA44" s="108">
        <f t="shared" si="344"/>
        <v>1</v>
      </c>
      <c r="DB44" s="108">
        <f t="shared" si="345"/>
        <v>1</v>
      </c>
      <c r="DC44" s="108">
        <f t="shared" si="346"/>
        <v>1</v>
      </c>
      <c r="DD44" s="108">
        <f t="shared" si="347"/>
        <v>1</v>
      </c>
      <c r="DE44" s="109">
        <f t="shared" si="348"/>
        <v>7242000</v>
      </c>
      <c r="DF44" s="110">
        <f t="shared" si="349"/>
        <v>0</v>
      </c>
      <c r="DH44" s="319" t="s">
        <v>287</v>
      </c>
      <c r="DI44" s="319" t="s">
        <v>178</v>
      </c>
      <c r="DJ44" s="360" t="s">
        <v>288</v>
      </c>
      <c r="DK44" s="321" t="s">
        <v>183</v>
      </c>
      <c r="DL44" s="325">
        <v>5.0999999999999996</v>
      </c>
      <c r="DM44" s="323">
        <v>755485</v>
      </c>
      <c r="DN44" s="324">
        <f t="shared" si="350"/>
        <v>3852973.4999999995</v>
      </c>
      <c r="DO44" s="108">
        <f t="shared" si="351"/>
        <v>1</v>
      </c>
      <c r="DP44" s="108">
        <f t="shared" si="352"/>
        <v>1</v>
      </c>
      <c r="DQ44" s="108">
        <f t="shared" si="353"/>
        <v>1</v>
      </c>
      <c r="DR44" s="108">
        <f t="shared" si="354"/>
        <v>1</v>
      </c>
      <c r="DS44" s="108">
        <f t="shared" si="355"/>
        <v>1</v>
      </c>
      <c r="DT44" s="108">
        <f t="shared" si="356"/>
        <v>1</v>
      </c>
      <c r="DU44" s="108">
        <f t="shared" si="357"/>
        <v>1</v>
      </c>
      <c r="DV44" s="109">
        <f t="shared" si="358"/>
        <v>3852974</v>
      </c>
      <c r="DW44" s="110">
        <f t="shared" si="359"/>
        <v>-0.50000000046566129</v>
      </c>
      <c r="DY44" s="319" t="s">
        <v>287</v>
      </c>
      <c r="DZ44" s="319" t="s">
        <v>178</v>
      </c>
      <c r="EA44" s="360" t="s">
        <v>343</v>
      </c>
      <c r="EB44" s="321" t="s">
        <v>183</v>
      </c>
      <c r="EC44" s="325">
        <v>5.0999999999999996</v>
      </c>
      <c r="ED44" s="323">
        <v>420000</v>
      </c>
      <c r="EE44" s="324">
        <f t="shared" si="360"/>
        <v>2142000</v>
      </c>
      <c r="EF44" s="108">
        <f t="shared" si="361"/>
        <v>1</v>
      </c>
      <c r="EG44" s="108">
        <v>1</v>
      </c>
      <c r="EH44" s="108">
        <f t="shared" si="363"/>
        <v>1</v>
      </c>
      <c r="EI44" s="108">
        <f t="shared" si="364"/>
        <v>1</v>
      </c>
      <c r="EJ44" s="108">
        <f t="shared" si="365"/>
        <v>1</v>
      </c>
      <c r="EK44" s="108">
        <f t="shared" si="366"/>
        <v>1</v>
      </c>
      <c r="EL44" s="108">
        <f t="shared" si="367"/>
        <v>1</v>
      </c>
      <c r="EM44" s="109">
        <f t="shared" si="368"/>
        <v>2142000</v>
      </c>
      <c r="EN44" s="110">
        <f t="shared" si="369"/>
        <v>0</v>
      </c>
      <c r="EP44" s="319" t="s">
        <v>287</v>
      </c>
      <c r="EQ44" s="319" t="s">
        <v>178</v>
      </c>
      <c r="ER44" s="334" t="s">
        <v>288</v>
      </c>
      <c r="ES44" s="321" t="s">
        <v>183</v>
      </c>
      <c r="ET44" s="325">
        <v>5.0999999999999996</v>
      </c>
      <c r="EU44" s="323">
        <v>295000</v>
      </c>
      <c r="EV44" s="324">
        <f t="shared" si="370"/>
        <v>1504500</v>
      </c>
      <c r="EW44" s="108">
        <f t="shared" si="371"/>
        <v>1</v>
      </c>
      <c r="EX44" s="108">
        <f t="shared" si="372"/>
        <v>1</v>
      </c>
      <c r="EY44" s="108">
        <f t="shared" si="373"/>
        <v>1</v>
      </c>
      <c r="EZ44" s="108">
        <f t="shared" si="374"/>
        <v>1</v>
      </c>
      <c r="FA44" s="108">
        <f t="shared" si="375"/>
        <v>1</v>
      </c>
      <c r="FB44" s="108">
        <f t="shared" si="376"/>
        <v>1</v>
      </c>
      <c r="FC44" s="108">
        <f t="shared" si="377"/>
        <v>1</v>
      </c>
      <c r="FD44" s="109">
        <f t="shared" si="378"/>
        <v>1504500</v>
      </c>
      <c r="FE44" s="110">
        <f t="shared" si="379"/>
        <v>0</v>
      </c>
      <c r="FG44" s="319" t="s">
        <v>287</v>
      </c>
      <c r="FH44" s="319" t="s">
        <v>178</v>
      </c>
      <c r="FI44" s="360" t="s">
        <v>288</v>
      </c>
      <c r="FJ44" s="321" t="s">
        <v>183</v>
      </c>
      <c r="FK44" s="325">
        <v>5.0999999999999996</v>
      </c>
      <c r="FL44" s="323">
        <v>755550</v>
      </c>
      <c r="FM44" s="324">
        <f t="shared" si="380"/>
        <v>3853304.9999999995</v>
      </c>
      <c r="FN44" s="108">
        <f t="shared" si="381"/>
        <v>1</v>
      </c>
      <c r="FO44" s="108">
        <f t="shared" si="382"/>
        <v>1</v>
      </c>
      <c r="FP44" s="108">
        <f t="shared" si="383"/>
        <v>1</v>
      </c>
      <c r="FQ44" s="108">
        <f t="shared" si="384"/>
        <v>1</v>
      </c>
      <c r="FR44" s="108">
        <f t="shared" si="385"/>
        <v>1</v>
      </c>
      <c r="FS44" s="108">
        <f t="shared" si="386"/>
        <v>1</v>
      </c>
      <c r="FT44" s="108">
        <f t="shared" si="387"/>
        <v>1</v>
      </c>
      <c r="FU44" s="109">
        <f t="shared" si="388"/>
        <v>3853305</v>
      </c>
      <c r="FV44" s="110">
        <f t="shared" si="389"/>
        <v>0</v>
      </c>
      <c r="FX44" s="319" t="s">
        <v>287</v>
      </c>
      <c r="FY44" s="319" t="s">
        <v>178</v>
      </c>
      <c r="FZ44" s="334" t="s">
        <v>288</v>
      </c>
      <c r="GA44" s="321" t="s">
        <v>183</v>
      </c>
      <c r="GB44" s="325">
        <v>5.0999999999999996</v>
      </c>
      <c r="GC44" s="323">
        <v>1050000</v>
      </c>
      <c r="GD44" s="324">
        <f t="shared" si="390"/>
        <v>5355000</v>
      </c>
      <c r="GE44" s="108">
        <f t="shared" si="391"/>
        <v>1</v>
      </c>
      <c r="GF44" s="108">
        <f t="shared" si="392"/>
        <v>1</v>
      </c>
      <c r="GG44" s="108">
        <f t="shared" si="393"/>
        <v>1</v>
      </c>
      <c r="GH44" s="108">
        <f t="shared" si="394"/>
        <v>1</v>
      </c>
      <c r="GI44" s="108">
        <f t="shared" si="395"/>
        <v>1</v>
      </c>
      <c r="GJ44" s="108">
        <f t="shared" si="396"/>
        <v>1</v>
      </c>
      <c r="GK44" s="108">
        <f t="shared" si="397"/>
        <v>1</v>
      </c>
      <c r="GL44" s="109">
        <f t="shared" si="398"/>
        <v>5355000</v>
      </c>
      <c r="GM44" s="110">
        <f t="shared" si="399"/>
        <v>0</v>
      </c>
      <c r="GO44" s="319" t="s">
        <v>287</v>
      </c>
      <c r="GP44" s="319" t="s">
        <v>178</v>
      </c>
      <c r="GQ44" s="334" t="s">
        <v>288</v>
      </c>
      <c r="GR44" s="321" t="s">
        <v>183</v>
      </c>
      <c r="GS44" s="325">
        <v>5.0999999999999996</v>
      </c>
      <c r="GT44" s="323">
        <v>600000</v>
      </c>
      <c r="GU44" s="324">
        <v>3060000</v>
      </c>
      <c r="GV44" s="108">
        <f t="shared" si="400"/>
        <v>1</v>
      </c>
      <c r="GW44" s="108">
        <f t="shared" si="401"/>
        <v>1</v>
      </c>
      <c r="GX44" s="108">
        <f t="shared" si="402"/>
        <v>1</v>
      </c>
      <c r="GY44" s="108">
        <f t="shared" si="403"/>
        <v>1</v>
      </c>
      <c r="GZ44" s="108">
        <f t="shared" si="404"/>
        <v>1</v>
      </c>
      <c r="HA44" s="108">
        <f t="shared" si="405"/>
        <v>1</v>
      </c>
      <c r="HB44" s="108">
        <f t="shared" si="406"/>
        <v>1</v>
      </c>
      <c r="HC44" s="109">
        <f t="shared" si="407"/>
        <v>3060000</v>
      </c>
      <c r="HD44" s="110">
        <f t="shared" si="408"/>
        <v>0</v>
      </c>
      <c r="HF44" s="319" t="s">
        <v>287</v>
      </c>
      <c r="HG44" s="319" t="s">
        <v>178</v>
      </c>
      <c r="HH44" s="334" t="s">
        <v>288</v>
      </c>
      <c r="HI44" s="321" t="s">
        <v>183</v>
      </c>
      <c r="HJ44" s="325">
        <v>5.0999999999999996</v>
      </c>
      <c r="HK44" s="323">
        <v>120000</v>
      </c>
      <c r="HL44" s="324">
        <f t="shared" si="409"/>
        <v>612000</v>
      </c>
      <c r="HM44" s="108">
        <f t="shared" si="410"/>
        <v>1</v>
      </c>
      <c r="HN44" s="108">
        <f t="shared" si="411"/>
        <v>1</v>
      </c>
      <c r="HO44" s="108">
        <f t="shared" si="412"/>
        <v>1</v>
      </c>
      <c r="HP44" s="108">
        <f t="shared" si="413"/>
        <v>1</v>
      </c>
      <c r="HQ44" s="108">
        <f t="shared" si="414"/>
        <v>1</v>
      </c>
      <c r="HR44" s="108">
        <f t="shared" si="415"/>
        <v>1</v>
      </c>
      <c r="HS44" s="108">
        <f t="shared" si="416"/>
        <v>1</v>
      </c>
      <c r="HT44" s="109">
        <f t="shared" si="417"/>
        <v>612000</v>
      </c>
      <c r="HU44" s="110">
        <f t="shared" si="418"/>
        <v>0</v>
      </c>
      <c r="HW44" s="319" t="s">
        <v>287</v>
      </c>
      <c r="HX44" s="319" t="s">
        <v>178</v>
      </c>
      <c r="HY44" s="334" t="s">
        <v>288</v>
      </c>
      <c r="HZ44" s="321" t="s">
        <v>183</v>
      </c>
      <c r="IA44" s="325">
        <v>5.0999999999999996</v>
      </c>
      <c r="IB44" s="323">
        <v>180000</v>
      </c>
      <c r="IC44" s="324">
        <f t="shared" si="419"/>
        <v>917999.99999999988</v>
      </c>
      <c r="ID44" s="108">
        <f t="shared" si="420"/>
        <v>1</v>
      </c>
      <c r="IE44" s="108">
        <f t="shared" si="421"/>
        <v>1</v>
      </c>
      <c r="IF44" s="108">
        <f t="shared" si="422"/>
        <v>1</v>
      </c>
      <c r="IG44" s="108">
        <f t="shared" si="423"/>
        <v>1</v>
      </c>
      <c r="IH44" s="108">
        <f t="shared" si="424"/>
        <v>1</v>
      </c>
      <c r="II44" s="108">
        <f t="shared" si="425"/>
        <v>1</v>
      </c>
      <c r="IJ44" s="108">
        <f t="shared" si="426"/>
        <v>1</v>
      </c>
      <c r="IK44" s="109">
        <f t="shared" si="427"/>
        <v>918000</v>
      </c>
      <c r="IL44" s="110">
        <f t="shared" si="428"/>
        <v>0</v>
      </c>
    </row>
    <row r="45" spans="1:246" s="213" customFormat="1" ht="144" x14ac:dyDescent="0.25">
      <c r="A45" s="211"/>
      <c r="B45" s="319" t="s">
        <v>289</v>
      </c>
      <c r="C45" s="319" t="s">
        <v>178</v>
      </c>
      <c r="D45" s="334" t="s">
        <v>290</v>
      </c>
      <c r="E45" s="327" t="s">
        <v>183</v>
      </c>
      <c r="F45" s="322">
        <v>8.5</v>
      </c>
      <c r="G45" s="323">
        <v>0</v>
      </c>
      <c r="H45" s="324">
        <f t="shared" si="292"/>
        <v>0</v>
      </c>
      <c r="J45" s="319" t="s">
        <v>289</v>
      </c>
      <c r="K45" s="319" t="s">
        <v>178</v>
      </c>
      <c r="L45" s="334" t="s">
        <v>290</v>
      </c>
      <c r="M45" s="327" t="s">
        <v>183</v>
      </c>
      <c r="N45" s="322">
        <v>8.5</v>
      </c>
      <c r="O45" s="323">
        <v>303850</v>
      </c>
      <c r="P45" s="324">
        <v>2582725</v>
      </c>
      <c r="Q45" s="108">
        <f t="shared" si="293"/>
        <v>1</v>
      </c>
      <c r="R45" s="108">
        <f t="shared" si="294"/>
        <v>1</v>
      </c>
      <c r="S45" s="108">
        <f t="shared" si="295"/>
        <v>1</v>
      </c>
      <c r="T45" s="108">
        <f t="shared" si="296"/>
        <v>1</v>
      </c>
      <c r="U45" s="108">
        <f t="shared" si="297"/>
        <v>1</v>
      </c>
      <c r="V45" s="108">
        <f t="shared" si="298"/>
        <v>1</v>
      </c>
      <c r="W45" s="108">
        <f t="shared" si="299"/>
        <v>1</v>
      </c>
      <c r="X45" s="109">
        <f t="shared" si="300"/>
        <v>2582725</v>
      </c>
      <c r="Y45" s="110">
        <f t="shared" si="301"/>
        <v>0</v>
      </c>
      <c r="AA45" s="319" t="s">
        <v>289</v>
      </c>
      <c r="AB45" s="319" t="s">
        <v>178</v>
      </c>
      <c r="AC45" s="334" t="s">
        <v>290</v>
      </c>
      <c r="AD45" s="327" t="s">
        <v>183</v>
      </c>
      <c r="AE45" s="322">
        <v>8.5</v>
      </c>
      <c r="AF45" s="323">
        <v>1077694</v>
      </c>
      <c r="AG45" s="324">
        <v>9160399</v>
      </c>
      <c r="AH45" s="108">
        <f t="shared" si="302"/>
        <v>1</v>
      </c>
      <c r="AI45" s="108">
        <f t="shared" si="303"/>
        <v>1</v>
      </c>
      <c r="AJ45" s="108">
        <f t="shared" si="304"/>
        <v>1</v>
      </c>
      <c r="AK45" s="108">
        <f t="shared" si="305"/>
        <v>1</v>
      </c>
      <c r="AL45" s="108">
        <f t="shared" si="306"/>
        <v>1</v>
      </c>
      <c r="AM45" s="108">
        <f t="shared" si="307"/>
        <v>1</v>
      </c>
      <c r="AN45" s="108">
        <f t="shared" si="308"/>
        <v>1</v>
      </c>
      <c r="AO45" s="109">
        <f t="shared" si="309"/>
        <v>9160399</v>
      </c>
      <c r="AP45" s="110">
        <f t="shared" si="310"/>
        <v>0</v>
      </c>
      <c r="AR45" s="319" t="s">
        <v>289</v>
      </c>
      <c r="AS45" s="319" t="s">
        <v>178</v>
      </c>
      <c r="AT45" s="334" t="s">
        <v>290</v>
      </c>
      <c r="AU45" s="327" t="s">
        <v>183</v>
      </c>
      <c r="AV45" s="322">
        <v>8.5</v>
      </c>
      <c r="AW45" s="323">
        <v>368600</v>
      </c>
      <c r="AX45" s="324">
        <v>3133100</v>
      </c>
      <c r="AY45" s="108">
        <f t="shared" si="311"/>
        <v>1</v>
      </c>
      <c r="AZ45" s="108">
        <f t="shared" si="312"/>
        <v>1</v>
      </c>
      <c r="BA45" s="108">
        <f t="shared" si="313"/>
        <v>1</v>
      </c>
      <c r="BB45" s="108">
        <f t="shared" si="314"/>
        <v>1</v>
      </c>
      <c r="BC45" s="108">
        <f t="shared" si="315"/>
        <v>1</v>
      </c>
      <c r="BD45" s="108">
        <f t="shared" si="316"/>
        <v>1</v>
      </c>
      <c r="BE45" s="108">
        <f t="shared" si="317"/>
        <v>1</v>
      </c>
      <c r="BF45" s="109">
        <f t="shared" si="318"/>
        <v>3133100</v>
      </c>
      <c r="BG45" s="110">
        <f t="shared" si="319"/>
        <v>0</v>
      </c>
      <c r="BI45" s="319" t="s">
        <v>289</v>
      </c>
      <c r="BJ45" s="319" t="s">
        <v>178</v>
      </c>
      <c r="BK45" s="334" t="s">
        <v>290</v>
      </c>
      <c r="BL45" s="327" t="s">
        <v>183</v>
      </c>
      <c r="BM45" s="322">
        <v>8.5</v>
      </c>
      <c r="BN45" s="323">
        <v>25102</v>
      </c>
      <c r="BO45" s="324">
        <f t="shared" si="320"/>
        <v>213367</v>
      </c>
      <c r="BP45" s="108">
        <f t="shared" si="321"/>
        <v>1</v>
      </c>
      <c r="BQ45" s="108">
        <f t="shared" si="322"/>
        <v>1</v>
      </c>
      <c r="BR45" s="108">
        <f t="shared" si="323"/>
        <v>1</v>
      </c>
      <c r="BS45" s="108">
        <f t="shared" si="324"/>
        <v>1</v>
      </c>
      <c r="BT45" s="108">
        <f t="shared" si="325"/>
        <v>1</v>
      </c>
      <c r="BU45" s="108">
        <f t="shared" si="326"/>
        <v>1</v>
      </c>
      <c r="BV45" s="108">
        <f t="shared" si="327"/>
        <v>1</v>
      </c>
      <c r="BW45" s="109">
        <f t="shared" si="328"/>
        <v>213367</v>
      </c>
      <c r="BX45" s="110">
        <f t="shared" si="329"/>
        <v>0</v>
      </c>
      <c r="BZ45" s="319" t="s">
        <v>289</v>
      </c>
      <c r="CA45" s="319" t="s">
        <v>178</v>
      </c>
      <c r="CB45" s="334" t="s">
        <v>290</v>
      </c>
      <c r="CC45" s="327" t="s">
        <v>183</v>
      </c>
      <c r="CD45" s="322">
        <v>8.5</v>
      </c>
      <c r="CE45" s="323">
        <f>3*3.5*50000</f>
        <v>525000</v>
      </c>
      <c r="CF45" s="324">
        <f t="shared" si="330"/>
        <v>4462500</v>
      </c>
      <c r="CG45" s="108">
        <f t="shared" si="331"/>
        <v>1</v>
      </c>
      <c r="CH45" s="108">
        <f t="shared" si="332"/>
        <v>1</v>
      </c>
      <c r="CI45" s="108">
        <f t="shared" si="333"/>
        <v>1</v>
      </c>
      <c r="CJ45" s="108">
        <f t="shared" si="334"/>
        <v>1</v>
      </c>
      <c r="CK45" s="108">
        <f t="shared" si="335"/>
        <v>1</v>
      </c>
      <c r="CL45" s="108">
        <f t="shared" si="336"/>
        <v>1</v>
      </c>
      <c r="CM45" s="108">
        <f t="shared" si="337"/>
        <v>1</v>
      </c>
      <c r="CN45" s="109">
        <f t="shared" si="338"/>
        <v>4462500</v>
      </c>
      <c r="CO45" s="110">
        <f t="shared" si="339"/>
        <v>0</v>
      </c>
      <c r="CQ45" s="319" t="s">
        <v>289</v>
      </c>
      <c r="CR45" s="319" t="s">
        <v>178</v>
      </c>
      <c r="CS45" s="334" t="s">
        <v>290</v>
      </c>
      <c r="CT45" s="327" t="s">
        <v>183</v>
      </c>
      <c r="CU45" s="322">
        <v>8.5</v>
      </c>
      <c r="CV45" s="323">
        <v>140000</v>
      </c>
      <c r="CW45" s="324">
        <f t="shared" si="340"/>
        <v>1190000</v>
      </c>
      <c r="CX45" s="108">
        <f t="shared" si="341"/>
        <v>1</v>
      </c>
      <c r="CY45" s="108">
        <f t="shared" si="342"/>
        <v>1</v>
      </c>
      <c r="CZ45" s="108">
        <f t="shared" si="343"/>
        <v>1</v>
      </c>
      <c r="DA45" s="108">
        <f t="shared" si="344"/>
        <v>1</v>
      </c>
      <c r="DB45" s="108">
        <f t="shared" si="345"/>
        <v>1</v>
      </c>
      <c r="DC45" s="108">
        <f t="shared" si="346"/>
        <v>1</v>
      </c>
      <c r="DD45" s="108">
        <f t="shared" si="347"/>
        <v>1</v>
      </c>
      <c r="DE45" s="109">
        <f t="shared" si="348"/>
        <v>1190000</v>
      </c>
      <c r="DF45" s="110">
        <f t="shared" si="349"/>
        <v>0</v>
      </c>
      <c r="DH45" s="319" t="s">
        <v>289</v>
      </c>
      <c r="DI45" s="319" t="s">
        <v>178</v>
      </c>
      <c r="DJ45" s="360" t="s">
        <v>290</v>
      </c>
      <c r="DK45" s="327" t="s">
        <v>183</v>
      </c>
      <c r="DL45" s="322">
        <v>8.5</v>
      </c>
      <c r="DM45" s="323">
        <v>454028</v>
      </c>
      <c r="DN45" s="324">
        <f t="shared" si="350"/>
        <v>3859238</v>
      </c>
      <c r="DO45" s="108">
        <f t="shared" si="351"/>
        <v>1</v>
      </c>
      <c r="DP45" s="108">
        <f t="shared" si="352"/>
        <v>1</v>
      </c>
      <c r="DQ45" s="108">
        <f t="shared" si="353"/>
        <v>1</v>
      </c>
      <c r="DR45" s="108">
        <f t="shared" si="354"/>
        <v>1</v>
      </c>
      <c r="DS45" s="108">
        <f t="shared" si="355"/>
        <v>1</v>
      </c>
      <c r="DT45" s="108">
        <f t="shared" si="356"/>
        <v>1</v>
      </c>
      <c r="DU45" s="108">
        <f t="shared" si="357"/>
        <v>1</v>
      </c>
      <c r="DV45" s="109">
        <f t="shared" si="358"/>
        <v>3859238</v>
      </c>
      <c r="DW45" s="110">
        <f t="shared" si="359"/>
        <v>0</v>
      </c>
      <c r="DY45" s="319" t="s">
        <v>289</v>
      </c>
      <c r="DZ45" s="319" t="s">
        <v>178</v>
      </c>
      <c r="EA45" s="360" t="s">
        <v>290</v>
      </c>
      <c r="EB45" s="327" t="s">
        <v>183</v>
      </c>
      <c r="EC45" s="322">
        <v>8.5</v>
      </c>
      <c r="ED45" s="323">
        <v>300000</v>
      </c>
      <c r="EE45" s="324">
        <f t="shared" si="360"/>
        <v>2550000</v>
      </c>
      <c r="EF45" s="108">
        <f t="shared" si="361"/>
        <v>1</v>
      </c>
      <c r="EG45" s="108">
        <f t="shared" si="362"/>
        <v>1</v>
      </c>
      <c r="EH45" s="108">
        <f t="shared" si="363"/>
        <v>1</v>
      </c>
      <c r="EI45" s="108">
        <f t="shared" si="364"/>
        <v>1</v>
      </c>
      <c r="EJ45" s="108">
        <f t="shared" si="365"/>
        <v>1</v>
      </c>
      <c r="EK45" s="108">
        <f t="shared" si="366"/>
        <v>1</v>
      </c>
      <c r="EL45" s="108">
        <f t="shared" si="367"/>
        <v>1</v>
      </c>
      <c r="EM45" s="109">
        <f t="shared" si="368"/>
        <v>2550000</v>
      </c>
      <c r="EN45" s="110">
        <f t="shared" si="369"/>
        <v>0</v>
      </c>
      <c r="EP45" s="319" t="s">
        <v>289</v>
      </c>
      <c r="EQ45" s="319" t="s">
        <v>178</v>
      </c>
      <c r="ER45" s="334" t="s">
        <v>290</v>
      </c>
      <c r="ES45" s="327" t="s">
        <v>183</v>
      </c>
      <c r="ET45" s="322">
        <v>8.5</v>
      </c>
      <c r="EU45" s="323">
        <v>250000</v>
      </c>
      <c r="EV45" s="324">
        <f t="shared" si="370"/>
        <v>2125000</v>
      </c>
      <c r="EW45" s="108">
        <f t="shared" si="371"/>
        <v>1</v>
      </c>
      <c r="EX45" s="108">
        <f t="shared" si="372"/>
        <v>1</v>
      </c>
      <c r="EY45" s="108">
        <f t="shared" si="373"/>
        <v>1</v>
      </c>
      <c r="EZ45" s="108">
        <f t="shared" si="374"/>
        <v>1</v>
      </c>
      <c r="FA45" s="108">
        <f t="shared" si="375"/>
        <v>1</v>
      </c>
      <c r="FB45" s="108">
        <f t="shared" si="376"/>
        <v>1</v>
      </c>
      <c r="FC45" s="108">
        <f t="shared" si="377"/>
        <v>1</v>
      </c>
      <c r="FD45" s="109">
        <f t="shared" si="378"/>
        <v>2125000</v>
      </c>
      <c r="FE45" s="110">
        <f t="shared" si="379"/>
        <v>0</v>
      </c>
      <c r="FG45" s="319" t="s">
        <v>289</v>
      </c>
      <c r="FH45" s="319" t="s">
        <v>178</v>
      </c>
      <c r="FI45" s="360" t="s">
        <v>290</v>
      </c>
      <c r="FJ45" s="327" t="s">
        <v>183</v>
      </c>
      <c r="FK45" s="322">
        <v>8.5</v>
      </c>
      <c r="FL45" s="323">
        <v>454032</v>
      </c>
      <c r="FM45" s="324">
        <f t="shared" si="380"/>
        <v>3859272</v>
      </c>
      <c r="FN45" s="108">
        <f t="shared" si="381"/>
        <v>1</v>
      </c>
      <c r="FO45" s="108">
        <f t="shared" si="382"/>
        <v>1</v>
      </c>
      <c r="FP45" s="108">
        <f t="shared" si="383"/>
        <v>1</v>
      </c>
      <c r="FQ45" s="108">
        <f t="shared" si="384"/>
        <v>1</v>
      </c>
      <c r="FR45" s="108">
        <f t="shared" si="385"/>
        <v>1</v>
      </c>
      <c r="FS45" s="108">
        <f t="shared" si="386"/>
        <v>1</v>
      </c>
      <c r="FT45" s="108">
        <f t="shared" si="387"/>
        <v>1</v>
      </c>
      <c r="FU45" s="109">
        <f t="shared" si="388"/>
        <v>3859272</v>
      </c>
      <c r="FV45" s="110">
        <f t="shared" si="389"/>
        <v>0</v>
      </c>
      <c r="FX45" s="319" t="s">
        <v>289</v>
      </c>
      <c r="FY45" s="319" t="s">
        <v>178</v>
      </c>
      <c r="FZ45" s="334" t="s">
        <v>290</v>
      </c>
      <c r="GA45" s="327" t="s">
        <v>183</v>
      </c>
      <c r="GB45" s="322">
        <v>8.5</v>
      </c>
      <c r="GC45" s="323">
        <v>800000</v>
      </c>
      <c r="GD45" s="324">
        <f t="shared" si="390"/>
        <v>6800000</v>
      </c>
      <c r="GE45" s="108">
        <f t="shared" si="391"/>
        <v>1</v>
      </c>
      <c r="GF45" s="108">
        <f t="shared" si="392"/>
        <v>1</v>
      </c>
      <c r="GG45" s="108">
        <f t="shared" si="393"/>
        <v>1</v>
      </c>
      <c r="GH45" s="108">
        <f t="shared" si="394"/>
        <v>1</v>
      </c>
      <c r="GI45" s="108">
        <f t="shared" si="395"/>
        <v>1</v>
      </c>
      <c r="GJ45" s="108">
        <f t="shared" si="396"/>
        <v>1</v>
      </c>
      <c r="GK45" s="108">
        <f t="shared" si="397"/>
        <v>1</v>
      </c>
      <c r="GL45" s="109">
        <f t="shared" si="398"/>
        <v>6800000</v>
      </c>
      <c r="GM45" s="110">
        <f t="shared" si="399"/>
        <v>0</v>
      </c>
      <c r="GO45" s="319" t="s">
        <v>289</v>
      </c>
      <c r="GP45" s="319" t="s">
        <v>178</v>
      </c>
      <c r="GQ45" s="334" t="s">
        <v>290</v>
      </c>
      <c r="GR45" s="327" t="s">
        <v>183</v>
      </c>
      <c r="GS45" s="322">
        <v>8.5</v>
      </c>
      <c r="GT45" s="323">
        <v>480000</v>
      </c>
      <c r="GU45" s="324">
        <v>4080000</v>
      </c>
      <c r="GV45" s="108">
        <f t="shared" si="400"/>
        <v>1</v>
      </c>
      <c r="GW45" s="108">
        <f t="shared" si="401"/>
        <v>1</v>
      </c>
      <c r="GX45" s="108">
        <f t="shared" si="402"/>
        <v>1</v>
      </c>
      <c r="GY45" s="108">
        <f t="shared" si="403"/>
        <v>1</v>
      </c>
      <c r="GZ45" s="108">
        <f t="shared" si="404"/>
        <v>1</v>
      </c>
      <c r="HA45" s="108">
        <f t="shared" si="405"/>
        <v>1</v>
      </c>
      <c r="HB45" s="108">
        <f t="shared" si="406"/>
        <v>1</v>
      </c>
      <c r="HC45" s="109">
        <f t="shared" si="407"/>
        <v>4080000</v>
      </c>
      <c r="HD45" s="110">
        <f t="shared" si="408"/>
        <v>0</v>
      </c>
      <c r="HF45" s="319" t="s">
        <v>289</v>
      </c>
      <c r="HG45" s="319" t="s">
        <v>178</v>
      </c>
      <c r="HH45" s="334" t="s">
        <v>290</v>
      </c>
      <c r="HI45" s="327" t="s">
        <v>183</v>
      </c>
      <c r="HJ45" s="322">
        <v>8.5</v>
      </c>
      <c r="HK45" s="323">
        <v>90000</v>
      </c>
      <c r="HL45" s="324">
        <f t="shared" si="409"/>
        <v>765000</v>
      </c>
      <c r="HM45" s="108">
        <f t="shared" si="410"/>
        <v>1</v>
      </c>
      <c r="HN45" s="108">
        <f t="shared" si="411"/>
        <v>1</v>
      </c>
      <c r="HO45" s="108">
        <f t="shared" si="412"/>
        <v>1</v>
      </c>
      <c r="HP45" s="108">
        <f t="shared" si="413"/>
        <v>1</v>
      </c>
      <c r="HQ45" s="108">
        <f t="shared" si="414"/>
        <v>1</v>
      </c>
      <c r="HR45" s="108">
        <f t="shared" si="415"/>
        <v>1</v>
      </c>
      <c r="HS45" s="108">
        <f t="shared" si="416"/>
        <v>1</v>
      </c>
      <c r="HT45" s="109">
        <f t="shared" si="417"/>
        <v>765000</v>
      </c>
      <c r="HU45" s="110">
        <f t="shared" si="418"/>
        <v>0</v>
      </c>
      <c r="HW45" s="319" t="s">
        <v>289</v>
      </c>
      <c r="HX45" s="319" t="s">
        <v>178</v>
      </c>
      <c r="HY45" s="334" t="s">
        <v>290</v>
      </c>
      <c r="HZ45" s="327" t="s">
        <v>183</v>
      </c>
      <c r="IA45" s="322">
        <v>8.5</v>
      </c>
      <c r="IB45" s="323">
        <v>250000</v>
      </c>
      <c r="IC45" s="324">
        <f t="shared" si="419"/>
        <v>2125000</v>
      </c>
      <c r="ID45" s="108">
        <f t="shared" si="420"/>
        <v>1</v>
      </c>
      <c r="IE45" s="108">
        <f t="shared" si="421"/>
        <v>1</v>
      </c>
      <c r="IF45" s="108">
        <f t="shared" si="422"/>
        <v>1</v>
      </c>
      <c r="IG45" s="108">
        <f t="shared" si="423"/>
        <v>1</v>
      </c>
      <c r="IH45" s="108">
        <f t="shared" si="424"/>
        <v>1</v>
      </c>
      <c r="II45" s="108">
        <f t="shared" si="425"/>
        <v>1</v>
      </c>
      <c r="IJ45" s="108">
        <f t="shared" si="426"/>
        <v>1</v>
      </c>
      <c r="IK45" s="109">
        <f t="shared" si="427"/>
        <v>2125000</v>
      </c>
      <c r="IL45" s="110">
        <f t="shared" si="428"/>
        <v>0</v>
      </c>
    </row>
    <row r="46" spans="1:246" s="213" customFormat="1" ht="144" x14ac:dyDescent="0.25">
      <c r="A46" s="211"/>
      <c r="B46" s="319" t="s">
        <v>291</v>
      </c>
      <c r="C46" s="319" t="s">
        <v>178</v>
      </c>
      <c r="D46" s="334" t="s">
        <v>292</v>
      </c>
      <c r="E46" s="327" t="s">
        <v>187</v>
      </c>
      <c r="F46" s="322">
        <v>42.5</v>
      </c>
      <c r="G46" s="323">
        <v>0</v>
      </c>
      <c r="H46" s="324">
        <f t="shared" si="292"/>
        <v>0</v>
      </c>
      <c r="J46" s="319" t="s">
        <v>291</v>
      </c>
      <c r="K46" s="319" t="s">
        <v>178</v>
      </c>
      <c r="L46" s="334" t="s">
        <v>292</v>
      </c>
      <c r="M46" s="327" t="s">
        <v>187</v>
      </c>
      <c r="N46" s="322">
        <v>42.5</v>
      </c>
      <c r="O46" s="323">
        <v>87248</v>
      </c>
      <c r="P46" s="324">
        <v>3708040</v>
      </c>
      <c r="Q46" s="108">
        <f t="shared" ref="Q46" si="438">IFERROR(IF(EXACT(VLOOKUP(J46,OFERTA_0,1,FALSE),J46),1,0),0)</f>
        <v>1</v>
      </c>
      <c r="R46" s="108">
        <f t="shared" ref="R46" si="439">IFERROR(IF(EXACT(VLOOKUP(J46,OFERTA_0,3,FALSE),L46),1,0),0)</f>
        <v>1</v>
      </c>
      <c r="S46" s="108">
        <f t="shared" ref="S46" si="440">IFERROR(IF(EXACT(VLOOKUP(J46,OFERTA_0,4,FALSE),M46),1,0),0)</f>
        <v>1</v>
      </c>
      <c r="T46" s="108">
        <f t="shared" ref="T46" si="441">IFERROR(IF(EXACT(VLOOKUP(J46,OFERTA_0,5,FALSE),N46),1,0),0)</f>
        <v>1</v>
      </c>
      <c r="U46" s="108">
        <f t="shared" ref="U46" si="442">IFERROR(IF(O46&lt;=0,0,1),0)</f>
        <v>1</v>
      </c>
      <c r="V46" s="108">
        <f t="shared" ref="V46" si="443">IFERROR(IF(P46&lt;=0,0,1),0)</f>
        <v>1</v>
      </c>
      <c r="W46" s="108">
        <f t="shared" ref="W46" si="444">PRODUCT(Q46:V46)</f>
        <v>1</v>
      </c>
      <c r="X46" s="109">
        <f t="shared" ref="X46" si="445">ROUND(P46,0)</f>
        <v>3708040</v>
      </c>
      <c r="Y46" s="110">
        <f t="shared" ref="Y46" si="446">P46-X46</f>
        <v>0</v>
      </c>
      <c r="AA46" s="319" t="s">
        <v>291</v>
      </c>
      <c r="AB46" s="319" t="s">
        <v>178</v>
      </c>
      <c r="AC46" s="334" t="s">
        <v>292</v>
      </c>
      <c r="AD46" s="327" t="s">
        <v>187</v>
      </c>
      <c r="AE46" s="322">
        <v>42.5</v>
      </c>
      <c r="AF46" s="323">
        <v>235000</v>
      </c>
      <c r="AG46" s="324">
        <v>9987500</v>
      </c>
      <c r="AH46" s="108">
        <f t="shared" si="302"/>
        <v>1</v>
      </c>
      <c r="AI46" s="108">
        <f t="shared" si="303"/>
        <v>1</v>
      </c>
      <c r="AJ46" s="108">
        <f t="shared" si="304"/>
        <v>1</v>
      </c>
      <c r="AK46" s="108">
        <f t="shared" si="305"/>
        <v>1</v>
      </c>
      <c r="AL46" s="108">
        <f t="shared" si="306"/>
        <v>1</v>
      </c>
      <c r="AM46" s="108">
        <f t="shared" si="307"/>
        <v>1</v>
      </c>
      <c r="AN46" s="108">
        <f t="shared" si="308"/>
        <v>1</v>
      </c>
      <c r="AO46" s="109">
        <f t="shared" si="309"/>
        <v>9987500</v>
      </c>
      <c r="AP46" s="110">
        <f t="shared" si="310"/>
        <v>0</v>
      </c>
      <c r="AR46" s="319" t="s">
        <v>291</v>
      </c>
      <c r="AS46" s="319" t="s">
        <v>178</v>
      </c>
      <c r="AT46" s="334" t="s">
        <v>292</v>
      </c>
      <c r="AU46" s="327" t="s">
        <v>187</v>
      </c>
      <c r="AV46" s="322">
        <v>42.5</v>
      </c>
      <c r="AW46" s="323">
        <v>33950</v>
      </c>
      <c r="AX46" s="324">
        <v>1442875</v>
      </c>
      <c r="AY46" s="108">
        <f t="shared" si="311"/>
        <v>1</v>
      </c>
      <c r="AZ46" s="108">
        <f t="shared" si="312"/>
        <v>1</v>
      </c>
      <c r="BA46" s="108">
        <f t="shared" si="313"/>
        <v>1</v>
      </c>
      <c r="BB46" s="108">
        <f t="shared" si="314"/>
        <v>1</v>
      </c>
      <c r="BC46" s="108">
        <f t="shared" si="315"/>
        <v>1</v>
      </c>
      <c r="BD46" s="108">
        <f t="shared" si="316"/>
        <v>1</v>
      </c>
      <c r="BE46" s="108">
        <f t="shared" si="317"/>
        <v>1</v>
      </c>
      <c r="BF46" s="109">
        <f t="shared" si="318"/>
        <v>1442875</v>
      </c>
      <c r="BG46" s="110">
        <f t="shared" si="319"/>
        <v>0</v>
      </c>
      <c r="BI46" s="319" t="s">
        <v>291</v>
      </c>
      <c r="BJ46" s="319" t="s">
        <v>178</v>
      </c>
      <c r="BK46" s="334" t="s">
        <v>292</v>
      </c>
      <c r="BL46" s="327" t="s">
        <v>187</v>
      </c>
      <c r="BM46" s="322">
        <v>42.5</v>
      </c>
      <c r="BN46" s="323">
        <v>25102</v>
      </c>
      <c r="BO46" s="324">
        <f t="shared" si="320"/>
        <v>1066835</v>
      </c>
      <c r="BP46" s="108">
        <f t="shared" si="321"/>
        <v>1</v>
      </c>
      <c r="BQ46" s="108">
        <f t="shared" si="322"/>
        <v>1</v>
      </c>
      <c r="BR46" s="108">
        <f t="shared" si="323"/>
        <v>1</v>
      </c>
      <c r="BS46" s="108">
        <f t="shared" si="324"/>
        <v>1</v>
      </c>
      <c r="BT46" s="108">
        <f t="shared" si="325"/>
        <v>1</v>
      </c>
      <c r="BU46" s="108">
        <f t="shared" si="326"/>
        <v>1</v>
      </c>
      <c r="BV46" s="108">
        <f t="shared" si="327"/>
        <v>1</v>
      </c>
      <c r="BW46" s="109">
        <f t="shared" si="328"/>
        <v>1066835</v>
      </c>
      <c r="BX46" s="110">
        <f t="shared" si="329"/>
        <v>0</v>
      </c>
      <c r="BZ46" s="319" t="s">
        <v>291</v>
      </c>
      <c r="CA46" s="319" t="s">
        <v>178</v>
      </c>
      <c r="CB46" s="334" t="s">
        <v>292</v>
      </c>
      <c r="CC46" s="327" t="s">
        <v>187</v>
      </c>
      <c r="CD46" s="322">
        <v>42.5</v>
      </c>
      <c r="CE46" s="323">
        <v>100000</v>
      </c>
      <c r="CF46" s="324">
        <f t="shared" si="330"/>
        <v>4250000</v>
      </c>
      <c r="CG46" s="108">
        <f t="shared" si="331"/>
        <v>1</v>
      </c>
      <c r="CH46" s="108">
        <f t="shared" si="332"/>
        <v>1</v>
      </c>
      <c r="CI46" s="108">
        <f t="shared" si="333"/>
        <v>1</v>
      </c>
      <c r="CJ46" s="108">
        <f t="shared" si="334"/>
        <v>1</v>
      </c>
      <c r="CK46" s="108">
        <f t="shared" si="335"/>
        <v>1</v>
      </c>
      <c r="CL46" s="108">
        <f t="shared" si="336"/>
        <v>1</v>
      </c>
      <c r="CM46" s="108">
        <f t="shared" si="337"/>
        <v>1</v>
      </c>
      <c r="CN46" s="109">
        <f t="shared" si="338"/>
        <v>4250000</v>
      </c>
      <c r="CO46" s="110">
        <f t="shared" si="339"/>
        <v>0</v>
      </c>
      <c r="CQ46" s="319" t="s">
        <v>291</v>
      </c>
      <c r="CR46" s="319" t="s">
        <v>178</v>
      </c>
      <c r="CS46" s="334" t="s">
        <v>292</v>
      </c>
      <c r="CT46" s="327" t="s">
        <v>187</v>
      </c>
      <c r="CU46" s="322">
        <v>42.5</v>
      </c>
      <c r="CV46" s="323">
        <v>70000</v>
      </c>
      <c r="CW46" s="324">
        <f t="shared" si="340"/>
        <v>2975000</v>
      </c>
      <c r="CX46" s="108">
        <f t="shared" si="341"/>
        <v>1</v>
      </c>
      <c r="CY46" s="108">
        <f t="shared" si="342"/>
        <v>1</v>
      </c>
      <c r="CZ46" s="108">
        <f t="shared" si="343"/>
        <v>1</v>
      </c>
      <c r="DA46" s="108">
        <f t="shared" si="344"/>
        <v>1</v>
      </c>
      <c r="DB46" s="108">
        <f t="shared" si="345"/>
        <v>1</v>
      </c>
      <c r="DC46" s="108">
        <f t="shared" si="346"/>
        <v>1</v>
      </c>
      <c r="DD46" s="108">
        <f t="shared" si="347"/>
        <v>1</v>
      </c>
      <c r="DE46" s="109">
        <f t="shared" si="348"/>
        <v>2975000</v>
      </c>
      <c r="DF46" s="110">
        <f t="shared" si="349"/>
        <v>0</v>
      </c>
      <c r="DH46" s="319" t="s">
        <v>291</v>
      </c>
      <c r="DI46" s="319" t="s">
        <v>178</v>
      </c>
      <c r="DJ46" s="360" t="s">
        <v>292</v>
      </c>
      <c r="DK46" s="327" t="s">
        <v>187</v>
      </c>
      <c r="DL46" s="322">
        <v>42.5</v>
      </c>
      <c r="DM46" s="323">
        <v>37918</v>
      </c>
      <c r="DN46" s="324">
        <f t="shared" si="350"/>
        <v>1611515</v>
      </c>
      <c r="DO46" s="108">
        <f t="shared" si="351"/>
        <v>1</v>
      </c>
      <c r="DP46" s="108">
        <f t="shared" si="352"/>
        <v>1</v>
      </c>
      <c r="DQ46" s="108">
        <f t="shared" si="353"/>
        <v>1</v>
      </c>
      <c r="DR46" s="108">
        <f t="shared" si="354"/>
        <v>1</v>
      </c>
      <c r="DS46" s="108">
        <f t="shared" si="355"/>
        <v>1</v>
      </c>
      <c r="DT46" s="108">
        <f t="shared" si="356"/>
        <v>1</v>
      </c>
      <c r="DU46" s="108">
        <f t="shared" si="357"/>
        <v>1</v>
      </c>
      <c r="DV46" s="109">
        <f t="shared" si="358"/>
        <v>1611515</v>
      </c>
      <c r="DW46" s="110">
        <f t="shared" si="359"/>
        <v>0</v>
      </c>
      <c r="DY46" s="319" t="s">
        <v>291</v>
      </c>
      <c r="DZ46" s="319" t="s">
        <v>178</v>
      </c>
      <c r="EA46" s="360" t="s">
        <v>292</v>
      </c>
      <c r="EB46" s="327" t="s">
        <v>187</v>
      </c>
      <c r="EC46" s="322">
        <v>42.5</v>
      </c>
      <c r="ED46" s="323">
        <v>25000</v>
      </c>
      <c r="EE46" s="324">
        <f t="shared" si="360"/>
        <v>1062500</v>
      </c>
      <c r="EF46" s="108">
        <f t="shared" si="361"/>
        <v>1</v>
      </c>
      <c r="EG46" s="108">
        <f t="shared" si="362"/>
        <v>1</v>
      </c>
      <c r="EH46" s="108">
        <f t="shared" si="363"/>
        <v>1</v>
      </c>
      <c r="EI46" s="108">
        <f t="shared" si="364"/>
        <v>1</v>
      </c>
      <c r="EJ46" s="108">
        <f t="shared" si="365"/>
        <v>1</v>
      </c>
      <c r="EK46" s="108">
        <f t="shared" si="366"/>
        <v>1</v>
      </c>
      <c r="EL46" s="108">
        <f t="shared" si="367"/>
        <v>1</v>
      </c>
      <c r="EM46" s="109">
        <f t="shared" si="368"/>
        <v>1062500</v>
      </c>
      <c r="EN46" s="110">
        <f t="shared" si="369"/>
        <v>0</v>
      </c>
      <c r="EP46" s="319" t="s">
        <v>291</v>
      </c>
      <c r="EQ46" s="319" t="s">
        <v>178</v>
      </c>
      <c r="ER46" s="334" t="s">
        <v>292</v>
      </c>
      <c r="ES46" s="327" t="s">
        <v>187</v>
      </c>
      <c r="ET46" s="322">
        <v>42.5</v>
      </c>
      <c r="EU46" s="323">
        <v>90000</v>
      </c>
      <c r="EV46" s="324">
        <f t="shared" si="370"/>
        <v>3825000</v>
      </c>
      <c r="EW46" s="108">
        <f t="shared" si="371"/>
        <v>1</v>
      </c>
      <c r="EX46" s="108">
        <f t="shared" si="372"/>
        <v>1</v>
      </c>
      <c r="EY46" s="108">
        <f t="shared" si="373"/>
        <v>1</v>
      </c>
      <c r="EZ46" s="108">
        <f t="shared" si="374"/>
        <v>1</v>
      </c>
      <c r="FA46" s="108">
        <f t="shared" si="375"/>
        <v>1</v>
      </c>
      <c r="FB46" s="108">
        <f t="shared" si="376"/>
        <v>1</v>
      </c>
      <c r="FC46" s="108">
        <f t="shared" si="377"/>
        <v>1</v>
      </c>
      <c r="FD46" s="109">
        <f t="shared" si="378"/>
        <v>3825000</v>
      </c>
      <c r="FE46" s="110">
        <f t="shared" si="379"/>
        <v>0</v>
      </c>
      <c r="FG46" s="319" t="s">
        <v>291</v>
      </c>
      <c r="FH46" s="319" t="s">
        <v>178</v>
      </c>
      <c r="FI46" s="360" t="s">
        <v>292</v>
      </c>
      <c r="FJ46" s="327" t="s">
        <v>187</v>
      </c>
      <c r="FK46" s="322">
        <v>42.5</v>
      </c>
      <c r="FL46" s="323">
        <v>37921</v>
      </c>
      <c r="FM46" s="324">
        <f t="shared" si="380"/>
        <v>1611642.5</v>
      </c>
      <c r="FN46" s="108">
        <f t="shared" si="381"/>
        <v>1</v>
      </c>
      <c r="FO46" s="108">
        <f t="shared" si="382"/>
        <v>1</v>
      </c>
      <c r="FP46" s="108">
        <f t="shared" si="383"/>
        <v>1</v>
      </c>
      <c r="FQ46" s="108">
        <f t="shared" si="384"/>
        <v>1</v>
      </c>
      <c r="FR46" s="108">
        <f t="shared" si="385"/>
        <v>1</v>
      </c>
      <c r="FS46" s="108">
        <f t="shared" si="386"/>
        <v>1</v>
      </c>
      <c r="FT46" s="108">
        <f t="shared" si="387"/>
        <v>1</v>
      </c>
      <c r="FU46" s="109">
        <f t="shared" si="388"/>
        <v>1611643</v>
      </c>
      <c r="FV46" s="110">
        <f t="shared" si="389"/>
        <v>-0.5</v>
      </c>
      <c r="FX46" s="319" t="s">
        <v>291</v>
      </c>
      <c r="FY46" s="319" t="s">
        <v>178</v>
      </c>
      <c r="FZ46" s="334" t="s">
        <v>292</v>
      </c>
      <c r="GA46" s="327" t="s">
        <v>187</v>
      </c>
      <c r="GB46" s="322">
        <v>42.5</v>
      </c>
      <c r="GC46" s="323">
        <v>55000</v>
      </c>
      <c r="GD46" s="324">
        <f t="shared" si="390"/>
        <v>2337500</v>
      </c>
      <c r="GE46" s="108">
        <f t="shared" si="391"/>
        <v>1</v>
      </c>
      <c r="GF46" s="108">
        <f t="shared" si="392"/>
        <v>1</v>
      </c>
      <c r="GG46" s="108">
        <f t="shared" si="393"/>
        <v>1</v>
      </c>
      <c r="GH46" s="108">
        <f t="shared" si="394"/>
        <v>1</v>
      </c>
      <c r="GI46" s="108">
        <f t="shared" si="395"/>
        <v>1</v>
      </c>
      <c r="GJ46" s="108">
        <f t="shared" si="396"/>
        <v>1</v>
      </c>
      <c r="GK46" s="108">
        <f t="shared" si="397"/>
        <v>1</v>
      </c>
      <c r="GL46" s="109">
        <f t="shared" si="398"/>
        <v>2337500</v>
      </c>
      <c r="GM46" s="110">
        <f t="shared" si="399"/>
        <v>0</v>
      </c>
      <c r="GO46" s="319" t="s">
        <v>291</v>
      </c>
      <c r="GP46" s="319" t="s">
        <v>178</v>
      </c>
      <c r="GQ46" s="334" t="s">
        <v>292</v>
      </c>
      <c r="GR46" s="327" t="s">
        <v>187</v>
      </c>
      <c r="GS46" s="322">
        <v>42.5</v>
      </c>
      <c r="GT46" s="323">
        <v>165000</v>
      </c>
      <c r="GU46" s="324">
        <v>7012500</v>
      </c>
      <c r="GV46" s="108">
        <f t="shared" si="400"/>
        <v>1</v>
      </c>
      <c r="GW46" s="108">
        <f t="shared" si="401"/>
        <v>1</v>
      </c>
      <c r="GX46" s="108">
        <f t="shared" si="402"/>
        <v>1</v>
      </c>
      <c r="GY46" s="108">
        <f t="shared" si="403"/>
        <v>1</v>
      </c>
      <c r="GZ46" s="108">
        <f t="shared" si="404"/>
        <v>1</v>
      </c>
      <c r="HA46" s="108">
        <f t="shared" si="405"/>
        <v>1</v>
      </c>
      <c r="HB46" s="108">
        <f t="shared" si="406"/>
        <v>1</v>
      </c>
      <c r="HC46" s="109">
        <f t="shared" si="407"/>
        <v>7012500</v>
      </c>
      <c r="HD46" s="110">
        <f t="shared" si="408"/>
        <v>0</v>
      </c>
      <c r="HF46" s="319" t="s">
        <v>291</v>
      </c>
      <c r="HG46" s="319" t="s">
        <v>178</v>
      </c>
      <c r="HH46" s="334" t="s">
        <v>292</v>
      </c>
      <c r="HI46" s="327" t="s">
        <v>187</v>
      </c>
      <c r="HJ46" s="322">
        <v>42.5</v>
      </c>
      <c r="HK46" s="323">
        <v>65000</v>
      </c>
      <c r="HL46" s="324">
        <f t="shared" si="409"/>
        <v>2762500</v>
      </c>
      <c r="HM46" s="108">
        <f t="shared" si="410"/>
        <v>1</v>
      </c>
      <c r="HN46" s="108">
        <f t="shared" si="411"/>
        <v>1</v>
      </c>
      <c r="HO46" s="108">
        <f t="shared" si="412"/>
        <v>1</v>
      </c>
      <c r="HP46" s="108">
        <f t="shared" si="413"/>
        <v>1</v>
      </c>
      <c r="HQ46" s="108">
        <f t="shared" si="414"/>
        <v>1</v>
      </c>
      <c r="HR46" s="108">
        <f t="shared" si="415"/>
        <v>1</v>
      </c>
      <c r="HS46" s="108">
        <f t="shared" si="416"/>
        <v>1</v>
      </c>
      <c r="HT46" s="109">
        <f t="shared" si="417"/>
        <v>2762500</v>
      </c>
      <c r="HU46" s="110">
        <f t="shared" si="418"/>
        <v>0</v>
      </c>
      <c r="HW46" s="319" t="s">
        <v>291</v>
      </c>
      <c r="HX46" s="319" t="s">
        <v>178</v>
      </c>
      <c r="HY46" s="334" t="s">
        <v>292</v>
      </c>
      <c r="HZ46" s="327" t="s">
        <v>187</v>
      </c>
      <c r="IA46" s="322">
        <v>42.5</v>
      </c>
      <c r="IB46" s="323">
        <v>40000</v>
      </c>
      <c r="IC46" s="324">
        <f t="shared" si="419"/>
        <v>1700000</v>
      </c>
      <c r="ID46" s="108">
        <f t="shared" si="420"/>
        <v>1</v>
      </c>
      <c r="IE46" s="108">
        <f t="shared" si="421"/>
        <v>1</v>
      </c>
      <c r="IF46" s="108">
        <f t="shared" si="422"/>
        <v>1</v>
      </c>
      <c r="IG46" s="108">
        <f t="shared" si="423"/>
        <v>1</v>
      </c>
      <c r="IH46" s="108">
        <f t="shared" si="424"/>
        <v>1</v>
      </c>
      <c r="II46" s="108">
        <f t="shared" si="425"/>
        <v>1</v>
      </c>
      <c r="IJ46" s="108">
        <f t="shared" si="426"/>
        <v>1</v>
      </c>
      <c r="IK46" s="109">
        <f t="shared" si="427"/>
        <v>1700000</v>
      </c>
      <c r="IL46" s="110">
        <f t="shared" si="428"/>
        <v>0</v>
      </c>
    </row>
    <row r="47" spans="1:246" s="213" customFormat="1" ht="140.25" customHeight="1" x14ac:dyDescent="0.25">
      <c r="A47" s="211"/>
      <c r="B47" s="319" t="s">
        <v>293</v>
      </c>
      <c r="C47" s="319" t="s">
        <v>178</v>
      </c>
      <c r="D47" s="334" t="s">
        <v>294</v>
      </c>
      <c r="E47" s="327" t="s">
        <v>183</v>
      </c>
      <c r="F47" s="322">
        <v>42.5</v>
      </c>
      <c r="G47" s="323">
        <v>0</v>
      </c>
      <c r="H47" s="324">
        <f t="shared" si="292"/>
        <v>0</v>
      </c>
      <c r="J47" s="319" t="s">
        <v>293</v>
      </c>
      <c r="K47" s="319" t="s">
        <v>178</v>
      </c>
      <c r="L47" s="334" t="s">
        <v>294</v>
      </c>
      <c r="M47" s="327" t="s">
        <v>183</v>
      </c>
      <c r="N47" s="322">
        <v>42.5</v>
      </c>
      <c r="O47" s="323">
        <v>87248</v>
      </c>
      <c r="P47" s="324">
        <v>3708040</v>
      </c>
      <c r="Q47" s="108">
        <f t="shared" ref="Q47:Q70" si="447">IFERROR(IF(EXACT(VLOOKUP(J47,OFERTA_0,1,FALSE),J47),1,0),0)</f>
        <v>1</v>
      </c>
      <c r="R47" s="108">
        <f t="shared" ref="R47:R70" si="448">IFERROR(IF(EXACT(VLOOKUP(J47,OFERTA_0,3,FALSE),L47),1,0),0)</f>
        <v>1</v>
      </c>
      <c r="S47" s="108">
        <f t="shared" ref="S47:S70" si="449">IFERROR(IF(EXACT(VLOOKUP(J47,OFERTA_0,4,FALSE),M47),1,0),0)</f>
        <v>1</v>
      </c>
      <c r="T47" s="108">
        <f t="shared" ref="T47:T70" si="450">IFERROR(IF(EXACT(VLOOKUP(J47,OFERTA_0,5,FALSE),N47),1,0),0)</f>
        <v>1</v>
      </c>
      <c r="U47" s="108">
        <f t="shared" ref="U47:U70" si="451">IFERROR(IF(O47&lt;=0,0,1),0)</f>
        <v>1</v>
      </c>
      <c r="V47" s="108">
        <f t="shared" ref="V47:V70" si="452">IFERROR(IF(P47&lt;=0,0,1),0)</f>
        <v>1</v>
      </c>
      <c r="W47" s="108">
        <f t="shared" ref="W47:W70" si="453">PRODUCT(Q47:V47)</f>
        <v>1</v>
      </c>
      <c r="X47" s="109">
        <f t="shared" ref="X47:X70" si="454">ROUND(P47,0)</f>
        <v>3708040</v>
      </c>
      <c r="Y47" s="110">
        <f t="shared" ref="Y47:Y70" si="455">P47-X47</f>
        <v>0</v>
      </c>
      <c r="AA47" s="319" t="s">
        <v>293</v>
      </c>
      <c r="AB47" s="319" t="s">
        <v>178</v>
      </c>
      <c r="AC47" s="334" t="s">
        <v>294</v>
      </c>
      <c r="AD47" s="327" t="s">
        <v>183</v>
      </c>
      <c r="AE47" s="322">
        <v>42.5</v>
      </c>
      <c r="AF47" s="323">
        <v>225500</v>
      </c>
      <c r="AG47" s="324">
        <v>9583750</v>
      </c>
      <c r="AH47" s="108">
        <f t="shared" si="302"/>
        <v>1</v>
      </c>
      <c r="AI47" s="108">
        <f t="shared" si="303"/>
        <v>1</v>
      </c>
      <c r="AJ47" s="108">
        <f t="shared" si="304"/>
        <v>1</v>
      </c>
      <c r="AK47" s="108">
        <f t="shared" si="305"/>
        <v>1</v>
      </c>
      <c r="AL47" s="108">
        <f t="shared" si="306"/>
        <v>1</v>
      </c>
      <c r="AM47" s="108">
        <f t="shared" si="307"/>
        <v>1</v>
      </c>
      <c r="AN47" s="108">
        <f t="shared" si="308"/>
        <v>1</v>
      </c>
      <c r="AO47" s="109">
        <f t="shared" si="309"/>
        <v>9583750</v>
      </c>
      <c r="AP47" s="110">
        <f t="shared" si="310"/>
        <v>0</v>
      </c>
      <c r="AR47" s="319" t="s">
        <v>293</v>
      </c>
      <c r="AS47" s="319" t="s">
        <v>178</v>
      </c>
      <c r="AT47" s="334" t="s">
        <v>294</v>
      </c>
      <c r="AU47" s="327" t="s">
        <v>183</v>
      </c>
      <c r="AV47" s="322">
        <v>42.5</v>
      </c>
      <c r="AW47" s="323">
        <v>485000</v>
      </c>
      <c r="AX47" s="324">
        <v>20612500</v>
      </c>
      <c r="AY47" s="108">
        <f t="shared" si="311"/>
        <v>1</v>
      </c>
      <c r="AZ47" s="108">
        <f t="shared" si="312"/>
        <v>1</v>
      </c>
      <c r="BA47" s="108">
        <f t="shared" si="313"/>
        <v>1</v>
      </c>
      <c r="BB47" s="108">
        <f t="shared" si="314"/>
        <v>1</v>
      </c>
      <c r="BC47" s="108">
        <f t="shared" si="315"/>
        <v>1</v>
      </c>
      <c r="BD47" s="108">
        <f t="shared" si="316"/>
        <v>1</v>
      </c>
      <c r="BE47" s="108">
        <f t="shared" si="317"/>
        <v>1</v>
      </c>
      <c r="BF47" s="109">
        <f t="shared" si="318"/>
        <v>20612500</v>
      </c>
      <c r="BG47" s="110">
        <f t="shared" si="319"/>
        <v>0</v>
      </c>
      <c r="BI47" s="319" t="s">
        <v>293</v>
      </c>
      <c r="BJ47" s="319" t="s">
        <v>178</v>
      </c>
      <c r="BK47" s="334" t="s">
        <v>294</v>
      </c>
      <c r="BL47" s="327" t="s">
        <v>183</v>
      </c>
      <c r="BM47" s="322">
        <v>42.5</v>
      </c>
      <c r="BN47" s="323">
        <v>25102</v>
      </c>
      <c r="BO47" s="324">
        <f t="shared" si="320"/>
        <v>1066835</v>
      </c>
      <c r="BP47" s="108">
        <f t="shared" si="321"/>
        <v>1</v>
      </c>
      <c r="BQ47" s="108">
        <f t="shared" si="322"/>
        <v>1</v>
      </c>
      <c r="BR47" s="108">
        <f t="shared" si="323"/>
        <v>1</v>
      </c>
      <c r="BS47" s="108">
        <f t="shared" si="324"/>
        <v>1</v>
      </c>
      <c r="BT47" s="108">
        <f t="shared" si="325"/>
        <v>1</v>
      </c>
      <c r="BU47" s="108">
        <f t="shared" si="326"/>
        <v>1</v>
      </c>
      <c r="BV47" s="108">
        <f t="shared" si="327"/>
        <v>1</v>
      </c>
      <c r="BW47" s="109">
        <f t="shared" si="328"/>
        <v>1066835</v>
      </c>
      <c r="BX47" s="110">
        <f t="shared" si="329"/>
        <v>0</v>
      </c>
      <c r="BZ47" s="319" t="s">
        <v>293</v>
      </c>
      <c r="CA47" s="319" t="s">
        <v>178</v>
      </c>
      <c r="CB47" s="334" t="s">
        <v>294</v>
      </c>
      <c r="CC47" s="327" t="s">
        <v>183</v>
      </c>
      <c r="CD47" s="322">
        <v>42.5</v>
      </c>
      <c r="CE47" s="323">
        <f>60000*1.6</f>
        <v>96000</v>
      </c>
      <c r="CF47" s="324">
        <f t="shared" si="330"/>
        <v>4080000</v>
      </c>
      <c r="CG47" s="108">
        <f t="shared" si="331"/>
        <v>1</v>
      </c>
      <c r="CH47" s="108">
        <f t="shared" si="332"/>
        <v>1</v>
      </c>
      <c r="CI47" s="108">
        <f t="shared" si="333"/>
        <v>1</v>
      </c>
      <c r="CJ47" s="108">
        <f t="shared" si="334"/>
        <v>1</v>
      </c>
      <c r="CK47" s="108">
        <f t="shared" si="335"/>
        <v>1</v>
      </c>
      <c r="CL47" s="108">
        <f t="shared" si="336"/>
        <v>1</v>
      </c>
      <c r="CM47" s="108">
        <f t="shared" si="337"/>
        <v>1</v>
      </c>
      <c r="CN47" s="109">
        <f t="shared" si="338"/>
        <v>4080000</v>
      </c>
      <c r="CO47" s="110">
        <f t="shared" si="339"/>
        <v>0</v>
      </c>
      <c r="CQ47" s="319" t="s">
        <v>293</v>
      </c>
      <c r="CR47" s="319" t="s">
        <v>178</v>
      </c>
      <c r="CS47" s="334" t="s">
        <v>294</v>
      </c>
      <c r="CT47" s="327" t="s">
        <v>183</v>
      </c>
      <c r="CU47" s="322">
        <v>42.5</v>
      </c>
      <c r="CV47" s="323">
        <v>70000</v>
      </c>
      <c r="CW47" s="324">
        <f t="shared" si="340"/>
        <v>2975000</v>
      </c>
      <c r="CX47" s="108">
        <f t="shared" si="341"/>
        <v>1</v>
      </c>
      <c r="CY47" s="108">
        <f t="shared" si="342"/>
        <v>1</v>
      </c>
      <c r="CZ47" s="108">
        <f t="shared" si="343"/>
        <v>1</v>
      </c>
      <c r="DA47" s="108">
        <f t="shared" si="344"/>
        <v>1</v>
      </c>
      <c r="DB47" s="108">
        <f t="shared" si="345"/>
        <v>1</v>
      </c>
      <c r="DC47" s="108">
        <f t="shared" si="346"/>
        <v>1</v>
      </c>
      <c r="DD47" s="108">
        <f t="shared" si="347"/>
        <v>1</v>
      </c>
      <c r="DE47" s="109">
        <f t="shared" si="348"/>
        <v>2975000</v>
      </c>
      <c r="DF47" s="110">
        <f t="shared" si="349"/>
        <v>0</v>
      </c>
      <c r="DH47" s="319" t="s">
        <v>293</v>
      </c>
      <c r="DI47" s="319" t="s">
        <v>178</v>
      </c>
      <c r="DJ47" s="360" t="s">
        <v>294</v>
      </c>
      <c r="DK47" s="327" t="s">
        <v>183</v>
      </c>
      <c r="DL47" s="322">
        <v>42.5</v>
      </c>
      <c r="DM47" s="323">
        <v>7405</v>
      </c>
      <c r="DN47" s="324">
        <f t="shared" si="350"/>
        <v>314712.5</v>
      </c>
      <c r="DO47" s="108">
        <f t="shared" si="351"/>
        <v>1</v>
      </c>
      <c r="DP47" s="108">
        <f t="shared" si="352"/>
        <v>1</v>
      </c>
      <c r="DQ47" s="108">
        <f t="shared" si="353"/>
        <v>1</v>
      </c>
      <c r="DR47" s="108">
        <f t="shared" si="354"/>
        <v>1</v>
      </c>
      <c r="DS47" s="108">
        <f t="shared" si="355"/>
        <v>1</v>
      </c>
      <c r="DT47" s="108">
        <f t="shared" si="356"/>
        <v>1</v>
      </c>
      <c r="DU47" s="108">
        <f t="shared" si="357"/>
        <v>1</v>
      </c>
      <c r="DV47" s="109">
        <f t="shared" si="358"/>
        <v>314713</v>
      </c>
      <c r="DW47" s="110">
        <f t="shared" si="359"/>
        <v>-0.5</v>
      </c>
      <c r="DY47" s="319" t="s">
        <v>293</v>
      </c>
      <c r="DZ47" s="319" t="s">
        <v>178</v>
      </c>
      <c r="EA47" s="360" t="s">
        <v>294</v>
      </c>
      <c r="EB47" s="327" t="s">
        <v>183</v>
      </c>
      <c r="EC47" s="322">
        <v>42.5</v>
      </c>
      <c r="ED47" s="323">
        <v>50000</v>
      </c>
      <c r="EE47" s="324">
        <f t="shared" si="360"/>
        <v>2125000</v>
      </c>
      <c r="EF47" s="108">
        <f t="shared" si="361"/>
        <v>1</v>
      </c>
      <c r="EG47" s="108">
        <f t="shared" si="362"/>
        <v>1</v>
      </c>
      <c r="EH47" s="108">
        <f t="shared" si="363"/>
        <v>1</v>
      </c>
      <c r="EI47" s="108">
        <f t="shared" si="364"/>
        <v>1</v>
      </c>
      <c r="EJ47" s="108">
        <f t="shared" si="365"/>
        <v>1</v>
      </c>
      <c r="EK47" s="108">
        <f t="shared" si="366"/>
        <v>1</v>
      </c>
      <c r="EL47" s="108">
        <f t="shared" si="367"/>
        <v>1</v>
      </c>
      <c r="EM47" s="109">
        <f t="shared" si="368"/>
        <v>2125000</v>
      </c>
      <c r="EN47" s="110">
        <f t="shared" si="369"/>
        <v>0</v>
      </c>
      <c r="EP47" s="319" t="s">
        <v>293</v>
      </c>
      <c r="EQ47" s="319" t="s">
        <v>178</v>
      </c>
      <c r="ER47" s="334" t="s">
        <v>294</v>
      </c>
      <c r="ES47" s="327" t="s">
        <v>183</v>
      </c>
      <c r="ET47" s="322">
        <v>42.5</v>
      </c>
      <c r="EU47" s="323">
        <v>84000</v>
      </c>
      <c r="EV47" s="324">
        <f t="shared" si="370"/>
        <v>3570000</v>
      </c>
      <c r="EW47" s="108">
        <f t="shared" si="371"/>
        <v>1</v>
      </c>
      <c r="EX47" s="108">
        <f t="shared" si="372"/>
        <v>1</v>
      </c>
      <c r="EY47" s="108">
        <f t="shared" si="373"/>
        <v>1</v>
      </c>
      <c r="EZ47" s="108">
        <f t="shared" si="374"/>
        <v>1</v>
      </c>
      <c r="FA47" s="108">
        <f t="shared" si="375"/>
        <v>1</v>
      </c>
      <c r="FB47" s="108">
        <f t="shared" si="376"/>
        <v>1</v>
      </c>
      <c r="FC47" s="108">
        <f t="shared" si="377"/>
        <v>1</v>
      </c>
      <c r="FD47" s="109">
        <f t="shared" si="378"/>
        <v>3570000</v>
      </c>
      <c r="FE47" s="110">
        <f t="shared" si="379"/>
        <v>0</v>
      </c>
      <c r="FG47" s="319" t="s">
        <v>293</v>
      </c>
      <c r="FH47" s="319" t="s">
        <v>178</v>
      </c>
      <c r="FI47" s="360" t="s">
        <v>294</v>
      </c>
      <c r="FJ47" s="327" t="s">
        <v>183</v>
      </c>
      <c r="FK47" s="322">
        <v>42.5</v>
      </c>
      <c r="FL47" s="323">
        <v>7406</v>
      </c>
      <c r="FM47" s="324">
        <f t="shared" si="380"/>
        <v>314755</v>
      </c>
      <c r="FN47" s="108">
        <f t="shared" si="381"/>
        <v>1</v>
      </c>
      <c r="FO47" s="108">
        <f t="shared" si="382"/>
        <v>1</v>
      </c>
      <c r="FP47" s="108">
        <f t="shared" si="383"/>
        <v>1</v>
      </c>
      <c r="FQ47" s="108">
        <f t="shared" si="384"/>
        <v>1</v>
      </c>
      <c r="FR47" s="108">
        <f t="shared" si="385"/>
        <v>1</v>
      </c>
      <c r="FS47" s="108">
        <f t="shared" si="386"/>
        <v>1</v>
      </c>
      <c r="FT47" s="108">
        <f t="shared" si="387"/>
        <v>1</v>
      </c>
      <c r="FU47" s="109">
        <f t="shared" si="388"/>
        <v>314755</v>
      </c>
      <c r="FV47" s="110">
        <f t="shared" si="389"/>
        <v>0</v>
      </c>
      <c r="FX47" s="319" t="s">
        <v>293</v>
      </c>
      <c r="FY47" s="319" t="s">
        <v>178</v>
      </c>
      <c r="FZ47" s="334" t="s">
        <v>294</v>
      </c>
      <c r="GA47" s="327" t="s">
        <v>183</v>
      </c>
      <c r="GB47" s="322">
        <v>42.5</v>
      </c>
      <c r="GC47" s="323">
        <v>70000</v>
      </c>
      <c r="GD47" s="324">
        <f t="shared" si="390"/>
        <v>2975000</v>
      </c>
      <c r="GE47" s="108">
        <f t="shared" si="391"/>
        <v>1</v>
      </c>
      <c r="GF47" s="108">
        <f t="shared" si="392"/>
        <v>1</v>
      </c>
      <c r="GG47" s="108">
        <f t="shared" si="393"/>
        <v>1</v>
      </c>
      <c r="GH47" s="108">
        <f t="shared" si="394"/>
        <v>1</v>
      </c>
      <c r="GI47" s="108">
        <f t="shared" si="395"/>
        <v>1</v>
      </c>
      <c r="GJ47" s="108">
        <f t="shared" si="396"/>
        <v>1</v>
      </c>
      <c r="GK47" s="108">
        <f t="shared" si="397"/>
        <v>1</v>
      </c>
      <c r="GL47" s="109">
        <f t="shared" si="398"/>
        <v>2975000</v>
      </c>
      <c r="GM47" s="110">
        <f t="shared" si="399"/>
        <v>0</v>
      </c>
      <c r="GO47" s="319" t="s">
        <v>293</v>
      </c>
      <c r="GP47" s="319" t="s">
        <v>178</v>
      </c>
      <c r="GQ47" s="334" t="s">
        <v>294</v>
      </c>
      <c r="GR47" s="327" t="s">
        <v>183</v>
      </c>
      <c r="GS47" s="322">
        <v>42.5</v>
      </c>
      <c r="GT47" s="323">
        <v>165000</v>
      </c>
      <c r="GU47" s="324">
        <v>7012500</v>
      </c>
      <c r="GV47" s="108">
        <f t="shared" si="400"/>
        <v>1</v>
      </c>
      <c r="GW47" s="108">
        <f t="shared" si="401"/>
        <v>1</v>
      </c>
      <c r="GX47" s="108">
        <f t="shared" si="402"/>
        <v>1</v>
      </c>
      <c r="GY47" s="108">
        <f t="shared" si="403"/>
        <v>1</v>
      </c>
      <c r="GZ47" s="108">
        <f t="shared" si="404"/>
        <v>1</v>
      </c>
      <c r="HA47" s="108">
        <f t="shared" si="405"/>
        <v>1</v>
      </c>
      <c r="HB47" s="108">
        <f t="shared" si="406"/>
        <v>1</v>
      </c>
      <c r="HC47" s="109">
        <f t="shared" si="407"/>
        <v>7012500</v>
      </c>
      <c r="HD47" s="110">
        <f t="shared" si="408"/>
        <v>0</v>
      </c>
      <c r="HF47" s="319" t="s">
        <v>293</v>
      </c>
      <c r="HG47" s="319" t="s">
        <v>178</v>
      </c>
      <c r="HH47" s="334" t="s">
        <v>294</v>
      </c>
      <c r="HI47" s="327" t="s">
        <v>183</v>
      </c>
      <c r="HJ47" s="322">
        <v>42.5</v>
      </c>
      <c r="HK47" s="323">
        <v>120000</v>
      </c>
      <c r="HL47" s="324">
        <f t="shared" si="409"/>
        <v>5100000</v>
      </c>
      <c r="HM47" s="108">
        <f t="shared" si="410"/>
        <v>1</v>
      </c>
      <c r="HN47" s="108">
        <f t="shared" si="411"/>
        <v>1</v>
      </c>
      <c r="HO47" s="108">
        <f t="shared" si="412"/>
        <v>1</v>
      </c>
      <c r="HP47" s="108">
        <f t="shared" si="413"/>
        <v>1</v>
      </c>
      <c r="HQ47" s="108">
        <f t="shared" si="414"/>
        <v>1</v>
      </c>
      <c r="HR47" s="108">
        <f t="shared" si="415"/>
        <v>1</v>
      </c>
      <c r="HS47" s="108">
        <f t="shared" si="416"/>
        <v>1</v>
      </c>
      <c r="HT47" s="109">
        <f t="shared" si="417"/>
        <v>5100000</v>
      </c>
      <c r="HU47" s="110">
        <f t="shared" si="418"/>
        <v>0</v>
      </c>
      <c r="HW47" s="319" t="s">
        <v>293</v>
      </c>
      <c r="HX47" s="319" t="s">
        <v>178</v>
      </c>
      <c r="HY47" s="334" t="s">
        <v>294</v>
      </c>
      <c r="HZ47" s="327" t="s">
        <v>183</v>
      </c>
      <c r="IA47" s="322">
        <v>42.5</v>
      </c>
      <c r="IB47" s="323">
        <v>80000</v>
      </c>
      <c r="IC47" s="324">
        <f t="shared" si="419"/>
        <v>3400000</v>
      </c>
      <c r="ID47" s="108">
        <f t="shared" si="420"/>
        <v>1</v>
      </c>
      <c r="IE47" s="108">
        <f t="shared" si="421"/>
        <v>1</v>
      </c>
      <c r="IF47" s="108">
        <f t="shared" si="422"/>
        <v>1</v>
      </c>
      <c r="IG47" s="108">
        <f t="shared" si="423"/>
        <v>1</v>
      </c>
      <c r="IH47" s="108">
        <f t="shared" si="424"/>
        <v>1</v>
      </c>
      <c r="II47" s="108">
        <f t="shared" si="425"/>
        <v>1</v>
      </c>
      <c r="IJ47" s="108">
        <f t="shared" si="426"/>
        <v>1</v>
      </c>
      <c r="IK47" s="109">
        <f t="shared" si="427"/>
        <v>3400000</v>
      </c>
      <c r="IL47" s="110">
        <f t="shared" si="428"/>
        <v>0</v>
      </c>
    </row>
    <row r="48" spans="1:246" s="213" customFormat="1" ht="111.75" customHeight="1" x14ac:dyDescent="0.25">
      <c r="A48" s="211"/>
      <c r="B48" s="319" t="s">
        <v>295</v>
      </c>
      <c r="C48" s="319" t="s">
        <v>180</v>
      </c>
      <c r="D48" s="334" t="s">
        <v>296</v>
      </c>
      <c r="E48" s="327" t="s">
        <v>179</v>
      </c>
      <c r="F48" s="322">
        <v>358.7</v>
      </c>
      <c r="G48" s="323">
        <v>0</v>
      </c>
      <c r="H48" s="324">
        <f t="shared" si="292"/>
        <v>0</v>
      </c>
      <c r="J48" s="319" t="s">
        <v>295</v>
      </c>
      <c r="K48" s="319" t="s">
        <v>180</v>
      </c>
      <c r="L48" s="334" t="s">
        <v>296</v>
      </c>
      <c r="M48" s="327" t="s">
        <v>179</v>
      </c>
      <c r="N48" s="322">
        <v>358.7</v>
      </c>
      <c r="O48" s="323">
        <v>9011</v>
      </c>
      <c r="P48" s="324">
        <v>3232246</v>
      </c>
      <c r="Q48" s="108">
        <f t="shared" si="447"/>
        <v>1</v>
      </c>
      <c r="R48" s="108">
        <f t="shared" si="448"/>
        <v>1</v>
      </c>
      <c r="S48" s="108">
        <f t="shared" si="449"/>
        <v>1</v>
      </c>
      <c r="T48" s="108">
        <f t="shared" si="450"/>
        <v>1</v>
      </c>
      <c r="U48" s="108">
        <f t="shared" si="451"/>
        <v>1</v>
      </c>
      <c r="V48" s="108">
        <f t="shared" si="452"/>
        <v>1</v>
      </c>
      <c r="W48" s="108">
        <f t="shared" si="453"/>
        <v>1</v>
      </c>
      <c r="X48" s="109">
        <f t="shared" si="454"/>
        <v>3232246</v>
      </c>
      <c r="Y48" s="110">
        <f t="shared" si="455"/>
        <v>0</v>
      </c>
      <c r="AA48" s="319" t="s">
        <v>295</v>
      </c>
      <c r="AB48" s="319" t="s">
        <v>180</v>
      </c>
      <c r="AC48" s="334" t="s">
        <v>296</v>
      </c>
      <c r="AD48" s="327" t="s">
        <v>179</v>
      </c>
      <c r="AE48" s="322">
        <v>358.7</v>
      </c>
      <c r="AF48" s="323">
        <v>18500</v>
      </c>
      <c r="AG48" s="324">
        <v>6635950</v>
      </c>
      <c r="AH48" s="108">
        <f t="shared" si="302"/>
        <v>1</v>
      </c>
      <c r="AI48" s="108">
        <f t="shared" si="303"/>
        <v>1</v>
      </c>
      <c r="AJ48" s="108">
        <f t="shared" si="304"/>
        <v>1</v>
      </c>
      <c r="AK48" s="108">
        <f t="shared" si="305"/>
        <v>1</v>
      </c>
      <c r="AL48" s="108">
        <f t="shared" si="306"/>
        <v>1</v>
      </c>
      <c r="AM48" s="108">
        <f t="shared" si="307"/>
        <v>1</v>
      </c>
      <c r="AN48" s="108">
        <f t="shared" si="308"/>
        <v>1</v>
      </c>
      <c r="AO48" s="109">
        <f t="shared" si="309"/>
        <v>6635950</v>
      </c>
      <c r="AP48" s="110">
        <f t="shared" si="310"/>
        <v>0</v>
      </c>
      <c r="AR48" s="319" t="s">
        <v>295</v>
      </c>
      <c r="AS48" s="319" t="s">
        <v>180</v>
      </c>
      <c r="AT48" s="334" t="s">
        <v>296</v>
      </c>
      <c r="AU48" s="327" t="s">
        <v>179</v>
      </c>
      <c r="AV48" s="322">
        <v>358.7</v>
      </c>
      <c r="AW48" s="323">
        <v>10670</v>
      </c>
      <c r="AX48" s="324">
        <v>3827329</v>
      </c>
      <c r="AY48" s="108">
        <f t="shared" si="311"/>
        <v>1</v>
      </c>
      <c r="AZ48" s="108">
        <f t="shared" si="312"/>
        <v>1</v>
      </c>
      <c r="BA48" s="108">
        <f t="shared" si="313"/>
        <v>1</v>
      </c>
      <c r="BB48" s="108">
        <f t="shared" si="314"/>
        <v>1</v>
      </c>
      <c r="BC48" s="108">
        <f t="shared" si="315"/>
        <v>1</v>
      </c>
      <c r="BD48" s="108">
        <f t="shared" si="316"/>
        <v>1</v>
      </c>
      <c r="BE48" s="108">
        <f t="shared" si="317"/>
        <v>1</v>
      </c>
      <c r="BF48" s="109">
        <f t="shared" si="318"/>
        <v>3827329</v>
      </c>
      <c r="BG48" s="110">
        <f t="shared" si="319"/>
        <v>0</v>
      </c>
      <c r="BI48" s="319" t="s">
        <v>295</v>
      </c>
      <c r="BJ48" s="319" t="s">
        <v>180</v>
      </c>
      <c r="BK48" s="334" t="s">
        <v>296</v>
      </c>
      <c r="BL48" s="327" t="s">
        <v>179</v>
      </c>
      <c r="BM48" s="322">
        <v>358.7</v>
      </c>
      <c r="BN48" s="323">
        <v>20000</v>
      </c>
      <c r="BO48" s="324">
        <f t="shared" si="320"/>
        <v>7174000</v>
      </c>
      <c r="BP48" s="108">
        <f t="shared" si="321"/>
        <v>1</v>
      </c>
      <c r="BQ48" s="108">
        <f t="shared" si="322"/>
        <v>1</v>
      </c>
      <c r="BR48" s="108">
        <f t="shared" si="323"/>
        <v>1</v>
      </c>
      <c r="BS48" s="108">
        <f t="shared" si="324"/>
        <v>1</v>
      </c>
      <c r="BT48" s="108">
        <f t="shared" si="325"/>
        <v>1</v>
      </c>
      <c r="BU48" s="108">
        <f t="shared" si="326"/>
        <v>1</v>
      </c>
      <c r="BV48" s="108">
        <f t="shared" si="327"/>
        <v>1</v>
      </c>
      <c r="BW48" s="109">
        <f t="shared" si="328"/>
        <v>7174000</v>
      </c>
      <c r="BX48" s="110">
        <f t="shared" si="329"/>
        <v>0</v>
      </c>
      <c r="BZ48" s="319" t="s">
        <v>295</v>
      </c>
      <c r="CA48" s="319" t="s">
        <v>180</v>
      </c>
      <c r="CB48" s="334" t="s">
        <v>296</v>
      </c>
      <c r="CC48" s="327" t="s">
        <v>179</v>
      </c>
      <c r="CD48" s="322">
        <v>358.7</v>
      </c>
      <c r="CE48" s="323">
        <v>11000</v>
      </c>
      <c r="CF48" s="324">
        <f t="shared" si="330"/>
        <v>3945700</v>
      </c>
      <c r="CG48" s="108">
        <f t="shared" si="331"/>
        <v>1</v>
      </c>
      <c r="CH48" s="108">
        <f t="shared" si="332"/>
        <v>1</v>
      </c>
      <c r="CI48" s="108">
        <f t="shared" si="333"/>
        <v>1</v>
      </c>
      <c r="CJ48" s="108">
        <f t="shared" si="334"/>
        <v>1</v>
      </c>
      <c r="CK48" s="108">
        <f t="shared" si="335"/>
        <v>1</v>
      </c>
      <c r="CL48" s="108">
        <f t="shared" si="336"/>
        <v>1</v>
      </c>
      <c r="CM48" s="108">
        <f t="shared" si="337"/>
        <v>1</v>
      </c>
      <c r="CN48" s="109">
        <f t="shared" si="338"/>
        <v>3945700</v>
      </c>
      <c r="CO48" s="110">
        <f t="shared" si="339"/>
        <v>0</v>
      </c>
      <c r="CQ48" s="319" t="s">
        <v>295</v>
      </c>
      <c r="CR48" s="319" t="s">
        <v>180</v>
      </c>
      <c r="CS48" s="334" t="s">
        <v>296</v>
      </c>
      <c r="CT48" s="327" t="s">
        <v>179</v>
      </c>
      <c r="CU48" s="322">
        <v>358.7</v>
      </c>
      <c r="CV48" s="323">
        <v>12500</v>
      </c>
      <c r="CW48" s="324">
        <f t="shared" si="340"/>
        <v>4483750</v>
      </c>
      <c r="CX48" s="108">
        <f t="shared" si="341"/>
        <v>1</v>
      </c>
      <c r="CY48" s="108">
        <f t="shared" si="342"/>
        <v>1</v>
      </c>
      <c r="CZ48" s="108">
        <f t="shared" si="343"/>
        <v>1</v>
      </c>
      <c r="DA48" s="108">
        <f t="shared" si="344"/>
        <v>1</v>
      </c>
      <c r="DB48" s="108">
        <f t="shared" si="345"/>
        <v>1</v>
      </c>
      <c r="DC48" s="108">
        <f t="shared" si="346"/>
        <v>1</v>
      </c>
      <c r="DD48" s="108">
        <f t="shared" si="347"/>
        <v>1</v>
      </c>
      <c r="DE48" s="109">
        <f t="shared" si="348"/>
        <v>4483750</v>
      </c>
      <c r="DF48" s="110">
        <f t="shared" si="349"/>
        <v>0</v>
      </c>
      <c r="DH48" s="319" t="s">
        <v>295</v>
      </c>
      <c r="DI48" s="319" t="s">
        <v>180</v>
      </c>
      <c r="DJ48" s="360" t="s">
        <v>296</v>
      </c>
      <c r="DK48" s="327" t="s">
        <v>179</v>
      </c>
      <c r="DL48" s="322">
        <v>358.7</v>
      </c>
      <c r="DM48" s="323">
        <v>1477</v>
      </c>
      <c r="DN48" s="324">
        <f t="shared" si="350"/>
        <v>529799.9</v>
      </c>
      <c r="DO48" s="108">
        <f t="shared" si="351"/>
        <v>1</v>
      </c>
      <c r="DP48" s="108">
        <f t="shared" si="352"/>
        <v>1</v>
      </c>
      <c r="DQ48" s="108">
        <f t="shared" si="353"/>
        <v>1</v>
      </c>
      <c r="DR48" s="108">
        <f t="shared" si="354"/>
        <v>1</v>
      </c>
      <c r="DS48" s="108">
        <f t="shared" si="355"/>
        <v>1</v>
      </c>
      <c r="DT48" s="108">
        <f t="shared" si="356"/>
        <v>1</v>
      </c>
      <c r="DU48" s="108">
        <f t="shared" si="357"/>
        <v>1</v>
      </c>
      <c r="DV48" s="109">
        <f t="shared" si="358"/>
        <v>529800</v>
      </c>
      <c r="DW48" s="110">
        <f t="shared" si="359"/>
        <v>-9.9999999976716936E-2</v>
      </c>
      <c r="DY48" s="319" t="s">
        <v>295</v>
      </c>
      <c r="DZ48" s="319" t="s">
        <v>180</v>
      </c>
      <c r="EA48" s="360" t="s">
        <v>296</v>
      </c>
      <c r="EB48" s="327" t="s">
        <v>179</v>
      </c>
      <c r="EC48" s="322">
        <v>358.7</v>
      </c>
      <c r="ED48" s="323">
        <v>4500</v>
      </c>
      <c r="EE48" s="324">
        <f t="shared" si="360"/>
        <v>1614150</v>
      </c>
      <c r="EF48" s="108">
        <f t="shared" si="361"/>
        <v>1</v>
      </c>
      <c r="EG48" s="108">
        <f t="shared" si="362"/>
        <v>1</v>
      </c>
      <c r="EH48" s="108">
        <f t="shared" si="363"/>
        <v>1</v>
      </c>
      <c r="EI48" s="108">
        <f t="shared" si="364"/>
        <v>1</v>
      </c>
      <c r="EJ48" s="108">
        <f t="shared" si="365"/>
        <v>1</v>
      </c>
      <c r="EK48" s="108">
        <f t="shared" si="366"/>
        <v>1</v>
      </c>
      <c r="EL48" s="108">
        <f t="shared" si="367"/>
        <v>1</v>
      </c>
      <c r="EM48" s="109">
        <f t="shared" si="368"/>
        <v>1614150</v>
      </c>
      <c r="EN48" s="110">
        <f t="shared" si="369"/>
        <v>0</v>
      </c>
      <c r="EP48" s="319" t="s">
        <v>295</v>
      </c>
      <c r="EQ48" s="319" t="s">
        <v>180</v>
      </c>
      <c r="ER48" s="334" t="s">
        <v>296</v>
      </c>
      <c r="ES48" s="327" t="s">
        <v>179</v>
      </c>
      <c r="ET48" s="322">
        <v>358.7</v>
      </c>
      <c r="EU48" s="323">
        <v>16000</v>
      </c>
      <c r="EV48" s="324">
        <f t="shared" si="370"/>
        <v>5739200</v>
      </c>
      <c r="EW48" s="108">
        <f t="shared" si="371"/>
        <v>1</v>
      </c>
      <c r="EX48" s="108">
        <f t="shared" si="372"/>
        <v>1</v>
      </c>
      <c r="EY48" s="108">
        <f t="shared" si="373"/>
        <v>1</v>
      </c>
      <c r="EZ48" s="108">
        <f t="shared" si="374"/>
        <v>1</v>
      </c>
      <c r="FA48" s="108">
        <f t="shared" si="375"/>
        <v>1</v>
      </c>
      <c r="FB48" s="108">
        <f t="shared" si="376"/>
        <v>1</v>
      </c>
      <c r="FC48" s="108">
        <f t="shared" si="377"/>
        <v>1</v>
      </c>
      <c r="FD48" s="109">
        <f t="shared" si="378"/>
        <v>5739200</v>
      </c>
      <c r="FE48" s="110">
        <f t="shared" si="379"/>
        <v>0</v>
      </c>
      <c r="FG48" s="319" t="s">
        <v>295</v>
      </c>
      <c r="FH48" s="319" t="s">
        <v>180</v>
      </c>
      <c r="FI48" s="360" t="s">
        <v>296</v>
      </c>
      <c r="FJ48" s="327" t="s">
        <v>179</v>
      </c>
      <c r="FK48" s="322">
        <v>358.7</v>
      </c>
      <c r="FL48" s="323">
        <v>1480</v>
      </c>
      <c r="FM48" s="324">
        <f t="shared" si="380"/>
        <v>530876</v>
      </c>
      <c r="FN48" s="108">
        <f t="shared" si="381"/>
        <v>1</v>
      </c>
      <c r="FO48" s="108">
        <f t="shared" si="382"/>
        <v>1</v>
      </c>
      <c r="FP48" s="108">
        <f t="shared" si="383"/>
        <v>1</v>
      </c>
      <c r="FQ48" s="108">
        <f t="shared" si="384"/>
        <v>1</v>
      </c>
      <c r="FR48" s="108">
        <f t="shared" si="385"/>
        <v>1</v>
      </c>
      <c r="FS48" s="108">
        <f t="shared" si="386"/>
        <v>1</v>
      </c>
      <c r="FT48" s="108">
        <f t="shared" si="387"/>
        <v>1</v>
      </c>
      <c r="FU48" s="109">
        <f t="shared" si="388"/>
        <v>530876</v>
      </c>
      <c r="FV48" s="110">
        <f t="shared" si="389"/>
        <v>0</v>
      </c>
      <c r="FX48" s="319" t="s">
        <v>295</v>
      </c>
      <c r="FY48" s="319" t="s">
        <v>180</v>
      </c>
      <c r="FZ48" s="334" t="s">
        <v>296</v>
      </c>
      <c r="GA48" s="327" t="s">
        <v>179</v>
      </c>
      <c r="GB48" s="322">
        <v>358.7</v>
      </c>
      <c r="GC48" s="323">
        <v>11000</v>
      </c>
      <c r="GD48" s="324">
        <f t="shared" si="390"/>
        <v>3945700</v>
      </c>
      <c r="GE48" s="108">
        <f t="shared" si="391"/>
        <v>1</v>
      </c>
      <c r="GF48" s="108">
        <f t="shared" si="392"/>
        <v>1</v>
      </c>
      <c r="GG48" s="108">
        <f t="shared" si="393"/>
        <v>1</v>
      </c>
      <c r="GH48" s="108">
        <f t="shared" si="394"/>
        <v>1</v>
      </c>
      <c r="GI48" s="108">
        <f t="shared" si="395"/>
        <v>1</v>
      </c>
      <c r="GJ48" s="108">
        <f t="shared" si="396"/>
        <v>1</v>
      </c>
      <c r="GK48" s="108">
        <f t="shared" si="397"/>
        <v>1</v>
      </c>
      <c r="GL48" s="109">
        <f t="shared" si="398"/>
        <v>3945700</v>
      </c>
      <c r="GM48" s="110">
        <f t="shared" si="399"/>
        <v>0</v>
      </c>
      <c r="GO48" s="319" t="s">
        <v>295</v>
      </c>
      <c r="GP48" s="319" t="s">
        <v>180</v>
      </c>
      <c r="GQ48" s="334" t="s">
        <v>296</v>
      </c>
      <c r="GR48" s="327" t="s">
        <v>179</v>
      </c>
      <c r="GS48" s="322">
        <v>358.7</v>
      </c>
      <c r="GT48" s="323">
        <v>10000</v>
      </c>
      <c r="GU48" s="324">
        <v>3587000</v>
      </c>
      <c r="GV48" s="108">
        <f t="shared" si="400"/>
        <v>1</v>
      </c>
      <c r="GW48" s="108">
        <f t="shared" si="401"/>
        <v>1</v>
      </c>
      <c r="GX48" s="108">
        <f t="shared" si="402"/>
        <v>1</v>
      </c>
      <c r="GY48" s="108">
        <f t="shared" si="403"/>
        <v>1</v>
      </c>
      <c r="GZ48" s="108">
        <f t="shared" si="404"/>
        <v>1</v>
      </c>
      <c r="HA48" s="108">
        <f t="shared" si="405"/>
        <v>1</v>
      </c>
      <c r="HB48" s="108">
        <f t="shared" si="406"/>
        <v>1</v>
      </c>
      <c r="HC48" s="109">
        <f t="shared" si="407"/>
        <v>3587000</v>
      </c>
      <c r="HD48" s="110">
        <f t="shared" si="408"/>
        <v>0</v>
      </c>
      <c r="HF48" s="319" t="s">
        <v>295</v>
      </c>
      <c r="HG48" s="319" t="s">
        <v>180</v>
      </c>
      <c r="HH48" s="334" t="s">
        <v>296</v>
      </c>
      <c r="HI48" s="327" t="s">
        <v>179</v>
      </c>
      <c r="HJ48" s="322">
        <v>358.7</v>
      </c>
      <c r="HK48" s="323">
        <v>13000</v>
      </c>
      <c r="HL48" s="324">
        <f t="shared" si="409"/>
        <v>4663100</v>
      </c>
      <c r="HM48" s="108">
        <f t="shared" si="410"/>
        <v>1</v>
      </c>
      <c r="HN48" s="108">
        <f t="shared" si="411"/>
        <v>1</v>
      </c>
      <c r="HO48" s="108">
        <f t="shared" si="412"/>
        <v>1</v>
      </c>
      <c r="HP48" s="108">
        <f t="shared" si="413"/>
        <v>1</v>
      </c>
      <c r="HQ48" s="108">
        <f t="shared" si="414"/>
        <v>1</v>
      </c>
      <c r="HR48" s="108">
        <f t="shared" si="415"/>
        <v>1</v>
      </c>
      <c r="HS48" s="108">
        <f t="shared" si="416"/>
        <v>1</v>
      </c>
      <c r="HT48" s="109">
        <f t="shared" si="417"/>
        <v>4663100</v>
      </c>
      <c r="HU48" s="110">
        <f t="shared" si="418"/>
        <v>0</v>
      </c>
      <c r="HW48" s="319" t="s">
        <v>295</v>
      </c>
      <c r="HX48" s="319" t="s">
        <v>180</v>
      </c>
      <c r="HY48" s="334" t="s">
        <v>296</v>
      </c>
      <c r="HZ48" s="327" t="s">
        <v>179</v>
      </c>
      <c r="IA48" s="322">
        <v>358.7</v>
      </c>
      <c r="IB48" s="323">
        <v>9000</v>
      </c>
      <c r="IC48" s="324">
        <f t="shared" si="419"/>
        <v>3228300</v>
      </c>
      <c r="ID48" s="108">
        <f t="shared" si="420"/>
        <v>1</v>
      </c>
      <c r="IE48" s="108">
        <f t="shared" si="421"/>
        <v>1</v>
      </c>
      <c r="IF48" s="108">
        <f t="shared" si="422"/>
        <v>1</v>
      </c>
      <c r="IG48" s="108">
        <f t="shared" si="423"/>
        <v>1</v>
      </c>
      <c r="IH48" s="108">
        <f t="shared" si="424"/>
        <v>1</v>
      </c>
      <c r="II48" s="108">
        <f t="shared" si="425"/>
        <v>1</v>
      </c>
      <c r="IJ48" s="108">
        <f t="shared" si="426"/>
        <v>1</v>
      </c>
      <c r="IK48" s="109">
        <f t="shared" si="427"/>
        <v>3228300</v>
      </c>
      <c r="IL48" s="110">
        <f t="shared" si="428"/>
        <v>0</v>
      </c>
    </row>
    <row r="49" spans="1:246" s="213" customFormat="1" ht="29.25" customHeight="1" x14ac:dyDescent="0.25">
      <c r="A49" s="211"/>
      <c r="B49" s="335" t="s">
        <v>189</v>
      </c>
      <c r="C49" s="335"/>
      <c r="D49" s="318" t="s">
        <v>297</v>
      </c>
      <c r="E49" s="329"/>
      <c r="F49" s="330">
        <v>0</v>
      </c>
      <c r="G49" s="329"/>
      <c r="H49" s="329"/>
      <c r="J49" s="335" t="s">
        <v>189</v>
      </c>
      <c r="K49" s="335"/>
      <c r="L49" s="318" t="s">
        <v>297</v>
      </c>
      <c r="M49" s="329"/>
      <c r="N49" s="330">
        <v>0</v>
      </c>
      <c r="O49" s="329"/>
      <c r="P49" s="329"/>
      <c r="Q49" s="547"/>
      <c r="R49" s="548"/>
      <c r="S49" s="548"/>
      <c r="T49" s="548"/>
      <c r="U49" s="548"/>
      <c r="V49" s="548"/>
      <c r="W49" s="548"/>
      <c r="X49" s="548"/>
      <c r="Y49" s="549"/>
      <c r="AA49" s="335" t="s">
        <v>189</v>
      </c>
      <c r="AB49" s="335"/>
      <c r="AC49" s="318" t="s">
        <v>297</v>
      </c>
      <c r="AD49" s="329"/>
      <c r="AE49" s="330">
        <v>0</v>
      </c>
      <c r="AF49" s="329"/>
      <c r="AG49" s="329"/>
      <c r="AH49" s="547"/>
      <c r="AI49" s="548"/>
      <c r="AJ49" s="548"/>
      <c r="AK49" s="548"/>
      <c r="AL49" s="548"/>
      <c r="AM49" s="548"/>
      <c r="AN49" s="548"/>
      <c r="AO49" s="548"/>
      <c r="AP49" s="549"/>
      <c r="AR49" s="335" t="s">
        <v>189</v>
      </c>
      <c r="AS49" s="335"/>
      <c r="AT49" s="318" t="s">
        <v>297</v>
      </c>
      <c r="AU49" s="329"/>
      <c r="AV49" s="330">
        <v>0</v>
      </c>
      <c r="AW49" s="329">
        <v>0</v>
      </c>
      <c r="AX49" s="329"/>
      <c r="AY49" s="547"/>
      <c r="AZ49" s="548"/>
      <c r="BA49" s="548"/>
      <c r="BB49" s="548"/>
      <c r="BC49" s="548"/>
      <c r="BD49" s="548"/>
      <c r="BE49" s="548"/>
      <c r="BF49" s="548"/>
      <c r="BG49" s="549"/>
      <c r="BI49" s="335" t="s">
        <v>189</v>
      </c>
      <c r="BJ49" s="335"/>
      <c r="BK49" s="318" t="s">
        <v>297</v>
      </c>
      <c r="BL49" s="329"/>
      <c r="BM49" s="330">
        <v>0</v>
      </c>
      <c r="BN49" s="329"/>
      <c r="BO49" s="329"/>
      <c r="BP49" s="547"/>
      <c r="BQ49" s="548"/>
      <c r="BR49" s="548"/>
      <c r="BS49" s="548"/>
      <c r="BT49" s="548"/>
      <c r="BU49" s="548"/>
      <c r="BV49" s="548"/>
      <c r="BW49" s="548"/>
      <c r="BX49" s="549"/>
      <c r="BZ49" s="335" t="s">
        <v>189</v>
      </c>
      <c r="CA49" s="335"/>
      <c r="CB49" s="333" t="s">
        <v>297</v>
      </c>
      <c r="CC49" s="329"/>
      <c r="CD49" s="330">
        <v>0</v>
      </c>
      <c r="CE49" s="329"/>
      <c r="CF49" s="329"/>
      <c r="CG49" s="547"/>
      <c r="CH49" s="548"/>
      <c r="CI49" s="548"/>
      <c r="CJ49" s="548"/>
      <c r="CK49" s="548"/>
      <c r="CL49" s="548"/>
      <c r="CM49" s="548"/>
      <c r="CN49" s="548"/>
      <c r="CO49" s="549"/>
      <c r="CQ49" s="335" t="s">
        <v>189</v>
      </c>
      <c r="CR49" s="335"/>
      <c r="CS49" s="318" t="s">
        <v>297</v>
      </c>
      <c r="CT49" s="329"/>
      <c r="CU49" s="330">
        <v>0</v>
      </c>
      <c r="CV49" s="329"/>
      <c r="CW49" s="329"/>
      <c r="CX49" s="547"/>
      <c r="CY49" s="548"/>
      <c r="CZ49" s="548"/>
      <c r="DA49" s="548"/>
      <c r="DB49" s="548"/>
      <c r="DC49" s="548"/>
      <c r="DD49" s="548"/>
      <c r="DE49" s="548"/>
      <c r="DF49" s="549"/>
      <c r="DH49" s="335" t="s">
        <v>189</v>
      </c>
      <c r="DI49" s="335"/>
      <c r="DJ49" s="318" t="s">
        <v>297</v>
      </c>
      <c r="DK49" s="329"/>
      <c r="DL49" s="330">
        <v>0</v>
      </c>
      <c r="DM49" s="329"/>
      <c r="DN49" s="329"/>
      <c r="DO49" s="547"/>
      <c r="DP49" s="548"/>
      <c r="DQ49" s="548"/>
      <c r="DR49" s="548"/>
      <c r="DS49" s="548"/>
      <c r="DT49" s="548"/>
      <c r="DU49" s="548"/>
      <c r="DV49" s="548"/>
      <c r="DW49" s="549"/>
      <c r="DY49" s="335" t="s">
        <v>189</v>
      </c>
      <c r="DZ49" s="335"/>
      <c r="EA49" s="318" t="s">
        <v>297</v>
      </c>
      <c r="EB49" s="329"/>
      <c r="EC49" s="330">
        <v>0</v>
      </c>
      <c r="ED49" s="329"/>
      <c r="EE49" s="329"/>
      <c r="EF49" s="547"/>
      <c r="EG49" s="548"/>
      <c r="EH49" s="548"/>
      <c r="EI49" s="548"/>
      <c r="EJ49" s="548"/>
      <c r="EK49" s="548"/>
      <c r="EL49" s="548"/>
      <c r="EM49" s="548"/>
      <c r="EN49" s="549"/>
      <c r="EP49" s="335" t="s">
        <v>189</v>
      </c>
      <c r="EQ49" s="335"/>
      <c r="ER49" s="318" t="s">
        <v>297</v>
      </c>
      <c r="ES49" s="329"/>
      <c r="ET49" s="330">
        <v>0</v>
      </c>
      <c r="EU49" s="329"/>
      <c r="EV49" s="329"/>
      <c r="EW49" s="547"/>
      <c r="EX49" s="548"/>
      <c r="EY49" s="548"/>
      <c r="EZ49" s="548"/>
      <c r="FA49" s="548"/>
      <c r="FB49" s="548"/>
      <c r="FC49" s="548"/>
      <c r="FD49" s="548"/>
      <c r="FE49" s="549"/>
      <c r="FG49" s="335" t="s">
        <v>189</v>
      </c>
      <c r="FH49" s="335"/>
      <c r="FI49" s="318" t="s">
        <v>297</v>
      </c>
      <c r="FJ49" s="329"/>
      <c r="FK49" s="330">
        <v>0</v>
      </c>
      <c r="FL49" s="329"/>
      <c r="FM49" s="329"/>
      <c r="FN49" s="547"/>
      <c r="FO49" s="548"/>
      <c r="FP49" s="548"/>
      <c r="FQ49" s="548"/>
      <c r="FR49" s="548"/>
      <c r="FS49" s="548"/>
      <c r="FT49" s="548"/>
      <c r="FU49" s="548"/>
      <c r="FV49" s="549"/>
      <c r="FX49" s="335" t="s">
        <v>189</v>
      </c>
      <c r="FY49" s="335"/>
      <c r="FZ49" s="318" t="s">
        <v>297</v>
      </c>
      <c r="GA49" s="329"/>
      <c r="GB49" s="330">
        <v>0</v>
      </c>
      <c r="GC49" s="329"/>
      <c r="GD49" s="329"/>
      <c r="GE49" s="547"/>
      <c r="GF49" s="548"/>
      <c r="GG49" s="548"/>
      <c r="GH49" s="548"/>
      <c r="GI49" s="548"/>
      <c r="GJ49" s="548"/>
      <c r="GK49" s="548"/>
      <c r="GL49" s="548"/>
      <c r="GM49" s="549"/>
      <c r="GO49" s="335" t="s">
        <v>189</v>
      </c>
      <c r="GP49" s="335"/>
      <c r="GQ49" s="318" t="s">
        <v>297</v>
      </c>
      <c r="GR49" s="329"/>
      <c r="GS49" s="330">
        <v>0</v>
      </c>
      <c r="GT49" s="329"/>
      <c r="GU49" s="329"/>
      <c r="GV49" s="547"/>
      <c r="GW49" s="548"/>
      <c r="GX49" s="548"/>
      <c r="GY49" s="548"/>
      <c r="GZ49" s="548"/>
      <c r="HA49" s="548"/>
      <c r="HB49" s="548"/>
      <c r="HC49" s="548"/>
      <c r="HD49" s="549"/>
      <c r="HF49" s="335" t="s">
        <v>189</v>
      </c>
      <c r="HG49" s="335"/>
      <c r="HH49" s="318" t="s">
        <v>297</v>
      </c>
      <c r="HI49" s="329"/>
      <c r="HJ49" s="330">
        <v>0</v>
      </c>
      <c r="HK49" s="329"/>
      <c r="HL49" s="329"/>
      <c r="HM49" s="547"/>
      <c r="HN49" s="548"/>
      <c r="HO49" s="548"/>
      <c r="HP49" s="548"/>
      <c r="HQ49" s="548"/>
      <c r="HR49" s="548"/>
      <c r="HS49" s="548"/>
      <c r="HT49" s="548"/>
      <c r="HU49" s="549"/>
      <c r="HW49" s="335" t="s">
        <v>189</v>
      </c>
      <c r="HX49" s="335"/>
      <c r="HY49" s="318" t="s">
        <v>297</v>
      </c>
      <c r="HZ49" s="329"/>
      <c r="IA49" s="330">
        <v>0</v>
      </c>
      <c r="IB49" s="329"/>
      <c r="IC49" s="329"/>
      <c r="ID49" s="547"/>
      <c r="IE49" s="548"/>
      <c r="IF49" s="548"/>
      <c r="IG49" s="548"/>
      <c r="IH49" s="548"/>
      <c r="II49" s="548"/>
      <c r="IJ49" s="548"/>
      <c r="IK49" s="548"/>
      <c r="IL49" s="549"/>
    </row>
    <row r="50" spans="1:246" s="213" customFormat="1" ht="89.25" customHeight="1" x14ac:dyDescent="0.25">
      <c r="A50" s="211"/>
      <c r="B50" s="319">
        <v>4.0999999999999996</v>
      </c>
      <c r="C50" s="319" t="s">
        <v>178</v>
      </c>
      <c r="D50" s="334" t="s">
        <v>298</v>
      </c>
      <c r="E50" s="321" t="s">
        <v>184</v>
      </c>
      <c r="F50" s="325">
        <v>425</v>
      </c>
      <c r="G50" s="323">
        <v>0</v>
      </c>
      <c r="H50" s="324">
        <f t="shared" ref="H50:H56" si="456">G50*F50</f>
        <v>0</v>
      </c>
      <c r="J50" s="319">
        <v>4.0999999999999996</v>
      </c>
      <c r="K50" s="319" t="s">
        <v>178</v>
      </c>
      <c r="L50" s="334" t="s">
        <v>298</v>
      </c>
      <c r="M50" s="321" t="s">
        <v>184</v>
      </c>
      <c r="N50" s="325">
        <v>425</v>
      </c>
      <c r="O50" s="323">
        <v>15180</v>
      </c>
      <c r="P50" s="324">
        <v>6451500</v>
      </c>
      <c r="Q50" s="108">
        <f t="shared" si="447"/>
        <v>1</v>
      </c>
      <c r="R50" s="108">
        <f t="shared" si="448"/>
        <v>1</v>
      </c>
      <c r="S50" s="108">
        <f t="shared" si="449"/>
        <v>1</v>
      </c>
      <c r="T50" s="108">
        <f t="shared" si="450"/>
        <v>1</v>
      </c>
      <c r="U50" s="108">
        <f t="shared" si="451"/>
        <v>1</v>
      </c>
      <c r="V50" s="108">
        <f t="shared" si="452"/>
        <v>1</v>
      </c>
      <c r="W50" s="108">
        <f t="shared" si="453"/>
        <v>1</v>
      </c>
      <c r="X50" s="109">
        <f t="shared" si="454"/>
        <v>6451500</v>
      </c>
      <c r="Y50" s="110">
        <f t="shared" si="455"/>
        <v>0</v>
      </c>
      <c r="AA50" s="319">
        <v>4.0999999999999996</v>
      </c>
      <c r="AB50" s="319" t="s">
        <v>178</v>
      </c>
      <c r="AC50" s="334" t="s">
        <v>298</v>
      </c>
      <c r="AD50" s="321" t="s">
        <v>184</v>
      </c>
      <c r="AE50" s="325">
        <v>425</v>
      </c>
      <c r="AF50" s="323">
        <v>26750</v>
      </c>
      <c r="AG50" s="324">
        <v>11368750</v>
      </c>
      <c r="AH50" s="108">
        <f t="shared" ref="AH50:AH56" si="457">IFERROR(IF(EXACT(VLOOKUP(AA50,OFERTA_0,1,FALSE),AA50),1,0),0)</f>
        <v>1</v>
      </c>
      <c r="AI50" s="108">
        <f t="shared" ref="AI50:AI56" si="458">IFERROR(IF(EXACT(VLOOKUP(AA50,OFERTA_0,3,FALSE),AC50),1,0),0)</f>
        <v>1</v>
      </c>
      <c r="AJ50" s="108">
        <f t="shared" ref="AJ50:AJ56" si="459">IFERROR(IF(EXACT(VLOOKUP(AA50,OFERTA_0,4,FALSE),AD50),1,0),0)</f>
        <v>1</v>
      </c>
      <c r="AK50" s="108">
        <f t="shared" ref="AK50:AK56" si="460">IFERROR(IF(EXACT(VLOOKUP(AA50,OFERTA_0,5,FALSE),AE50),1,0),0)</f>
        <v>1</v>
      </c>
      <c r="AL50" s="108">
        <f t="shared" ref="AL50:AL56" si="461">IFERROR(IF(AF50&lt;=0,0,1),0)</f>
        <v>1</v>
      </c>
      <c r="AM50" s="108">
        <f t="shared" ref="AM50:AM56" si="462">IFERROR(IF(AG50&lt;=0,0,1),0)</f>
        <v>1</v>
      </c>
      <c r="AN50" s="108">
        <f t="shared" ref="AN50:AN56" si="463">PRODUCT(AH50:AM50)</f>
        <v>1</v>
      </c>
      <c r="AO50" s="109">
        <f t="shared" ref="AO50:AO56" si="464">ROUND(AG50,0)</f>
        <v>11368750</v>
      </c>
      <c r="AP50" s="110">
        <f t="shared" ref="AP50:AP56" si="465">AG50-AO50</f>
        <v>0</v>
      </c>
      <c r="AR50" s="319">
        <v>4.0999999999999996</v>
      </c>
      <c r="AS50" s="319" t="s">
        <v>178</v>
      </c>
      <c r="AT50" s="334" t="s">
        <v>298</v>
      </c>
      <c r="AU50" s="321" t="s">
        <v>184</v>
      </c>
      <c r="AV50" s="325">
        <v>425</v>
      </c>
      <c r="AW50" s="323">
        <v>48500</v>
      </c>
      <c r="AX50" s="324">
        <v>20612500</v>
      </c>
      <c r="AY50" s="108">
        <f t="shared" ref="AY50:AY56" si="466">IFERROR(IF(EXACT(VLOOKUP(AR50,OFERTA_0,1,FALSE),AR50),1,0),0)</f>
        <v>1</v>
      </c>
      <c r="AZ50" s="108">
        <f t="shared" ref="AZ50:AZ56" si="467">IFERROR(IF(EXACT(VLOOKUP(AR50,OFERTA_0,3,FALSE),AT50),1,0),0)</f>
        <v>1</v>
      </c>
      <c r="BA50" s="108">
        <f t="shared" ref="BA50:BA56" si="468">IFERROR(IF(EXACT(VLOOKUP(AR50,OFERTA_0,4,FALSE),AU50),1,0),0)</f>
        <v>1</v>
      </c>
      <c r="BB50" s="108">
        <f t="shared" ref="BB50:BB56" si="469">IFERROR(IF(EXACT(VLOOKUP(AR50,OFERTA_0,5,FALSE),AV50),1,0),0)</f>
        <v>1</v>
      </c>
      <c r="BC50" s="108">
        <f t="shared" ref="BC50:BC56" si="470">IFERROR(IF(AW50&lt;=0,0,1),0)</f>
        <v>1</v>
      </c>
      <c r="BD50" s="108">
        <f t="shared" ref="BD50:BD56" si="471">IFERROR(IF(AX50&lt;=0,0,1),0)</f>
        <v>1</v>
      </c>
      <c r="BE50" s="108">
        <f t="shared" ref="BE50:BE56" si="472">PRODUCT(AY50:BD50)</f>
        <v>1</v>
      </c>
      <c r="BF50" s="109">
        <f t="shared" ref="BF50:BF56" si="473">ROUND(AX50,0)</f>
        <v>20612500</v>
      </c>
      <c r="BG50" s="110">
        <f t="shared" ref="BG50:BG56" si="474">AX50-BF50</f>
        <v>0</v>
      </c>
      <c r="BI50" s="319">
        <v>4.0999999999999996</v>
      </c>
      <c r="BJ50" s="319" t="s">
        <v>178</v>
      </c>
      <c r="BK50" s="334" t="s">
        <v>298</v>
      </c>
      <c r="BL50" s="321" t="s">
        <v>184</v>
      </c>
      <c r="BM50" s="325">
        <v>425</v>
      </c>
      <c r="BN50" s="323">
        <v>25102</v>
      </c>
      <c r="BO50" s="324">
        <f t="shared" ref="BO50:BO56" si="475">BN50*BM50</f>
        <v>10668350</v>
      </c>
      <c r="BP50" s="108">
        <f t="shared" ref="BP50:BP56" si="476">IFERROR(IF(EXACT(VLOOKUP(BI50,OFERTA_0,1,FALSE),BI50),1,0),0)</f>
        <v>1</v>
      </c>
      <c r="BQ50" s="108">
        <f t="shared" ref="BQ50:BQ56" si="477">IFERROR(IF(EXACT(VLOOKUP(BI50,OFERTA_0,3,FALSE),BK50),1,0),0)</f>
        <v>1</v>
      </c>
      <c r="BR50" s="108">
        <f t="shared" ref="BR50:BR56" si="478">IFERROR(IF(EXACT(VLOOKUP(BI50,OFERTA_0,4,FALSE),BL50),1,0),0)</f>
        <v>1</v>
      </c>
      <c r="BS50" s="108">
        <f t="shared" ref="BS50:BS56" si="479">IFERROR(IF(EXACT(VLOOKUP(BI50,OFERTA_0,5,FALSE),BM50),1,0),0)</f>
        <v>1</v>
      </c>
      <c r="BT50" s="108">
        <f t="shared" ref="BT50:BT56" si="480">IFERROR(IF(BN50&lt;=0,0,1),0)</f>
        <v>1</v>
      </c>
      <c r="BU50" s="108">
        <f t="shared" ref="BU50:BU56" si="481">IFERROR(IF(BO50&lt;=0,0,1),0)</f>
        <v>1</v>
      </c>
      <c r="BV50" s="108">
        <f t="shared" ref="BV50:BV56" si="482">PRODUCT(BP50:BU50)</f>
        <v>1</v>
      </c>
      <c r="BW50" s="109">
        <f t="shared" ref="BW50:BW56" si="483">ROUND(BO50,0)</f>
        <v>10668350</v>
      </c>
      <c r="BX50" s="110">
        <f t="shared" ref="BX50:BX56" si="484">BO50-BW50</f>
        <v>0</v>
      </c>
      <c r="BZ50" s="319">
        <v>4.0999999999999996</v>
      </c>
      <c r="CA50" s="319" t="s">
        <v>178</v>
      </c>
      <c r="CB50" s="334" t="s">
        <v>298</v>
      </c>
      <c r="CC50" s="321" t="s">
        <v>184</v>
      </c>
      <c r="CD50" s="325">
        <v>425</v>
      </c>
      <c r="CE50" s="323">
        <v>24000</v>
      </c>
      <c r="CF50" s="324">
        <f t="shared" ref="CF50:CF56" si="485">CE50*CD50</f>
        <v>10200000</v>
      </c>
      <c r="CG50" s="108">
        <f t="shared" ref="CG50:CG56" si="486">IFERROR(IF(EXACT(VLOOKUP(BZ50,OFERTA_0,1,FALSE),BZ50),1,0),0)</f>
        <v>1</v>
      </c>
      <c r="CH50" s="108">
        <f t="shared" ref="CH50:CH56" si="487">IFERROR(IF(EXACT(VLOOKUP(BZ50,OFERTA_0,3,FALSE),CB50),1,0),0)</f>
        <v>1</v>
      </c>
      <c r="CI50" s="108">
        <f t="shared" ref="CI50:CI56" si="488">IFERROR(IF(EXACT(VLOOKUP(BZ50,OFERTA_0,4,FALSE),CC50),1,0),0)</f>
        <v>1</v>
      </c>
      <c r="CJ50" s="108">
        <f t="shared" ref="CJ50:CJ56" si="489">IFERROR(IF(EXACT(VLOOKUP(BZ50,OFERTA_0,5,FALSE),CD50),1,0),0)</f>
        <v>1</v>
      </c>
      <c r="CK50" s="108">
        <f t="shared" ref="CK50:CK56" si="490">IFERROR(IF(CE50&lt;=0,0,1),0)</f>
        <v>1</v>
      </c>
      <c r="CL50" s="108">
        <f t="shared" ref="CL50:CL56" si="491">IFERROR(IF(CF50&lt;=0,0,1),0)</f>
        <v>1</v>
      </c>
      <c r="CM50" s="108">
        <f t="shared" ref="CM50:CM56" si="492">PRODUCT(CG50:CL50)</f>
        <v>1</v>
      </c>
      <c r="CN50" s="109">
        <f t="shared" ref="CN50:CN56" si="493">ROUND(CF50,0)</f>
        <v>10200000</v>
      </c>
      <c r="CO50" s="110">
        <f t="shared" ref="CO50:CO56" si="494">CF50-CN50</f>
        <v>0</v>
      </c>
      <c r="CQ50" s="319">
        <v>4.0999999999999996</v>
      </c>
      <c r="CR50" s="319" t="s">
        <v>178</v>
      </c>
      <c r="CS50" s="334" t="s">
        <v>298</v>
      </c>
      <c r="CT50" s="321" t="s">
        <v>184</v>
      </c>
      <c r="CU50" s="325">
        <v>425</v>
      </c>
      <c r="CV50" s="323">
        <v>24000</v>
      </c>
      <c r="CW50" s="324">
        <f t="shared" ref="CW50:CW56" si="495">CV50*CU50</f>
        <v>10200000</v>
      </c>
      <c r="CX50" s="108">
        <f t="shared" ref="CX50:CX56" si="496">IFERROR(IF(EXACT(VLOOKUP(CQ50,OFERTA_0,1,FALSE),CQ50),1,0),0)</f>
        <v>1</v>
      </c>
      <c r="CY50" s="108">
        <f t="shared" ref="CY50:CY56" si="497">IFERROR(IF(EXACT(VLOOKUP(CQ50,OFERTA_0,3,FALSE),CS50),1,0),0)</f>
        <v>1</v>
      </c>
      <c r="CZ50" s="108">
        <f t="shared" ref="CZ50:CZ56" si="498">IFERROR(IF(EXACT(VLOOKUP(CQ50,OFERTA_0,4,FALSE),CT50),1,0),0)</f>
        <v>1</v>
      </c>
      <c r="DA50" s="108">
        <f t="shared" ref="DA50:DA56" si="499">IFERROR(IF(EXACT(VLOOKUP(CQ50,OFERTA_0,5,FALSE),CU50),1,0),0)</f>
        <v>1</v>
      </c>
      <c r="DB50" s="108">
        <f t="shared" ref="DB50:DB56" si="500">IFERROR(IF(CV50&lt;=0,0,1),0)</f>
        <v>1</v>
      </c>
      <c r="DC50" s="108">
        <f t="shared" ref="DC50:DC56" si="501">IFERROR(IF(CW50&lt;=0,0,1),0)</f>
        <v>1</v>
      </c>
      <c r="DD50" s="108">
        <f t="shared" ref="DD50:DD56" si="502">PRODUCT(CX50:DC50)</f>
        <v>1</v>
      </c>
      <c r="DE50" s="109">
        <f t="shared" ref="DE50:DE56" si="503">ROUND(CW50,0)</f>
        <v>10200000</v>
      </c>
      <c r="DF50" s="110">
        <f t="shared" ref="DF50:DF56" si="504">CW50-DE50</f>
        <v>0</v>
      </c>
      <c r="DH50" s="319">
        <v>4.0999999999999996</v>
      </c>
      <c r="DI50" s="319" t="s">
        <v>178</v>
      </c>
      <c r="DJ50" s="360" t="s">
        <v>298</v>
      </c>
      <c r="DK50" s="321" t="s">
        <v>184</v>
      </c>
      <c r="DL50" s="325">
        <v>425</v>
      </c>
      <c r="DM50" s="323">
        <v>14464</v>
      </c>
      <c r="DN50" s="324">
        <f t="shared" ref="DN50:DN56" si="505">DM50*DL50</f>
        <v>6147200</v>
      </c>
      <c r="DO50" s="108">
        <f t="shared" ref="DO50:DO56" si="506">IFERROR(IF(EXACT(VLOOKUP(DH50,OFERTA_0,1,FALSE),DH50),1,0),0)</f>
        <v>1</v>
      </c>
      <c r="DP50" s="108">
        <f t="shared" ref="DP50:DP56" si="507">IFERROR(IF(EXACT(VLOOKUP(DH50,OFERTA_0,3,FALSE),DJ50),1,0),0)</f>
        <v>1</v>
      </c>
      <c r="DQ50" s="108">
        <f t="shared" ref="DQ50:DQ56" si="508">IFERROR(IF(EXACT(VLOOKUP(DH50,OFERTA_0,4,FALSE),DK50),1,0),0)</f>
        <v>1</v>
      </c>
      <c r="DR50" s="108">
        <f t="shared" ref="DR50:DR56" si="509">IFERROR(IF(EXACT(VLOOKUP(DH50,OFERTA_0,5,FALSE),DL50),1,0),0)</f>
        <v>1</v>
      </c>
      <c r="DS50" s="108">
        <f t="shared" ref="DS50:DS56" si="510">IFERROR(IF(DM50&lt;=0,0,1),0)</f>
        <v>1</v>
      </c>
      <c r="DT50" s="108">
        <f t="shared" ref="DT50:DT56" si="511">IFERROR(IF(DN50&lt;=0,0,1),0)</f>
        <v>1</v>
      </c>
      <c r="DU50" s="108">
        <f t="shared" ref="DU50:DU56" si="512">PRODUCT(DO50:DT50)</f>
        <v>1</v>
      </c>
      <c r="DV50" s="109">
        <f t="shared" ref="DV50:DV56" si="513">ROUND(DN50,0)</f>
        <v>6147200</v>
      </c>
      <c r="DW50" s="110">
        <f t="shared" ref="DW50:DW56" si="514">DN50-DV50</f>
        <v>0</v>
      </c>
      <c r="DY50" s="319">
        <v>4.0999999999999996</v>
      </c>
      <c r="DZ50" s="319" t="s">
        <v>178</v>
      </c>
      <c r="EA50" s="360" t="s">
        <v>298</v>
      </c>
      <c r="EB50" s="321" t="s">
        <v>184</v>
      </c>
      <c r="EC50" s="325">
        <v>425</v>
      </c>
      <c r="ED50" s="323">
        <v>19000</v>
      </c>
      <c r="EE50" s="324">
        <f t="shared" ref="EE50:EE56" si="515">ED50*EC50</f>
        <v>8075000</v>
      </c>
      <c r="EF50" s="108">
        <f t="shared" ref="EF50:EF56" si="516">IFERROR(IF(EXACT(VLOOKUP(DY50,OFERTA_0,1,FALSE),DY50),1,0),0)</f>
        <v>1</v>
      </c>
      <c r="EG50" s="108">
        <f t="shared" ref="EG50:EG56" si="517">IFERROR(IF(EXACT(VLOOKUP(DY50,OFERTA_0,3,FALSE),EA50),1,0),0)</f>
        <v>1</v>
      </c>
      <c r="EH50" s="108">
        <f t="shared" ref="EH50:EH56" si="518">IFERROR(IF(EXACT(VLOOKUP(DY50,OFERTA_0,4,FALSE),EB50),1,0),0)</f>
        <v>1</v>
      </c>
      <c r="EI50" s="108">
        <f t="shared" ref="EI50:EI56" si="519">IFERROR(IF(EXACT(VLOOKUP(DY50,OFERTA_0,5,FALSE),EC50),1,0),0)</f>
        <v>1</v>
      </c>
      <c r="EJ50" s="108">
        <f t="shared" ref="EJ50:EJ56" si="520">IFERROR(IF(ED50&lt;=0,0,1),0)</f>
        <v>1</v>
      </c>
      <c r="EK50" s="108">
        <f t="shared" ref="EK50:EK56" si="521">IFERROR(IF(EE50&lt;=0,0,1),0)</f>
        <v>1</v>
      </c>
      <c r="EL50" s="108">
        <f t="shared" ref="EL50:EL56" si="522">PRODUCT(EF50:EK50)</f>
        <v>1</v>
      </c>
      <c r="EM50" s="109">
        <f t="shared" ref="EM50:EM56" si="523">ROUND(EE50,0)</f>
        <v>8075000</v>
      </c>
      <c r="EN50" s="110">
        <f t="shared" ref="EN50:EN56" si="524">EE50-EM50</f>
        <v>0</v>
      </c>
      <c r="EP50" s="319">
        <v>4.0999999999999996</v>
      </c>
      <c r="EQ50" s="319" t="s">
        <v>178</v>
      </c>
      <c r="ER50" s="334" t="s">
        <v>298</v>
      </c>
      <c r="ES50" s="321" t="s">
        <v>184</v>
      </c>
      <c r="ET50" s="325">
        <v>425</v>
      </c>
      <c r="EU50" s="323">
        <v>17200</v>
      </c>
      <c r="EV50" s="324">
        <f t="shared" ref="EV50:EV56" si="525">EU50*ET50</f>
        <v>7310000</v>
      </c>
      <c r="EW50" s="108">
        <f t="shared" ref="EW50:EW56" si="526">IFERROR(IF(EXACT(VLOOKUP(EP50,OFERTA_0,1,FALSE),EP50),1,0),0)</f>
        <v>1</v>
      </c>
      <c r="EX50" s="108">
        <f t="shared" ref="EX50:EX56" si="527">IFERROR(IF(EXACT(VLOOKUP(EP50,OFERTA_0,3,FALSE),ER50),1,0),0)</f>
        <v>1</v>
      </c>
      <c r="EY50" s="108">
        <f t="shared" ref="EY50:EY56" si="528">IFERROR(IF(EXACT(VLOOKUP(EP50,OFERTA_0,4,FALSE),ES50),1,0),0)</f>
        <v>1</v>
      </c>
      <c r="EZ50" s="108">
        <f t="shared" ref="EZ50:EZ56" si="529">IFERROR(IF(EXACT(VLOOKUP(EP50,OFERTA_0,5,FALSE),ET50),1,0),0)</f>
        <v>1</v>
      </c>
      <c r="FA50" s="108">
        <f t="shared" ref="FA50:FA56" si="530">IFERROR(IF(EU50&lt;=0,0,1),0)</f>
        <v>1</v>
      </c>
      <c r="FB50" s="108">
        <f t="shared" ref="FB50:FB56" si="531">IFERROR(IF(EV50&lt;=0,0,1),0)</f>
        <v>1</v>
      </c>
      <c r="FC50" s="108">
        <f t="shared" ref="FC50:FC56" si="532">PRODUCT(EW50:FB50)</f>
        <v>1</v>
      </c>
      <c r="FD50" s="109">
        <f t="shared" ref="FD50:FD56" si="533">ROUND(EV50,0)</f>
        <v>7310000</v>
      </c>
      <c r="FE50" s="110">
        <f t="shared" ref="FE50:FE56" si="534">EV50-FD50</f>
        <v>0</v>
      </c>
      <c r="FG50" s="319">
        <v>4.0999999999999996</v>
      </c>
      <c r="FH50" s="319" t="s">
        <v>178</v>
      </c>
      <c r="FI50" s="360" t="s">
        <v>298</v>
      </c>
      <c r="FJ50" s="321" t="s">
        <v>184</v>
      </c>
      <c r="FK50" s="325">
        <v>425</v>
      </c>
      <c r="FL50" s="323">
        <v>14484</v>
      </c>
      <c r="FM50" s="324">
        <f t="shared" ref="FM50:FM56" si="535">FL50*FK50</f>
        <v>6155700</v>
      </c>
      <c r="FN50" s="108">
        <f t="shared" ref="FN50:FN56" si="536">IFERROR(IF(EXACT(VLOOKUP(FG50,OFERTA_0,1,FALSE),FG50),1,0),0)</f>
        <v>1</v>
      </c>
      <c r="FO50" s="108">
        <f t="shared" ref="FO50:FO56" si="537">IFERROR(IF(EXACT(VLOOKUP(FG50,OFERTA_0,3,FALSE),FI50),1,0),0)</f>
        <v>1</v>
      </c>
      <c r="FP50" s="108">
        <f t="shared" ref="FP50:FP56" si="538">IFERROR(IF(EXACT(VLOOKUP(FG50,OFERTA_0,4,FALSE),FJ50),1,0),0)</f>
        <v>1</v>
      </c>
      <c r="FQ50" s="108">
        <f t="shared" ref="FQ50:FQ56" si="539">IFERROR(IF(EXACT(VLOOKUP(FG50,OFERTA_0,5,FALSE),FK50),1,0),0)</f>
        <v>1</v>
      </c>
      <c r="FR50" s="108">
        <f t="shared" ref="FR50:FR56" si="540">IFERROR(IF(FL50&lt;=0,0,1),0)</f>
        <v>1</v>
      </c>
      <c r="FS50" s="108">
        <f t="shared" ref="FS50:FS56" si="541">IFERROR(IF(FM50&lt;=0,0,1),0)</f>
        <v>1</v>
      </c>
      <c r="FT50" s="108">
        <f t="shared" ref="FT50:FT56" si="542">PRODUCT(FN50:FS50)</f>
        <v>1</v>
      </c>
      <c r="FU50" s="109">
        <f t="shared" ref="FU50:FU56" si="543">ROUND(FM50,0)</f>
        <v>6155700</v>
      </c>
      <c r="FV50" s="110">
        <f t="shared" ref="FV50:FV56" si="544">FM50-FU50</f>
        <v>0</v>
      </c>
      <c r="FX50" s="319">
        <v>4.0999999999999996</v>
      </c>
      <c r="FY50" s="319" t="s">
        <v>178</v>
      </c>
      <c r="FZ50" s="334" t="s">
        <v>298</v>
      </c>
      <c r="GA50" s="321" t="s">
        <v>184</v>
      </c>
      <c r="GB50" s="325">
        <v>425</v>
      </c>
      <c r="GC50" s="323">
        <v>19000</v>
      </c>
      <c r="GD50" s="324">
        <f t="shared" ref="GD50:GD56" si="545">GC50*GB50</f>
        <v>8075000</v>
      </c>
      <c r="GE50" s="108">
        <f t="shared" ref="GE50:GE56" si="546">IFERROR(IF(EXACT(VLOOKUP(FX50,OFERTA_0,1,FALSE),FX50),1,0),0)</f>
        <v>1</v>
      </c>
      <c r="GF50" s="108">
        <f t="shared" ref="GF50:GF56" si="547">IFERROR(IF(EXACT(VLOOKUP(FX50,OFERTA_0,3,FALSE),FZ50),1,0),0)</f>
        <v>1</v>
      </c>
      <c r="GG50" s="108">
        <f t="shared" ref="GG50:GG56" si="548">IFERROR(IF(EXACT(VLOOKUP(FX50,OFERTA_0,4,FALSE),GA50),1,0),0)</f>
        <v>1</v>
      </c>
      <c r="GH50" s="108">
        <f t="shared" ref="GH50:GH56" si="549">IFERROR(IF(EXACT(VLOOKUP(FX50,OFERTA_0,5,FALSE),GB50),1,0),0)</f>
        <v>1</v>
      </c>
      <c r="GI50" s="108">
        <f t="shared" ref="GI50:GI56" si="550">IFERROR(IF(GC50&lt;=0,0,1),0)</f>
        <v>1</v>
      </c>
      <c r="GJ50" s="108">
        <f t="shared" ref="GJ50:GJ56" si="551">IFERROR(IF(GD50&lt;=0,0,1),0)</f>
        <v>1</v>
      </c>
      <c r="GK50" s="108">
        <f t="shared" ref="GK50:GK56" si="552">PRODUCT(GE50:GJ50)</f>
        <v>1</v>
      </c>
      <c r="GL50" s="109">
        <f t="shared" ref="GL50:GL56" si="553">ROUND(GD50,0)</f>
        <v>8075000</v>
      </c>
      <c r="GM50" s="110">
        <f t="shared" ref="GM50:GM56" si="554">GD50-GL50</f>
        <v>0</v>
      </c>
      <c r="GO50" s="319">
        <v>4.0999999999999996</v>
      </c>
      <c r="GP50" s="319" t="s">
        <v>178</v>
      </c>
      <c r="GQ50" s="334" t="s">
        <v>298</v>
      </c>
      <c r="GR50" s="321" t="s">
        <v>184</v>
      </c>
      <c r="GS50" s="325">
        <v>425</v>
      </c>
      <c r="GT50" s="323">
        <v>20000</v>
      </c>
      <c r="GU50" s="324">
        <v>8500000</v>
      </c>
      <c r="GV50" s="108">
        <f t="shared" ref="GV50:GV56" si="555">IFERROR(IF(EXACT(VLOOKUP(GO50,OFERTA_0,1,FALSE),GO50),1,0),0)</f>
        <v>1</v>
      </c>
      <c r="GW50" s="108">
        <f t="shared" ref="GW50:GW56" si="556">IFERROR(IF(EXACT(VLOOKUP(GO50,OFERTA_0,3,FALSE),GQ50),1,0),0)</f>
        <v>1</v>
      </c>
      <c r="GX50" s="108">
        <f t="shared" ref="GX50:GX56" si="557">IFERROR(IF(EXACT(VLOOKUP(GO50,OFERTA_0,4,FALSE),GR50),1,0),0)</f>
        <v>1</v>
      </c>
      <c r="GY50" s="108">
        <f t="shared" ref="GY50:GY56" si="558">IFERROR(IF(EXACT(VLOOKUP(GO50,OFERTA_0,5,FALSE),GS50),1,0),0)</f>
        <v>1</v>
      </c>
      <c r="GZ50" s="108">
        <f t="shared" ref="GZ50:GZ56" si="559">IFERROR(IF(GT50&lt;=0,0,1),0)</f>
        <v>1</v>
      </c>
      <c r="HA50" s="108">
        <f t="shared" ref="HA50:HA56" si="560">IFERROR(IF(GU50&lt;=0,0,1),0)</f>
        <v>1</v>
      </c>
      <c r="HB50" s="108">
        <f t="shared" ref="HB50:HB56" si="561">PRODUCT(GV50:HA50)</f>
        <v>1</v>
      </c>
      <c r="HC50" s="109">
        <f t="shared" ref="HC50:HC56" si="562">ROUND(GU50,0)</f>
        <v>8500000</v>
      </c>
      <c r="HD50" s="110">
        <f t="shared" ref="HD50:HD56" si="563">GU50-HC50</f>
        <v>0</v>
      </c>
      <c r="HF50" s="319">
        <v>4.0999999999999996</v>
      </c>
      <c r="HG50" s="319" t="s">
        <v>178</v>
      </c>
      <c r="HH50" s="334" t="s">
        <v>298</v>
      </c>
      <c r="HI50" s="321" t="s">
        <v>184</v>
      </c>
      <c r="HJ50" s="325">
        <v>425</v>
      </c>
      <c r="HK50" s="323">
        <v>21000</v>
      </c>
      <c r="HL50" s="324">
        <f t="shared" ref="HL50:HL56" si="564">HK50*HJ50</f>
        <v>8925000</v>
      </c>
      <c r="HM50" s="108">
        <f t="shared" ref="HM50:HM56" si="565">IFERROR(IF(EXACT(VLOOKUP(HF50,OFERTA_0,1,FALSE),HF50),1,0),0)</f>
        <v>1</v>
      </c>
      <c r="HN50" s="108">
        <f t="shared" ref="HN50:HN56" si="566">IFERROR(IF(EXACT(VLOOKUP(HF50,OFERTA_0,3,FALSE),HH50),1,0),0)</f>
        <v>1</v>
      </c>
      <c r="HO50" s="108">
        <f t="shared" ref="HO50:HO56" si="567">IFERROR(IF(EXACT(VLOOKUP(HF50,OFERTA_0,4,FALSE),HI50),1,0),0)</f>
        <v>1</v>
      </c>
      <c r="HP50" s="108">
        <f t="shared" ref="HP50:HP56" si="568">IFERROR(IF(EXACT(VLOOKUP(HF50,OFERTA_0,5,FALSE),HJ50),1,0),0)</f>
        <v>1</v>
      </c>
      <c r="HQ50" s="108">
        <f t="shared" ref="HQ50:HQ56" si="569">IFERROR(IF(HK50&lt;=0,0,1),0)</f>
        <v>1</v>
      </c>
      <c r="HR50" s="108">
        <f t="shared" ref="HR50:HR56" si="570">IFERROR(IF(HL50&lt;=0,0,1),0)</f>
        <v>1</v>
      </c>
      <c r="HS50" s="108">
        <f t="shared" ref="HS50:HS56" si="571">PRODUCT(HM50:HR50)</f>
        <v>1</v>
      </c>
      <c r="HT50" s="109">
        <f t="shared" ref="HT50:HT56" si="572">ROUND(HL50,0)</f>
        <v>8925000</v>
      </c>
      <c r="HU50" s="110">
        <f t="shared" ref="HU50:HU56" si="573">HL50-HT50</f>
        <v>0</v>
      </c>
      <c r="HW50" s="319">
        <v>4.0999999999999996</v>
      </c>
      <c r="HX50" s="319" t="s">
        <v>178</v>
      </c>
      <c r="HY50" s="334" t="s">
        <v>298</v>
      </c>
      <c r="HZ50" s="321" t="s">
        <v>184</v>
      </c>
      <c r="IA50" s="325">
        <v>425</v>
      </c>
      <c r="IB50" s="323">
        <v>18000</v>
      </c>
      <c r="IC50" s="324">
        <f t="shared" ref="IC50:IC56" si="574">IB50*IA50</f>
        <v>7650000</v>
      </c>
      <c r="ID50" s="108">
        <f t="shared" ref="ID50:ID56" si="575">IFERROR(IF(EXACT(VLOOKUP(HW50,OFERTA_0,1,FALSE),HW50),1,0),0)</f>
        <v>1</v>
      </c>
      <c r="IE50" s="108">
        <f t="shared" ref="IE50:IE56" si="576">IFERROR(IF(EXACT(VLOOKUP(HW50,OFERTA_0,3,FALSE),HY50),1,0),0)</f>
        <v>1</v>
      </c>
      <c r="IF50" s="108">
        <f t="shared" ref="IF50:IF56" si="577">IFERROR(IF(EXACT(VLOOKUP(HW50,OFERTA_0,4,FALSE),HZ50),1,0),0)</f>
        <v>1</v>
      </c>
      <c r="IG50" s="108">
        <f t="shared" ref="IG50:IG56" si="578">IFERROR(IF(EXACT(VLOOKUP(HW50,OFERTA_0,5,FALSE),IA50),1,0),0)</f>
        <v>1</v>
      </c>
      <c r="IH50" s="108">
        <f t="shared" ref="IH50:IH56" si="579">IFERROR(IF(IB50&lt;=0,0,1),0)</f>
        <v>1</v>
      </c>
      <c r="II50" s="108">
        <f t="shared" ref="II50:II56" si="580">IFERROR(IF(IC50&lt;=0,0,1),0)</f>
        <v>1</v>
      </c>
      <c r="IJ50" s="108">
        <f t="shared" ref="IJ50:IJ56" si="581">PRODUCT(ID50:II50)</f>
        <v>1</v>
      </c>
      <c r="IK50" s="109">
        <f t="shared" ref="IK50:IK56" si="582">ROUND(IC50,0)</f>
        <v>7650000</v>
      </c>
      <c r="IL50" s="110">
        <f t="shared" ref="IL50:IL56" si="583">IC50-IK50</f>
        <v>0</v>
      </c>
    </row>
    <row r="51" spans="1:246" s="213" customFormat="1" ht="72" x14ac:dyDescent="0.25">
      <c r="A51" s="211"/>
      <c r="B51" s="319">
        <v>4.2</v>
      </c>
      <c r="C51" s="319" t="s">
        <v>178</v>
      </c>
      <c r="D51" s="334" t="s">
        <v>299</v>
      </c>
      <c r="E51" s="321" t="s">
        <v>184</v>
      </c>
      <c r="F51" s="325">
        <v>170</v>
      </c>
      <c r="G51" s="323">
        <v>0</v>
      </c>
      <c r="H51" s="324">
        <f t="shared" si="456"/>
        <v>0</v>
      </c>
      <c r="J51" s="319">
        <v>4.2</v>
      </c>
      <c r="K51" s="319" t="s">
        <v>178</v>
      </c>
      <c r="L51" s="334" t="s">
        <v>299</v>
      </c>
      <c r="M51" s="321" t="s">
        <v>184</v>
      </c>
      <c r="N51" s="325">
        <v>170</v>
      </c>
      <c r="O51" s="323">
        <v>16050</v>
      </c>
      <c r="P51" s="324">
        <v>2728500</v>
      </c>
      <c r="Q51" s="108">
        <f t="shared" si="447"/>
        <v>1</v>
      </c>
      <c r="R51" s="108">
        <f t="shared" si="448"/>
        <v>1</v>
      </c>
      <c r="S51" s="108">
        <f t="shared" si="449"/>
        <v>1</v>
      </c>
      <c r="T51" s="108">
        <f t="shared" si="450"/>
        <v>1</v>
      </c>
      <c r="U51" s="108">
        <f t="shared" si="451"/>
        <v>1</v>
      </c>
      <c r="V51" s="108">
        <f t="shared" si="452"/>
        <v>1</v>
      </c>
      <c r="W51" s="108">
        <f t="shared" si="453"/>
        <v>1</v>
      </c>
      <c r="X51" s="109">
        <f t="shared" si="454"/>
        <v>2728500</v>
      </c>
      <c r="Y51" s="110">
        <f t="shared" si="455"/>
        <v>0</v>
      </c>
      <c r="AA51" s="319">
        <v>4.2</v>
      </c>
      <c r="AB51" s="319" t="s">
        <v>178</v>
      </c>
      <c r="AC51" s="334" t="s">
        <v>299</v>
      </c>
      <c r="AD51" s="321" t="s">
        <v>184</v>
      </c>
      <c r="AE51" s="325">
        <v>170</v>
      </c>
      <c r="AF51" s="323">
        <v>23500</v>
      </c>
      <c r="AG51" s="324">
        <v>3995000</v>
      </c>
      <c r="AH51" s="108">
        <f t="shared" si="457"/>
        <v>1</v>
      </c>
      <c r="AI51" s="108">
        <f t="shared" si="458"/>
        <v>1</v>
      </c>
      <c r="AJ51" s="108">
        <f t="shared" si="459"/>
        <v>1</v>
      </c>
      <c r="AK51" s="108">
        <f t="shared" si="460"/>
        <v>1</v>
      </c>
      <c r="AL51" s="108">
        <f t="shared" si="461"/>
        <v>1</v>
      </c>
      <c r="AM51" s="108">
        <f t="shared" si="462"/>
        <v>1</v>
      </c>
      <c r="AN51" s="108">
        <f t="shared" si="463"/>
        <v>1</v>
      </c>
      <c r="AO51" s="109">
        <f t="shared" si="464"/>
        <v>3995000</v>
      </c>
      <c r="AP51" s="110">
        <f t="shared" si="465"/>
        <v>0</v>
      </c>
      <c r="AR51" s="319">
        <v>4.2</v>
      </c>
      <c r="AS51" s="319" t="s">
        <v>178</v>
      </c>
      <c r="AT51" s="334" t="s">
        <v>299</v>
      </c>
      <c r="AU51" s="321" t="s">
        <v>184</v>
      </c>
      <c r="AV51" s="325">
        <v>170</v>
      </c>
      <c r="AW51" s="323">
        <v>40740</v>
      </c>
      <c r="AX51" s="324">
        <v>6925800</v>
      </c>
      <c r="AY51" s="108">
        <f t="shared" si="466"/>
        <v>1</v>
      </c>
      <c r="AZ51" s="108">
        <f t="shared" si="467"/>
        <v>1</v>
      </c>
      <c r="BA51" s="108">
        <f t="shared" si="468"/>
        <v>1</v>
      </c>
      <c r="BB51" s="108">
        <f t="shared" si="469"/>
        <v>1</v>
      </c>
      <c r="BC51" s="108">
        <f t="shared" si="470"/>
        <v>1</v>
      </c>
      <c r="BD51" s="108">
        <f t="shared" si="471"/>
        <v>1</v>
      </c>
      <c r="BE51" s="108">
        <f t="shared" si="472"/>
        <v>1</v>
      </c>
      <c r="BF51" s="109">
        <f t="shared" si="473"/>
        <v>6925800</v>
      </c>
      <c r="BG51" s="110">
        <f t="shared" si="474"/>
        <v>0</v>
      </c>
      <c r="BI51" s="319">
        <v>4.2</v>
      </c>
      <c r="BJ51" s="319" t="s">
        <v>178</v>
      </c>
      <c r="BK51" s="334" t="s">
        <v>299</v>
      </c>
      <c r="BL51" s="321" t="s">
        <v>184</v>
      </c>
      <c r="BM51" s="325">
        <v>170</v>
      </c>
      <c r="BN51" s="323">
        <v>25102</v>
      </c>
      <c r="BO51" s="324">
        <f t="shared" si="475"/>
        <v>4267340</v>
      </c>
      <c r="BP51" s="108">
        <f t="shared" si="476"/>
        <v>1</v>
      </c>
      <c r="BQ51" s="108">
        <f t="shared" si="477"/>
        <v>1</v>
      </c>
      <c r="BR51" s="108">
        <f t="shared" si="478"/>
        <v>1</v>
      </c>
      <c r="BS51" s="108">
        <f t="shared" si="479"/>
        <v>1</v>
      </c>
      <c r="BT51" s="108">
        <f t="shared" si="480"/>
        <v>1</v>
      </c>
      <c r="BU51" s="108">
        <f t="shared" si="481"/>
        <v>1</v>
      </c>
      <c r="BV51" s="108">
        <f t="shared" si="482"/>
        <v>1</v>
      </c>
      <c r="BW51" s="109">
        <f t="shared" si="483"/>
        <v>4267340</v>
      </c>
      <c r="BX51" s="110">
        <f t="shared" si="484"/>
        <v>0</v>
      </c>
      <c r="BZ51" s="319">
        <v>4.2</v>
      </c>
      <c r="CA51" s="319" t="s">
        <v>178</v>
      </c>
      <c r="CB51" s="334" t="s">
        <v>299</v>
      </c>
      <c r="CC51" s="321" t="s">
        <v>184</v>
      </c>
      <c r="CD51" s="325">
        <v>170</v>
      </c>
      <c r="CE51" s="323">
        <v>26000</v>
      </c>
      <c r="CF51" s="324">
        <f t="shared" si="485"/>
        <v>4420000</v>
      </c>
      <c r="CG51" s="108">
        <f t="shared" si="486"/>
        <v>1</v>
      </c>
      <c r="CH51" s="108">
        <f t="shared" si="487"/>
        <v>1</v>
      </c>
      <c r="CI51" s="108">
        <f t="shared" si="488"/>
        <v>1</v>
      </c>
      <c r="CJ51" s="108">
        <f t="shared" si="489"/>
        <v>1</v>
      </c>
      <c r="CK51" s="108">
        <f t="shared" si="490"/>
        <v>1</v>
      </c>
      <c r="CL51" s="108">
        <f t="shared" si="491"/>
        <v>1</v>
      </c>
      <c r="CM51" s="108">
        <f t="shared" si="492"/>
        <v>1</v>
      </c>
      <c r="CN51" s="109">
        <f t="shared" si="493"/>
        <v>4420000</v>
      </c>
      <c r="CO51" s="110">
        <f t="shared" si="494"/>
        <v>0</v>
      </c>
      <c r="CQ51" s="319">
        <v>4.2</v>
      </c>
      <c r="CR51" s="319" t="s">
        <v>178</v>
      </c>
      <c r="CS51" s="334" t="s">
        <v>299</v>
      </c>
      <c r="CT51" s="321" t="s">
        <v>184</v>
      </c>
      <c r="CU51" s="325">
        <v>170</v>
      </c>
      <c r="CV51" s="323">
        <v>24000</v>
      </c>
      <c r="CW51" s="324">
        <f t="shared" si="495"/>
        <v>4080000</v>
      </c>
      <c r="CX51" s="108">
        <f t="shared" si="496"/>
        <v>1</v>
      </c>
      <c r="CY51" s="108">
        <f t="shared" si="497"/>
        <v>1</v>
      </c>
      <c r="CZ51" s="108">
        <f t="shared" si="498"/>
        <v>1</v>
      </c>
      <c r="DA51" s="108">
        <f t="shared" si="499"/>
        <v>1</v>
      </c>
      <c r="DB51" s="108">
        <f t="shared" si="500"/>
        <v>1</v>
      </c>
      <c r="DC51" s="108">
        <f t="shared" si="501"/>
        <v>1</v>
      </c>
      <c r="DD51" s="108">
        <f t="shared" si="502"/>
        <v>1</v>
      </c>
      <c r="DE51" s="109">
        <f t="shared" si="503"/>
        <v>4080000</v>
      </c>
      <c r="DF51" s="110">
        <f t="shared" si="504"/>
        <v>0</v>
      </c>
      <c r="DH51" s="319">
        <v>4.2</v>
      </c>
      <c r="DI51" s="319" t="s">
        <v>178</v>
      </c>
      <c r="DJ51" s="360" t="s">
        <v>299</v>
      </c>
      <c r="DK51" s="321" t="s">
        <v>184</v>
      </c>
      <c r="DL51" s="325">
        <v>170</v>
      </c>
      <c r="DM51" s="323">
        <v>14158</v>
      </c>
      <c r="DN51" s="324">
        <f t="shared" si="505"/>
        <v>2406860</v>
      </c>
      <c r="DO51" s="108">
        <f t="shared" si="506"/>
        <v>1</v>
      </c>
      <c r="DP51" s="108">
        <f t="shared" si="507"/>
        <v>1</v>
      </c>
      <c r="DQ51" s="108">
        <f t="shared" si="508"/>
        <v>1</v>
      </c>
      <c r="DR51" s="108">
        <f t="shared" si="509"/>
        <v>1</v>
      </c>
      <c r="DS51" s="108">
        <f t="shared" si="510"/>
        <v>1</v>
      </c>
      <c r="DT51" s="108">
        <f t="shared" si="511"/>
        <v>1</v>
      </c>
      <c r="DU51" s="108">
        <f t="shared" si="512"/>
        <v>1</v>
      </c>
      <c r="DV51" s="109">
        <f t="shared" si="513"/>
        <v>2406860</v>
      </c>
      <c r="DW51" s="110">
        <f t="shared" si="514"/>
        <v>0</v>
      </c>
      <c r="DY51" s="319">
        <v>4.2</v>
      </c>
      <c r="DZ51" s="319" t="s">
        <v>178</v>
      </c>
      <c r="EA51" s="360" t="s">
        <v>299</v>
      </c>
      <c r="EB51" s="321" t="s">
        <v>184</v>
      </c>
      <c r="EC51" s="325">
        <v>170</v>
      </c>
      <c r="ED51" s="323">
        <v>19800</v>
      </c>
      <c r="EE51" s="324">
        <f t="shared" si="515"/>
        <v>3366000</v>
      </c>
      <c r="EF51" s="108">
        <f t="shared" si="516"/>
        <v>1</v>
      </c>
      <c r="EG51" s="108">
        <f t="shared" si="517"/>
        <v>1</v>
      </c>
      <c r="EH51" s="108">
        <f t="shared" si="518"/>
        <v>1</v>
      </c>
      <c r="EI51" s="108">
        <f t="shared" si="519"/>
        <v>1</v>
      </c>
      <c r="EJ51" s="108">
        <f t="shared" si="520"/>
        <v>1</v>
      </c>
      <c r="EK51" s="108">
        <f t="shared" si="521"/>
        <v>1</v>
      </c>
      <c r="EL51" s="108">
        <f t="shared" si="522"/>
        <v>1</v>
      </c>
      <c r="EM51" s="109">
        <f t="shared" si="523"/>
        <v>3366000</v>
      </c>
      <c r="EN51" s="110">
        <f t="shared" si="524"/>
        <v>0</v>
      </c>
      <c r="EP51" s="319">
        <v>4.2</v>
      </c>
      <c r="EQ51" s="319" t="s">
        <v>178</v>
      </c>
      <c r="ER51" s="334" t="s">
        <v>299</v>
      </c>
      <c r="ES51" s="321" t="s">
        <v>184</v>
      </c>
      <c r="ET51" s="325">
        <v>170</v>
      </c>
      <c r="EU51" s="323">
        <v>17200</v>
      </c>
      <c r="EV51" s="324">
        <f t="shared" si="525"/>
        <v>2924000</v>
      </c>
      <c r="EW51" s="108">
        <f t="shared" si="526"/>
        <v>1</v>
      </c>
      <c r="EX51" s="108">
        <f t="shared" si="527"/>
        <v>1</v>
      </c>
      <c r="EY51" s="108">
        <f t="shared" si="528"/>
        <v>1</v>
      </c>
      <c r="EZ51" s="108">
        <f t="shared" si="529"/>
        <v>1</v>
      </c>
      <c r="FA51" s="108">
        <f t="shared" si="530"/>
        <v>1</v>
      </c>
      <c r="FB51" s="108">
        <f t="shared" si="531"/>
        <v>1</v>
      </c>
      <c r="FC51" s="108">
        <f t="shared" si="532"/>
        <v>1</v>
      </c>
      <c r="FD51" s="109">
        <f t="shared" si="533"/>
        <v>2924000</v>
      </c>
      <c r="FE51" s="110">
        <f t="shared" si="534"/>
        <v>0</v>
      </c>
      <c r="FG51" s="319">
        <v>4.2</v>
      </c>
      <c r="FH51" s="319" t="s">
        <v>178</v>
      </c>
      <c r="FI51" s="360" t="s">
        <v>299</v>
      </c>
      <c r="FJ51" s="321" t="s">
        <v>184</v>
      </c>
      <c r="FK51" s="325">
        <v>170</v>
      </c>
      <c r="FL51" s="323">
        <v>14178</v>
      </c>
      <c r="FM51" s="324">
        <f t="shared" si="535"/>
        <v>2410260</v>
      </c>
      <c r="FN51" s="108">
        <f t="shared" si="536"/>
        <v>1</v>
      </c>
      <c r="FO51" s="108">
        <f t="shared" si="537"/>
        <v>1</v>
      </c>
      <c r="FP51" s="108">
        <f t="shared" si="538"/>
        <v>1</v>
      </c>
      <c r="FQ51" s="108">
        <f t="shared" si="539"/>
        <v>1</v>
      </c>
      <c r="FR51" s="108">
        <f t="shared" si="540"/>
        <v>1</v>
      </c>
      <c r="FS51" s="108">
        <f t="shared" si="541"/>
        <v>1</v>
      </c>
      <c r="FT51" s="108">
        <f t="shared" si="542"/>
        <v>1</v>
      </c>
      <c r="FU51" s="109">
        <f t="shared" si="543"/>
        <v>2410260</v>
      </c>
      <c r="FV51" s="110">
        <f t="shared" si="544"/>
        <v>0</v>
      </c>
      <c r="FX51" s="319">
        <v>4.2</v>
      </c>
      <c r="FY51" s="319" t="s">
        <v>178</v>
      </c>
      <c r="FZ51" s="334" t="s">
        <v>299</v>
      </c>
      <c r="GA51" s="321" t="s">
        <v>184</v>
      </c>
      <c r="GB51" s="325">
        <v>170</v>
      </c>
      <c r="GC51" s="323">
        <v>19000</v>
      </c>
      <c r="GD51" s="324">
        <f t="shared" si="545"/>
        <v>3230000</v>
      </c>
      <c r="GE51" s="108">
        <f t="shared" si="546"/>
        <v>1</v>
      </c>
      <c r="GF51" s="108">
        <f t="shared" si="547"/>
        <v>1</v>
      </c>
      <c r="GG51" s="108">
        <f t="shared" si="548"/>
        <v>1</v>
      </c>
      <c r="GH51" s="108">
        <f t="shared" si="549"/>
        <v>1</v>
      </c>
      <c r="GI51" s="108">
        <f t="shared" si="550"/>
        <v>1</v>
      </c>
      <c r="GJ51" s="108">
        <f t="shared" si="551"/>
        <v>1</v>
      </c>
      <c r="GK51" s="108">
        <f t="shared" si="552"/>
        <v>1</v>
      </c>
      <c r="GL51" s="109">
        <f t="shared" si="553"/>
        <v>3230000</v>
      </c>
      <c r="GM51" s="110">
        <f t="shared" si="554"/>
        <v>0</v>
      </c>
      <c r="GO51" s="319">
        <v>4.2</v>
      </c>
      <c r="GP51" s="319" t="s">
        <v>178</v>
      </c>
      <c r="GQ51" s="334" t="s">
        <v>299</v>
      </c>
      <c r="GR51" s="321" t="s">
        <v>184</v>
      </c>
      <c r="GS51" s="325">
        <v>170</v>
      </c>
      <c r="GT51" s="323">
        <v>20500</v>
      </c>
      <c r="GU51" s="324">
        <v>3485000</v>
      </c>
      <c r="GV51" s="108">
        <f t="shared" si="555"/>
        <v>1</v>
      </c>
      <c r="GW51" s="108">
        <f t="shared" si="556"/>
        <v>1</v>
      </c>
      <c r="GX51" s="108">
        <f t="shared" si="557"/>
        <v>1</v>
      </c>
      <c r="GY51" s="108">
        <f t="shared" si="558"/>
        <v>1</v>
      </c>
      <c r="GZ51" s="108">
        <f t="shared" si="559"/>
        <v>1</v>
      </c>
      <c r="HA51" s="108">
        <f t="shared" si="560"/>
        <v>1</v>
      </c>
      <c r="HB51" s="108">
        <f t="shared" si="561"/>
        <v>1</v>
      </c>
      <c r="HC51" s="109">
        <f t="shared" si="562"/>
        <v>3485000</v>
      </c>
      <c r="HD51" s="110">
        <f t="shared" si="563"/>
        <v>0</v>
      </c>
      <c r="HF51" s="319">
        <v>4.2</v>
      </c>
      <c r="HG51" s="319" t="s">
        <v>178</v>
      </c>
      <c r="HH51" s="334" t="s">
        <v>299</v>
      </c>
      <c r="HI51" s="321" t="s">
        <v>184</v>
      </c>
      <c r="HJ51" s="325">
        <v>170</v>
      </c>
      <c r="HK51" s="323">
        <v>21000</v>
      </c>
      <c r="HL51" s="324">
        <f t="shared" si="564"/>
        <v>3570000</v>
      </c>
      <c r="HM51" s="108">
        <f t="shared" si="565"/>
        <v>1</v>
      </c>
      <c r="HN51" s="108">
        <f t="shared" si="566"/>
        <v>1</v>
      </c>
      <c r="HO51" s="108">
        <f t="shared" si="567"/>
        <v>1</v>
      </c>
      <c r="HP51" s="108">
        <f t="shared" si="568"/>
        <v>1</v>
      </c>
      <c r="HQ51" s="108">
        <f t="shared" si="569"/>
        <v>1</v>
      </c>
      <c r="HR51" s="108">
        <f t="shared" si="570"/>
        <v>1</v>
      </c>
      <c r="HS51" s="108">
        <f t="shared" si="571"/>
        <v>1</v>
      </c>
      <c r="HT51" s="109">
        <f t="shared" si="572"/>
        <v>3570000</v>
      </c>
      <c r="HU51" s="110">
        <f t="shared" si="573"/>
        <v>0</v>
      </c>
      <c r="HW51" s="319">
        <v>4.2</v>
      </c>
      <c r="HX51" s="319" t="s">
        <v>178</v>
      </c>
      <c r="HY51" s="334" t="s">
        <v>299</v>
      </c>
      <c r="HZ51" s="321" t="s">
        <v>184</v>
      </c>
      <c r="IA51" s="325">
        <v>170</v>
      </c>
      <c r="IB51" s="323">
        <v>18000</v>
      </c>
      <c r="IC51" s="324">
        <f t="shared" si="574"/>
        <v>3060000</v>
      </c>
      <c r="ID51" s="108">
        <f t="shared" si="575"/>
        <v>1</v>
      </c>
      <c r="IE51" s="108">
        <f t="shared" si="576"/>
        <v>1</v>
      </c>
      <c r="IF51" s="108">
        <f t="shared" si="577"/>
        <v>1</v>
      </c>
      <c r="IG51" s="108">
        <f t="shared" si="578"/>
        <v>1</v>
      </c>
      <c r="IH51" s="108">
        <f t="shared" si="579"/>
        <v>1</v>
      </c>
      <c r="II51" s="108">
        <f t="shared" si="580"/>
        <v>1</v>
      </c>
      <c r="IJ51" s="108">
        <f t="shared" si="581"/>
        <v>1</v>
      </c>
      <c r="IK51" s="109">
        <f t="shared" si="582"/>
        <v>3060000</v>
      </c>
      <c r="IL51" s="110">
        <f t="shared" si="583"/>
        <v>0</v>
      </c>
    </row>
    <row r="52" spans="1:246" s="213" customFormat="1" ht="99" customHeight="1" x14ac:dyDescent="0.25">
      <c r="A52" s="211"/>
      <c r="B52" s="319">
        <v>4.3</v>
      </c>
      <c r="C52" s="319" t="s">
        <v>180</v>
      </c>
      <c r="D52" s="334" t="s">
        <v>300</v>
      </c>
      <c r="E52" s="321" t="s">
        <v>184</v>
      </c>
      <c r="F52" s="325">
        <v>85</v>
      </c>
      <c r="G52" s="323">
        <v>0</v>
      </c>
      <c r="H52" s="324">
        <f t="shared" si="456"/>
        <v>0</v>
      </c>
      <c r="J52" s="319">
        <v>4.3</v>
      </c>
      <c r="K52" s="319" t="s">
        <v>180</v>
      </c>
      <c r="L52" s="334" t="s">
        <v>300</v>
      </c>
      <c r="M52" s="321" t="s">
        <v>184</v>
      </c>
      <c r="N52" s="325">
        <v>85</v>
      </c>
      <c r="O52" s="323">
        <v>9935</v>
      </c>
      <c r="P52" s="324">
        <v>844475</v>
      </c>
      <c r="Q52" s="108">
        <f t="shared" si="447"/>
        <v>1</v>
      </c>
      <c r="R52" s="108">
        <f t="shared" si="448"/>
        <v>1</v>
      </c>
      <c r="S52" s="108">
        <f t="shared" si="449"/>
        <v>1</v>
      </c>
      <c r="T52" s="108">
        <f t="shared" si="450"/>
        <v>1</v>
      </c>
      <c r="U52" s="108">
        <f t="shared" si="451"/>
        <v>1</v>
      </c>
      <c r="V52" s="108">
        <f t="shared" si="452"/>
        <v>1</v>
      </c>
      <c r="W52" s="108">
        <f t="shared" si="453"/>
        <v>1</v>
      </c>
      <c r="X52" s="109">
        <f t="shared" si="454"/>
        <v>844475</v>
      </c>
      <c r="Y52" s="110">
        <f t="shared" si="455"/>
        <v>0</v>
      </c>
      <c r="AA52" s="319">
        <v>4.3</v>
      </c>
      <c r="AB52" s="319" t="s">
        <v>180</v>
      </c>
      <c r="AC52" s="334" t="s">
        <v>300</v>
      </c>
      <c r="AD52" s="321" t="s">
        <v>184</v>
      </c>
      <c r="AE52" s="325">
        <v>85</v>
      </c>
      <c r="AF52" s="323">
        <v>18900</v>
      </c>
      <c r="AG52" s="324">
        <v>1606500</v>
      </c>
      <c r="AH52" s="108">
        <f t="shared" si="457"/>
        <v>1</v>
      </c>
      <c r="AI52" s="108">
        <f t="shared" si="458"/>
        <v>1</v>
      </c>
      <c r="AJ52" s="108">
        <f t="shared" si="459"/>
        <v>1</v>
      </c>
      <c r="AK52" s="108">
        <f t="shared" si="460"/>
        <v>1</v>
      </c>
      <c r="AL52" s="108">
        <f t="shared" si="461"/>
        <v>1</v>
      </c>
      <c r="AM52" s="108">
        <f t="shared" si="462"/>
        <v>1</v>
      </c>
      <c r="AN52" s="108">
        <f t="shared" si="463"/>
        <v>1</v>
      </c>
      <c r="AO52" s="109">
        <f t="shared" si="464"/>
        <v>1606500</v>
      </c>
      <c r="AP52" s="110">
        <f t="shared" si="465"/>
        <v>0</v>
      </c>
      <c r="AR52" s="319">
        <v>4.3</v>
      </c>
      <c r="AS52" s="319" t="s">
        <v>180</v>
      </c>
      <c r="AT52" s="334" t="s">
        <v>300</v>
      </c>
      <c r="AU52" s="321" t="s">
        <v>184</v>
      </c>
      <c r="AV52" s="325">
        <v>85</v>
      </c>
      <c r="AW52" s="323">
        <v>12610</v>
      </c>
      <c r="AX52" s="324">
        <v>1071850</v>
      </c>
      <c r="AY52" s="108">
        <f t="shared" si="466"/>
        <v>1</v>
      </c>
      <c r="AZ52" s="108">
        <f t="shared" si="467"/>
        <v>1</v>
      </c>
      <c r="BA52" s="108">
        <f t="shared" si="468"/>
        <v>1</v>
      </c>
      <c r="BB52" s="108">
        <f t="shared" si="469"/>
        <v>1</v>
      </c>
      <c r="BC52" s="108">
        <f t="shared" si="470"/>
        <v>1</v>
      </c>
      <c r="BD52" s="108">
        <f t="shared" si="471"/>
        <v>1</v>
      </c>
      <c r="BE52" s="108">
        <f t="shared" si="472"/>
        <v>1</v>
      </c>
      <c r="BF52" s="109">
        <f t="shared" si="473"/>
        <v>1071850</v>
      </c>
      <c r="BG52" s="110">
        <f t="shared" si="474"/>
        <v>0</v>
      </c>
      <c r="BI52" s="319">
        <v>4.3</v>
      </c>
      <c r="BJ52" s="319" t="s">
        <v>180</v>
      </c>
      <c r="BK52" s="334" t="s">
        <v>300</v>
      </c>
      <c r="BL52" s="321" t="s">
        <v>184</v>
      </c>
      <c r="BM52" s="325">
        <v>85</v>
      </c>
      <c r="BN52" s="323">
        <v>25102</v>
      </c>
      <c r="BO52" s="324">
        <f t="shared" si="475"/>
        <v>2133670</v>
      </c>
      <c r="BP52" s="108">
        <f t="shared" si="476"/>
        <v>1</v>
      </c>
      <c r="BQ52" s="108">
        <f t="shared" si="477"/>
        <v>1</v>
      </c>
      <c r="BR52" s="108">
        <f t="shared" si="478"/>
        <v>1</v>
      </c>
      <c r="BS52" s="108">
        <f t="shared" si="479"/>
        <v>1</v>
      </c>
      <c r="BT52" s="108">
        <f t="shared" si="480"/>
        <v>1</v>
      </c>
      <c r="BU52" s="108">
        <f t="shared" si="481"/>
        <v>1</v>
      </c>
      <c r="BV52" s="108">
        <f t="shared" si="482"/>
        <v>1</v>
      </c>
      <c r="BW52" s="109">
        <f t="shared" si="483"/>
        <v>2133670</v>
      </c>
      <c r="BX52" s="110">
        <f t="shared" si="484"/>
        <v>0</v>
      </c>
      <c r="BZ52" s="319">
        <v>4.3</v>
      </c>
      <c r="CA52" s="319" t="s">
        <v>180</v>
      </c>
      <c r="CB52" s="334" t="s">
        <v>300</v>
      </c>
      <c r="CC52" s="321" t="s">
        <v>184</v>
      </c>
      <c r="CD52" s="325">
        <v>85</v>
      </c>
      <c r="CE52" s="323">
        <v>16000</v>
      </c>
      <c r="CF52" s="324">
        <f t="shared" si="485"/>
        <v>1360000</v>
      </c>
      <c r="CG52" s="108">
        <f t="shared" si="486"/>
        <v>1</v>
      </c>
      <c r="CH52" s="108">
        <f t="shared" si="487"/>
        <v>1</v>
      </c>
      <c r="CI52" s="108">
        <f t="shared" si="488"/>
        <v>1</v>
      </c>
      <c r="CJ52" s="108">
        <f t="shared" si="489"/>
        <v>1</v>
      </c>
      <c r="CK52" s="108">
        <f t="shared" si="490"/>
        <v>1</v>
      </c>
      <c r="CL52" s="108">
        <f t="shared" si="491"/>
        <v>1</v>
      </c>
      <c r="CM52" s="108">
        <f t="shared" si="492"/>
        <v>1</v>
      </c>
      <c r="CN52" s="109">
        <f t="shared" si="493"/>
        <v>1360000</v>
      </c>
      <c r="CO52" s="110">
        <f t="shared" si="494"/>
        <v>0</v>
      </c>
      <c r="CQ52" s="319">
        <v>4.3</v>
      </c>
      <c r="CR52" s="319" t="s">
        <v>180</v>
      </c>
      <c r="CS52" s="334" t="s">
        <v>300</v>
      </c>
      <c r="CT52" s="321" t="s">
        <v>184</v>
      </c>
      <c r="CU52" s="325">
        <v>85</v>
      </c>
      <c r="CV52" s="323">
        <v>15500</v>
      </c>
      <c r="CW52" s="324">
        <f t="shared" si="495"/>
        <v>1317500</v>
      </c>
      <c r="CX52" s="108">
        <f t="shared" si="496"/>
        <v>1</v>
      </c>
      <c r="CY52" s="108">
        <f t="shared" si="497"/>
        <v>1</v>
      </c>
      <c r="CZ52" s="108">
        <f t="shared" si="498"/>
        <v>1</v>
      </c>
      <c r="DA52" s="108">
        <f t="shared" si="499"/>
        <v>1</v>
      </c>
      <c r="DB52" s="108">
        <f t="shared" si="500"/>
        <v>1</v>
      </c>
      <c r="DC52" s="108">
        <f t="shared" si="501"/>
        <v>1</v>
      </c>
      <c r="DD52" s="108">
        <f t="shared" si="502"/>
        <v>1</v>
      </c>
      <c r="DE52" s="109">
        <f t="shared" si="503"/>
        <v>1317500</v>
      </c>
      <c r="DF52" s="110">
        <f t="shared" si="504"/>
        <v>0</v>
      </c>
      <c r="DH52" s="319">
        <v>4.3</v>
      </c>
      <c r="DI52" s="319" t="s">
        <v>180</v>
      </c>
      <c r="DJ52" s="360" t="s">
        <v>300</v>
      </c>
      <c r="DK52" s="321" t="s">
        <v>184</v>
      </c>
      <c r="DL52" s="325">
        <v>85</v>
      </c>
      <c r="DM52" s="323">
        <v>14732</v>
      </c>
      <c r="DN52" s="324">
        <f t="shared" si="505"/>
        <v>1252220</v>
      </c>
      <c r="DO52" s="108">
        <f t="shared" si="506"/>
        <v>1</v>
      </c>
      <c r="DP52" s="108">
        <f t="shared" si="507"/>
        <v>1</v>
      </c>
      <c r="DQ52" s="108">
        <f t="shared" si="508"/>
        <v>1</v>
      </c>
      <c r="DR52" s="108">
        <f t="shared" si="509"/>
        <v>1</v>
      </c>
      <c r="DS52" s="108">
        <f t="shared" si="510"/>
        <v>1</v>
      </c>
      <c r="DT52" s="108">
        <f t="shared" si="511"/>
        <v>1</v>
      </c>
      <c r="DU52" s="108">
        <f t="shared" si="512"/>
        <v>1</v>
      </c>
      <c r="DV52" s="109">
        <f t="shared" si="513"/>
        <v>1252220</v>
      </c>
      <c r="DW52" s="110">
        <f t="shared" si="514"/>
        <v>0</v>
      </c>
      <c r="DY52" s="319">
        <v>4.3</v>
      </c>
      <c r="DZ52" s="319" t="s">
        <v>180</v>
      </c>
      <c r="EA52" s="360" t="s">
        <v>300</v>
      </c>
      <c r="EB52" s="321" t="s">
        <v>184</v>
      </c>
      <c r="EC52" s="325">
        <v>85</v>
      </c>
      <c r="ED52" s="323">
        <v>15000</v>
      </c>
      <c r="EE52" s="324">
        <f t="shared" si="515"/>
        <v>1275000</v>
      </c>
      <c r="EF52" s="108">
        <f t="shared" si="516"/>
        <v>1</v>
      </c>
      <c r="EG52" s="108">
        <f t="shared" si="517"/>
        <v>1</v>
      </c>
      <c r="EH52" s="108">
        <f t="shared" si="518"/>
        <v>1</v>
      </c>
      <c r="EI52" s="108">
        <f t="shared" si="519"/>
        <v>1</v>
      </c>
      <c r="EJ52" s="108">
        <f t="shared" si="520"/>
        <v>1</v>
      </c>
      <c r="EK52" s="108">
        <f t="shared" si="521"/>
        <v>1</v>
      </c>
      <c r="EL52" s="108">
        <f t="shared" si="522"/>
        <v>1</v>
      </c>
      <c r="EM52" s="109">
        <f t="shared" si="523"/>
        <v>1275000</v>
      </c>
      <c r="EN52" s="110">
        <f t="shared" si="524"/>
        <v>0</v>
      </c>
      <c r="EP52" s="319">
        <v>4.3</v>
      </c>
      <c r="EQ52" s="319" t="s">
        <v>180</v>
      </c>
      <c r="ER52" s="334" t="s">
        <v>300</v>
      </c>
      <c r="ES52" s="321" t="s">
        <v>184</v>
      </c>
      <c r="ET52" s="325">
        <v>85</v>
      </c>
      <c r="EU52" s="323">
        <v>11200</v>
      </c>
      <c r="EV52" s="324">
        <f t="shared" si="525"/>
        <v>952000</v>
      </c>
      <c r="EW52" s="108">
        <f t="shared" si="526"/>
        <v>1</v>
      </c>
      <c r="EX52" s="108">
        <f t="shared" si="527"/>
        <v>1</v>
      </c>
      <c r="EY52" s="108">
        <f t="shared" si="528"/>
        <v>1</v>
      </c>
      <c r="EZ52" s="108">
        <f t="shared" si="529"/>
        <v>1</v>
      </c>
      <c r="FA52" s="108">
        <f t="shared" si="530"/>
        <v>1</v>
      </c>
      <c r="FB52" s="108">
        <f t="shared" si="531"/>
        <v>1</v>
      </c>
      <c r="FC52" s="108">
        <f t="shared" si="532"/>
        <v>1</v>
      </c>
      <c r="FD52" s="109">
        <f t="shared" si="533"/>
        <v>952000</v>
      </c>
      <c r="FE52" s="110">
        <f t="shared" si="534"/>
        <v>0</v>
      </c>
      <c r="FG52" s="319">
        <v>4.3</v>
      </c>
      <c r="FH52" s="319" t="s">
        <v>180</v>
      </c>
      <c r="FI52" s="360" t="s">
        <v>300</v>
      </c>
      <c r="FJ52" s="321" t="s">
        <v>184</v>
      </c>
      <c r="FK52" s="325">
        <v>85</v>
      </c>
      <c r="FL52" s="323">
        <v>14742</v>
      </c>
      <c r="FM52" s="324">
        <f t="shared" si="535"/>
        <v>1253070</v>
      </c>
      <c r="FN52" s="108">
        <f t="shared" si="536"/>
        <v>1</v>
      </c>
      <c r="FO52" s="108">
        <f t="shared" si="537"/>
        <v>1</v>
      </c>
      <c r="FP52" s="108">
        <f t="shared" si="538"/>
        <v>1</v>
      </c>
      <c r="FQ52" s="108">
        <f t="shared" si="539"/>
        <v>1</v>
      </c>
      <c r="FR52" s="108">
        <f t="shared" si="540"/>
        <v>1</v>
      </c>
      <c r="FS52" s="108">
        <f t="shared" si="541"/>
        <v>1</v>
      </c>
      <c r="FT52" s="108">
        <f t="shared" si="542"/>
        <v>1</v>
      </c>
      <c r="FU52" s="109">
        <f t="shared" si="543"/>
        <v>1253070</v>
      </c>
      <c r="FV52" s="110">
        <f t="shared" si="544"/>
        <v>0</v>
      </c>
      <c r="FX52" s="319">
        <v>4.3</v>
      </c>
      <c r="FY52" s="319" t="s">
        <v>180</v>
      </c>
      <c r="FZ52" s="334" t="s">
        <v>300</v>
      </c>
      <c r="GA52" s="321" t="s">
        <v>184</v>
      </c>
      <c r="GB52" s="325">
        <v>85</v>
      </c>
      <c r="GC52" s="323">
        <v>14000</v>
      </c>
      <c r="GD52" s="324">
        <f t="shared" si="545"/>
        <v>1190000</v>
      </c>
      <c r="GE52" s="108">
        <f t="shared" si="546"/>
        <v>1</v>
      </c>
      <c r="GF52" s="108">
        <f t="shared" si="547"/>
        <v>1</v>
      </c>
      <c r="GG52" s="108">
        <f t="shared" si="548"/>
        <v>1</v>
      </c>
      <c r="GH52" s="108">
        <f t="shared" si="549"/>
        <v>1</v>
      </c>
      <c r="GI52" s="108">
        <f t="shared" si="550"/>
        <v>1</v>
      </c>
      <c r="GJ52" s="108">
        <f t="shared" si="551"/>
        <v>1</v>
      </c>
      <c r="GK52" s="108">
        <f t="shared" si="552"/>
        <v>1</v>
      </c>
      <c r="GL52" s="109">
        <f t="shared" si="553"/>
        <v>1190000</v>
      </c>
      <c r="GM52" s="110">
        <f t="shared" si="554"/>
        <v>0</v>
      </c>
      <c r="GO52" s="319">
        <v>4.3</v>
      </c>
      <c r="GP52" s="319" t="s">
        <v>180</v>
      </c>
      <c r="GQ52" s="334" t="s">
        <v>300</v>
      </c>
      <c r="GR52" s="321" t="s">
        <v>184</v>
      </c>
      <c r="GS52" s="325">
        <v>85</v>
      </c>
      <c r="GT52" s="323">
        <v>15000</v>
      </c>
      <c r="GU52" s="324">
        <v>1275000</v>
      </c>
      <c r="GV52" s="108">
        <f t="shared" si="555"/>
        <v>1</v>
      </c>
      <c r="GW52" s="108">
        <f t="shared" si="556"/>
        <v>1</v>
      </c>
      <c r="GX52" s="108">
        <f t="shared" si="557"/>
        <v>1</v>
      </c>
      <c r="GY52" s="108">
        <f t="shared" si="558"/>
        <v>1</v>
      </c>
      <c r="GZ52" s="108">
        <f t="shared" si="559"/>
        <v>1</v>
      </c>
      <c r="HA52" s="108">
        <f t="shared" si="560"/>
        <v>1</v>
      </c>
      <c r="HB52" s="108">
        <f t="shared" si="561"/>
        <v>1</v>
      </c>
      <c r="HC52" s="109">
        <f t="shared" si="562"/>
        <v>1275000</v>
      </c>
      <c r="HD52" s="110">
        <f t="shared" si="563"/>
        <v>0</v>
      </c>
      <c r="HF52" s="319">
        <v>4.3</v>
      </c>
      <c r="HG52" s="319" t="s">
        <v>180</v>
      </c>
      <c r="HH52" s="334" t="s">
        <v>300</v>
      </c>
      <c r="HI52" s="321" t="s">
        <v>184</v>
      </c>
      <c r="HJ52" s="325">
        <v>85</v>
      </c>
      <c r="HK52" s="323">
        <v>18000</v>
      </c>
      <c r="HL52" s="324">
        <f t="shared" si="564"/>
        <v>1530000</v>
      </c>
      <c r="HM52" s="108">
        <f t="shared" si="565"/>
        <v>1</v>
      </c>
      <c r="HN52" s="108">
        <f t="shared" si="566"/>
        <v>1</v>
      </c>
      <c r="HO52" s="108">
        <f t="shared" si="567"/>
        <v>1</v>
      </c>
      <c r="HP52" s="108">
        <f t="shared" si="568"/>
        <v>1</v>
      </c>
      <c r="HQ52" s="108">
        <f t="shared" si="569"/>
        <v>1</v>
      </c>
      <c r="HR52" s="108">
        <f t="shared" si="570"/>
        <v>1</v>
      </c>
      <c r="HS52" s="108">
        <f t="shared" si="571"/>
        <v>1</v>
      </c>
      <c r="HT52" s="109">
        <f t="shared" si="572"/>
        <v>1530000</v>
      </c>
      <c r="HU52" s="110">
        <f t="shared" si="573"/>
        <v>0</v>
      </c>
      <c r="HW52" s="319">
        <v>4.3</v>
      </c>
      <c r="HX52" s="319" t="s">
        <v>180</v>
      </c>
      <c r="HY52" s="334" t="s">
        <v>300</v>
      </c>
      <c r="HZ52" s="321" t="s">
        <v>184</v>
      </c>
      <c r="IA52" s="325">
        <v>85</v>
      </c>
      <c r="IB52" s="323">
        <v>20000</v>
      </c>
      <c r="IC52" s="324">
        <f t="shared" si="574"/>
        <v>1700000</v>
      </c>
      <c r="ID52" s="108">
        <f t="shared" si="575"/>
        <v>1</v>
      </c>
      <c r="IE52" s="108">
        <f t="shared" si="576"/>
        <v>1</v>
      </c>
      <c r="IF52" s="108">
        <f t="shared" si="577"/>
        <v>1</v>
      </c>
      <c r="IG52" s="108">
        <f t="shared" si="578"/>
        <v>1</v>
      </c>
      <c r="IH52" s="108">
        <f t="shared" si="579"/>
        <v>1</v>
      </c>
      <c r="II52" s="108">
        <f t="shared" si="580"/>
        <v>1</v>
      </c>
      <c r="IJ52" s="108">
        <f t="shared" si="581"/>
        <v>1</v>
      </c>
      <c r="IK52" s="109">
        <f t="shared" si="582"/>
        <v>1700000</v>
      </c>
      <c r="IL52" s="110">
        <f t="shared" si="583"/>
        <v>0</v>
      </c>
    </row>
    <row r="53" spans="1:246" s="213" customFormat="1" ht="90" x14ac:dyDescent="0.25">
      <c r="A53" s="211"/>
      <c r="B53" s="319">
        <v>4.4000000000000004</v>
      </c>
      <c r="C53" s="319" t="s">
        <v>180</v>
      </c>
      <c r="D53" s="334" t="s">
        <v>301</v>
      </c>
      <c r="E53" s="321" t="s">
        <v>184</v>
      </c>
      <c r="F53" s="325">
        <v>85</v>
      </c>
      <c r="G53" s="323">
        <v>0</v>
      </c>
      <c r="H53" s="324">
        <f t="shared" si="456"/>
        <v>0</v>
      </c>
      <c r="J53" s="319">
        <v>4.4000000000000004</v>
      </c>
      <c r="K53" s="319" t="s">
        <v>180</v>
      </c>
      <c r="L53" s="334" t="s">
        <v>301</v>
      </c>
      <c r="M53" s="321" t="s">
        <v>184</v>
      </c>
      <c r="N53" s="325">
        <v>85</v>
      </c>
      <c r="O53" s="323">
        <v>9935</v>
      </c>
      <c r="P53" s="324">
        <v>844475</v>
      </c>
      <c r="Q53" s="108">
        <f t="shared" si="447"/>
        <v>1</v>
      </c>
      <c r="R53" s="108">
        <f t="shared" si="448"/>
        <v>1</v>
      </c>
      <c r="S53" s="108">
        <f t="shared" si="449"/>
        <v>1</v>
      </c>
      <c r="T53" s="108">
        <f t="shared" si="450"/>
        <v>1</v>
      </c>
      <c r="U53" s="108">
        <f t="shared" si="451"/>
        <v>1</v>
      </c>
      <c r="V53" s="108">
        <f t="shared" si="452"/>
        <v>1</v>
      </c>
      <c r="W53" s="108">
        <f t="shared" si="453"/>
        <v>1</v>
      </c>
      <c r="X53" s="109">
        <f t="shared" si="454"/>
        <v>844475</v>
      </c>
      <c r="Y53" s="110">
        <f t="shared" si="455"/>
        <v>0</v>
      </c>
      <c r="AA53" s="319">
        <v>4.4000000000000004</v>
      </c>
      <c r="AB53" s="319" t="s">
        <v>180</v>
      </c>
      <c r="AC53" s="334" t="s">
        <v>301</v>
      </c>
      <c r="AD53" s="321" t="s">
        <v>184</v>
      </c>
      <c r="AE53" s="325">
        <v>85</v>
      </c>
      <c r="AF53" s="323">
        <v>19600</v>
      </c>
      <c r="AG53" s="324">
        <v>1666000</v>
      </c>
      <c r="AH53" s="108">
        <f t="shared" si="457"/>
        <v>1</v>
      </c>
      <c r="AI53" s="108">
        <f t="shared" si="458"/>
        <v>1</v>
      </c>
      <c r="AJ53" s="108">
        <f t="shared" si="459"/>
        <v>1</v>
      </c>
      <c r="AK53" s="108">
        <f t="shared" si="460"/>
        <v>1</v>
      </c>
      <c r="AL53" s="108">
        <f t="shared" si="461"/>
        <v>1</v>
      </c>
      <c r="AM53" s="108">
        <f t="shared" si="462"/>
        <v>1</v>
      </c>
      <c r="AN53" s="108">
        <f t="shared" si="463"/>
        <v>1</v>
      </c>
      <c r="AO53" s="109">
        <f t="shared" si="464"/>
        <v>1666000</v>
      </c>
      <c r="AP53" s="110">
        <f t="shared" si="465"/>
        <v>0</v>
      </c>
      <c r="AR53" s="319">
        <v>4.4000000000000004</v>
      </c>
      <c r="AS53" s="319" t="s">
        <v>180</v>
      </c>
      <c r="AT53" s="334" t="s">
        <v>301</v>
      </c>
      <c r="AU53" s="321" t="s">
        <v>184</v>
      </c>
      <c r="AV53" s="325">
        <v>85</v>
      </c>
      <c r="AW53" s="323">
        <v>13580</v>
      </c>
      <c r="AX53" s="324">
        <v>1154300</v>
      </c>
      <c r="AY53" s="108">
        <f t="shared" si="466"/>
        <v>1</v>
      </c>
      <c r="AZ53" s="108">
        <f t="shared" si="467"/>
        <v>1</v>
      </c>
      <c r="BA53" s="108">
        <f t="shared" si="468"/>
        <v>1</v>
      </c>
      <c r="BB53" s="108">
        <f t="shared" si="469"/>
        <v>1</v>
      </c>
      <c r="BC53" s="108">
        <f t="shared" si="470"/>
        <v>1</v>
      </c>
      <c r="BD53" s="108">
        <f t="shared" si="471"/>
        <v>1</v>
      </c>
      <c r="BE53" s="108">
        <f t="shared" si="472"/>
        <v>1</v>
      </c>
      <c r="BF53" s="109">
        <f t="shared" si="473"/>
        <v>1154300</v>
      </c>
      <c r="BG53" s="110">
        <f t="shared" si="474"/>
        <v>0</v>
      </c>
      <c r="BI53" s="319">
        <v>4.4000000000000004</v>
      </c>
      <c r="BJ53" s="319" t="s">
        <v>180</v>
      </c>
      <c r="BK53" s="334" t="s">
        <v>301</v>
      </c>
      <c r="BL53" s="321" t="s">
        <v>184</v>
      </c>
      <c r="BM53" s="325">
        <v>85</v>
      </c>
      <c r="BN53" s="323">
        <v>25102</v>
      </c>
      <c r="BO53" s="324">
        <f t="shared" si="475"/>
        <v>2133670</v>
      </c>
      <c r="BP53" s="108">
        <f t="shared" si="476"/>
        <v>1</v>
      </c>
      <c r="BQ53" s="108">
        <f t="shared" si="477"/>
        <v>1</v>
      </c>
      <c r="BR53" s="108">
        <f t="shared" si="478"/>
        <v>1</v>
      </c>
      <c r="BS53" s="108">
        <f t="shared" si="479"/>
        <v>1</v>
      </c>
      <c r="BT53" s="108">
        <f t="shared" si="480"/>
        <v>1</v>
      </c>
      <c r="BU53" s="108">
        <f t="shared" si="481"/>
        <v>1</v>
      </c>
      <c r="BV53" s="108">
        <f t="shared" si="482"/>
        <v>1</v>
      </c>
      <c r="BW53" s="109">
        <f t="shared" si="483"/>
        <v>2133670</v>
      </c>
      <c r="BX53" s="110">
        <f t="shared" si="484"/>
        <v>0</v>
      </c>
      <c r="BZ53" s="319">
        <v>4.4000000000000004</v>
      </c>
      <c r="CA53" s="319" t="s">
        <v>180</v>
      </c>
      <c r="CB53" s="334" t="s">
        <v>301</v>
      </c>
      <c r="CC53" s="321" t="s">
        <v>184</v>
      </c>
      <c r="CD53" s="325">
        <v>85</v>
      </c>
      <c r="CE53" s="323">
        <v>16000</v>
      </c>
      <c r="CF53" s="324">
        <f t="shared" si="485"/>
        <v>1360000</v>
      </c>
      <c r="CG53" s="108">
        <f t="shared" si="486"/>
        <v>1</v>
      </c>
      <c r="CH53" s="108">
        <f t="shared" si="487"/>
        <v>1</v>
      </c>
      <c r="CI53" s="108">
        <f t="shared" si="488"/>
        <v>1</v>
      </c>
      <c r="CJ53" s="108">
        <f t="shared" si="489"/>
        <v>1</v>
      </c>
      <c r="CK53" s="108">
        <f t="shared" si="490"/>
        <v>1</v>
      </c>
      <c r="CL53" s="108">
        <f t="shared" si="491"/>
        <v>1</v>
      </c>
      <c r="CM53" s="108">
        <f t="shared" si="492"/>
        <v>1</v>
      </c>
      <c r="CN53" s="109">
        <f t="shared" si="493"/>
        <v>1360000</v>
      </c>
      <c r="CO53" s="110">
        <f t="shared" si="494"/>
        <v>0</v>
      </c>
      <c r="CQ53" s="319">
        <v>4.4000000000000004</v>
      </c>
      <c r="CR53" s="319" t="s">
        <v>180</v>
      </c>
      <c r="CS53" s="334" t="s">
        <v>301</v>
      </c>
      <c r="CT53" s="321" t="s">
        <v>184</v>
      </c>
      <c r="CU53" s="325">
        <v>85</v>
      </c>
      <c r="CV53" s="323">
        <v>15500</v>
      </c>
      <c r="CW53" s="324">
        <f t="shared" si="495"/>
        <v>1317500</v>
      </c>
      <c r="CX53" s="108">
        <f t="shared" si="496"/>
        <v>1</v>
      </c>
      <c r="CY53" s="108">
        <f t="shared" si="497"/>
        <v>1</v>
      </c>
      <c r="CZ53" s="108">
        <f t="shared" si="498"/>
        <v>1</v>
      </c>
      <c r="DA53" s="108">
        <f t="shared" si="499"/>
        <v>1</v>
      </c>
      <c r="DB53" s="108">
        <f t="shared" si="500"/>
        <v>1</v>
      </c>
      <c r="DC53" s="108">
        <f t="shared" si="501"/>
        <v>1</v>
      </c>
      <c r="DD53" s="108">
        <f t="shared" si="502"/>
        <v>1</v>
      </c>
      <c r="DE53" s="109">
        <f t="shared" si="503"/>
        <v>1317500</v>
      </c>
      <c r="DF53" s="110">
        <f t="shared" si="504"/>
        <v>0</v>
      </c>
      <c r="DH53" s="319">
        <v>4.4000000000000004</v>
      </c>
      <c r="DI53" s="319" t="s">
        <v>180</v>
      </c>
      <c r="DJ53" s="360" t="s">
        <v>301</v>
      </c>
      <c r="DK53" s="321" t="s">
        <v>184</v>
      </c>
      <c r="DL53" s="325">
        <v>85</v>
      </c>
      <c r="DM53" s="323">
        <v>15108</v>
      </c>
      <c r="DN53" s="324">
        <f t="shared" si="505"/>
        <v>1284180</v>
      </c>
      <c r="DO53" s="108">
        <f t="shared" si="506"/>
        <v>1</v>
      </c>
      <c r="DP53" s="108">
        <f t="shared" si="507"/>
        <v>1</v>
      </c>
      <c r="DQ53" s="108">
        <f t="shared" si="508"/>
        <v>1</v>
      </c>
      <c r="DR53" s="108">
        <f t="shared" si="509"/>
        <v>1</v>
      </c>
      <c r="DS53" s="108">
        <f t="shared" si="510"/>
        <v>1</v>
      </c>
      <c r="DT53" s="108">
        <f t="shared" si="511"/>
        <v>1</v>
      </c>
      <c r="DU53" s="108">
        <f t="shared" si="512"/>
        <v>1</v>
      </c>
      <c r="DV53" s="109">
        <f t="shared" si="513"/>
        <v>1284180</v>
      </c>
      <c r="DW53" s="110">
        <f t="shared" si="514"/>
        <v>0</v>
      </c>
      <c r="DY53" s="319">
        <v>4.4000000000000004</v>
      </c>
      <c r="DZ53" s="319" t="s">
        <v>180</v>
      </c>
      <c r="EA53" s="360" t="s">
        <v>301</v>
      </c>
      <c r="EB53" s="321" t="s">
        <v>184</v>
      </c>
      <c r="EC53" s="325">
        <v>85</v>
      </c>
      <c r="ED53" s="323">
        <v>16000</v>
      </c>
      <c r="EE53" s="324">
        <f t="shared" si="515"/>
        <v>1360000</v>
      </c>
      <c r="EF53" s="108">
        <f t="shared" si="516"/>
        <v>1</v>
      </c>
      <c r="EG53" s="108">
        <f t="shared" si="517"/>
        <v>1</v>
      </c>
      <c r="EH53" s="108">
        <f t="shared" si="518"/>
        <v>1</v>
      </c>
      <c r="EI53" s="108">
        <f t="shared" si="519"/>
        <v>1</v>
      </c>
      <c r="EJ53" s="108">
        <f t="shared" si="520"/>
        <v>1</v>
      </c>
      <c r="EK53" s="108">
        <f t="shared" si="521"/>
        <v>1</v>
      </c>
      <c r="EL53" s="108">
        <f t="shared" si="522"/>
        <v>1</v>
      </c>
      <c r="EM53" s="109">
        <f t="shared" si="523"/>
        <v>1360000</v>
      </c>
      <c r="EN53" s="110">
        <f t="shared" si="524"/>
        <v>0</v>
      </c>
      <c r="EP53" s="319">
        <v>4.4000000000000004</v>
      </c>
      <c r="EQ53" s="319" t="s">
        <v>180</v>
      </c>
      <c r="ER53" s="334" t="s">
        <v>301</v>
      </c>
      <c r="ES53" s="321" t="s">
        <v>184</v>
      </c>
      <c r="ET53" s="325">
        <v>85</v>
      </c>
      <c r="EU53" s="323">
        <v>11700</v>
      </c>
      <c r="EV53" s="324">
        <f t="shared" si="525"/>
        <v>994500</v>
      </c>
      <c r="EW53" s="108">
        <f t="shared" si="526"/>
        <v>1</v>
      </c>
      <c r="EX53" s="108">
        <f t="shared" si="527"/>
        <v>1</v>
      </c>
      <c r="EY53" s="108">
        <f t="shared" si="528"/>
        <v>1</v>
      </c>
      <c r="EZ53" s="108">
        <f t="shared" si="529"/>
        <v>1</v>
      </c>
      <c r="FA53" s="108">
        <f t="shared" si="530"/>
        <v>1</v>
      </c>
      <c r="FB53" s="108">
        <f t="shared" si="531"/>
        <v>1</v>
      </c>
      <c r="FC53" s="108">
        <f t="shared" si="532"/>
        <v>1</v>
      </c>
      <c r="FD53" s="109">
        <f t="shared" si="533"/>
        <v>994500</v>
      </c>
      <c r="FE53" s="110">
        <f t="shared" si="534"/>
        <v>0</v>
      </c>
      <c r="FG53" s="319">
        <v>4.4000000000000004</v>
      </c>
      <c r="FH53" s="319" t="s">
        <v>180</v>
      </c>
      <c r="FI53" s="360" t="s">
        <v>301</v>
      </c>
      <c r="FJ53" s="321" t="s">
        <v>184</v>
      </c>
      <c r="FK53" s="325">
        <v>85</v>
      </c>
      <c r="FL53" s="323">
        <v>15118</v>
      </c>
      <c r="FM53" s="324">
        <f t="shared" si="535"/>
        <v>1285030</v>
      </c>
      <c r="FN53" s="108">
        <f t="shared" si="536"/>
        <v>1</v>
      </c>
      <c r="FO53" s="108">
        <f t="shared" si="537"/>
        <v>1</v>
      </c>
      <c r="FP53" s="108">
        <f t="shared" si="538"/>
        <v>1</v>
      </c>
      <c r="FQ53" s="108">
        <f t="shared" si="539"/>
        <v>1</v>
      </c>
      <c r="FR53" s="108">
        <f t="shared" si="540"/>
        <v>1</v>
      </c>
      <c r="FS53" s="108">
        <f t="shared" si="541"/>
        <v>1</v>
      </c>
      <c r="FT53" s="108">
        <f t="shared" si="542"/>
        <v>1</v>
      </c>
      <c r="FU53" s="109">
        <f t="shared" si="543"/>
        <v>1285030</v>
      </c>
      <c r="FV53" s="110">
        <f t="shared" si="544"/>
        <v>0</v>
      </c>
      <c r="FX53" s="319">
        <v>4.4000000000000004</v>
      </c>
      <c r="FY53" s="319" t="s">
        <v>180</v>
      </c>
      <c r="FZ53" s="334" t="s">
        <v>301</v>
      </c>
      <c r="GA53" s="321" t="s">
        <v>184</v>
      </c>
      <c r="GB53" s="325">
        <v>85</v>
      </c>
      <c r="GC53" s="323">
        <v>14000</v>
      </c>
      <c r="GD53" s="324">
        <f t="shared" si="545"/>
        <v>1190000</v>
      </c>
      <c r="GE53" s="108">
        <f t="shared" si="546"/>
        <v>1</v>
      </c>
      <c r="GF53" s="108">
        <f t="shared" si="547"/>
        <v>1</v>
      </c>
      <c r="GG53" s="108">
        <f t="shared" si="548"/>
        <v>1</v>
      </c>
      <c r="GH53" s="108">
        <f t="shared" si="549"/>
        <v>1</v>
      </c>
      <c r="GI53" s="108">
        <f t="shared" si="550"/>
        <v>1</v>
      </c>
      <c r="GJ53" s="108">
        <f t="shared" si="551"/>
        <v>1</v>
      </c>
      <c r="GK53" s="108">
        <f t="shared" si="552"/>
        <v>1</v>
      </c>
      <c r="GL53" s="109">
        <f t="shared" si="553"/>
        <v>1190000</v>
      </c>
      <c r="GM53" s="110">
        <f t="shared" si="554"/>
        <v>0</v>
      </c>
      <c r="GO53" s="319">
        <v>4.4000000000000004</v>
      </c>
      <c r="GP53" s="319" t="s">
        <v>180</v>
      </c>
      <c r="GQ53" s="334" t="s">
        <v>301</v>
      </c>
      <c r="GR53" s="321" t="s">
        <v>184</v>
      </c>
      <c r="GS53" s="325">
        <v>85</v>
      </c>
      <c r="GT53" s="323">
        <v>15500</v>
      </c>
      <c r="GU53" s="324">
        <v>1317500</v>
      </c>
      <c r="GV53" s="108">
        <f t="shared" si="555"/>
        <v>1</v>
      </c>
      <c r="GW53" s="108">
        <f t="shared" si="556"/>
        <v>1</v>
      </c>
      <c r="GX53" s="108">
        <f t="shared" si="557"/>
        <v>1</v>
      </c>
      <c r="GY53" s="108">
        <f t="shared" si="558"/>
        <v>1</v>
      </c>
      <c r="GZ53" s="108">
        <f t="shared" si="559"/>
        <v>1</v>
      </c>
      <c r="HA53" s="108">
        <f t="shared" si="560"/>
        <v>1</v>
      </c>
      <c r="HB53" s="108">
        <f t="shared" si="561"/>
        <v>1</v>
      </c>
      <c r="HC53" s="109">
        <f t="shared" si="562"/>
        <v>1317500</v>
      </c>
      <c r="HD53" s="110">
        <f t="shared" si="563"/>
        <v>0</v>
      </c>
      <c r="HF53" s="319">
        <v>4.4000000000000004</v>
      </c>
      <c r="HG53" s="319" t="s">
        <v>180</v>
      </c>
      <c r="HH53" s="334" t="s">
        <v>301</v>
      </c>
      <c r="HI53" s="321" t="s">
        <v>184</v>
      </c>
      <c r="HJ53" s="325">
        <v>85</v>
      </c>
      <c r="HK53" s="323">
        <v>18000</v>
      </c>
      <c r="HL53" s="324">
        <f t="shared" si="564"/>
        <v>1530000</v>
      </c>
      <c r="HM53" s="108">
        <f t="shared" si="565"/>
        <v>1</v>
      </c>
      <c r="HN53" s="108">
        <f t="shared" si="566"/>
        <v>1</v>
      </c>
      <c r="HO53" s="108">
        <f t="shared" si="567"/>
        <v>1</v>
      </c>
      <c r="HP53" s="108">
        <f t="shared" si="568"/>
        <v>1</v>
      </c>
      <c r="HQ53" s="108">
        <f t="shared" si="569"/>
        <v>1</v>
      </c>
      <c r="HR53" s="108">
        <f t="shared" si="570"/>
        <v>1</v>
      </c>
      <c r="HS53" s="108">
        <f t="shared" si="571"/>
        <v>1</v>
      </c>
      <c r="HT53" s="109">
        <f t="shared" si="572"/>
        <v>1530000</v>
      </c>
      <c r="HU53" s="110">
        <f t="shared" si="573"/>
        <v>0</v>
      </c>
      <c r="HW53" s="319">
        <v>4.4000000000000004</v>
      </c>
      <c r="HX53" s="319" t="s">
        <v>180</v>
      </c>
      <c r="HY53" s="334" t="s">
        <v>301</v>
      </c>
      <c r="HZ53" s="321" t="s">
        <v>184</v>
      </c>
      <c r="IA53" s="325">
        <v>85</v>
      </c>
      <c r="IB53" s="323">
        <v>20000</v>
      </c>
      <c r="IC53" s="324">
        <f t="shared" si="574"/>
        <v>1700000</v>
      </c>
      <c r="ID53" s="108">
        <f t="shared" si="575"/>
        <v>1</v>
      </c>
      <c r="IE53" s="108">
        <f t="shared" si="576"/>
        <v>1</v>
      </c>
      <c r="IF53" s="108">
        <f t="shared" si="577"/>
        <v>1</v>
      </c>
      <c r="IG53" s="108">
        <f t="shared" si="578"/>
        <v>1</v>
      </c>
      <c r="IH53" s="108">
        <f t="shared" si="579"/>
        <v>1</v>
      </c>
      <c r="II53" s="108">
        <f t="shared" si="580"/>
        <v>1</v>
      </c>
      <c r="IJ53" s="108">
        <f t="shared" si="581"/>
        <v>1</v>
      </c>
      <c r="IK53" s="109">
        <f t="shared" si="582"/>
        <v>1700000</v>
      </c>
      <c r="IL53" s="110">
        <f t="shared" si="583"/>
        <v>0</v>
      </c>
    </row>
    <row r="54" spans="1:246" s="213" customFormat="1" ht="90" x14ac:dyDescent="0.25">
      <c r="A54" s="211"/>
      <c r="B54" s="319">
        <v>4.5</v>
      </c>
      <c r="C54" s="319" t="s">
        <v>178</v>
      </c>
      <c r="D54" s="334" t="s">
        <v>302</v>
      </c>
      <c r="E54" s="321" t="s">
        <v>184</v>
      </c>
      <c r="F54" s="325">
        <v>1275</v>
      </c>
      <c r="G54" s="323">
        <v>0</v>
      </c>
      <c r="H54" s="324">
        <f t="shared" si="456"/>
        <v>0</v>
      </c>
      <c r="J54" s="319">
        <v>4.5</v>
      </c>
      <c r="K54" s="319" t="s">
        <v>178</v>
      </c>
      <c r="L54" s="334" t="s">
        <v>302</v>
      </c>
      <c r="M54" s="321" t="s">
        <v>184</v>
      </c>
      <c r="N54" s="325">
        <v>1275</v>
      </c>
      <c r="O54" s="323">
        <v>10065</v>
      </c>
      <c r="P54" s="324">
        <v>12832875</v>
      </c>
      <c r="Q54" s="108">
        <f t="shared" si="447"/>
        <v>1</v>
      </c>
      <c r="R54" s="108">
        <f t="shared" si="448"/>
        <v>1</v>
      </c>
      <c r="S54" s="108">
        <f t="shared" si="449"/>
        <v>1</v>
      </c>
      <c r="T54" s="108">
        <f t="shared" si="450"/>
        <v>1</v>
      </c>
      <c r="U54" s="108">
        <f t="shared" si="451"/>
        <v>1</v>
      </c>
      <c r="V54" s="108">
        <f t="shared" si="452"/>
        <v>1</v>
      </c>
      <c r="W54" s="108">
        <f t="shared" si="453"/>
        <v>1</v>
      </c>
      <c r="X54" s="109">
        <f t="shared" si="454"/>
        <v>12832875</v>
      </c>
      <c r="Y54" s="110">
        <f t="shared" si="455"/>
        <v>0</v>
      </c>
      <c r="AA54" s="319">
        <v>4.5</v>
      </c>
      <c r="AB54" s="319" t="s">
        <v>178</v>
      </c>
      <c r="AC54" s="334" t="s">
        <v>302</v>
      </c>
      <c r="AD54" s="321" t="s">
        <v>184</v>
      </c>
      <c r="AE54" s="325">
        <v>1275</v>
      </c>
      <c r="AF54" s="323">
        <v>25950</v>
      </c>
      <c r="AG54" s="324">
        <v>33086250</v>
      </c>
      <c r="AH54" s="108">
        <f t="shared" si="457"/>
        <v>1</v>
      </c>
      <c r="AI54" s="108">
        <f t="shared" si="458"/>
        <v>1</v>
      </c>
      <c r="AJ54" s="108">
        <f t="shared" si="459"/>
        <v>1</v>
      </c>
      <c r="AK54" s="108">
        <f t="shared" si="460"/>
        <v>1</v>
      </c>
      <c r="AL54" s="108">
        <f t="shared" si="461"/>
        <v>1</v>
      </c>
      <c r="AM54" s="108">
        <f t="shared" si="462"/>
        <v>1</v>
      </c>
      <c r="AN54" s="108">
        <f t="shared" si="463"/>
        <v>1</v>
      </c>
      <c r="AO54" s="109">
        <f t="shared" si="464"/>
        <v>33086250</v>
      </c>
      <c r="AP54" s="110">
        <f t="shared" si="465"/>
        <v>0</v>
      </c>
      <c r="AR54" s="319">
        <v>4.5</v>
      </c>
      <c r="AS54" s="319" t="s">
        <v>178</v>
      </c>
      <c r="AT54" s="334" t="s">
        <v>302</v>
      </c>
      <c r="AU54" s="321" t="s">
        <v>184</v>
      </c>
      <c r="AV54" s="325">
        <v>1275</v>
      </c>
      <c r="AW54" s="323">
        <v>13580</v>
      </c>
      <c r="AX54" s="324">
        <v>17314500</v>
      </c>
      <c r="AY54" s="108">
        <f t="shared" si="466"/>
        <v>1</v>
      </c>
      <c r="AZ54" s="108">
        <f t="shared" si="467"/>
        <v>1</v>
      </c>
      <c r="BA54" s="108">
        <f t="shared" si="468"/>
        <v>1</v>
      </c>
      <c r="BB54" s="108">
        <f t="shared" si="469"/>
        <v>1</v>
      </c>
      <c r="BC54" s="108">
        <f t="shared" si="470"/>
        <v>1</v>
      </c>
      <c r="BD54" s="108">
        <f t="shared" si="471"/>
        <v>1</v>
      </c>
      <c r="BE54" s="108">
        <f t="shared" si="472"/>
        <v>1</v>
      </c>
      <c r="BF54" s="109">
        <f t="shared" si="473"/>
        <v>17314500</v>
      </c>
      <c r="BG54" s="110">
        <f t="shared" si="474"/>
        <v>0</v>
      </c>
      <c r="BI54" s="319">
        <v>4.5</v>
      </c>
      <c r="BJ54" s="319" t="s">
        <v>178</v>
      </c>
      <c r="BK54" s="334" t="s">
        <v>302</v>
      </c>
      <c r="BL54" s="321" t="s">
        <v>184</v>
      </c>
      <c r="BM54" s="325">
        <v>1275</v>
      </c>
      <c r="BN54" s="323">
        <v>20000</v>
      </c>
      <c r="BO54" s="324">
        <f t="shared" si="475"/>
        <v>25500000</v>
      </c>
      <c r="BP54" s="108">
        <f t="shared" si="476"/>
        <v>1</v>
      </c>
      <c r="BQ54" s="108">
        <f t="shared" si="477"/>
        <v>1</v>
      </c>
      <c r="BR54" s="108">
        <f t="shared" si="478"/>
        <v>1</v>
      </c>
      <c r="BS54" s="108">
        <f t="shared" si="479"/>
        <v>1</v>
      </c>
      <c r="BT54" s="108">
        <f t="shared" si="480"/>
        <v>1</v>
      </c>
      <c r="BU54" s="108">
        <f t="shared" si="481"/>
        <v>1</v>
      </c>
      <c r="BV54" s="108">
        <f t="shared" si="482"/>
        <v>1</v>
      </c>
      <c r="BW54" s="109">
        <f t="shared" si="483"/>
        <v>25500000</v>
      </c>
      <c r="BX54" s="110">
        <f t="shared" si="484"/>
        <v>0</v>
      </c>
      <c r="BZ54" s="319">
        <v>4.5</v>
      </c>
      <c r="CA54" s="319" t="s">
        <v>178</v>
      </c>
      <c r="CB54" s="334" t="s">
        <v>302</v>
      </c>
      <c r="CC54" s="321" t="s">
        <v>184</v>
      </c>
      <c r="CD54" s="325">
        <v>1275</v>
      </c>
      <c r="CE54" s="323">
        <v>13000</v>
      </c>
      <c r="CF54" s="324">
        <f t="shared" si="485"/>
        <v>16575000</v>
      </c>
      <c r="CG54" s="108">
        <f t="shared" si="486"/>
        <v>1</v>
      </c>
      <c r="CH54" s="108">
        <f t="shared" si="487"/>
        <v>1</v>
      </c>
      <c r="CI54" s="108">
        <f t="shared" si="488"/>
        <v>1</v>
      </c>
      <c r="CJ54" s="108">
        <f t="shared" si="489"/>
        <v>1</v>
      </c>
      <c r="CK54" s="108">
        <f t="shared" si="490"/>
        <v>1</v>
      </c>
      <c r="CL54" s="108">
        <f t="shared" si="491"/>
        <v>1</v>
      </c>
      <c r="CM54" s="108">
        <f t="shared" si="492"/>
        <v>1</v>
      </c>
      <c r="CN54" s="109">
        <f t="shared" si="493"/>
        <v>16575000</v>
      </c>
      <c r="CO54" s="110">
        <f t="shared" si="494"/>
        <v>0</v>
      </c>
      <c r="CQ54" s="319">
        <v>4.5</v>
      </c>
      <c r="CR54" s="319" t="s">
        <v>178</v>
      </c>
      <c r="CS54" s="334" t="s">
        <v>302</v>
      </c>
      <c r="CT54" s="321" t="s">
        <v>184</v>
      </c>
      <c r="CU54" s="325">
        <v>1275</v>
      </c>
      <c r="CV54" s="323">
        <v>14500</v>
      </c>
      <c r="CW54" s="324">
        <f t="shared" si="495"/>
        <v>18487500</v>
      </c>
      <c r="CX54" s="108">
        <f t="shared" si="496"/>
        <v>1</v>
      </c>
      <c r="CY54" s="108">
        <f t="shared" si="497"/>
        <v>1</v>
      </c>
      <c r="CZ54" s="108">
        <f t="shared" si="498"/>
        <v>1</v>
      </c>
      <c r="DA54" s="108">
        <f t="shared" si="499"/>
        <v>1</v>
      </c>
      <c r="DB54" s="108">
        <f t="shared" si="500"/>
        <v>1</v>
      </c>
      <c r="DC54" s="108">
        <f t="shared" si="501"/>
        <v>1</v>
      </c>
      <c r="DD54" s="108">
        <f t="shared" si="502"/>
        <v>1</v>
      </c>
      <c r="DE54" s="109">
        <f t="shared" si="503"/>
        <v>18487500</v>
      </c>
      <c r="DF54" s="110">
        <f t="shared" si="504"/>
        <v>0</v>
      </c>
      <c r="DH54" s="319">
        <v>4.5</v>
      </c>
      <c r="DI54" s="319" t="s">
        <v>178</v>
      </c>
      <c r="DJ54" s="360" t="s">
        <v>302</v>
      </c>
      <c r="DK54" s="321" t="s">
        <v>184</v>
      </c>
      <c r="DL54" s="325">
        <v>1275</v>
      </c>
      <c r="DM54" s="323">
        <v>12583</v>
      </c>
      <c r="DN54" s="324">
        <f t="shared" si="505"/>
        <v>16043325</v>
      </c>
      <c r="DO54" s="108">
        <f t="shared" si="506"/>
        <v>1</v>
      </c>
      <c r="DP54" s="108">
        <f t="shared" si="507"/>
        <v>1</v>
      </c>
      <c r="DQ54" s="108">
        <f t="shared" si="508"/>
        <v>1</v>
      </c>
      <c r="DR54" s="108">
        <f t="shared" si="509"/>
        <v>1</v>
      </c>
      <c r="DS54" s="108">
        <f t="shared" si="510"/>
        <v>1</v>
      </c>
      <c r="DT54" s="108">
        <f t="shared" si="511"/>
        <v>1</v>
      </c>
      <c r="DU54" s="108">
        <f t="shared" si="512"/>
        <v>1</v>
      </c>
      <c r="DV54" s="109">
        <f t="shared" si="513"/>
        <v>16043325</v>
      </c>
      <c r="DW54" s="110">
        <f t="shared" si="514"/>
        <v>0</v>
      </c>
      <c r="DY54" s="319">
        <v>4.5</v>
      </c>
      <c r="DZ54" s="319" t="s">
        <v>178</v>
      </c>
      <c r="EA54" s="360" t="s">
        <v>302</v>
      </c>
      <c r="EB54" s="321" t="s">
        <v>184</v>
      </c>
      <c r="EC54" s="325">
        <v>1275</v>
      </c>
      <c r="ED54" s="323">
        <v>14500</v>
      </c>
      <c r="EE54" s="324">
        <f t="shared" si="515"/>
        <v>18487500</v>
      </c>
      <c r="EF54" s="108">
        <f t="shared" si="516"/>
        <v>1</v>
      </c>
      <c r="EG54" s="108">
        <f t="shared" si="517"/>
        <v>1</v>
      </c>
      <c r="EH54" s="108">
        <f t="shared" si="518"/>
        <v>1</v>
      </c>
      <c r="EI54" s="108">
        <f t="shared" si="519"/>
        <v>1</v>
      </c>
      <c r="EJ54" s="108">
        <f t="shared" si="520"/>
        <v>1</v>
      </c>
      <c r="EK54" s="108">
        <f t="shared" si="521"/>
        <v>1</v>
      </c>
      <c r="EL54" s="108">
        <f t="shared" si="522"/>
        <v>1</v>
      </c>
      <c r="EM54" s="109">
        <f t="shared" si="523"/>
        <v>18487500</v>
      </c>
      <c r="EN54" s="110">
        <f t="shared" si="524"/>
        <v>0</v>
      </c>
      <c r="EP54" s="319">
        <v>4.5</v>
      </c>
      <c r="EQ54" s="319" t="s">
        <v>178</v>
      </c>
      <c r="ER54" s="334" t="s">
        <v>302</v>
      </c>
      <c r="ES54" s="321" t="s">
        <v>184</v>
      </c>
      <c r="ET54" s="325">
        <v>1275</v>
      </c>
      <c r="EU54" s="323">
        <v>6500</v>
      </c>
      <c r="EV54" s="324">
        <f t="shared" si="525"/>
        <v>8287500</v>
      </c>
      <c r="EW54" s="108">
        <f t="shared" si="526"/>
        <v>1</v>
      </c>
      <c r="EX54" s="108">
        <f t="shared" si="527"/>
        <v>1</v>
      </c>
      <c r="EY54" s="108">
        <f t="shared" si="528"/>
        <v>1</v>
      </c>
      <c r="EZ54" s="108">
        <f t="shared" si="529"/>
        <v>1</v>
      </c>
      <c r="FA54" s="108">
        <f t="shared" si="530"/>
        <v>1</v>
      </c>
      <c r="FB54" s="108">
        <f t="shared" si="531"/>
        <v>1</v>
      </c>
      <c r="FC54" s="108">
        <f t="shared" si="532"/>
        <v>1</v>
      </c>
      <c r="FD54" s="109">
        <f t="shared" si="533"/>
        <v>8287500</v>
      </c>
      <c r="FE54" s="110">
        <f t="shared" si="534"/>
        <v>0</v>
      </c>
      <c r="FG54" s="319">
        <v>4.5</v>
      </c>
      <c r="FH54" s="319" t="s">
        <v>178</v>
      </c>
      <c r="FI54" s="360" t="s">
        <v>302</v>
      </c>
      <c r="FJ54" s="321" t="s">
        <v>184</v>
      </c>
      <c r="FK54" s="325">
        <v>1275</v>
      </c>
      <c r="FL54" s="323">
        <v>12588</v>
      </c>
      <c r="FM54" s="324">
        <f t="shared" si="535"/>
        <v>16049700</v>
      </c>
      <c r="FN54" s="108">
        <f t="shared" si="536"/>
        <v>1</v>
      </c>
      <c r="FO54" s="108">
        <f t="shared" si="537"/>
        <v>1</v>
      </c>
      <c r="FP54" s="108">
        <f t="shared" si="538"/>
        <v>1</v>
      </c>
      <c r="FQ54" s="108">
        <f t="shared" si="539"/>
        <v>1</v>
      </c>
      <c r="FR54" s="108">
        <f t="shared" si="540"/>
        <v>1</v>
      </c>
      <c r="FS54" s="108">
        <f t="shared" si="541"/>
        <v>1</v>
      </c>
      <c r="FT54" s="108">
        <f t="shared" si="542"/>
        <v>1</v>
      </c>
      <c r="FU54" s="109">
        <f t="shared" si="543"/>
        <v>16049700</v>
      </c>
      <c r="FV54" s="110">
        <f t="shared" si="544"/>
        <v>0</v>
      </c>
      <c r="FX54" s="319">
        <v>4.5</v>
      </c>
      <c r="FY54" s="319" t="s">
        <v>178</v>
      </c>
      <c r="FZ54" s="334" t="s">
        <v>302</v>
      </c>
      <c r="GA54" s="321" t="s">
        <v>184</v>
      </c>
      <c r="GB54" s="325">
        <v>1275</v>
      </c>
      <c r="GC54" s="323">
        <v>13000</v>
      </c>
      <c r="GD54" s="324">
        <f t="shared" si="545"/>
        <v>16575000</v>
      </c>
      <c r="GE54" s="108">
        <f t="shared" si="546"/>
        <v>1</v>
      </c>
      <c r="GF54" s="108">
        <f t="shared" si="547"/>
        <v>1</v>
      </c>
      <c r="GG54" s="108">
        <f t="shared" si="548"/>
        <v>1</v>
      </c>
      <c r="GH54" s="108">
        <f t="shared" si="549"/>
        <v>1</v>
      </c>
      <c r="GI54" s="108">
        <f t="shared" si="550"/>
        <v>1</v>
      </c>
      <c r="GJ54" s="108">
        <f t="shared" si="551"/>
        <v>1</v>
      </c>
      <c r="GK54" s="108">
        <f t="shared" si="552"/>
        <v>1</v>
      </c>
      <c r="GL54" s="109">
        <f t="shared" si="553"/>
        <v>16575000</v>
      </c>
      <c r="GM54" s="110">
        <f t="shared" si="554"/>
        <v>0</v>
      </c>
      <c r="GO54" s="319">
        <v>4.5</v>
      </c>
      <c r="GP54" s="319" t="s">
        <v>178</v>
      </c>
      <c r="GQ54" s="334" t="s">
        <v>302</v>
      </c>
      <c r="GR54" s="321" t="s">
        <v>184</v>
      </c>
      <c r="GS54" s="325">
        <v>1275</v>
      </c>
      <c r="GT54" s="323">
        <v>16000</v>
      </c>
      <c r="GU54" s="324">
        <v>20400000</v>
      </c>
      <c r="GV54" s="108">
        <f t="shared" si="555"/>
        <v>1</v>
      </c>
      <c r="GW54" s="108">
        <f t="shared" si="556"/>
        <v>1</v>
      </c>
      <c r="GX54" s="108">
        <f t="shared" si="557"/>
        <v>1</v>
      </c>
      <c r="GY54" s="108">
        <f t="shared" si="558"/>
        <v>1</v>
      </c>
      <c r="GZ54" s="108">
        <f t="shared" si="559"/>
        <v>1</v>
      </c>
      <c r="HA54" s="108">
        <f t="shared" si="560"/>
        <v>1</v>
      </c>
      <c r="HB54" s="108">
        <f t="shared" si="561"/>
        <v>1</v>
      </c>
      <c r="HC54" s="109">
        <f t="shared" si="562"/>
        <v>20400000</v>
      </c>
      <c r="HD54" s="110">
        <f t="shared" si="563"/>
        <v>0</v>
      </c>
      <c r="HF54" s="319">
        <v>4.5</v>
      </c>
      <c r="HG54" s="319" t="s">
        <v>178</v>
      </c>
      <c r="HH54" s="334" t="s">
        <v>302</v>
      </c>
      <c r="HI54" s="321" t="s">
        <v>184</v>
      </c>
      <c r="HJ54" s="325">
        <v>1275</v>
      </c>
      <c r="HK54" s="323">
        <v>18000</v>
      </c>
      <c r="HL54" s="324">
        <f t="shared" si="564"/>
        <v>22950000</v>
      </c>
      <c r="HM54" s="108">
        <f t="shared" si="565"/>
        <v>1</v>
      </c>
      <c r="HN54" s="108">
        <f t="shared" si="566"/>
        <v>1</v>
      </c>
      <c r="HO54" s="108">
        <f t="shared" si="567"/>
        <v>1</v>
      </c>
      <c r="HP54" s="108">
        <f t="shared" si="568"/>
        <v>1</v>
      </c>
      <c r="HQ54" s="108">
        <f t="shared" si="569"/>
        <v>1</v>
      </c>
      <c r="HR54" s="108">
        <f t="shared" si="570"/>
        <v>1</v>
      </c>
      <c r="HS54" s="108">
        <f t="shared" si="571"/>
        <v>1</v>
      </c>
      <c r="HT54" s="109">
        <f t="shared" si="572"/>
        <v>22950000</v>
      </c>
      <c r="HU54" s="110">
        <f t="shared" si="573"/>
        <v>0</v>
      </c>
      <c r="HW54" s="319">
        <v>4.5</v>
      </c>
      <c r="HX54" s="319" t="s">
        <v>178</v>
      </c>
      <c r="HY54" s="334" t="s">
        <v>302</v>
      </c>
      <c r="HZ54" s="321" t="s">
        <v>184</v>
      </c>
      <c r="IA54" s="325">
        <v>1275</v>
      </c>
      <c r="IB54" s="323">
        <v>15000</v>
      </c>
      <c r="IC54" s="324">
        <f t="shared" si="574"/>
        <v>19125000</v>
      </c>
      <c r="ID54" s="108">
        <f t="shared" si="575"/>
        <v>1</v>
      </c>
      <c r="IE54" s="108">
        <f t="shared" si="576"/>
        <v>1</v>
      </c>
      <c r="IF54" s="108">
        <f t="shared" si="577"/>
        <v>1</v>
      </c>
      <c r="IG54" s="108">
        <f t="shared" si="578"/>
        <v>1</v>
      </c>
      <c r="IH54" s="108">
        <f t="shared" si="579"/>
        <v>1</v>
      </c>
      <c r="II54" s="108">
        <f t="shared" si="580"/>
        <v>1</v>
      </c>
      <c r="IJ54" s="108">
        <f t="shared" si="581"/>
        <v>1</v>
      </c>
      <c r="IK54" s="109">
        <f t="shared" si="582"/>
        <v>19125000</v>
      </c>
      <c r="IL54" s="110">
        <f t="shared" si="583"/>
        <v>0</v>
      </c>
    </row>
    <row r="55" spans="1:246" s="213" customFormat="1" ht="94.5" customHeight="1" x14ac:dyDescent="0.25">
      <c r="A55" s="211"/>
      <c r="B55" s="319">
        <v>4.5999999999999996</v>
      </c>
      <c r="C55" s="319" t="s">
        <v>178</v>
      </c>
      <c r="D55" s="334" t="s">
        <v>303</v>
      </c>
      <c r="E55" s="321" t="s">
        <v>184</v>
      </c>
      <c r="F55" s="325">
        <v>336.59999999999997</v>
      </c>
      <c r="G55" s="323">
        <v>0</v>
      </c>
      <c r="H55" s="324">
        <f t="shared" si="456"/>
        <v>0</v>
      </c>
      <c r="J55" s="319">
        <v>4.5999999999999996</v>
      </c>
      <c r="K55" s="319" t="s">
        <v>178</v>
      </c>
      <c r="L55" s="334" t="s">
        <v>303</v>
      </c>
      <c r="M55" s="321" t="s">
        <v>184</v>
      </c>
      <c r="N55" s="325">
        <v>336.59999999999997</v>
      </c>
      <c r="O55" s="323">
        <v>10665</v>
      </c>
      <c r="P55" s="324">
        <v>3589839</v>
      </c>
      <c r="Q55" s="108">
        <f t="shared" si="447"/>
        <v>1</v>
      </c>
      <c r="R55" s="108">
        <f t="shared" si="448"/>
        <v>1</v>
      </c>
      <c r="S55" s="108">
        <f t="shared" si="449"/>
        <v>1</v>
      </c>
      <c r="T55" s="108">
        <f t="shared" si="450"/>
        <v>1</v>
      </c>
      <c r="U55" s="108">
        <f t="shared" si="451"/>
        <v>1</v>
      </c>
      <c r="V55" s="108">
        <f t="shared" si="452"/>
        <v>1</v>
      </c>
      <c r="W55" s="108">
        <f t="shared" si="453"/>
        <v>1</v>
      </c>
      <c r="X55" s="109">
        <f t="shared" si="454"/>
        <v>3589839</v>
      </c>
      <c r="Y55" s="110">
        <f t="shared" si="455"/>
        <v>0</v>
      </c>
      <c r="AA55" s="319">
        <v>4.5999999999999996</v>
      </c>
      <c r="AB55" s="319" t="s">
        <v>178</v>
      </c>
      <c r="AC55" s="334" t="s">
        <v>303</v>
      </c>
      <c r="AD55" s="321" t="s">
        <v>184</v>
      </c>
      <c r="AE55" s="325">
        <v>336.59999999999997</v>
      </c>
      <c r="AF55" s="323">
        <v>25950</v>
      </c>
      <c r="AG55" s="324">
        <v>8734770</v>
      </c>
      <c r="AH55" s="108">
        <f t="shared" si="457"/>
        <v>1</v>
      </c>
      <c r="AI55" s="108">
        <f t="shared" si="458"/>
        <v>1</v>
      </c>
      <c r="AJ55" s="108">
        <f t="shared" si="459"/>
        <v>1</v>
      </c>
      <c r="AK55" s="108">
        <f t="shared" si="460"/>
        <v>1</v>
      </c>
      <c r="AL55" s="108">
        <f t="shared" si="461"/>
        <v>1</v>
      </c>
      <c r="AM55" s="108">
        <f t="shared" si="462"/>
        <v>1</v>
      </c>
      <c r="AN55" s="108">
        <f t="shared" si="463"/>
        <v>1</v>
      </c>
      <c r="AO55" s="109">
        <f t="shared" si="464"/>
        <v>8734770</v>
      </c>
      <c r="AP55" s="110">
        <f t="shared" si="465"/>
        <v>0</v>
      </c>
      <c r="AR55" s="319">
        <v>4.5999999999999996</v>
      </c>
      <c r="AS55" s="319" t="s">
        <v>178</v>
      </c>
      <c r="AT55" s="334" t="s">
        <v>303</v>
      </c>
      <c r="AU55" s="321" t="s">
        <v>184</v>
      </c>
      <c r="AV55" s="325">
        <v>336.59999999999997</v>
      </c>
      <c r="AW55" s="323">
        <v>13580</v>
      </c>
      <c r="AX55" s="324">
        <v>4571028</v>
      </c>
      <c r="AY55" s="108">
        <f t="shared" si="466"/>
        <v>1</v>
      </c>
      <c r="AZ55" s="108">
        <f t="shared" si="467"/>
        <v>1</v>
      </c>
      <c r="BA55" s="108">
        <f t="shared" si="468"/>
        <v>1</v>
      </c>
      <c r="BB55" s="108">
        <f t="shared" si="469"/>
        <v>1</v>
      </c>
      <c r="BC55" s="108">
        <f t="shared" si="470"/>
        <v>1</v>
      </c>
      <c r="BD55" s="108">
        <f t="shared" si="471"/>
        <v>1</v>
      </c>
      <c r="BE55" s="108">
        <f t="shared" si="472"/>
        <v>1</v>
      </c>
      <c r="BF55" s="109">
        <f t="shared" si="473"/>
        <v>4571028</v>
      </c>
      <c r="BG55" s="110">
        <f t="shared" si="474"/>
        <v>0</v>
      </c>
      <c r="BI55" s="319">
        <v>4.5999999999999996</v>
      </c>
      <c r="BJ55" s="319" t="s">
        <v>178</v>
      </c>
      <c r="BK55" s="334" t="s">
        <v>303</v>
      </c>
      <c r="BL55" s="321" t="s">
        <v>184</v>
      </c>
      <c r="BM55" s="325">
        <v>336.59999999999997</v>
      </c>
      <c r="BN55" s="323">
        <v>25102</v>
      </c>
      <c r="BO55" s="324">
        <f t="shared" si="475"/>
        <v>8449333.1999999993</v>
      </c>
      <c r="BP55" s="108">
        <f t="shared" si="476"/>
        <v>1</v>
      </c>
      <c r="BQ55" s="108">
        <f t="shared" si="477"/>
        <v>1</v>
      </c>
      <c r="BR55" s="108">
        <f t="shared" si="478"/>
        <v>1</v>
      </c>
      <c r="BS55" s="108">
        <f t="shared" si="479"/>
        <v>1</v>
      </c>
      <c r="BT55" s="108">
        <f t="shared" si="480"/>
        <v>1</v>
      </c>
      <c r="BU55" s="108">
        <f t="shared" si="481"/>
        <v>1</v>
      </c>
      <c r="BV55" s="108">
        <f t="shared" si="482"/>
        <v>1</v>
      </c>
      <c r="BW55" s="109">
        <f t="shared" si="483"/>
        <v>8449333</v>
      </c>
      <c r="BX55" s="110">
        <f t="shared" si="484"/>
        <v>0.19999999925494194</v>
      </c>
      <c r="BZ55" s="319">
        <v>4.5999999999999996</v>
      </c>
      <c r="CA55" s="319" t="s">
        <v>178</v>
      </c>
      <c r="CB55" s="334" t="s">
        <v>303</v>
      </c>
      <c r="CC55" s="321" t="s">
        <v>184</v>
      </c>
      <c r="CD55" s="325">
        <v>336.59999999999997</v>
      </c>
      <c r="CE55" s="323">
        <v>14000</v>
      </c>
      <c r="CF55" s="324">
        <f t="shared" si="485"/>
        <v>4712399.9999999991</v>
      </c>
      <c r="CG55" s="108">
        <f t="shared" si="486"/>
        <v>1</v>
      </c>
      <c r="CH55" s="108">
        <f t="shared" si="487"/>
        <v>1</v>
      </c>
      <c r="CI55" s="108">
        <f t="shared" si="488"/>
        <v>1</v>
      </c>
      <c r="CJ55" s="108">
        <f t="shared" si="489"/>
        <v>1</v>
      </c>
      <c r="CK55" s="108">
        <f t="shared" si="490"/>
        <v>1</v>
      </c>
      <c r="CL55" s="108">
        <f t="shared" si="491"/>
        <v>1</v>
      </c>
      <c r="CM55" s="108">
        <f t="shared" si="492"/>
        <v>1</v>
      </c>
      <c r="CN55" s="109">
        <f t="shared" si="493"/>
        <v>4712400</v>
      </c>
      <c r="CO55" s="110">
        <f t="shared" si="494"/>
        <v>0</v>
      </c>
      <c r="CQ55" s="319">
        <v>4.5999999999999996</v>
      </c>
      <c r="CR55" s="319" t="s">
        <v>178</v>
      </c>
      <c r="CS55" s="334" t="s">
        <v>303</v>
      </c>
      <c r="CT55" s="321" t="s">
        <v>184</v>
      </c>
      <c r="CU55" s="325">
        <v>336.59999999999997</v>
      </c>
      <c r="CV55" s="323">
        <v>14500</v>
      </c>
      <c r="CW55" s="324">
        <f t="shared" si="495"/>
        <v>4880699.9999999991</v>
      </c>
      <c r="CX55" s="108">
        <f t="shared" si="496"/>
        <v>1</v>
      </c>
      <c r="CY55" s="108">
        <f t="shared" si="497"/>
        <v>1</v>
      </c>
      <c r="CZ55" s="108">
        <f t="shared" si="498"/>
        <v>1</v>
      </c>
      <c r="DA55" s="108">
        <f t="shared" si="499"/>
        <v>1</v>
      </c>
      <c r="DB55" s="108">
        <f t="shared" si="500"/>
        <v>1</v>
      </c>
      <c r="DC55" s="108">
        <f t="shared" si="501"/>
        <v>1</v>
      </c>
      <c r="DD55" s="108">
        <f t="shared" si="502"/>
        <v>1</v>
      </c>
      <c r="DE55" s="109">
        <f t="shared" si="503"/>
        <v>4880700</v>
      </c>
      <c r="DF55" s="110">
        <f t="shared" si="504"/>
        <v>0</v>
      </c>
      <c r="DH55" s="319">
        <v>4.5999999999999996</v>
      </c>
      <c r="DI55" s="319" t="s">
        <v>178</v>
      </c>
      <c r="DJ55" s="360" t="s">
        <v>303</v>
      </c>
      <c r="DK55" s="321" t="s">
        <v>184</v>
      </c>
      <c r="DL55" s="325">
        <v>336.59999999999997</v>
      </c>
      <c r="DM55" s="323">
        <v>12978</v>
      </c>
      <c r="DN55" s="324">
        <f t="shared" si="505"/>
        <v>4368394.8</v>
      </c>
      <c r="DO55" s="108">
        <f t="shared" si="506"/>
        <v>1</v>
      </c>
      <c r="DP55" s="108">
        <f t="shared" si="507"/>
        <v>1</v>
      </c>
      <c r="DQ55" s="108">
        <f t="shared" si="508"/>
        <v>1</v>
      </c>
      <c r="DR55" s="108">
        <f t="shared" si="509"/>
        <v>1</v>
      </c>
      <c r="DS55" s="108">
        <f t="shared" si="510"/>
        <v>1</v>
      </c>
      <c r="DT55" s="108">
        <f t="shared" si="511"/>
        <v>1</v>
      </c>
      <c r="DU55" s="108">
        <f t="shared" si="512"/>
        <v>1</v>
      </c>
      <c r="DV55" s="109">
        <f t="shared" si="513"/>
        <v>4368395</v>
      </c>
      <c r="DW55" s="110">
        <f t="shared" si="514"/>
        <v>-0.20000000018626451</v>
      </c>
      <c r="DY55" s="319">
        <v>4.5999999999999996</v>
      </c>
      <c r="DZ55" s="319" t="s">
        <v>178</v>
      </c>
      <c r="EA55" s="360" t="s">
        <v>303</v>
      </c>
      <c r="EB55" s="321" t="s">
        <v>184</v>
      </c>
      <c r="EC55" s="325">
        <v>336.59999999999997</v>
      </c>
      <c r="ED55" s="323">
        <v>15500</v>
      </c>
      <c r="EE55" s="324">
        <f t="shared" si="515"/>
        <v>5217299.9999999991</v>
      </c>
      <c r="EF55" s="108">
        <f t="shared" si="516"/>
        <v>1</v>
      </c>
      <c r="EG55" s="108">
        <f t="shared" si="517"/>
        <v>1</v>
      </c>
      <c r="EH55" s="108">
        <f t="shared" si="518"/>
        <v>1</v>
      </c>
      <c r="EI55" s="108">
        <f t="shared" si="519"/>
        <v>1</v>
      </c>
      <c r="EJ55" s="108">
        <f t="shared" si="520"/>
        <v>1</v>
      </c>
      <c r="EK55" s="108">
        <f t="shared" si="521"/>
        <v>1</v>
      </c>
      <c r="EL55" s="108">
        <f t="shared" si="522"/>
        <v>1</v>
      </c>
      <c r="EM55" s="109">
        <f t="shared" si="523"/>
        <v>5217300</v>
      </c>
      <c r="EN55" s="110">
        <f t="shared" si="524"/>
        <v>0</v>
      </c>
      <c r="EP55" s="319">
        <v>4.5999999999999996</v>
      </c>
      <c r="EQ55" s="319" t="s">
        <v>178</v>
      </c>
      <c r="ER55" s="334" t="s">
        <v>303</v>
      </c>
      <c r="ES55" s="321" t="s">
        <v>184</v>
      </c>
      <c r="ET55" s="325">
        <v>336.59999999999997</v>
      </c>
      <c r="EU55" s="323">
        <v>7200</v>
      </c>
      <c r="EV55" s="324">
        <f t="shared" si="525"/>
        <v>2423519.9999999995</v>
      </c>
      <c r="EW55" s="108">
        <f t="shared" si="526"/>
        <v>1</v>
      </c>
      <c r="EX55" s="108">
        <f t="shared" si="527"/>
        <v>1</v>
      </c>
      <c r="EY55" s="108">
        <f t="shared" si="528"/>
        <v>1</v>
      </c>
      <c r="EZ55" s="108">
        <f t="shared" si="529"/>
        <v>1</v>
      </c>
      <c r="FA55" s="108">
        <f t="shared" si="530"/>
        <v>1</v>
      </c>
      <c r="FB55" s="108">
        <f t="shared" si="531"/>
        <v>1</v>
      </c>
      <c r="FC55" s="108">
        <f t="shared" si="532"/>
        <v>1</v>
      </c>
      <c r="FD55" s="109">
        <f t="shared" si="533"/>
        <v>2423520</v>
      </c>
      <c r="FE55" s="110">
        <f t="shared" si="534"/>
        <v>0</v>
      </c>
      <c r="FG55" s="319">
        <v>4.5999999999999996</v>
      </c>
      <c r="FH55" s="319" t="s">
        <v>178</v>
      </c>
      <c r="FI55" s="360" t="s">
        <v>303</v>
      </c>
      <c r="FJ55" s="321" t="s">
        <v>184</v>
      </c>
      <c r="FK55" s="325">
        <v>336.59999999999997</v>
      </c>
      <c r="FL55" s="323">
        <v>12988</v>
      </c>
      <c r="FM55" s="324">
        <f t="shared" si="535"/>
        <v>4371760.8</v>
      </c>
      <c r="FN55" s="108">
        <f t="shared" si="536"/>
        <v>1</v>
      </c>
      <c r="FO55" s="108">
        <f t="shared" si="537"/>
        <v>1</v>
      </c>
      <c r="FP55" s="108">
        <f t="shared" si="538"/>
        <v>1</v>
      </c>
      <c r="FQ55" s="108">
        <f t="shared" si="539"/>
        <v>1</v>
      </c>
      <c r="FR55" s="108">
        <f t="shared" si="540"/>
        <v>1</v>
      </c>
      <c r="FS55" s="108">
        <f t="shared" si="541"/>
        <v>1</v>
      </c>
      <c r="FT55" s="108">
        <f t="shared" si="542"/>
        <v>1</v>
      </c>
      <c r="FU55" s="109">
        <f t="shared" si="543"/>
        <v>4371761</v>
      </c>
      <c r="FV55" s="110">
        <f t="shared" si="544"/>
        <v>-0.20000000018626451</v>
      </c>
      <c r="FX55" s="319">
        <v>4.5999999999999996</v>
      </c>
      <c r="FY55" s="319" t="s">
        <v>178</v>
      </c>
      <c r="FZ55" s="334" t="s">
        <v>303</v>
      </c>
      <c r="GA55" s="321" t="s">
        <v>184</v>
      </c>
      <c r="GB55" s="325">
        <v>336.59999999999997</v>
      </c>
      <c r="GC55" s="323">
        <v>13000</v>
      </c>
      <c r="GD55" s="324">
        <f t="shared" si="545"/>
        <v>4375800</v>
      </c>
      <c r="GE55" s="108">
        <f t="shared" si="546"/>
        <v>1</v>
      </c>
      <c r="GF55" s="108">
        <f t="shared" si="547"/>
        <v>1</v>
      </c>
      <c r="GG55" s="108">
        <f t="shared" si="548"/>
        <v>1</v>
      </c>
      <c r="GH55" s="108">
        <f t="shared" si="549"/>
        <v>1</v>
      </c>
      <c r="GI55" s="108">
        <f t="shared" si="550"/>
        <v>1</v>
      </c>
      <c r="GJ55" s="108">
        <f t="shared" si="551"/>
        <v>1</v>
      </c>
      <c r="GK55" s="108">
        <f t="shared" si="552"/>
        <v>1</v>
      </c>
      <c r="GL55" s="109">
        <f t="shared" si="553"/>
        <v>4375800</v>
      </c>
      <c r="GM55" s="110">
        <f t="shared" si="554"/>
        <v>0</v>
      </c>
      <c r="GO55" s="319">
        <v>4.5999999999999996</v>
      </c>
      <c r="GP55" s="319" t="s">
        <v>178</v>
      </c>
      <c r="GQ55" s="334" t="s">
        <v>303</v>
      </c>
      <c r="GR55" s="321" t="s">
        <v>184</v>
      </c>
      <c r="GS55" s="325">
        <v>336.59999999999997</v>
      </c>
      <c r="GT55" s="323">
        <v>16500</v>
      </c>
      <c r="GU55" s="324">
        <v>5553899.9999999991</v>
      </c>
      <c r="GV55" s="108">
        <f t="shared" si="555"/>
        <v>1</v>
      </c>
      <c r="GW55" s="108">
        <f t="shared" si="556"/>
        <v>1</v>
      </c>
      <c r="GX55" s="108">
        <f t="shared" si="557"/>
        <v>1</v>
      </c>
      <c r="GY55" s="108">
        <f t="shared" si="558"/>
        <v>1</v>
      </c>
      <c r="GZ55" s="108">
        <f t="shared" si="559"/>
        <v>1</v>
      </c>
      <c r="HA55" s="108">
        <f t="shared" si="560"/>
        <v>1</v>
      </c>
      <c r="HB55" s="108">
        <f t="shared" si="561"/>
        <v>1</v>
      </c>
      <c r="HC55" s="109">
        <f t="shared" si="562"/>
        <v>5553900</v>
      </c>
      <c r="HD55" s="110">
        <f t="shared" si="563"/>
        <v>0</v>
      </c>
      <c r="HF55" s="319">
        <v>4.5999999999999996</v>
      </c>
      <c r="HG55" s="319" t="s">
        <v>178</v>
      </c>
      <c r="HH55" s="334" t="s">
        <v>303</v>
      </c>
      <c r="HI55" s="321" t="s">
        <v>184</v>
      </c>
      <c r="HJ55" s="325">
        <v>336.59999999999997</v>
      </c>
      <c r="HK55" s="323">
        <v>18000</v>
      </c>
      <c r="HL55" s="324">
        <f t="shared" si="564"/>
        <v>6058799.9999999991</v>
      </c>
      <c r="HM55" s="108">
        <f t="shared" si="565"/>
        <v>1</v>
      </c>
      <c r="HN55" s="108">
        <f t="shared" si="566"/>
        <v>1</v>
      </c>
      <c r="HO55" s="108">
        <f t="shared" si="567"/>
        <v>1</v>
      </c>
      <c r="HP55" s="108">
        <f t="shared" si="568"/>
        <v>1</v>
      </c>
      <c r="HQ55" s="108">
        <f t="shared" si="569"/>
        <v>1</v>
      </c>
      <c r="HR55" s="108">
        <f t="shared" si="570"/>
        <v>1</v>
      </c>
      <c r="HS55" s="108">
        <f t="shared" si="571"/>
        <v>1</v>
      </c>
      <c r="HT55" s="109">
        <f t="shared" si="572"/>
        <v>6058800</v>
      </c>
      <c r="HU55" s="110">
        <f t="shared" si="573"/>
        <v>0</v>
      </c>
      <c r="HW55" s="319">
        <v>4.5999999999999996</v>
      </c>
      <c r="HX55" s="319" t="s">
        <v>178</v>
      </c>
      <c r="HY55" s="334" t="s">
        <v>303</v>
      </c>
      <c r="HZ55" s="321" t="s">
        <v>184</v>
      </c>
      <c r="IA55" s="325">
        <v>336.59999999999997</v>
      </c>
      <c r="IB55" s="323">
        <v>15000</v>
      </c>
      <c r="IC55" s="324">
        <f t="shared" si="574"/>
        <v>5048999.9999999991</v>
      </c>
      <c r="ID55" s="108">
        <f t="shared" si="575"/>
        <v>1</v>
      </c>
      <c r="IE55" s="108">
        <f t="shared" si="576"/>
        <v>1</v>
      </c>
      <c r="IF55" s="108">
        <f t="shared" si="577"/>
        <v>1</v>
      </c>
      <c r="IG55" s="108">
        <f t="shared" si="578"/>
        <v>1</v>
      </c>
      <c r="IH55" s="108">
        <f t="shared" si="579"/>
        <v>1</v>
      </c>
      <c r="II55" s="108">
        <f t="shared" si="580"/>
        <v>1</v>
      </c>
      <c r="IJ55" s="108">
        <f t="shared" si="581"/>
        <v>1</v>
      </c>
      <c r="IK55" s="109">
        <f t="shared" si="582"/>
        <v>5049000</v>
      </c>
      <c r="IL55" s="110">
        <f t="shared" si="583"/>
        <v>0</v>
      </c>
    </row>
    <row r="56" spans="1:246" s="213" customFormat="1" ht="147" customHeight="1" x14ac:dyDescent="0.25">
      <c r="A56" s="211"/>
      <c r="B56" s="326" t="s">
        <v>304</v>
      </c>
      <c r="C56" s="319" t="s">
        <v>178</v>
      </c>
      <c r="D56" s="334" t="s">
        <v>305</v>
      </c>
      <c r="E56" s="327" t="s">
        <v>184</v>
      </c>
      <c r="F56" s="322">
        <v>8.5</v>
      </c>
      <c r="G56" s="323">
        <v>0</v>
      </c>
      <c r="H56" s="324">
        <f t="shared" si="456"/>
        <v>0</v>
      </c>
      <c r="J56" s="326" t="s">
        <v>304</v>
      </c>
      <c r="K56" s="319" t="s">
        <v>178</v>
      </c>
      <c r="L56" s="334" t="s">
        <v>305</v>
      </c>
      <c r="M56" s="327" t="s">
        <v>184</v>
      </c>
      <c r="N56" s="322">
        <v>8.5</v>
      </c>
      <c r="O56" s="323">
        <v>10665</v>
      </c>
      <c r="P56" s="324">
        <v>90653</v>
      </c>
      <c r="Q56" s="108">
        <f t="shared" si="447"/>
        <v>1</v>
      </c>
      <c r="R56" s="108">
        <f t="shared" si="448"/>
        <v>1</v>
      </c>
      <c r="S56" s="108">
        <f t="shared" si="449"/>
        <v>1</v>
      </c>
      <c r="T56" s="108">
        <f t="shared" si="450"/>
        <v>1</v>
      </c>
      <c r="U56" s="108">
        <f t="shared" si="451"/>
        <v>1</v>
      </c>
      <c r="V56" s="108">
        <f t="shared" si="452"/>
        <v>1</v>
      </c>
      <c r="W56" s="108">
        <f t="shared" si="453"/>
        <v>1</v>
      </c>
      <c r="X56" s="109">
        <f t="shared" si="454"/>
        <v>90653</v>
      </c>
      <c r="Y56" s="110">
        <f t="shared" si="455"/>
        <v>0</v>
      </c>
      <c r="AA56" s="326" t="s">
        <v>304</v>
      </c>
      <c r="AB56" s="319" t="s">
        <v>178</v>
      </c>
      <c r="AC56" s="334" t="s">
        <v>305</v>
      </c>
      <c r="AD56" s="327" t="s">
        <v>184</v>
      </c>
      <c r="AE56" s="322">
        <v>8.5</v>
      </c>
      <c r="AF56" s="323">
        <v>34800</v>
      </c>
      <c r="AG56" s="324">
        <v>295800</v>
      </c>
      <c r="AH56" s="108">
        <f t="shared" si="457"/>
        <v>1</v>
      </c>
      <c r="AI56" s="108">
        <f t="shared" si="458"/>
        <v>1</v>
      </c>
      <c r="AJ56" s="108">
        <f t="shared" si="459"/>
        <v>1</v>
      </c>
      <c r="AK56" s="108">
        <f t="shared" si="460"/>
        <v>1</v>
      </c>
      <c r="AL56" s="108">
        <f t="shared" si="461"/>
        <v>1</v>
      </c>
      <c r="AM56" s="108">
        <f t="shared" si="462"/>
        <v>1</v>
      </c>
      <c r="AN56" s="108">
        <f t="shared" si="463"/>
        <v>1</v>
      </c>
      <c r="AO56" s="109">
        <f t="shared" si="464"/>
        <v>295800</v>
      </c>
      <c r="AP56" s="110">
        <f t="shared" si="465"/>
        <v>0</v>
      </c>
      <c r="AR56" s="326" t="s">
        <v>304</v>
      </c>
      <c r="AS56" s="319" t="s">
        <v>178</v>
      </c>
      <c r="AT56" s="334" t="s">
        <v>305</v>
      </c>
      <c r="AU56" s="327" t="s">
        <v>184</v>
      </c>
      <c r="AV56" s="322">
        <v>8.5</v>
      </c>
      <c r="AW56" s="323">
        <v>9700</v>
      </c>
      <c r="AX56" s="324">
        <v>82450</v>
      </c>
      <c r="AY56" s="108">
        <f t="shared" si="466"/>
        <v>1</v>
      </c>
      <c r="AZ56" s="108">
        <f t="shared" si="467"/>
        <v>1</v>
      </c>
      <c r="BA56" s="108">
        <f t="shared" si="468"/>
        <v>1</v>
      </c>
      <c r="BB56" s="108">
        <f t="shared" si="469"/>
        <v>1</v>
      </c>
      <c r="BC56" s="108">
        <f t="shared" si="470"/>
        <v>1</v>
      </c>
      <c r="BD56" s="108">
        <f t="shared" si="471"/>
        <v>1</v>
      </c>
      <c r="BE56" s="108">
        <f t="shared" si="472"/>
        <v>1</v>
      </c>
      <c r="BF56" s="109">
        <f t="shared" si="473"/>
        <v>82450</v>
      </c>
      <c r="BG56" s="110">
        <f t="shared" si="474"/>
        <v>0</v>
      </c>
      <c r="BI56" s="326" t="s">
        <v>304</v>
      </c>
      <c r="BJ56" s="319" t="s">
        <v>178</v>
      </c>
      <c r="BK56" s="334" t="s">
        <v>305</v>
      </c>
      <c r="BL56" s="327" t="s">
        <v>184</v>
      </c>
      <c r="BM56" s="322">
        <v>8.5</v>
      </c>
      <c r="BN56" s="323">
        <v>6500</v>
      </c>
      <c r="BO56" s="324">
        <f t="shared" si="475"/>
        <v>55250</v>
      </c>
      <c r="BP56" s="108">
        <f t="shared" si="476"/>
        <v>1</v>
      </c>
      <c r="BQ56" s="108">
        <f t="shared" si="477"/>
        <v>1</v>
      </c>
      <c r="BR56" s="108">
        <f t="shared" si="478"/>
        <v>1</v>
      </c>
      <c r="BS56" s="108">
        <f t="shared" si="479"/>
        <v>1</v>
      </c>
      <c r="BT56" s="108">
        <f t="shared" si="480"/>
        <v>1</v>
      </c>
      <c r="BU56" s="108">
        <f t="shared" si="481"/>
        <v>1</v>
      </c>
      <c r="BV56" s="108">
        <f t="shared" si="482"/>
        <v>1</v>
      </c>
      <c r="BW56" s="109">
        <f t="shared" si="483"/>
        <v>55250</v>
      </c>
      <c r="BX56" s="110">
        <f t="shared" si="484"/>
        <v>0</v>
      </c>
      <c r="BZ56" s="326" t="s">
        <v>304</v>
      </c>
      <c r="CA56" s="319" t="s">
        <v>178</v>
      </c>
      <c r="CB56" s="334" t="s">
        <v>305</v>
      </c>
      <c r="CC56" s="327" t="s">
        <v>184</v>
      </c>
      <c r="CD56" s="322">
        <v>8.5</v>
      </c>
      <c r="CE56" s="323">
        <v>14000</v>
      </c>
      <c r="CF56" s="324">
        <f t="shared" si="485"/>
        <v>119000</v>
      </c>
      <c r="CG56" s="108">
        <f t="shared" si="486"/>
        <v>1</v>
      </c>
      <c r="CH56" s="108">
        <f t="shared" si="487"/>
        <v>1</v>
      </c>
      <c r="CI56" s="108">
        <f t="shared" si="488"/>
        <v>1</v>
      </c>
      <c r="CJ56" s="108">
        <f t="shared" si="489"/>
        <v>1</v>
      </c>
      <c r="CK56" s="108">
        <f t="shared" si="490"/>
        <v>1</v>
      </c>
      <c r="CL56" s="108">
        <f t="shared" si="491"/>
        <v>1</v>
      </c>
      <c r="CM56" s="108">
        <f t="shared" si="492"/>
        <v>1</v>
      </c>
      <c r="CN56" s="109">
        <f t="shared" si="493"/>
        <v>119000</v>
      </c>
      <c r="CO56" s="110">
        <f t="shared" si="494"/>
        <v>0</v>
      </c>
      <c r="CQ56" s="326" t="s">
        <v>304</v>
      </c>
      <c r="CR56" s="319" t="s">
        <v>178</v>
      </c>
      <c r="CS56" s="334" t="s">
        <v>305</v>
      </c>
      <c r="CT56" s="327" t="s">
        <v>184</v>
      </c>
      <c r="CU56" s="322">
        <v>8.5</v>
      </c>
      <c r="CV56" s="323">
        <v>11000</v>
      </c>
      <c r="CW56" s="324">
        <f t="shared" si="495"/>
        <v>93500</v>
      </c>
      <c r="CX56" s="108">
        <f t="shared" si="496"/>
        <v>1</v>
      </c>
      <c r="CY56" s="108">
        <f t="shared" si="497"/>
        <v>1</v>
      </c>
      <c r="CZ56" s="108">
        <f t="shared" si="498"/>
        <v>1</v>
      </c>
      <c r="DA56" s="108">
        <f t="shared" si="499"/>
        <v>1</v>
      </c>
      <c r="DB56" s="108">
        <f t="shared" si="500"/>
        <v>1</v>
      </c>
      <c r="DC56" s="108">
        <f t="shared" si="501"/>
        <v>1</v>
      </c>
      <c r="DD56" s="108">
        <f t="shared" si="502"/>
        <v>1</v>
      </c>
      <c r="DE56" s="109">
        <f t="shared" si="503"/>
        <v>93500</v>
      </c>
      <c r="DF56" s="110">
        <f t="shared" si="504"/>
        <v>0</v>
      </c>
      <c r="DH56" s="326" t="s">
        <v>304</v>
      </c>
      <c r="DI56" s="319" t="s">
        <v>178</v>
      </c>
      <c r="DJ56" s="360" t="s">
        <v>305</v>
      </c>
      <c r="DK56" s="327" t="s">
        <v>184</v>
      </c>
      <c r="DL56" s="322">
        <v>8.5</v>
      </c>
      <c r="DM56" s="323">
        <v>6909</v>
      </c>
      <c r="DN56" s="324">
        <f t="shared" si="505"/>
        <v>58726.5</v>
      </c>
      <c r="DO56" s="108">
        <f t="shared" si="506"/>
        <v>1</v>
      </c>
      <c r="DP56" s="108">
        <f t="shared" si="507"/>
        <v>1</v>
      </c>
      <c r="DQ56" s="108">
        <f t="shared" si="508"/>
        <v>1</v>
      </c>
      <c r="DR56" s="108">
        <f t="shared" si="509"/>
        <v>1</v>
      </c>
      <c r="DS56" s="108">
        <f t="shared" si="510"/>
        <v>1</v>
      </c>
      <c r="DT56" s="108">
        <f t="shared" si="511"/>
        <v>1</v>
      </c>
      <c r="DU56" s="108">
        <f t="shared" si="512"/>
        <v>1</v>
      </c>
      <c r="DV56" s="109">
        <f t="shared" si="513"/>
        <v>58727</v>
      </c>
      <c r="DW56" s="110">
        <f t="shared" si="514"/>
        <v>-0.5</v>
      </c>
      <c r="DY56" s="326" t="s">
        <v>304</v>
      </c>
      <c r="DZ56" s="319" t="s">
        <v>178</v>
      </c>
      <c r="EA56" s="360" t="s">
        <v>305</v>
      </c>
      <c r="EB56" s="327" t="s">
        <v>184</v>
      </c>
      <c r="EC56" s="322">
        <v>8.5</v>
      </c>
      <c r="ED56" s="323">
        <v>15500</v>
      </c>
      <c r="EE56" s="324">
        <f t="shared" si="515"/>
        <v>131750</v>
      </c>
      <c r="EF56" s="108">
        <f t="shared" si="516"/>
        <v>1</v>
      </c>
      <c r="EG56" s="108">
        <f t="shared" si="517"/>
        <v>1</v>
      </c>
      <c r="EH56" s="108">
        <f t="shared" si="518"/>
        <v>1</v>
      </c>
      <c r="EI56" s="108">
        <f t="shared" si="519"/>
        <v>1</v>
      </c>
      <c r="EJ56" s="108">
        <f t="shared" si="520"/>
        <v>1</v>
      </c>
      <c r="EK56" s="108">
        <f t="shared" si="521"/>
        <v>1</v>
      </c>
      <c r="EL56" s="108">
        <f t="shared" si="522"/>
        <v>1</v>
      </c>
      <c r="EM56" s="109">
        <f t="shared" si="523"/>
        <v>131750</v>
      </c>
      <c r="EN56" s="110">
        <f t="shared" si="524"/>
        <v>0</v>
      </c>
      <c r="EP56" s="326" t="s">
        <v>304</v>
      </c>
      <c r="EQ56" s="319" t="s">
        <v>178</v>
      </c>
      <c r="ER56" s="334" t="s">
        <v>305</v>
      </c>
      <c r="ES56" s="327" t="s">
        <v>184</v>
      </c>
      <c r="ET56" s="322">
        <v>8.5</v>
      </c>
      <c r="EU56" s="323">
        <v>14800</v>
      </c>
      <c r="EV56" s="324">
        <f t="shared" si="525"/>
        <v>125800</v>
      </c>
      <c r="EW56" s="108">
        <f t="shared" si="526"/>
        <v>1</v>
      </c>
      <c r="EX56" s="108">
        <f t="shared" si="527"/>
        <v>1</v>
      </c>
      <c r="EY56" s="108">
        <f t="shared" si="528"/>
        <v>1</v>
      </c>
      <c r="EZ56" s="108">
        <f t="shared" si="529"/>
        <v>1</v>
      </c>
      <c r="FA56" s="108">
        <f t="shared" si="530"/>
        <v>1</v>
      </c>
      <c r="FB56" s="108">
        <f t="shared" si="531"/>
        <v>1</v>
      </c>
      <c r="FC56" s="108">
        <f t="shared" si="532"/>
        <v>1</v>
      </c>
      <c r="FD56" s="109">
        <f t="shared" si="533"/>
        <v>125800</v>
      </c>
      <c r="FE56" s="110">
        <f t="shared" si="534"/>
        <v>0</v>
      </c>
      <c r="FG56" s="326" t="s">
        <v>304</v>
      </c>
      <c r="FH56" s="319" t="s">
        <v>178</v>
      </c>
      <c r="FI56" s="360" t="s">
        <v>305</v>
      </c>
      <c r="FJ56" s="327" t="s">
        <v>184</v>
      </c>
      <c r="FK56" s="322">
        <v>8.5</v>
      </c>
      <c r="FL56" s="323">
        <v>6924</v>
      </c>
      <c r="FM56" s="324">
        <f t="shared" si="535"/>
        <v>58854</v>
      </c>
      <c r="FN56" s="108">
        <f t="shared" si="536"/>
        <v>1</v>
      </c>
      <c r="FO56" s="108">
        <f t="shared" si="537"/>
        <v>1</v>
      </c>
      <c r="FP56" s="108">
        <f t="shared" si="538"/>
        <v>1</v>
      </c>
      <c r="FQ56" s="108">
        <f t="shared" si="539"/>
        <v>1</v>
      </c>
      <c r="FR56" s="108">
        <f t="shared" si="540"/>
        <v>1</v>
      </c>
      <c r="FS56" s="108">
        <f t="shared" si="541"/>
        <v>1</v>
      </c>
      <c r="FT56" s="108">
        <f t="shared" si="542"/>
        <v>1</v>
      </c>
      <c r="FU56" s="109">
        <f t="shared" si="543"/>
        <v>58854</v>
      </c>
      <c r="FV56" s="110">
        <f t="shared" si="544"/>
        <v>0</v>
      </c>
      <c r="FX56" s="326" t="s">
        <v>304</v>
      </c>
      <c r="FY56" s="319" t="s">
        <v>178</v>
      </c>
      <c r="FZ56" s="334" t="s">
        <v>305</v>
      </c>
      <c r="GA56" s="327" t="s">
        <v>184</v>
      </c>
      <c r="GB56" s="322">
        <v>8.5</v>
      </c>
      <c r="GC56" s="323">
        <v>9000</v>
      </c>
      <c r="GD56" s="324">
        <f t="shared" si="545"/>
        <v>76500</v>
      </c>
      <c r="GE56" s="108">
        <f t="shared" si="546"/>
        <v>1</v>
      </c>
      <c r="GF56" s="108">
        <f t="shared" si="547"/>
        <v>1</v>
      </c>
      <c r="GG56" s="108">
        <f t="shared" si="548"/>
        <v>1</v>
      </c>
      <c r="GH56" s="108">
        <f t="shared" si="549"/>
        <v>1</v>
      </c>
      <c r="GI56" s="108">
        <f t="shared" si="550"/>
        <v>1</v>
      </c>
      <c r="GJ56" s="108">
        <f t="shared" si="551"/>
        <v>1</v>
      </c>
      <c r="GK56" s="108">
        <f t="shared" si="552"/>
        <v>1</v>
      </c>
      <c r="GL56" s="109">
        <f t="shared" si="553"/>
        <v>76500</v>
      </c>
      <c r="GM56" s="110">
        <f t="shared" si="554"/>
        <v>0</v>
      </c>
      <c r="GO56" s="326" t="s">
        <v>304</v>
      </c>
      <c r="GP56" s="319" t="s">
        <v>178</v>
      </c>
      <c r="GQ56" s="334" t="s">
        <v>305</v>
      </c>
      <c r="GR56" s="327" t="s">
        <v>184</v>
      </c>
      <c r="GS56" s="322">
        <v>8.5</v>
      </c>
      <c r="GT56" s="323">
        <v>10000</v>
      </c>
      <c r="GU56" s="324">
        <v>85000</v>
      </c>
      <c r="GV56" s="108">
        <f t="shared" si="555"/>
        <v>1</v>
      </c>
      <c r="GW56" s="108">
        <f t="shared" si="556"/>
        <v>1</v>
      </c>
      <c r="GX56" s="108">
        <f t="shared" si="557"/>
        <v>1</v>
      </c>
      <c r="GY56" s="108">
        <f t="shared" si="558"/>
        <v>1</v>
      </c>
      <c r="GZ56" s="108">
        <f t="shared" si="559"/>
        <v>1</v>
      </c>
      <c r="HA56" s="108">
        <f t="shared" si="560"/>
        <v>1</v>
      </c>
      <c r="HB56" s="108">
        <f t="shared" si="561"/>
        <v>1</v>
      </c>
      <c r="HC56" s="109">
        <f t="shared" si="562"/>
        <v>85000</v>
      </c>
      <c r="HD56" s="110">
        <f t="shared" si="563"/>
        <v>0</v>
      </c>
      <c r="HF56" s="326" t="s">
        <v>304</v>
      </c>
      <c r="HG56" s="319" t="s">
        <v>178</v>
      </c>
      <c r="HH56" s="334" t="s">
        <v>305</v>
      </c>
      <c r="HI56" s="327" t="s">
        <v>184</v>
      </c>
      <c r="HJ56" s="322">
        <v>8.5</v>
      </c>
      <c r="HK56" s="323">
        <v>18000</v>
      </c>
      <c r="HL56" s="324">
        <f t="shared" si="564"/>
        <v>153000</v>
      </c>
      <c r="HM56" s="108">
        <f t="shared" si="565"/>
        <v>1</v>
      </c>
      <c r="HN56" s="108">
        <f t="shared" si="566"/>
        <v>1</v>
      </c>
      <c r="HO56" s="108">
        <f t="shared" si="567"/>
        <v>1</v>
      </c>
      <c r="HP56" s="108">
        <f t="shared" si="568"/>
        <v>1</v>
      </c>
      <c r="HQ56" s="108">
        <f t="shared" si="569"/>
        <v>1</v>
      </c>
      <c r="HR56" s="108">
        <f t="shared" si="570"/>
        <v>1</v>
      </c>
      <c r="HS56" s="108">
        <f t="shared" si="571"/>
        <v>1</v>
      </c>
      <c r="HT56" s="109">
        <f t="shared" si="572"/>
        <v>153000</v>
      </c>
      <c r="HU56" s="110">
        <f t="shared" si="573"/>
        <v>0</v>
      </c>
      <c r="HW56" s="326" t="s">
        <v>304</v>
      </c>
      <c r="HX56" s="319" t="s">
        <v>178</v>
      </c>
      <c r="HY56" s="334" t="s">
        <v>305</v>
      </c>
      <c r="HZ56" s="327" t="s">
        <v>184</v>
      </c>
      <c r="IA56" s="322">
        <v>8.5</v>
      </c>
      <c r="IB56" s="323">
        <v>7500</v>
      </c>
      <c r="IC56" s="324">
        <f t="shared" si="574"/>
        <v>63750</v>
      </c>
      <c r="ID56" s="108">
        <f t="shared" si="575"/>
        <v>1</v>
      </c>
      <c r="IE56" s="108">
        <f t="shared" si="576"/>
        <v>1</v>
      </c>
      <c r="IF56" s="108">
        <f t="shared" si="577"/>
        <v>1</v>
      </c>
      <c r="IG56" s="108">
        <f t="shared" si="578"/>
        <v>1</v>
      </c>
      <c r="IH56" s="108">
        <f t="shared" si="579"/>
        <v>1</v>
      </c>
      <c r="II56" s="108">
        <f t="shared" si="580"/>
        <v>1</v>
      </c>
      <c r="IJ56" s="108">
        <f t="shared" si="581"/>
        <v>1</v>
      </c>
      <c r="IK56" s="109">
        <f t="shared" si="582"/>
        <v>63750</v>
      </c>
      <c r="IL56" s="110">
        <f t="shared" si="583"/>
        <v>0</v>
      </c>
    </row>
    <row r="57" spans="1:246" s="213" customFormat="1" ht="24.75" customHeight="1" x14ac:dyDescent="0.25">
      <c r="A57" s="211"/>
      <c r="B57" s="317" t="s">
        <v>190</v>
      </c>
      <c r="C57" s="317"/>
      <c r="D57" s="336" t="s">
        <v>306</v>
      </c>
      <c r="E57" s="337"/>
      <c r="F57" s="330">
        <v>0</v>
      </c>
      <c r="G57" s="338"/>
      <c r="H57" s="339"/>
      <c r="J57" s="317" t="s">
        <v>190</v>
      </c>
      <c r="K57" s="317"/>
      <c r="L57" s="336" t="s">
        <v>306</v>
      </c>
      <c r="M57" s="337"/>
      <c r="N57" s="330">
        <v>0</v>
      </c>
      <c r="O57" s="338"/>
      <c r="P57" s="339"/>
      <c r="Q57" s="547"/>
      <c r="R57" s="548"/>
      <c r="S57" s="548"/>
      <c r="T57" s="548"/>
      <c r="U57" s="548"/>
      <c r="V57" s="548"/>
      <c r="W57" s="548"/>
      <c r="X57" s="548"/>
      <c r="Y57" s="549"/>
      <c r="AA57" s="317" t="s">
        <v>190</v>
      </c>
      <c r="AB57" s="317"/>
      <c r="AC57" s="336" t="s">
        <v>306</v>
      </c>
      <c r="AD57" s="337"/>
      <c r="AE57" s="330">
        <v>0</v>
      </c>
      <c r="AF57" s="338"/>
      <c r="AG57" s="339"/>
      <c r="AH57" s="547"/>
      <c r="AI57" s="548"/>
      <c r="AJ57" s="548"/>
      <c r="AK57" s="548"/>
      <c r="AL57" s="548"/>
      <c r="AM57" s="548"/>
      <c r="AN57" s="548"/>
      <c r="AO57" s="548"/>
      <c r="AP57" s="549"/>
      <c r="AR57" s="317" t="s">
        <v>190</v>
      </c>
      <c r="AS57" s="317"/>
      <c r="AT57" s="336" t="s">
        <v>306</v>
      </c>
      <c r="AU57" s="337"/>
      <c r="AV57" s="330">
        <v>0</v>
      </c>
      <c r="AW57" s="338">
        <v>0</v>
      </c>
      <c r="AX57" s="339"/>
      <c r="AY57" s="547"/>
      <c r="AZ57" s="548"/>
      <c r="BA57" s="548"/>
      <c r="BB57" s="548"/>
      <c r="BC57" s="548"/>
      <c r="BD57" s="548"/>
      <c r="BE57" s="548"/>
      <c r="BF57" s="548"/>
      <c r="BG57" s="549"/>
      <c r="BI57" s="317" t="s">
        <v>190</v>
      </c>
      <c r="BJ57" s="317"/>
      <c r="BK57" s="336" t="s">
        <v>306</v>
      </c>
      <c r="BL57" s="337"/>
      <c r="BM57" s="330">
        <v>0</v>
      </c>
      <c r="BN57" s="338"/>
      <c r="BO57" s="339"/>
      <c r="BP57" s="547"/>
      <c r="BQ57" s="548"/>
      <c r="BR57" s="548"/>
      <c r="BS57" s="548"/>
      <c r="BT57" s="548"/>
      <c r="BU57" s="548"/>
      <c r="BV57" s="548"/>
      <c r="BW57" s="548"/>
      <c r="BX57" s="549"/>
      <c r="BZ57" s="317" t="s">
        <v>190</v>
      </c>
      <c r="CA57" s="317"/>
      <c r="CB57" s="340" t="s">
        <v>306</v>
      </c>
      <c r="CC57" s="337"/>
      <c r="CD57" s="330">
        <v>0</v>
      </c>
      <c r="CE57" s="338"/>
      <c r="CF57" s="339"/>
      <c r="CG57" s="547"/>
      <c r="CH57" s="548"/>
      <c r="CI57" s="548"/>
      <c r="CJ57" s="548"/>
      <c r="CK57" s="548"/>
      <c r="CL57" s="548"/>
      <c r="CM57" s="548"/>
      <c r="CN57" s="548"/>
      <c r="CO57" s="549"/>
      <c r="CQ57" s="357" t="s">
        <v>190</v>
      </c>
      <c r="CR57" s="317"/>
      <c r="CS57" s="336" t="s">
        <v>306</v>
      </c>
      <c r="CT57" s="337"/>
      <c r="CU57" s="330">
        <v>0</v>
      </c>
      <c r="CV57" s="338"/>
      <c r="CW57" s="339"/>
      <c r="CX57" s="547"/>
      <c r="CY57" s="548"/>
      <c r="CZ57" s="548"/>
      <c r="DA57" s="548"/>
      <c r="DB57" s="548"/>
      <c r="DC57" s="548"/>
      <c r="DD57" s="548"/>
      <c r="DE57" s="548"/>
      <c r="DF57" s="549"/>
      <c r="DH57" s="317" t="s">
        <v>190</v>
      </c>
      <c r="DI57" s="317"/>
      <c r="DJ57" s="336" t="s">
        <v>306</v>
      </c>
      <c r="DK57" s="337"/>
      <c r="DL57" s="330">
        <v>0</v>
      </c>
      <c r="DM57" s="338"/>
      <c r="DN57" s="339"/>
      <c r="DO57" s="547"/>
      <c r="DP57" s="548"/>
      <c r="DQ57" s="548"/>
      <c r="DR57" s="548"/>
      <c r="DS57" s="548"/>
      <c r="DT57" s="548"/>
      <c r="DU57" s="548"/>
      <c r="DV57" s="548"/>
      <c r="DW57" s="549"/>
      <c r="DY57" s="317" t="s">
        <v>190</v>
      </c>
      <c r="DZ57" s="317"/>
      <c r="EA57" s="336" t="s">
        <v>306</v>
      </c>
      <c r="EB57" s="337"/>
      <c r="EC57" s="330">
        <v>0</v>
      </c>
      <c r="ED57" s="338"/>
      <c r="EE57" s="339"/>
      <c r="EF57" s="547"/>
      <c r="EG57" s="548"/>
      <c r="EH57" s="548"/>
      <c r="EI57" s="548"/>
      <c r="EJ57" s="548"/>
      <c r="EK57" s="548"/>
      <c r="EL57" s="548"/>
      <c r="EM57" s="548"/>
      <c r="EN57" s="549"/>
      <c r="EP57" s="317" t="s">
        <v>190</v>
      </c>
      <c r="EQ57" s="317"/>
      <c r="ER57" s="336" t="s">
        <v>306</v>
      </c>
      <c r="ES57" s="337"/>
      <c r="ET57" s="330">
        <v>0</v>
      </c>
      <c r="EU57" s="338"/>
      <c r="EV57" s="339"/>
      <c r="EW57" s="547"/>
      <c r="EX57" s="548"/>
      <c r="EY57" s="548"/>
      <c r="EZ57" s="548"/>
      <c r="FA57" s="548"/>
      <c r="FB57" s="548"/>
      <c r="FC57" s="548"/>
      <c r="FD57" s="548"/>
      <c r="FE57" s="549"/>
      <c r="FG57" s="317" t="s">
        <v>190</v>
      </c>
      <c r="FH57" s="317"/>
      <c r="FI57" s="336" t="s">
        <v>306</v>
      </c>
      <c r="FJ57" s="337"/>
      <c r="FK57" s="330">
        <v>0</v>
      </c>
      <c r="FL57" s="338"/>
      <c r="FM57" s="339"/>
      <c r="FN57" s="547"/>
      <c r="FO57" s="548"/>
      <c r="FP57" s="548"/>
      <c r="FQ57" s="548"/>
      <c r="FR57" s="548"/>
      <c r="FS57" s="548"/>
      <c r="FT57" s="548"/>
      <c r="FU57" s="548"/>
      <c r="FV57" s="549"/>
      <c r="FX57" s="317" t="s">
        <v>190</v>
      </c>
      <c r="FY57" s="317"/>
      <c r="FZ57" s="336" t="s">
        <v>306</v>
      </c>
      <c r="GA57" s="337"/>
      <c r="GB57" s="330">
        <v>0</v>
      </c>
      <c r="GC57" s="338"/>
      <c r="GD57" s="339"/>
      <c r="GE57" s="547"/>
      <c r="GF57" s="548"/>
      <c r="GG57" s="548"/>
      <c r="GH57" s="548"/>
      <c r="GI57" s="548"/>
      <c r="GJ57" s="548"/>
      <c r="GK57" s="548"/>
      <c r="GL57" s="548"/>
      <c r="GM57" s="549"/>
      <c r="GO57" s="317" t="s">
        <v>190</v>
      </c>
      <c r="GP57" s="317"/>
      <c r="GQ57" s="336" t="s">
        <v>306</v>
      </c>
      <c r="GR57" s="337"/>
      <c r="GS57" s="330">
        <v>0</v>
      </c>
      <c r="GT57" s="338"/>
      <c r="GU57" s="339"/>
      <c r="GV57" s="547"/>
      <c r="GW57" s="548"/>
      <c r="GX57" s="548"/>
      <c r="GY57" s="548"/>
      <c r="GZ57" s="548"/>
      <c r="HA57" s="548"/>
      <c r="HB57" s="548"/>
      <c r="HC57" s="548"/>
      <c r="HD57" s="549"/>
      <c r="HF57" s="317" t="s">
        <v>190</v>
      </c>
      <c r="HG57" s="317"/>
      <c r="HH57" s="336" t="s">
        <v>306</v>
      </c>
      <c r="HI57" s="337"/>
      <c r="HJ57" s="330">
        <v>0</v>
      </c>
      <c r="HK57" s="338"/>
      <c r="HL57" s="339"/>
      <c r="HM57" s="547"/>
      <c r="HN57" s="548"/>
      <c r="HO57" s="548"/>
      <c r="HP57" s="548"/>
      <c r="HQ57" s="548"/>
      <c r="HR57" s="548"/>
      <c r="HS57" s="548"/>
      <c r="HT57" s="548"/>
      <c r="HU57" s="549"/>
      <c r="HW57" s="317" t="s">
        <v>190</v>
      </c>
      <c r="HX57" s="317"/>
      <c r="HY57" s="336" t="s">
        <v>306</v>
      </c>
      <c r="HZ57" s="337"/>
      <c r="IA57" s="330">
        <v>0</v>
      </c>
      <c r="IB57" s="338"/>
      <c r="IC57" s="339"/>
      <c r="ID57" s="547"/>
      <c r="IE57" s="548"/>
      <c r="IF57" s="548"/>
      <c r="IG57" s="548"/>
      <c r="IH57" s="548"/>
      <c r="II57" s="548"/>
      <c r="IJ57" s="548"/>
      <c r="IK57" s="548"/>
      <c r="IL57" s="549"/>
    </row>
    <row r="58" spans="1:246" s="213" customFormat="1" ht="107.25" customHeight="1" x14ac:dyDescent="0.25">
      <c r="A58" s="211"/>
      <c r="B58" s="319" t="s">
        <v>307</v>
      </c>
      <c r="C58" s="319" t="s">
        <v>178</v>
      </c>
      <c r="D58" s="320" t="s">
        <v>308</v>
      </c>
      <c r="E58" s="321" t="s">
        <v>184</v>
      </c>
      <c r="F58" s="325">
        <v>85</v>
      </c>
      <c r="G58" s="323">
        <v>0</v>
      </c>
      <c r="H58" s="324">
        <f>G58*F58</f>
        <v>0</v>
      </c>
      <c r="J58" s="319" t="s">
        <v>307</v>
      </c>
      <c r="K58" s="319" t="s">
        <v>178</v>
      </c>
      <c r="L58" s="320" t="s">
        <v>308</v>
      </c>
      <c r="M58" s="321" t="s">
        <v>184</v>
      </c>
      <c r="N58" s="325">
        <v>85</v>
      </c>
      <c r="O58" s="323">
        <v>14788</v>
      </c>
      <c r="P58" s="324">
        <v>1256980</v>
      </c>
      <c r="Q58" s="108">
        <f t="shared" si="447"/>
        <v>1</v>
      </c>
      <c r="R58" s="108">
        <f t="shared" si="448"/>
        <v>1</v>
      </c>
      <c r="S58" s="108">
        <f t="shared" si="449"/>
        <v>1</v>
      </c>
      <c r="T58" s="108">
        <f t="shared" si="450"/>
        <v>1</v>
      </c>
      <c r="U58" s="108">
        <f t="shared" si="451"/>
        <v>1</v>
      </c>
      <c r="V58" s="108">
        <f t="shared" si="452"/>
        <v>1</v>
      </c>
      <c r="W58" s="108">
        <f t="shared" si="453"/>
        <v>1</v>
      </c>
      <c r="X58" s="109">
        <f t="shared" si="454"/>
        <v>1256980</v>
      </c>
      <c r="Y58" s="110">
        <f t="shared" si="455"/>
        <v>0</v>
      </c>
      <c r="AA58" s="319" t="s">
        <v>307</v>
      </c>
      <c r="AB58" s="319" t="s">
        <v>178</v>
      </c>
      <c r="AC58" s="320" t="s">
        <v>308</v>
      </c>
      <c r="AD58" s="321" t="s">
        <v>184</v>
      </c>
      <c r="AE58" s="325">
        <v>85</v>
      </c>
      <c r="AF58" s="323">
        <v>18700</v>
      </c>
      <c r="AG58" s="324">
        <v>1589500</v>
      </c>
      <c r="AH58" s="108">
        <f t="shared" ref="AH58:AH62" si="584">IFERROR(IF(EXACT(VLOOKUP(AA58,OFERTA_0,1,FALSE),AA58),1,0),0)</f>
        <v>1</v>
      </c>
      <c r="AI58" s="108">
        <f t="shared" ref="AI58:AI62" si="585">IFERROR(IF(EXACT(VLOOKUP(AA58,OFERTA_0,3,FALSE),AC58),1,0),0)</f>
        <v>1</v>
      </c>
      <c r="AJ58" s="108">
        <f t="shared" ref="AJ58:AJ62" si="586">IFERROR(IF(EXACT(VLOOKUP(AA58,OFERTA_0,4,FALSE),AD58),1,0),0)</f>
        <v>1</v>
      </c>
      <c r="AK58" s="108">
        <f t="shared" ref="AK58:AK62" si="587">IFERROR(IF(EXACT(VLOOKUP(AA58,OFERTA_0,5,FALSE),AE58),1,0),0)</f>
        <v>1</v>
      </c>
      <c r="AL58" s="108">
        <f t="shared" ref="AL58:AL62" si="588">IFERROR(IF(AF58&lt;=0,0,1),0)</f>
        <v>1</v>
      </c>
      <c r="AM58" s="108">
        <f t="shared" ref="AM58:AM62" si="589">IFERROR(IF(AG58&lt;=0,0,1),0)</f>
        <v>1</v>
      </c>
      <c r="AN58" s="108">
        <f t="shared" ref="AN58:AN62" si="590">PRODUCT(AH58:AM58)</f>
        <v>1</v>
      </c>
      <c r="AO58" s="109">
        <f t="shared" ref="AO58:AO62" si="591">ROUND(AG58,0)</f>
        <v>1589500</v>
      </c>
      <c r="AP58" s="110">
        <f t="shared" ref="AP58:AP62" si="592">AG58-AO58</f>
        <v>0</v>
      </c>
      <c r="AR58" s="319" t="s">
        <v>307</v>
      </c>
      <c r="AS58" s="319" t="s">
        <v>178</v>
      </c>
      <c r="AT58" s="320" t="s">
        <v>308</v>
      </c>
      <c r="AU58" s="321" t="s">
        <v>184</v>
      </c>
      <c r="AV58" s="325">
        <v>85</v>
      </c>
      <c r="AW58" s="323">
        <v>15520</v>
      </c>
      <c r="AX58" s="324">
        <v>1319200</v>
      </c>
      <c r="AY58" s="108">
        <f t="shared" ref="AY58:AY62" si="593">IFERROR(IF(EXACT(VLOOKUP(AR58,OFERTA_0,1,FALSE),AR58),1,0),0)</f>
        <v>1</v>
      </c>
      <c r="AZ58" s="108">
        <f t="shared" ref="AZ58:AZ62" si="594">IFERROR(IF(EXACT(VLOOKUP(AR58,OFERTA_0,3,FALSE),AT58),1,0),0)</f>
        <v>1</v>
      </c>
      <c r="BA58" s="108">
        <f t="shared" ref="BA58:BA62" si="595">IFERROR(IF(EXACT(VLOOKUP(AR58,OFERTA_0,4,FALSE),AU58),1,0),0)</f>
        <v>1</v>
      </c>
      <c r="BB58" s="108">
        <f t="shared" ref="BB58:BB62" si="596">IFERROR(IF(EXACT(VLOOKUP(AR58,OFERTA_0,5,FALSE),AV58),1,0),0)</f>
        <v>1</v>
      </c>
      <c r="BC58" s="108">
        <f t="shared" ref="BC58:BC62" si="597">IFERROR(IF(AW58&lt;=0,0,1),0)</f>
        <v>1</v>
      </c>
      <c r="BD58" s="108">
        <f t="shared" ref="BD58:BD62" si="598">IFERROR(IF(AX58&lt;=0,0,1),0)</f>
        <v>1</v>
      </c>
      <c r="BE58" s="108">
        <f t="shared" ref="BE58:BE62" si="599">PRODUCT(AY58:BD58)</f>
        <v>1</v>
      </c>
      <c r="BF58" s="109">
        <f t="shared" ref="BF58:BF62" si="600">ROUND(AX58,0)</f>
        <v>1319200</v>
      </c>
      <c r="BG58" s="110">
        <f t="shared" ref="BG58:BG62" si="601">AX58-BF58</f>
        <v>0</v>
      </c>
      <c r="BI58" s="319" t="s">
        <v>307</v>
      </c>
      <c r="BJ58" s="319" t="s">
        <v>178</v>
      </c>
      <c r="BK58" s="320" t="s">
        <v>308</v>
      </c>
      <c r="BL58" s="321" t="s">
        <v>184</v>
      </c>
      <c r="BM58" s="325">
        <v>85</v>
      </c>
      <c r="BN58" s="323">
        <v>20100</v>
      </c>
      <c r="BO58" s="324">
        <f>BN58*BM58</f>
        <v>1708500</v>
      </c>
      <c r="BP58" s="108">
        <f t="shared" ref="BP58:BP62" si="602">IFERROR(IF(EXACT(VLOOKUP(BI58,OFERTA_0,1,FALSE),BI58),1,0),0)</f>
        <v>1</v>
      </c>
      <c r="BQ58" s="108">
        <f t="shared" ref="BQ58:BQ62" si="603">IFERROR(IF(EXACT(VLOOKUP(BI58,OFERTA_0,3,FALSE),BK58),1,0),0)</f>
        <v>1</v>
      </c>
      <c r="BR58" s="108">
        <f t="shared" ref="BR58:BR62" si="604">IFERROR(IF(EXACT(VLOOKUP(BI58,OFERTA_0,4,FALSE),BL58),1,0),0)</f>
        <v>1</v>
      </c>
      <c r="BS58" s="108">
        <f t="shared" ref="BS58:BS62" si="605">IFERROR(IF(EXACT(VLOOKUP(BI58,OFERTA_0,5,FALSE),BM58),1,0),0)</f>
        <v>1</v>
      </c>
      <c r="BT58" s="108">
        <f t="shared" ref="BT58:BT62" si="606">IFERROR(IF(BN58&lt;=0,0,1),0)</f>
        <v>1</v>
      </c>
      <c r="BU58" s="108">
        <f t="shared" ref="BU58:BU62" si="607">IFERROR(IF(BO58&lt;=0,0,1),0)</f>
        <v>1</v>
      </c>
      <c r="BV58" s="108">
        <f t="shared" ref="BV58:BV62" si="608">PRODUCT(BP58:BU58)</f>
        <v>1</v>
      </c>
      <c r="BW58" s="109">
        <f t="shared" ref="BW58:BW62" si="609">ROUND(BO58,0)</f>
        <v>1708500</v>
      </c>
      <c r="BX58" s="110">
        <f t="shared" ref="BX58:BX62" si="610">BO58-BW58</f>
        <v>0</v>
      </c>
      <c r="BZ58" s="319" t="s">
        <v>307</v>
      </c>
      <c r="CA58" s="319" t="s">
        <v>178</v>
      </c>
      <c r="CB58" s="320" t="s">
        <v>308</v>
      </c>
      <c r="CC58" s="321" t="s">
        <v>184</v>
      </c>
      <c r="CD58" s="325">
        <v>85</v>
      </c>
      <c r="CE58" s="323">
        <v>16000</v>
      </c>
      <c r="CF58" s="324">
        <f>CE58*CD58</f>
        <v>1360000</v>
      </c>
      <c r="CG58" s="108">
        <f t="shared" ref="CG58:CG62" si="611">IFERROR(IF(EXACT(VLOOKUP(BZ58,OFERTA_0,1,FALSE),BZ58),1,0),0)</f>
        <v>1</v>
      </c>
      <c r="CH58" s="108">
        <f t="shared" ref="CH58:CH62" si="612">IFERROR(IF(EXACT(VLOOKUP(BZ58,OFERTA_0,3,FALSE),CB58),1,0),0)</f>
        <v>1</v>
      </c>
      <c r="CI58" s="108">
        <f t="shared" ref="CI58:CI62" si="613">IFERROR(IF(EXACT(VLOOKUP(BZ58,OFERTA_0,4,FALSE),CC58),1,0),0)</f>
        <v>1</v>
      </c>
      <c r="CJ58" s="108">
        <f t="shared" ref="CJ58:CJ62" si="614">IFERROR(IF(EXACT(VLOOKUP(BZ58,OFERTA_0,5,FALSE),CD58),1,0),0)</f>
        <v>1</v>
      </c>
      <c r="CK58" s="108">
        <f t="shared" ref="CK58:CK62" si="615">IFERROR(IF(CE58&lt;=0,0,1),0)</f>
        <v>1</v>
      </c>
      <c r="CL58" s="108">
        <f t="shared" ref="CL58:CL62" si="616">IFERROR(IF(CF58&lt;=0,0,1),0)</f>
        <v>1</v>
      </c>
      <c r="CM58" s="108">
        <f t="shared" ref="CM58:CM62" si="617">PRODUCT(CG58:CL58)</f>
        <v>1</v>
      </c>
      <c r="CN58" s="109">
        <f t="shared" ref="CN58:CN62" si="618">ROUND(CF58,0)</f>
        <v>1360000</v>
      </c>
      <c r="CO58" s="110">
        <f t="shared" ref="CO58:CO62" si="619">CF58-CN58</f>
        <v>0</v>
      </c>
      <c r="CQ58" s="319" t="s">
        <v>307</v>
      </c>
      <c r="CR58" s="319" t="s">
        <v>178</v>
      </c>
      <c r="CS58" s="320" t="s">
        <v>308</v>
      </c>
      <c r="CT58" s="321" t="s">
        <v>184</v>
      </c>
      <c r="CU58" s="325">
        <v>85</v>
      </c>
      <c r="CV58" s="323">
        <v>17000</v>
      </c>
      <c r="CW58" s="324">
        <f>CV58*CU58</f>
        <v>1445000</v>
      </c>
      <c r="CX58" s="108">
        <f t="shared" ref="CX58:CX62" si="620">IFERROR(IF(EXACT(VLOOKUP(CQ58,OFERTA_0,1,FALSE),CQ58),1,0),0)</f>
        <v>1</v>
      </c>
      <c r="CY58" s="108">
        <f t="shared" ref="CY58:CY62" si="621">IFERROR(IF(EXACT(VLOOKUP(CQ58,OFERTA_0,3,FALSE),CS58),1,0),0)</f>
        <v>1</v>
      </c>
      <c r="CZ58" s="108">
        <f t="shared" ref="CZ58:CZ62" si="622">IFERROR(IF(EXACT(VLOOKUP(CQ58,OFERTA_0,4,FALSE),CT58),1,0),0)</f>
        <v>1</v>
      </c>
      <c r="DA58" s="108">
        <f t="shared" ref="DA58:DA62" si="623">IFERROR(IF(EXACT(VLOOKUP(CQ58,OFERTA_0,5,FALSE),CU58),1,0),0)</f>
        <v>1</v>
      </c>
      <c r="DB58" s="108">
        <f t="shared" ref="DB58:DB62" si="624">IFERROR(IF(CV58&lt;=0,0,1),0)</f>
        <v>1</v>
      </c>
      <c r="DC58" s="108">
        <f t="shared" ref="DC58:DC62" si="625">IFERROR(IF(CW58&lt;=0,0,1),0)</f>
        <v>1</v>
      </c>
      <c r="DD58" s="108">
        <f t="shared" ref="DD58:DD62" si="626">PRODUCT(CX58:DC58)</f>
        <v>1</v>
      </c>
      <c r="DE58" s="109">
        <f t="shared" ref="DE58:DE62" si="627">ROUND(CW58,0)</f>
        <v>1445000</v>
      </c>
      <c r="DF58" s="110">
        <f t="shared" ref="DF58:DF62" si="628">CW58-DE58</f>
        <v>0</v>
      </c>
      <c r="DH58" s="319" t="s">
        <v>307</v>
      </c>
      <c r="DI58" s="319" t="s">
        <v>178</v>
      </c>
      <c r="DJ58" s="359" t="s">
        <v>308</v>
      </c>
      <c r="DK58" s="321" t="s">
        <v>184</v>
      </c>
      <c r="DL58" s="325">
        <v>85</v>
      </c>
      <c r="DM58" s="323">
        <v>24833</v>
      </c>
      <c r="DN58" s="324">
        <f>DM58*DL58</f>
        <v>2110805</v>
      </c>
      <c r="DO58" s="108">
        <f t="shared" ref="DO58:DO62" si="629">IFERROR(IF(EXACT(VLOOKUP(DH58,OFERTA_0,1,FALSE),DH58),1,0),0)</f>
        <v>1</v>
      </c>
      <c r="DP58" s="108">
        <f t="shared" ref="DP58:DP62" si="630">IFERROR(IF(EXACT(VLOOKUP(DH58,OFERTA_0,3,FALSE),DJ58),1,0),0)</f>
        <v>1</v>
      </c>
      <c r="DQ58" s="108">
        <f t="shared" ref="DQ58:DQ62" si="631">IFERROR(IF(EXACT(VLOOKUP(DH58,OFERTA_0,4,FALSE),DK58),1,0),0)</f>
        <v>1</v>
      </c>
      <c r="DR58" s="108">
        <f t="shared" ref="DR58:DR62" si="632">IFERROR(IF(EXACT(VLOOKUP(DH58,OFERTA_0,5,FALSE),DL58),1,0),0)</f>
        <v>1</v>
      </c>
      <c r="DS58" s="108">
        <f t="shared" ref="DS58:DS62" si="633">IFERROR(IF(DM58&lt;=0,0,1),0)</f>
        <v>1</v>
      </c>
      <c r="DT58" s="108">
        <f t="shared" ref="DT58:DT62" si="634">IFERROR(IF(DN58&lt;=0,0,1),0)</f>
        <v>1</v>
      </c>
      <c r="DU58" s="108">
        <f t="shared" ref="DU58:DU62" si="635">PRODUCT(DO58:DT58)</f>
        <v>1</v>
      </c>
      <c r="DV58" s="109">
        <f t="shared" ref="DV58:DV62" si="636">ROUND(DN58,0)</f>
        <v>2110805</v>
      </c>
      <c r="DW58" s="110">
        <f t="shared" ref="DW58:DW62" si="637">DN58-DV58</f>
        <v>0</v>
      </c>
      <c r="DY58" s="319" t="s">
        <v>307</v>
      </c>
      <c r="DZ58" s="319" t="s">
        <v>178</v>
      </c>
      <c r="EA58" s="359" t="s">
        <v>308</v>
      </c>
      <c r="EB58" s="321" t="s">
        <v>184</v>
      </c>
      <c r="EC58" s="325">
        <v>85</v>
      </c>
      <c r="ED58" s="323">
        <v>12000</v>
      </c>
      <c r="EE58" s="324">
        <f>ED58*EC58</f>
        <v>1020000</v>
      </c>
      <c r="EF58" s="108">
        <f t="shared" ref="EF58:EF62" si="638">IFERROR(IF(EXACT(VLOOKUP(DY58,OFERTA_0,1,FALSE),DY58),1,0),0)</f>
        <v>1</v>
      </c>
      <c r="EG58" s="108">
        <f t="shared" ref="EG58:EG62" si="639">IFERROR(IF(EXACT(VLOOKUP(DY58,OFERTA_0,3,FALSE),EA58),1,0),0)</f>
        <v>1</v>
      </c>
      <c r="EH58" s="108">
        <f t="shared" ref="EH58:EH62" si="640">IFERROR(IF(EXACT(VLOOKUP(DY58,OFERTA_0,4,FALSE),EB58),1,0),0)</f>
        <v>1</v>
      </c>
      <c r="EI58" s="108">
        <f t="shared" ref="EI58:EI62" si="641">IFERROR(IF(EXACT(VLOOKUP(DY58,OFERTA_0,5,FALSE),EC58),1,0),0)</f>
        <v>1</v>
      </c>
      <c r="EJ58" s="108">
        <f t="shared" ref="EJ58:EJ62" si="642">IFERROR(IF(ED58&lt;=0,0,1),0)</f>
        <v>1</v>
      </c>
      <c r="EK58" s="108">
        <f t="shared" ref="EK58:EK62" si="643">IFERROR(IF(EE58&lt;=0,0,1),0)</f>
        <v>1</v>
      </c>
      <c r="EL58" s="108">
        <f t="shared" ref="EL58:EL62" si="644">PRODUCT(EF58:EK58)</f>
        <v>1</v>
      </c>
      <c r="EM58" s="109">
        <f t="shared" ref="EM58:EM62" si="645">ROUND(EE58,0)</f>
        <v>1020000</v>
      </c>
      <c r="EN58" s="110">
        <f t="shared" ref="EN58:EN62" si="646">EE58-EM58</f>
        <v>0</v>
      </c>
      <c r="EP58" s="319" t="s">
        <v>307</v>
      </c>
      <c r="EQ58" s="319" t="s">
        <v>178</v>
      </c>
      <c r="ER58" s="320" t="s">
        <v>308</v>
      </c>
      <c r="ES58" s="321" t="s">
        <v>184</v>
      </c>
      <c r="ET58" s="325">
        <v>85</v>
      </c>
      <c r="EU58" s="323">
        <v>17500</v>
      </c>
      <c r="EV58" s="324">
        <f>EU58*ET58</f>
        <v>1487500</v>
      </c>
      <c r="EW58" s="108">
        <f t="shared" ref="EW58:EW62" si="647">IFERROR(IF(EXACT(VLOOKUP(EP58,OFERTA_0,1,FALSE),EP58),1,0),0)</f>
        <v>1</v>
      </c>
      <c r="EX58" s="108">
        <f t="shared" ref="EX58:EX62" si="648">IFERROR(IF(EXACT(VLOOKUP(EP58,OFERTA_0,3,FALSE),ER58),1,0),0)</f>
        <v>1</v>
      </c>
      <c r="EY58" s="108">
        <f t="shared" ref="EY58:EY62" si="649">IFERROR(IF(EXACT(VLOOKUP(EP58,OFERTA_0,4,FALSE),ES58),1,0),0)</f>
        <v>1</v>
      </c>
      <c r="EZ58" s="108">
        <f t="shared" ref="EZ58:EZ62" si="650">IFERROR(IF(EXACT(VLOOKUP(EP58,OFERTA_0,5,FALSE),ET58),1,0),0)</f>
        <v>1</v>
      </c>
      <c r="FA58" s="108">
        <f t="shared" ref="FA58:FA62" si="651">IFERROR(IF(EU58&lt;=0,0,1),0)</f>
        <v>1</v>
      </c>
      <c r="FB58" s="108">
        <f t="shared" ref="FB58:FB62" si="652">IFERROR(IF(EV58&lt;=0,0,1),0)</f>
        <v>1</v>
      </c>
      <c r="FC58" s="108">
        <f t="shared" ref="FC58:FC62" si="653">PRODUCT(EW58:FB58)</f>
        <v>1</v>
      </c>
      <c r="FD58" s="109">
        <f t="shared" ref="FD58:FD62" si="654">ROUND(EV58,0)</f>
        <v>1487500</v>
      </c>
      <c r="FE58" s="110">
        <f t="shared" ref="FE58:FE62" si="655">EV58-FD58</f>
        <v>0</v>
      </c>
      <c r="FG58" s="319" t="s">
        <v>307</v>
      </c>
      <c r="FH58" s="319" t="s">
        <v>178</v>
      </c>
      <c r="FI58" s="359" t="s">
        <v>308</v>
      </c>
      <c r="FJ58" s="321" t="s">
        <v>184</v>
      </c>
      <c r="FK58" s="325">
        <v>85</v>
      </c>
      <c r="FL58" s="323">
        <v>24842</v>
      </c>
      <c r="FM58" s="324">
        <f>FL58*FK58</f>
        <v>2111570</v>
      </c>
      <c r="FN58" s="108">
        <f t="shared" ref="FN58:FN62" si="656">IFERROR(IF(EXACT(VLOOKUP(FG58,OFERTA_0,1,FALSE),FG58),1,0),0)</f>
        <v>1</v>
      </c>
      <c r="FO58" s="108">
        <f t="shared" ref="FO58:FO62" si="657">IFERROR(IF(EXACT(VLOOKUP(FG58,OFERTA_0,3,FALSE),FI58),1,0),0)</f>
        <v>1</v>
      </c>
      <c r="FP58" s="108">
        <f t="shared" ref="FP58:FP62" si="658">IFERROR(IF(EXACT(VLOOKUP(FG58,OFERTA_0,4,FALSE),FJ58),1,0),0)</f>
        <v>1</v>
      </c>
      <c r="FQ58" s="108">
        <f t="shared" ref="FQ58:FQ62" si="659">IFERROR(IF(EXACT(VLOOKUP(FG58,OFERTA_0,5,FALSE),FK58),1,0),0)</f>
        <v>1</v>
      </c>
      <c r="FR58" s="108">
        <f t="shared" ref="FR58:FR62" si="660">IFERROR(IF(FL58&lt;=0,0,1),0)</f>
        <v>1</v>
      </c>
      <c r="FS58" s="108">
        <f t="shared" ref="FS58:FS62" si="661">IFERROR(IF(FM58&lt;=0,0,1),0)</f>
        <v>1</v>
      </c>
      <c r="FT58" s="108">
        <f t="shared" ref="FT58:FT62" si="662">PRODUCT(FN58:FS58)</f>
        <v>1</v>
      </c>
      <c r="FU58" s="109">
        <f t="shared" ref="FU58:FU62" si="663">ROUND(FM58,0)</f>
        <v>2111570</v>
      </c>
      <c r="FV58" s="110">
        <f t="shared" ref="FV58:FV62" si="664">FM58-FU58</f>
        <v>0</v>
      </c>
      <c r="FX58" s="319" t="s">
        <v>307</v>
      </c>
      <c r="FY58" s="319" t="s">
        <v>178</v>
      </c>
      <c r="FZ58" s="320" t="s">
        <v>308</v>
      </c>
      <c r="GA58" s="321" t="s">
        <v>184</v>
      </c>
      <c r="GB58" s="325">
        <v>85</v>
      </c>
      <c r="GC58" s="323">
        <v>13000</v>
      </c>
      <c r="GD58" s="324">
        <f>GC58*GB58</f>
        <v>1105000</v>
      </c>
      <c r="GE58" s="108">
        <f t="shared" ref="GE58:GE62" si="665">IFERROR(IF(EXACT(VLOOKUP(FX58,OFERTA_0,1,FALSE),FX58),1,0),0)</f>
        <v>1</v>
      </c>
      <c r="GF58" s="108">
        <f t="shared" ref="GF58:GF62" si="666">IFERROR(IF(EXACT(VLOOKUP(FX58,OFERTA_0,3,FALSE),FZ58),1,0),0)</f>
        <v>1</v>
      </c>
      <c r="GG58" s="108">
        <f t="shared" ref="GG58:GG62" si="667">IFERROR(IF(EXACT(VLOOKUP(FX58,OFERTA_0,4,FALSE),GA58),1,0),0)</f>
        <v>1</v>
      </c>
      <c r="GH58" s="108">
        <f t="shared" ref="GH58:GH62" si="668">IFERROR(IF(EXACT(VLOOKUP(FX58,OFERTA_0,5,FALSE),GB58),1,0),0)</f>
        <v>1</v>
      </c>
      <c r="GI58" s="108">
        <f t="shared" ref="GI58:GI62" si="669">IFERROR(IF(GC58&lt;=0,0,1),0)</f>
        <v>1</v>
      </c>
      <c r="GJ58" s="108">
        <f t="shared" ref="GJ58:GJ62" si="670">IFERROR(IF(GD58&lt;=0,0,1),0)</f>
        <v>1</v>
      </c>
      <c r="GK58" s="108">
        <f t="shared" ref="GK58:GK62" si="671">PRODUCT(GE58:GJ58)</f>
        <v>1</v>
      </c>
      <c r="GL58" s="109">
        <f t="shared" ref="GL58:GL62" si="672">ROUND(GD58,0)</f>
        <v>1105000</v>
      </c>
      <c r="GM58" s="110">
        <f t="shared" ref="GM58:GM62" si="673">GD58-GL58</f>
        <v>0</v>
      </c>
      <c r="GO58" s="319" t="s">
        <v>307</v>
      </c>
      <c r="GP58" s="319" t="s">
        <v>178</v>
      </c>
      <c r="GQ58" s="320" t="s">
        <v>308</v>
      </c>
      <c r="GR58" s="321" t="s">
        <v>184</v>
      </c>
      <c r="GS58" s="325">
        <v>85</v>
      </c>
      <c r="GT58" s="323">
        <v>21000</v>
      </c>
      <c r="GU58" s="324">
        <v>1785000</v>
      </c>
      <c r="GV58" s="108">
        <f t="shared" ref="GV58:GV62" si="674">IFERROR(IF(EXACT(VLOOKUP(GO58,OFERTA_0,1,FALSE),GO58),1,0),0)</f>
        <v>1</v>
      </c>
      <c r="GW58" s="108">
        <f t="shared" ref="GW58:GW62" si="675">IFERROR(IF(EXACT(VLOOKUP(GO58,OFERTA_0,3,FALSE),GQ58),1,0),0)</f>
        <v>1</v>
      </c>
      <c r="GX58" s="108">
        <f t="shared" ref="GX58:GX62" si="676">IFERROR(IF(EXACT(VLOOKUP(GO58,OFERTA_0,4,FALSE),GR58),1,0),0)</f>
        <v>1</v>
      </c>
      <c r="GY58" s="108">
        <f t="shared" ref="GY58:GY62" si="677">IFERROR(IF(EXACT(VLOOKUP(GO58,OFERTA_0,5,FALSE),GS58),1,0),0)</f>
        <v>1</v>
      </c>
      <c r="GZ58" s="108">
        <f t="shared" ref="GZ58:GZ62" si="678">IFERROR(IF(GT58&lt;=0,0,1),0)</f>
        <v>1</v>
      </c>
      <c r="HA58" s="108">
        <f t="shared" ref="HA58:HA62" si="679">IFERROR(IF(GU58&lt;=0,0,1),0)</f>
        <v>1</v>
      </c>
      <c r="HB58" s="108">
        <f t="shared" ref="HB58:HB62" si="680">PRODUCT(GV58:HA58)</f>
        <v>1</v>
      </c>
      <c r="HC58" s="109">
        <f t="shared" ref="HC58:HC62" si="681">ROUND(GU58,0)</f>
        <v>1785000</v>
      </c>
      <c r="HD58" s="110">
        <f t="shared" ref="HD58:HD62" si="682">GU58-HC58</f>
        <v>0</v>
      </c>
      <c r="HF58" s="319" t="s">
        <v>307</v>
      </c>
      <c r="HG58" s="319" t="s">
        <v>178</v>
      </c>
      <c r="HH58" s="320" t="s">
        <v>308</v>
      </c>
      <c r="HI58" s="321" t="s">
        <v>184</v>
      </c>
      <c r="HJ58" s="325">
        <v>85</v>
      </c>
      <c r="HK58" s="323">
        <v>21000</v>
      </c>
      <c r="HL58" s="324">
        <f>HK58*HJ58</f>
        <v>1785000</v>
      </c>
      <c r="HM58" s="108">
        <f t="shared" ref="HM58:HM62" si="683">IFERROR(IF(EXACT(VLOOKUP(HF58,OFERTA_0,1,FALSE),HF58),1,0),0)</f>
        <v>1</v>
      </c>
      <c r="HN58" s="108">
        <f t="shared" ref="HN58:HN62" si="684">IFERROR(IF(EXACT(VLOOKUP(HF58,OFERTA_0,3,FALSE),HH58),1,0),0)</f>
        <v>1</v>
      </c>
      <c r="HO58" s="108">
        <f t="shared" ref="HO58:HO62" si="685">IFERROR(IF(EXACT(VLOOKUP(HF58,OFERTA_0,4,FALSE),HI58),1,0),0)</f>
        <v>1</v>
      </c>
      <c r="HP58" s="108">
        <f t="shared" ref="HP58:HP62" si="686">IFERROR(IF(EXACT(VLOOKUP(HF58,OFERTA_0,5,FALSE),HJ58),1,0),0)</f>
        <v>1</v>
      </c>
      <c r="HQ58" s="108">
        <f t="shared" ref="HQ58:HQ62" si="687">IFERROR(IF(HK58&lt;=0,0,1),0)</f>
        <v>1</v>
      </c>
      <c r="HR58" s="108">
        <f t="shared" ref="HR58:HR62" si="688">IFERROR(IF(HL58&lt;=0,0,1),0)</f>
        <v>1</v>
      </c>
      <c r="HS58" s="108">
        <f t="shared" ref="HS58:HS62" si="689">PRODUCT(HM58:HR58)</f>
        <v>1</v>
      </c>
      <c r="HT58" s="109">
        <f t="shared" ref="HT58:HT62" si="690">ROUND(HL58,0)</f>
        <v>1785000</v>
      </c>
      <c r="HU58" s="110">
        <f t="shared" ref="HU58:HU62" si="691">HL58-HT58</f>
        <v>0</v>
      </c>
      <c r="HW58" s="319" t="s">
        <v>307</v>
      </c>
      <c r="HX58" s="319" t="s">
        <v>178</v>
      </c>
      <c r="HY58" s="320" t="s">
        <v>308</v>
      </c>
      <c r="HZ58" s="321" t="s">
        <v>184</v>
      </c>
      <c r="IA58" s="325">
        <v>85</v>
      </c>
      <c r="IB58" s="323">
        <v>12000</v>
      </c>
      <c r="IC58" s="324">
        <f>IB58*IA58</f>
        <v>1020000</v>
      </c>
      <c r="ID58" s="108">
        <f t="shared" ref="ID58:ID62" si="692">IFERROR(IF(EXACT(VLOOKUP(HW58,OFERTA_0,1,FALSE),HW58),1,0),0)</f>
        <v>1</v>
      </c>
      <c r="IE58" s="108">
        <f t="shared" ref="IE58:IE62" si="693">IFERROR(IF(EXACT(VLOOKUP(HW58,OFERTA_0,3,FALSE),HY58),1,0),0)</f>
        <v>1</v>
      </c>
      <c r="IF58" s="108">
        <f t="shared" ref="IF58:IF62" si="694">IFERROR(IF(EXACT(VLOOKUP(HW58,OFERTA_0,4,FALSE),HZ58),1,0),0)</f>
        <v>1</v>
      </c>
      <c r="IG58" s="108">
        <f t="shared" ref="IG58:IG62" si="695">IFERROR(IF(EXACT(VLOOKUP(HW58,OFERTA_0,5,FALSE),IA58),1,0),0)</f>
        <v>1</v>
      </c>
      <c r="IH58" s="108">
        <f t="shared" ref="IH58:IH62" si="696">IFERROR(IF(IB58&lt;=0,0,1),0)</f>
        <v>1</v>
      </c>
      <c r="II58" s="108">
        <f t="shared" ref="II58:II62" si="697">IFERROR(IF(IC58&lt;=0,0,1),0)</f>
        <v>1</v>
      </c>
      <c r="IJ58" s="108">
        <f t="shared" ref="IJ58:IJ62" si="698">PRODUCT(ID58:II58)</f>
        <v>1</v>
      </c>
      <c r="IK58" s="109">
        <f t="shared" ref="IK58:IK62" si="699">ROUND(IC58,0)</f>
        <v>1020000</v>
      </c>
      <c r="IL58" s="110">
        <f t="shared" ref="IL58:IL62" si="700">IC58-IK58</f>
        <v>0</v>
      </c>
    </row>
    <row r="59" spans="1:246" s="213" customFormat="1" ht="112.5" customHeight="1" x14ac:dyDescent="0.25">
      <c r="A59" s="211"/>
      <c r="B59" s="319">
        <v>5.2</v>
      </c>
      <c r="C59" s="319" t="s">
        <v>180</v>
      </c>
      <c r="D59" s="334" t="s">
        <v>309</v>
      </c>
      <c r="E59" s="321" t="s">
        <v>184</v>
      </c>
      <c r="F59" s="325">
        <v>42.5</v>
      </c>
      <c r="G59" s="323">
        <v>0</v>
      </c>
      <c r="H59" s="324">
        <f>G59*F59</f>
        <v>0</v>
      </c>
      <c r="J59" s="319">
        <v>5.2</v>
      </c>
      <c r="K59" s="319" t="s">
        <v>180</v>
      </c>
      <c r="L59" s="334" t="s">
        <v>309</v>
      </c>
      <c r="M59" s="321" t="s">
        <v>184</v>
      </c>
      <c r="N59" s="325">
        <v>42.5</v>
      </c>
      <c r="O59" s="323">
        <v>14788</v>
      </c>
      <c r="P59" s="324">
        <v>628490</v>
      </c>
      <c r="Q59" s="108">
        <f t="shared" si="447"/>
        <v>1</v>
      </c>
      <c r="R59" s="108">
        <f t="shared" si="448"/>
        <v>1</v>
      </c>
      <c r="S59" s="108">
        <f t="shared" si="449"/>
        <v>1</v>
      </c>
      <c r="T59" s="108">
        <f t="shared" si="450"/>
        <v>1</v>
      </c>
      <c r="U59" s="108">
        <f t="shared" si="451"/>
        <v>1</v>
      </c>
      <c r="V59" s="108">
        <f t="shared" si="452"/>
        <v>1</v>
      </c>
      <c r="W59" s="108">
        <f t="shared" si="453"/>
        <v>1</v>
      </c>
      <c r="X59" s="109">
        <f t="shared" si="454"/>
        <v>628490</v>
      </c>
      <c r="Y59" s="110">
        <f t="shared" si="455"/>
        <v>0</v>
      </c>
      <c r="AA59" s="319">
        <v>5.2</v>
      </c>
      <c r="AB59" s="319" t="s">
        <v>180</v>
      </c>
      <c r="AC59" s="334" t="s">
        <v>309</v>
      </c>
      <c r="AD59" s="321" t="s">
        <v>184</v>
      </c>
      <c r="AE59" s="325">
        <v>42.5</v>
      </c>
      <c r="AF59" s="323">
        <v>19500</v>
      </c>
      <c r="AG59" s="324">
        <v>828750</v>
      </c>
      <c r="AH59" s="108">
        <f t="shared" si="584"/>
        <v>1</v>
      </c>
      <c r="AI59" s="108">
        <f t="shared" si="585"/>
        <v>1</v>
      </c>
      <c r="AJ59" s="108">
        <f t="shared" si="586"/>
        <v>1</v>
      </c>
      <c r="AK59" s="108">
        <f t="shared" si="587"/>
        <v>1</v>
      </c>
      <c r="AL59" s="108">
        <f t="shared" si="588"/>
        <v>1</v>
      </c>
      <c r="AM59" s="108">
        <f t="shared" si="589"/>
        <v>1</v>
      </c>
      <c r="AN59" s="108">
        <f t="shared" si="590"/>
        <v>1</v>
      </c>
      <c r="AO59" s="109">
        <f t="shared" si="591"/>
        <v>828750</v>
      </c>
      <c r="AP59" s="110">
        <f t="shared" si="592"/>
        <v>0</v>
      </c>
      <c r="AR59" s="319">
        <v>5.2</v>
      </c>
      <c r="AS59" s="319" t="s">
        <v>180</v>
      </c>
      <c r="AT59" s="334" t="s">
        <v>309</v>
      </c>
      <c r="AU59" s="321" t="s">
        <v>184</v>
      </c>
      <c r="AV59" s="325">
        <v>42.5</v>
      </c>
      <c r="AW59" s="323">
        <v>15520</v>
      </c>
      <c r="AX59" s="324">
        <v>659600</v>
      </c>
      <c r="AY59" s="108">
        <f t="shared" si="593"/>
        <v>1</v>
      </c>
      <c r="AZ59" s="108">
        <f t="shared" si="594"/>
        <v>1</v>
      </c>
      <c r="BA59" s="108">
        <f t="shared" si="595"/>
        <v>1</v>
      </c>
      <c r="BB59" s="108">
        <f t="shared" si="596"/>
        <v>1</v>
      </c>
      <c r="BC59" s="108">
        <f t="shared" si="597"/>
        <v>1</v>
      </c>
      <c r="BD59" s="108">
        <f t="shared" si="598"/>
        <v>1</v>
      </c>
      <c r="BE59" s="108">
        <f t="shared" si="599"/>
        <v>1</v>
      </c>
      <c r="BF59" s="109">
        <f t="shared" si="600"/>
        <v>659600</v>
      </c>
      <c r="BG59" s="110">
        <f t="shared" si="601"/>
        <v>0</v>
      </c>
      <c r="BI59" s="319">
        <v>5.2</v>
      </c>
      <c r="BJ59" s="319" t="s">
        <v>180</v>
      </c>
      <c r="BK59" s="334" t="s">
        <v>309</v>
      </c>
      <c r="BL59" s="321" t="s">
        <v>184</v>
      </c>
      <c r="BM59" s="325">
        <v>42.5</v>
      </c>
      <c r="BN59" s="323">
        <v>20100</v>
      </c>
      <c r="BO59" s="324">
        <f>BN59*BM59</f>
        <v>854250</v>
      </c>
      <c r="BP59" s="108">
        <f t="shared" si="602"/>
        <v>1</v>
      </c>
      <c r="BQ59" s="108">
        <f t="shared" si="603"/>
        <v>1</v>
      </c>
      <c r="BR59" s="108">
        <f t="shared" si="604"/>
        <v>1</v>
      </c>
      <c r="BS59" s="108">
        <f t="shared" si="605"/>
        <v>1</v>
      </c>
      <c r="BT59" s="108">
        <f t="shared" si="606"/>
        <v>1</v>
      </c>
      <c r="BU59" s="108">
        <f t="shared" si="607"/>
        <v>1</v>
      </c>
      <c r="BV59" s="108">
        <f t="shared" si="608"/>
        <v>1</v>
      </c>
      <c r="BW59" s="109">
        <f t="shared" si="609"/>
        <v>854250</v>
      </c>
      <c r="BX59" s="110">
        <f t="shared" si="610"/>
        <v>0</v>
      </c>
      <c r="BZ59" s="319">
        <v>5.2</v>
      </c>
      <c r="CA59" s="319" t="s">
        <v>180</v>
      </c>
      <c r="CB59" s="334" t="s">
        <v>309</v>
      </c>
      <c r="CC59" s="321" t="s">
        <v>184</v>
      </c>
      <c r="CD59" s="325">
        <v>42.5</v>
      </c>
      <c r="CE59" s="323">
        <v>20000</v>
      </c>
      <c r="CF59" s="324">
        <f>CE59*CD59</f>
        <v>850000</v>
      </c>
      <c r="CG59" s="108">
        <f t="shared" si="611"/>
        <v>1</v>
      </c>
      <c r="CH59" s="108">
        <f t="shared" si="612"/>
        <v>1</v>
      </c>
      <c r="CI59" s="108">
        <f t="shared" si="613"/>
        <v>1</v>
      </c>
      <c r="CJ59" s="108">
        <f t="shared" si="614"/>
        <v>1</v>
      </c>
      <c r="CK59" s="108">
        <f t="shared" si="615"/>
        <v>1</v>
      </c>
      <c r="CL59" s="108">
        <f t="shared" si="616"/>
        <v>1</v>
      </c>
      <c r="CM59" s="108">
        <f t="shared" si="617"/>
        <v>1</v>
      </c>
      <c r="CN59" s="109">
        <f t="shared" si="618"/>
        <v>850000</v>
      </c>
      <c r="CO59" s="110">
        <f t="shared" si="619"/>
        <v>0</v>
      </c>
      <c r="CQ59" s="319">
        <v>5.2</v>
      </c>
      <c r="CR59" s="319" t="s">
        <v>180</v>
      </c>
      <c r="CS59" s="334" t="s">
        <v>309</v>
      </c>
      <c r="CT59" s="321" t="s">
        <v>184</v>
      </c>
      <c r="CU59" s="325">
        <v>42.5</v>
      </c>
      <c r="CV59" s="323">
        <v>17000</v>
      </c>
      <c r="CW59" s="324">
        <f>CV59*CU59</f>
        <v>722500</v>
      </c>
      <c r="CX59" s="108">
        <f t="shared" si="620"/>
        <v>1</v>
      </c>
      <c r="CY59" s="108">
        <f t="shared" si="621"/>
        <v>1</v>
      </c>
      <c r="CZ59" s="108">
        <f t="shared" si="622"/>
        <v>1</v>
      </c>
      <c r="DA59" s="108">
        <f t="shared" si="623"/>
        <v>1</v>
      </c>
      <c r="DB59" s="108">
        <f t="shared" si="624"/>
        <v>1</v>
      </c>
      <c r="DC59" s="108">
        <f t="shared" si="625"/>
        <v>1</v>
      </c>
      <c r="DD59" s="108">
        <f t="shared" si="626"/>
        <v>1</v>
      </c>
      <c r="DE59" s="109">
        <f t="shared" si="627"/>
        <v>722500</v>
      </c>
      <c r="DF59" s="110">
        <f t="shared" si="628"/>
        <v>0</v>
      </c>
      <c r="DH59" s="319">
        <v>5.2</v>
      </c>
      <c r="DI59" s="319" t="s">
        <v>180</v>
      </c>
      <c r="DJ59" s="360" t="s">
        <v>309</v>
      </c>
      <c r="DK59" s="321" t="s">
        <v>184</v>
      </c>
      <c r="DL59" s="325">
        <v>42.5</v>
      </c>
      <c r="DM59" s="323">
        <v>22674</v>
      </c>
      <c r="DN59" s="324">
        <f>DM59*DL59</f>
        <v>963645</v>
      </c>
      <c r="DO59" s="108">
        <f t="shared" si="629"/>
        <v>1</v>
      </c>
      <c r="DP59" s="108">
        <f t="shared" si="630"/>
        <v>1</v>
      </c>
      <c r="DQ59" s="108">
        <f t="shared" si="631"/>
        <v>1</v>
      </c>
      <c r="DR59" s="108">
        <f t="shared" si="632"/>
        <v>1</v>
      </c>
      <c r="DS59" s="108">
        <f t="shared" si="633"/>
        <v>1</v>
      </c>
      <c r="DT59" s="108">
        <f t="shared" si="634"/>
        <v>1</v>
      </c>
      <c r="DU59" s="108">
        <f t="shared" si="635"/>
        <v>1</v>
      </c>
      <c r="DV59" s="109">
        <f t="shared" si="636"/>
        <v>963645</v>
      </c>
      <c r="DW59" s="110">
        <f t="shared" si="637"/>
        <v>0</v>
      </c>
      <c r="DY59" s="319">
        <v>5.2</v>
      </c>
      <c r="DZ59" s="319" t="s">
        <v>180</v>
      </c>
      <c r="EA59" s="360" t="s">
        <v>309</v>
      </c>
      <c r="EB59" s="321" t="s">
        <v>184</v>
      </c>
      <c r="EC59" s="325">
        <v>42.5</v>
      </c>
      <c r="ED59" s="323">
        <v>12000</v>
      </c>
      <c r="EE59" s="324">
        <f>ED59*EC59</f>
        <v>510000</v>
      </c>
      <c r="EF59" s="108">
        <f t="shared" si="638"/>
        <v>1</v>
      </c>
      <c r="EG59" s="108">
        <f t="shared" si="639"/>
        <v>1</v>
      </c>
      <c r="EH59" s="108">
        <f t="shared" si="640"/>
        <v>1</v>
      </c>
      <c r="EI59" s="108">
        <f t="shared" si="641"/>
        <v>1</v>
      </c>
      <c r="EJ59" s="108">
        <f t="shared" si="642"/>
        <v>1</v>
      </c>
      <c r="EK59" s="108">
        <f t="shared" si="643"/>
        <v>1</v>
      </c>
      <c r="EL59" s="108">
        <f t="shared" si="644"/>
        <v>1</v>
      </c>
      <c r="EM59" s="109">
        <f t="shared" si="645"/>
        <v>510000</v>
      </c>
      <c r="EN59" s="110">
        <f t="shared" si="646"/>
        <v>0</v>
      </c>
      <c r="EP59" s="319">
        <v>5.2</v>
      </c>
      <c r="EQ59" s="319" t="s">
        <v>180</v>
      </c>
      <c r="ER59" s="334" t="s">
        <v>309</v>
      </c>
      <c r="ES59" s="321" t="s">
        <v>184</v>
      </c>
      <c r="ET59" s="325">
        <v>42.5</v>
      </c>
      <c r="EU59" s="323">
        <v>17800</v>
      </c>
      <c r="EV59" s="324">
        <f>EU59*ET59</f>
        <v>756500</v>
      </c>
      <c r="EW59" s="108">
        <f t="shared" si="647"/>
        <v>1</v>
      </c>
      <c r="EX59" s="108">
        <f t="shared" si="648"/>
        <v>1</v>
      </c>
      <c r="EY59" s="108">
        <f t="shared" si="649"/>
        <v>1</v>
      </c>
      <c r="EZ59" s="108">
        <f t="shared" si="650"/>
        <v>1</v>
      </c>
      <c r="FA59" s="108">
        <f t="shared" si="651"/>
        <v>1</v>
      </c>
      <c r="FB59" s="108">
        <f t="shared" si="652"/>
        <v>1</v>
      </c>
      <c r="FC59" s="108">
        <f t="shared" si="653"/>
        <v>1</v>
      </c>
      <c r="FD59" s="109">
        <f t="shared" si="654"/>
        <v>756500</v>
      </c>
      <c r="FE59" s="110">
        <f t="shared" si="655"/>
        <v>0</v>
      </c>
      <c r="FG59" s="319">
        <v>5.2</v>
      </c>
      <c r="FH59" s="319" t="s">
        <v>180</v>
      </c>
      <c r="FI59" s="360" t="s">
        <v>309</v>
      </c>
      <c r="FJ59" s="321" t="s">
        <v>184</v>
      </c>
      <c r="FK59" s="325">
        <v>42.5</v>
      </c>
      <c r="FL59" s="323">
        <v>22691</v>
      </c>
      <c r="FM59" s="324">
        <f>FL59*FK59</f>
        <v>964367.5</v>
      </c>
      <c r="FN59" s="108">
        <f t="shared" si="656"/>
        <v>1</v>
      </c>
      <c r="FO59" s="108">
        <f t="shared" si="657"/>
        <v>1</v>
      </c>
      <c r="FP59" s="108">
        <f t="shared" si="658"/>
        <v>1</v>
      </c>
      <c r="FQ59" s="108">
        <f t="shared" si="659"/>
        <v>1</v>
      </c>
      <c r="FR59" s="108">
        <f t="shared" si="660"/>
        <v>1</v>
      </c>
      <c r="FS59" s="108">
        <f t="shared" si="661"/>
        <v>1</v>
      </c>
      <c r="FT59" s="108">
        <f t="shared" si="662"/>
        <v>1</v>
      </c>
      <c r="FU59" s="109">
        <f t="shared" si="663"/>
        <v>964368</v>
      </c>
      <c r="FV59" s="110">
        <f t="shared" si="664"/>
        <v>-0.5</v>
      </c>
      <c r="FX59" s="319">
        <v>5.2</v>
      </c>
      <c r="FY59" s="319" t="s">
        <v>180</v>
      </c>
      <c r="FZ59" s="334" t="s">
        <v>309</v>
      </c>
      <c r="GA59" s="321" t="s">
        <v>184</v>
      </c>
      <c r="GB59" s="325">
        <v>42.5</v>
      </c>
      <c r="GC59" s="323">
        <v>13000</v>
      </c>
      <c r="GD59" s="324">
        <f>GC59*GB59</f>
        <v>552500</v>
      </c>
      <c r="GE59" s="108">
        <f t="shared" si="665"/>
        <v>1</v>
      </c>
      <c r="GF59" s="108">
        <f t="shared" si="666"/>
        <v>1</v>
      </c>
      <c r="GG59" s="108">
        <f t="shared" si="667"/>
        <v>1</v>
      </c>
      <c r="GH59" s="108">
        <f t="shared" si="668"/>
        <v>1</v>
      </c>
      <c r="GI59" s="108">
        <f t="shared" si="669"/>
        <v>1</v>
      </c>
      <c r="GJ59" s="108">
        <f t="shared" si="670"/>
        <v>1</v>
      </c>
      <c r="GK59" s="108">
        <f t="shared" si="671"/>
        <v>1</v>
      </c>
      <c r="GL59" s="109">
        <f t="shared" si="672"/>
        <v>552500</v>
      </c>
      <c r="GM59" s="110">
        <f t="shared" si="673"/>
        <v>0</v>
      </c>
      <c r="GO59" s="319">
        <v>5.2</v>
      </c>
      <c r="GP59" s="319" t="s">
        <v>180</v>
      </c>
      <c r="GQ59" s="334" t="s">
        <v>309</v>
      </c>
      <c r="GR59" s="321" t="s">
        <v>184</v>
      </c>
      <c r="GS59" s="325">
        <v>42.5</v>
      </c>
      <c r="GT59" s="323">
        <v>21000</v>
      </c>
      <c r="GU59" s="324">
        <v>892500</v>
      </c>
      <c r="GV59" s="108">
        <f t="shared" si="674"/>
        <v>1</v>
      </c>
      <c r="GW59" s="108">
        <f t="shared" si="675"/>
        <v>1</v>
      </c>
      <c r="GX59" s="108">
        <f t="shared" si="676"/>
        <v>1</v>
      </c>
      <c r="GY59" s="108">
        <f t="shared" si="677"/>
        <v>1</v>
      </c>
      <c r="GZ59" s="108">
        <f t="shared" si="678"/>
        <v>1</v>
      </c>
      <c r="HA59" s="108">
        <f t="shared" si="679"/>
        <v>1</v>
      </c>
      <c r="HB59" s="108">
        <f t="shared" si="680"/>
        <v>1</v>
      </c>
      <c r="HC59" s="109">
        <f t="shared" si="681"/>
        <v>892500</v>
      </c>
      <c r="HD59" s="110">
        <f t="shared" si="682"/>
        <v>0</v>
      </c>
      <c r="HF59" s="319">
        <v>5.2</v>
      </c>
      <c r="HG59" s="319" t="s">
        <v>180</v>
      </c>
      <c r="HH59" s="334" t="s">
        <v>309</v>
      </c>
      <c r="HI59" s="321" t="s">
        <v>184</v>
      </c>
      <c r="HJ59" s="325">
        <v>42.5</v>
      </c>
      <c r="HK59" s="323">
        <v>21000</v>
      </c>
      <c r="HL59" s="324">
        <f>HK59*HJ59</f>
        <v>892500</v>
      </c>
      <c r="HM59" s="108">
        <f t="shared" si="683"/>
        <v>1</v>
      </c>
      <c r="HN59" s="108">
        <f t="shared" si="684"/>
        <v>1</v>
      </c>
      <c r="HO59" s="108">
        <f t="shared" si="685"/>
        <v>1</v>
      </c>
      <c r="HP59" s="108">
        <f t="shared" si="686"/>
        <v>1</v>
      </c>
      <c r="HQ59" s="108">
        <f t="shared" si="687"/>
        <v>1</v>
      </c>
      <c r="HR59" s="108">
        <f t="shared" si="688"/>
        <v>1</v>
      </c>
      <c r="HS59" s="108">
        <f t="shared" si="689"/>
        <v>1</v>
      </c>
      <c r="HT59" s="109">
        <f t="shared" si="690"/>
        <v>892500</v>
      </c>
      <c r="HU59" s="110">
        <f t="shared" si="691"/>
        <v>0</v>
      </c>
      <c r="HW59" s="319">
        <v>5.2</v>
      </c>
      <c r="HX59" s="319" t="s">
        <v>180</v>
      </c>
      <c r="HY59" s="334" t="s">
        <v>309</v>
      </c>
      <c r="HZ59" s="321" t="s">
        <v>184</v>
      </c>
      <c r="IA59" s="325">
        <v>42.5</v>
      </c>
      <c r="IB59" s="323">
        <v>12000</v>
      </c>
      <c r="IC59" s="324">
        <f>IB59*IA59</f>
        <v>510000</v>
      </c>
      <c r="ID59" s="108">
        <f t="shared" si="692"/>
        <v>1</v>
      </c>
      <c r="IE59" s="108">
        <f t="shared" si="693"/>
        <v>1</v>
      </c>
      <c r="IF59" s="108">
        <f t="shared" si="694"/>
        <v>1</v>
      </c>
      <c r="IG59" s="108">
        <f t="shared" si="695"/>
        <v>1</v>
      </c>
      <c r="IH59" s="108">
        <f t="shared" si="696"/>
        <v>1</v>
      </c>
      <c r="II59" s="108">
        <f t="shared" si="697"/>
        <v>1</v>
      </c>
      <c r="IJ59" s="108">
        <f t="shared" si="698"/>
        <v>1</v>
      </c>
      <c r="IK59" s="109">
        <f t="shared" si="699"/>
        <v>510000</v>
      </c>
      <c r="IL59" s="110">
        <f t="shared" si="700"/>
        <v>0</v>
      </c>
    </row>
    <row r="60" spans="1:246" s="213" customFormat="1" ht="90" x14ac:dyDescent="0.25">
      <c r="A60" s="211"/>
      <c r="B60" s="319">
        <v>5.3</v>
      </c>
      <c r="C60" s="319" t="s">
        <v>180</v>
      </c>
      <c r="D60" s="334" t="s">
        <v>310</v>
      </c>
      <c r="E60" s="321" t="s">
        <v>184</v>
      </c>
      <c r="F60" s="325">
        <v>85</v>
      </c>
      <c r="G60" s="323">
        <v>0</v>
      </c>
      <c r="H60" s="324">
        <f>G60*F60</f>
        <v>0</v>
      </c>
      <c r="J60" s="319">
        <v>5.3</v>
      </c>
      <c r="K60" s="319" t="s">
        <v>180</v>
      </c>
      <c r="L60" s="334" t="s">
        <v>310</v>
      </c>
      <c r="M60" s="321" t="s">
        <v>184</v>
      </c>
      <c r="N60" s="325">
        <v>85</v>
      </c>
      <c r="O60" s="323">
        <v>15774</v>
      </c>
      <c r="P60" s="324">
        <v>1340790</v>
      </c>
      <c r="Q60" s="108">
        <f t="shared" si="447"/>
        <v>1</v>
      </c>
      <c r="R60" s="108">
        <f t="shared" si="448"/>
        <v>1</v>
      </c>
      <c r="S60" s="108">
        <f t="shared" si="449"/>
        <v>1</v>
      </c>
      <c r="T60" s="108">
        <f t="shared" si="450"/>
        <v>1</v>
      </c>
      <c r="U60" s="108">
        <f t="shared" si="451"/>
        <v>1</v>
      </c>
      <c r="V60" s="108">
        <f t="shared" si="452"/>
        <v>1</v>
      </c>
      <c r="W60" s="108">
        <f t="shared" si="453"/>
        <v>1</v>
      </c>
      <c r="X60" s="109">
        <f t="shared" si="454"/>
        <v>1340790</v>
      </c>
      <c r="Y60" s="110">
        <f t="shared" si="455"/>
        <v>0</v>
      </c>
      <c r="AA60" s="319">
        <v>5.3</v>
      </c>
      <c r="AB60" s="319" t="s">
        <v>180</v>
      </c>
      <c r="AC60" s="334" t="s">
        <v>310</v>
      </c>
      <c r="AD60" s="321" t="s">
        <v>184</v>
      </c>
      <c r="AE60" s="325">
        <v>85</v>
      </c>
      <c r="AF60" s="323">
        <v>18950</v>
      </c>
      <c r="AG60" s="324">
        <v>1610750</v>
      </c>
      <c r="AH60" s="108">
        <f t="shared" si="584"/>
        <v>1</v>
      </c>
      <c r="AI60" s="108">
        <f t="shared" si="585"/>
        <v>1</v>
      </c>
      <c r="AJ60" s="108">
        <f t="shared" si="586"/>
        <v>1</v>
      </c>
      <c r="AK60" s="108">
        <f t="shared" si="587"/>
        <v>1</v>
      </c>
      <c r="AL60" s="108">
        <f t="shared" si="588"/>
        <v>1</v>
      </c>
      <c r="AM60" s="108">
        <f t="shared" si="589"/>
        <v>1</v>
      </c>
      <c r="AN60" s="108">
        <f t="shared" si="590"/>
        <v>1</v>
      </c>
      <c r="AO60" s="109">
        <f t="shared" si="591"/>
        <v>1610750</v>
      </c>
      <c r="AP60" s="110">
        <f t="shared" si="592"/>
        <v>0</v>
      </c>
      <c r="AR60" s="319">
        <v>5.3</v>
      </c>
      <c r="AS60" s="319" t="s">
        <v>180</v>
      </c>
      <c r="AT60" s="334" t="s">
        <v>310</v>
      </c>
      <c r="AU60" s="321" t="s">
        <v>184</v>
      </c>
      <c r="AV60" s="325">
        <v>85</v>
      </c>
      <c r="AW60" s="323">
        <v>15520</v>
      </c>
      <c r="AX60" s="324">
        <v>1319200</v>
      </c>
      <c r="AY60" s="108">
        <f t="shared" si="593"/>
        <v>1</v>
      </c>
      <c r="AZ60" s="108">
        <f t="shared" si="594"/>
        <v>1</v>
      </c>
      <c r="BA60" s="108">
        <f t="shared" si="595"/>
        <v>1</v>
      </c>
      <c r="BB60" s="108">
        <f t="shared" si="596"/>
        <v>1</v>
      </c>
      <c r="BC60" s="108">
        <f t="shared" si="597"/>
        <v>1</v>
      </c>
      <c r="BD60" s="108">
        <f t="shared" si="598"/>
        <v>1</v>
      </c>
      <c r="BE60" s="108">
        <f t="shared" si="599"/>
        <v>1</v>
      </c>
      <c r="BF60" s="109">
        <f t="shared" si="600"/>
        <v>1319200</v>
      </c>
      <c r="BG60" s="110">
        <f t="shared" si="601"/>
        <v>0</v>
      </c>
      <c r="BI60" s="319">
        <v>5.3</v>
      </c>
      <c r="BJ60" s="319" t="s">
        <v>180</v>
      </c>
      <c r="BK60" s="334" t="s">
        <v>310</v>
      </c>
      <c r="BL60" s="321" t="s">
        <v>184</v>
      </c>
      <c r="BM60" s="325">
        <v>85</v>
      </c>
      <c r="BN60" s="323">
        <v>20100</v>
      </c>
      <c r="BO60" s="324">
        <f>BN60*BM60</f>
        <v>1708500</v>
      </c>
      <c r="BP60" s="108">
        <f t="shared" si="602"/>
        <v>1</v>
      </c>
      <c r="BQ60" s="108">
        <f t="shared" si="603"/>
        <v>1</v>
      </c>
      <c r="BR60" s="108">
        <f t="shared" si="604"/>
        <v>1</v>
      </c>
      <c r="BS60" s="108">
        <f t="shared" si="605"/>
        <v>1</v>
      </c>
      <c r="BT60" s="108">
        <f t="shared" si="606"/>
        <v>1</v>
      </c>
      <c r="BU60" s="108">
        <f t="shared" si="607"/>
        <v>1</v>
      </c>
      <c r="BV60" s="108">
        <f t="shared" si="608"/>
        <v>1</v>
      </c>
      <c r="BW60" s="109">
        <f t="shared" si="609"/>
        <v>1708500</v>
      </c>
      <c r="BX60" s="110">
        <f t="shared" si="610"/>
        <v>0</v>
      </c>
      <c r="BZ60" s="319">
        <v>5.3</v>
      </c>
      <c r="CA60" s="319" t="s">
        <v>180</v>
      </c>
      <c r="CB60" s="334" t="s">
        <v>310</v>
      </c>
      <c r="CC60" s="321" t="s">
        <v>184</v>
      </c>
      <c r="CD60" s="325">
        <v>85</v>
      </c>
      <c r="CE60" s="323">
        <v>16000</v>
      </c>
      <c r="CF60" s="324">
        <f>CE60*CD60</f>
        <v>1360000</v>
      </c>
      <c r="CG60" s="108">
        <f t="shared" si="611"/>
        <v>1</v>
      </c>
      <c r="CH60" s="108">
        <f t="shared" si="612"/>
        <v>1</v>
      </c>
      <c r="CI60" s="108">
        <f t="shared" si="613"/>
        <v>1</v>
      </c>
      <c r="CJ60" s="108">
        <f t="shared" si="614"/>
        <v>1</v>
      </c>
      <c r="CK60" s="108">
        <f t="shared" si="615"/>
        <v>1</v>
      </c>
      <c r="CL60" s="108">
        <f t="shared" si="616"/>
        <v>1</v>
      </c>
      <c r="CM60" s="108">
        <f t="shared" si="617"/>
        <v>1</v>
      </c>
      <c r="CN60" s="109">
        <f t="shared" si="618"/>
        <v>1360000</v>
      </c>
      <c r="CO60" s="110">
        <f t="shared" si="619"/>
        <v>0</v>
      </c>
      <c r="CQ60" s="319">
        <v>5.3</v>
      </c>
      <c r="CR60" s="319" t="s">
        <v>180</v>
      </c>
      <c r="CS60" s="334" t="s">
        <v>310</v>
      </c>
      <c r="CT60" s="321" t="s">
        <v>184</v>
      </c>
      <c r="CU60" s="325">
        <v>85</v>
      </c>
      <c r="CV60" s="323">
        <v>17000</v>
      </c>
      <c r="CW60" s="324">
        <f>CV60*CU60</f>
        <v>1445000</v>
      </c>
      <c r="CX60" s="108">
        <f t="shared" si="620"/>
        <v>1</v>
      </c>
      <c r="CY60" s="108">
        <f t="shared" si="621"/>
        <v>1</v>
      </c>
      <c r="CZ60" s="108">
        <f t="shared" si="622"/>
        <v>1</v>
      </c>
      <c r="DA60" s="108">
        <f t="shared" si="623"/>
        <v>1</v>
      </c>
      <c r="DB60" s="108">
        <f t="shared" si="624"/>
        <v>1</v>
      </c>
      <c r="DC60" s="108">
        <f t="shared" si="625"/>
        <v>1</v>
      </c>
      <c r="DD60" s="108">
        <f t="shared" si="626"/>
        <v>1</v>
      </c>
      <c r="DE60" s="109">
        <f t="shared" si="627"/>
        <v>1445000</v>
      </c>
      <c r="DF60" s="110">
        <f t="shared" si="628"/>
        <v>0</v>
      </c>
      <c r="DH60" s="319">
        <v>5.3</v>
      </c>
      <c r="DI60" s="319" t="s">
        <v>180</v>
      </c>
      <c r="DJ60" s="360" t="s">
        <v>310</v>
      </c>
      <c r="DK60" s="321" t="s">
        <v>184</v>
      </c>
      <c r="DL60" s="325">
        <v>85</v>
      </c>
      <c r="DM60" s="323">
        <v>22312</v>
      </c>
      <c r="DN60" s="324">
        <f>DM60*DL60</f>
        <v>1896520</v>
      </c>
      <c r="DO60" s="108">
        <f t="shared" si="629"/>
        <v>1</v>
      </c>
      <c r="DP60" s="108">
        <f t="shared" si="630"/>
        <v>1</v>
      </c>
      <c r="DQ60" s="108">
        <f t="shared" si="631"/>
        <v>1</v>
      </c>
      <c r="DR60" s="108">
        <f t="shared" si="632"/>
        <v>1</v>
      </c>
      <c r="DS60" s="108">
        <f t="shared" si="633"/>
        <v>1</v>
      </c>
      <c r="DT60" s="108">
        <f t="shared" si="634"/>
        <v>1</v>
      </c>
      <c r="DU60" s="108">
        <f t="shared" si="635"/>
        <v>1</v>
      </c>
      <c r="DV60" s="109">
        <f t="shared" si="636"/>
        <v>1896520</v>
      </c>
      <c r="DW60" s="110">
        <f t="shared" si="637"/>
        <v>0</v>
      </c>
      <c r="DY60" s="319">
        <v>5.3</v>
      </c>
      <c r="DZ60" s="319" t="s">
        <v>180</v>
      </c>
      <c r="EA60" s="360" t="s">
        <v>310</v>
      </c>
      <c r="EB60" s="321" t="s">
        <v>184</v>
      </c>
      <c r="EC60" s="325">
        <v>85</v>
      </c>
      <c r="ED60" s="323">
        <v>12000</v>
      </c>
      <c r="EE60" s="324">
        <f>ED60*EC60</f>
        <v>1020000</v>
      </c>
      <c r="EF60" s="108">
        <f t="shared" si="638"/>
        <v>1</v>
      </c>
      <c r="EG60" s="108">
        <f t="shared" si="639"/>
        <v>1</v>
      </c>
      <c r="EH60" s="108">
        <f t="shared" si="640"/>
        <v>1</v>
      </c>
      <c r="EI60" s="108">
        <f t="shared" si="641"/>
        <v>1</v>
      </c>
      <c r="EJ60" s="108">
        <f t="shared" si="642"/>
        <v>1</v>
      </c>
      <c r="EK60" s="108">
        <f t="shared" si="643"/>
        <v>1</v>
      </c>
      <c r="EL60" s="108">
        <f t="shared" si="644"/>
        <v>1</v>
      </c>
      <c r="EM60" s="109">
        <f t="shared" si="645"/>
        <v>1020000</v>
      </c>
      <c r="EN60" s="110">
        <f t="shared" si="646"/>
        <v>0</v>
      </c>
      <c r="EP60" s="319">
        <v>5.3</v>
      </c>
      <c r="EQ60" s="319" t="s">
        <v>180</v>
      </c>
      <c r="ER60" s="334" t="s">
        <v>310</v>
      </c>
      <c r="ES60" s="321" t="s">
        <v>184</v>
      </c>
      <c r="ET60" s="325">
        <v>85</v>
      </c>
      <c r="EU60" s="323">
        <v>17800</v>
      </c>
      <c r="EV60" s="324">
        <f>EU60*ET60</f>
        <v>1513000</v>
      </c>
      <c r="EW60" s="108">
        <f t="shared" si="647"/>
        <v>1</v>
      </c>
      <c r="EX60" s="108">
        <f t="shared" si="648"/>
        <v>1</v>
      </c>
      <c r="EY60" s="108">
        <f t="shared" si="649"/>
        <v>1</v>
      </c>
      <c r="EZ60" s="108">
        <f t="shared" si="650"/>
        <v>1</v>
      </c>
      <c r="FA60" s="108">
        <f t="shared" si="651"/>
        <v>1</v>
      </c>
      <c r="FB60" s="108">
        <f t="shared" si="652"/>
        <v>1</v>
      </c>
      <c r="FC60" s="108">
        <f t="shared" si="653"/>
        <v>1</v>
      </c>
      <c r="FD60" s="109">
        <f t="shared" si="654"/>
        <v>1513000</v>
      </c>
      <c r="FE60" s="110">
        <f t="shared" si="655"/>
        <v>0</v>
      </c>
      <c r="FG60" s="319">
        <v>5.3</v>
      </c>
      <c r="FH60" s="319" t="s">
        <v>180</v>
      </c>
      <c r="FI60" s="360" t="s">
        <v>310</v>
      </c>
      <c r="FJ60" s="321" t="s">
        <v>184</v>
      </c>
      <c r="FK60" s="325">
        <v>85</v>
      </c>
      <c r="FL60" s="323">
        <v>22330</v>
      </c>
      <c r="FM60" s="324">
        <f>FL60*FK60</f>
        <v>1898050</v>
      </c>
      <c r="FN60" s="108">
        <f t="shared" si="656"/>
        <v>1</v>
      </c>
      <c r="FO60" s="108">
        <f t="shared" si="657"/>
        <v>1</v>
      </c>
      <c r="FP60" s="108">
        <f t="shared" si="658"/>
        <v>1</v>
      </c>
      <c r="FQ60" s="108">
        <f t="shared" si="659"/>
        <v>1</v>
      </c>
      <c r="FR60" s="108">
        <f t="shared" si="660"/>
        <v>1</v>
      </c>
      <c r="FS60" s="108">
        <f t="shared" si="661"/>
        <v>1</v>
      </c>
      <c r="FT60" s="108">
        <f t="shared" si="662"/>
        <v>1</v>
      </c>
      <c r="FU60" s="109">
        <f t="shared" si="663"/>
        <v>1898050</v>
      </c>
      <c r="FV60" s="110">
        <f t="shared" si="664"/>
        <v>0</v>
      </c>
      <c r="FX60" s="319">
        <v>5.3</v>
      </c>
      <c r="FY60" s="319" t="s">
        <v>180</v>
      </c>
      <c r="FZ60" s="334" t="s">
        <v>310</v>
      </c>
      <c r="GA60" s="321" t="s">
        <v>184</v>
      </c>
      <c r="GB60" s="325">
        <v>85</v>
      </c>
      <c r="GC60" s="323">
        <v>13000</v>
      </c>
      <c r="GD60" s="324">
        <f>GC60*GB60</f>
        <v>1105000</v>
      </c>
      <c r="GE60" s="108">
        <f t="shared" si="665"/>
        <v>1</v>
      </c>
      <c r="GF60" s="108">
        <f t="shared" si="666"/>
        <v>1</v>
      </c>
      <c r="GG60" s="108">
        <f t="shared" si="667"/>
        <v>1</v>
      </c>
      <c r="GH60" s="108">
        <f t="shared" si="668"/>
        <v>1</v>
      </c>
      <c r="GI60" s="108">
        <f t="shared" si="669"/>
        <v>1</v>
      </c>
      <c r="GJ60" s="108">
        <f t="shared" si="670"/>
        <v>1</v>
      </c>
      <c r="GK60" s="108">
        <f t="shared" si="671"/>
        <v>1</v>
      </c>
      <c r="GL60" s="109">
        <f t="shared" si="672"/>
        <v>1105000</v>
      </c>
      <c r="GM60" s="110">
        <f t="shared" si="673"/>
        <v>0</v>
      </c>
      <c r="GO60" s="319">
        <v>5.3</v>
      </c>
      <c r="GP60" s="319" t="s">
        <v>180</v>
      </c>
      <c r="GQ60" s="334" t="s">
        <v>310</v>
      </c>
      <c r="GR60" s="321" t="s">
        <v>184</v>
      </c>
      <c r="GS60" s="325">
        <v>85</v>
      </c>
      <c r="GT60" s="323">
        <v>21000</v>
      </c>
      <c r="GU60" s="324">
        <v>1785000</v>
      </c>
      <c r="GV60" s="108">
        <f t="shared" si="674"/>
        <v>1</v>
      </c>
      <c r="GW60" s="108">
        <f t="shared" si="675"/>
        <v>1</v>
      </c>
      <c r="GX60" s="108">
        <f t="shared" si="676"/>
        <v>1</v>
      </c>
      <c r="GY60" s="108">
        <f t="shared" si="677"/>
        <v>1</v>
      </c>
      <c r="GZ60" s="108">
        <f t="shared" si="678"/>
        <v>1</v>
      </c>
      <c r="HA60" s="108">
        <f t="shared" si="679"/>
        <v>1</v>
      </c>
      <c r="HB60" s="108">
        <f t="shared" si="680"/>
        <v>1</v>
      </c>
      <c r="HC60" s="109">
        <f t="shared" si="681"/>
        <v>1785000</v>
      </c>
      <c r="HD60" s="110">
        <f t="shared" si="682"/>
        <v>0</v>
      </c>
      <c r="HF60" s="319">
        <v>5.3</v>
      </c>
      <c r="HG60" s="319" t="s">
        <v>180</v>
      </c>
      <c r="HH60" s="334" t="s">
        <v>310</v>
      </c>
      <c r="HI60" s="321" t="s">
        <v>184</v>
      </c>
      <c r="HJ60" s="325">
        <v>85</v>
      </c>
      <c r="HK60" s="323">
        <v>21000</v>
      </c>
      <c r="HL60" s="324">
        <f>HK60*HJ60</f>
        <v>1785000</v>
      </c>
      <c r="HM60" s="108">
        <f t="shared" si="683"/>
        <v>1</v>
      </c>
      <c r="HN60" s="108">
        <f t="shared" si="684"/>
        <v>1</v>
      </c>
      <c r="HO60" s="108">
        <f t="shared" si="685"/>
        <v>1</v>
      </c>
      <c r="HP60" s="108">
        <f t="shared" si="686"/>
        <v>1</v>
      </c>
      <c r="HQ60" s="108">
        <f t="shared" si="687"/>
        <v>1</v>
      </c>
      <c r="HR60" s="108">
        <f t="shared" si="688"/>
        <v>1</v>
      </c>
      <c r="HS60" s="108">
        <f t="shared" si="689"/>
        <v>1</v>
      </c>
      <c r="HT60" s="109">
        <f t="shared" si="690"/>
        <v>1785000</v>
      </c>
      <c r="HU60" s="110">
        <f t="shared" si="691"/>
        <v>0</v>
      </c>
      <c r="HW60" s="319">
        <v>5.3</v>
      </c>
      <c r="HX60" s="319" t="s">
        <v>180</v>
      </c>
      <c r="HY60" s="334" t="s">
        <v>310</v>
      </c>
      <c r="HZ60" s="321" t="s">
        <v>184</v>
      </c>
      <c r="IA60" s="325">
        <v>85</v>
      </c>
      <c r="IB60" s="323">
        <v>12000</v>
      </c>
      <c r="IC60" s="324">
        <f>IB60*IA60</f>
        <v>1020000</v>
      </c>
      <c r="ID60" s="108">
        <f t="shared" si="692"/>
        <v>1</v>
      </c>
      <c r="IE60" s="108">
        <f t="shared" si="693"/>
        <v>1</v>
      </c>
      <c r="IF60" s="108">
        <f t="shared" si="694"/>
        <v>1</v>
      </c>
      <c r="IG60" s="108">
        <f t="shared" si="695"/>
        <v>1</v>
      </c>
      <c r="IH60" s="108">
        <f t="shared" si="696"/>
        <v>1</v>
      </c>
      <c r="II60" s="108">
        <f t="shared" si="697"/>
        <v>1</v>
      </c>
      <c r="IJ60" s="108">
        <f t="shared" si="698"/>
        <v>1</v>
      </c>
      <c r="IK60" s="109">
        <f t="shared" si="699"/>
        <v>1020000</v>
      </c>
      <c r="IL60" s="110">
        <f t="shared" si="700"/>
        <v>0</v>
      </c>
    </row>
    <row r="61" spans="1:246" s="213" customFormat="1" ht="108" x14ac:dyDescent="0.25">
      <c r="A61" s="211"/>
      <c r="B61" s="319">
        <v>5.4</v>
      </c>
      <c r="C61" s="319" t="s">
        <v>180</v>
      </c>
      <c r="D61" s="320" t="s">
        <v>311</v>
      </c>
      <c r="E61" s="321" t="s">
        <v>179</v>
      </c>
      <c r="F61" s="325">
        <v>85</v>
      </c>
      <c r="G61" s="323">
        <v>0</v>
      </c>
      <c r="H61" s="324">
        <f>G61*F61</f>
        <v>0</v>
      </c>
      <c r="J61" s="319">
        <v>5.4</v>
      </c>
      <c r="K61" s="319" t="s">
        <v>180</v>
      </c>
      <c r="L61" s="320" t="s">
        <v>311</v>
      </c>
      <c r="M61" s="321" t="s">
        <v>179</v>
      </c>
      <c r="N61" s="325">
        <v>85</v>
      </c>
      <c r="O61" s="323">
        <v>9650</v>
      </c>
      <c r="P61" s="324">
        <v>820250</v>
      </c>
      <c r="Q61" s="108">
        <f t="shared" si="447"/>
        <v>1</v>
      </c>
      <c r="R61" s="108">
        <f t="shared" si="448"/>
        <v>1</v>
      </c>
      <c r="S61" s="108">
        <f t="shared" si="449"/>
        <v>1</v>
      </c>
      <c r="T61" s="108">
        <f t="shared" si="450"/>
        <v>1</v>
      </c>
      <c r="U61" s="108">
        <f t="shared" si="451"/>
        <v>1</v>
      </c>
      <c r="V61" s="108">
        <f t="shared" si="452"/>
        <v>1</v>
      </c>
      <c r="W61" s="108">
        <f t="shared" si="453"/>
        <v>1</v>
      </c>
      <c r="X61" s="109">
        <f t="shared" si="454"/>
        <v>820250</v>
      </c>
      <c r="Y61" s="110">
        <f t="shared" si="455"/>
        <v>0</v>
      </c>
      <c r="AA61" s="319">
        <v>5.4</v>
      </c>
      <c r="AB61" s="319" t="s">
        <v>180</v>
      </c>
      <c r="AC61" s="320" t="s">
        <v>311</v>
      </c>
      <c r="AD61" s="321" t="s">
        <v>179</v>
      </c>
      <c r="AE61" s="325">
        <v>85</v>
      </c>
      <c r="AF61" s="323">
        <v>8000</v>
      </c>
      <c r="AG61" s="324">
        <v>680000</v>
      </c>
      <c r="AH61" s="108">
        <f t="shared" si="584"/>
        <v>1</v>
      </c>
      <c r="AI61" s="108">
        <f t="shared" si="585"/>
        <v>1</v>
      </c>
      <c r="AJ61" s="108">
        <f t="shared" si="586"/>
        <v>1</v>
      </c>
      <c r="AK61" s="108">
        <f t="shared" si="587"/>
        <v>1</v>
      </c>
      <c r="AL61" s="108">
        <f t="shared" si="588"/>
        <v>1</v>
      </c>
      <c r="AM61" s="108">
        <f t="shared" si="589"/>
        <v>1</v>
      </c>
      <c r="AN61" s="108">
        <f t="shared" si="590"/>
        <v>1</v>
      </c>
      <c r="AO61" s="109">
        <f t="shared" si="591"/>
        <v>680000</v>
      </c>
      <c r="AP61" s="110">
        <f t="shared" si="592"/>
        <v>0</v>
      </c>
      <c r="AR61" s="319">
        <v>5.4</v>
      </c>
      <c r="AS61" s="319" t="s">
        <v>180</v>
      </c>
      <c r="AT61" s="320" t="s">
        <v>311</v>
      </c>
      <c r="AU61" s="321" t="s">
        <v>179</v>
      </c>
      <c r="AV61" s="325">
        <v>85</v>
      </c>
      <c r="AW61" s="323">
        <v>8730</v>
      </c>
      <c r="AX61" s="324">
        <v>742050</v>
      </c>
      <c r="AY61" s="108">
        <f t="shared" si="593"/>
        <v>1</v>
      </c>
      <c r="AZ61" s="108">
        <f t="shared" si="594"/>
        <v>1</v>
      </c>
      <c r="BA61" s="108">
        <f t="shared" si="595"/>
        <v>1</v>
      </c>
      <c r="BB61" s="108">
        <f t="shared" si="596"/>
        <v>1</v>
      </c>
      <c r="BC61" s="108">
        <f t="shared" si="597"/>
        <v>1</v>
      </c>
      <c r="BD61" s="108">
        <f t="shared" si="598"/>
        <v>1</v>
      </c>
      <c r="BE61" s="108">
        <f t="shared" si="599"/>
        <v>1</v>
      </c>
      <c r="BF61" s="109">
        <f t="shared" si="600"/>
        <v>742050</v>
      </c>
      <c r="BG61" s="110">
        <f t="shared" si="601"/>
        <v>0</v>
      </c>
      <c r="BI61" s="319">
        <v>5.4</v>
      </c>
      <c r="BJ61" s="319" t="s">
        <v>180</v>
      </c>
      <c r="BK61" s="320" t="s">
        <v>311</v>
      </c>
      <c r="BL61" s="321" t="s">
        <v>179</v>
      </c>
      <c r="BM61" s="325">
        <v>85</v>
      </c>
      <c r="BN61" s="323">
        <v>20100</v>
      </c>
      <c r="BO61" s="324">
        <f>BN61*BM61</f>
        <v>1708500</v>
      </c>
      <c r="BP61" s="108">
        <f t="shared" si="602"/>
        <v>1</v>
      </c>
      <c r="BQ61" s="108">
        <f t="shared" si="603"/>
        <v>1</v>
      </c>
      <c r="BR61" s="108">
        <f t="shared" si="604"/>
        <v>1</v>
      </c>
      <c r="BS61" s="108">
        <f t="shared" si="605"/>
        <v>1</v>
      </c>
      <c r="BT61" s="108">
        <f t="shared" si="606"/>
        <v>1</v>
      </c>
      <c r="BU61" s="108">
        <f t="shared" si="607"/>
        <v>1</v>
      </c>
      <c r="BV61" s="108">
        <f t="shared" si="608"/>
        <v>1</v>
      </c>
      <c r="BW61" s="109">
        <f t="shared" si="609"/>
        <v>1708500</v>
      </c>
      <c r="BX61" s="110">
        <f t="shared" si="610"/>
        <v>0</v>
      </c>
      <c r="BZ61" s="319">
        <v>5.4</v>
      </c>
      <c r="CA61" s="319" t="s">
        <v>180</v>
      </c>
      <c r="CB61" s="320" t="s">
        <v>311</v>
      </c>
      <c r="CC61" s="321" t="s">
        <v>179</v>
      </c>
      <c r="CD61" s="325">
        <v>85</v>
      </c>
      <c r="CE61" s="323">
        <v>12000</v>
      </c>
      <c r="CF61" s="324">
        <f>CE61*CD61</f>
        <v>1020000</v>
      </c>
      <c r="CG61" s="108">
        <f t="shared" si="611"/>
        <v>1</v>
      </c>
      <c r="CH61" s="108">
        <f t="shared" si="612"/>
        <v>1</v>
      </c>
      <c r="CI61" s="108">
        <f t="shared" si="613"/>
        <v>1</v>
      </c>
      <c r="CJ61" s="108">
        <f t="shared" si="614"/>
        <v>1</v>
      </c>
      <c r="CK61" s="108">
        <f t="shared" si="615"/>
        <v>1</v>
      </c>
      <c r="CL61" s="108">
        <f t="shared" si="616"/>
        <v>1</v>
      </c>
      <c r="CM61" s="108">
        <f t="shared" si="617"/>
        <v>1</v>
      </c>
      <c r="CN61" s="109">
        <f t="shared" si="618"/>
        <v>1020000</v>
      </c>
      <c r="CO61" s="110">
        <f t="shared" si="619"/>
        <v>0</v>
      </c>
      <c r="CQ61" s="319">
        <v>5.4</v>
      </c>
      <c r="CR61" s="319" t="s">
        <v>180</v>
      </c>
      <c r="CS61" s="320" t="s">
        <v>311</v>
      </c>
      <c r="CT61" s="321" t="s">
        <v>179</v>
      </c>
      <c r="CU61" s="325">
        <v>85</v>
      </c>
      <c r="CV61" s="323">
        <v>7300</v>
      </c>
      <c r="CW61" s="324">
        <f>CV61*CU61</f>
        <v>620500</v>
      </c>
      <c r="CX61" s="108">
        <f t="shared" si="620"/>
        <v>1</v>
      </c>
      <c r="CY61" s="108">
        <f t="shared" si="621"/>
        <v>1</v>
      </c>
      <c r="CZ61" s="108">
        <f t="shared" si="622"/>
        <v>1</v>
      </c>
      <c r="DA61" s="108">
        <f t="shared" si="623"/>
        <v>1</v>
      </c>
      <c r="DB61" s="108">
        <f t="shared" si="624"/>
        <v>1</v>
      </c>
      <c r="DC61" s="108">
        <f t="shared" si="625"/>
        <v>1</v>
      </c>
      <c r="DD61" s="108">
        <f t="shared" si="626"/>
        <v>1</v>
      </c>
      <c r="DE61" s="109">
        <f t="shared" si="627"/>
        <v>620500</v>
      </c>
      <c r="DF61" s="110">
        <f t="shared" si="628"/>
        <v>0</v>
      </c>
      <c r="DH61" s="319">
        <v>5.4</v>
      </c>
      <c r="DI61" s="319" t="s">
        <v>180</v>
      </c>
      <c r="DJ61" s="359" t="s">
        <v>311</v>
      </c>
      <c r="DK61" s="321" t="s">
        <v>179</v>
      </c>
      <c r="DL61" s="325">
        <v>85</v>
      </c>
      <c r="DM61" s="323">
        <v>16760</v>
      </c>
      <c r="DN61" s="324">
        <f>DM61*DL61</f>
        <v>1424600</v>
      </c>
      <c r="DO61" s="108">
        <f t="shared" si="629"/>
        <v>1</v>
      </c>
      <c r="DP61" s="108">
        <f t="shared" si="630"/>
        <v>1</v>
      </c>
      <c r="DQ61" s="108">
        <f t="shared" si="631"/>
        <v>1</v>
      </c>
      <c r="DR61" s="108">
        <f t="shared" si="632"/>
        <v>1</v>
      </c>
      <c r="DS61" s="108">
        <f t="shared" si="633"/>
        <v>1</v>
      </c>
      <c r="DT61" s="108">
        <f t="shared" si="634"/>
        <v>1</v>
      </c>
      <c r="DU61" s="108">
        <f t="shared" si="635"/>
        <v>1</v>
      </c>
      <c r="DV61" s="109">
        <f t="shared" si="636"/>
        <v>1424600</v>
      </c>
      <c r="DW61" s="110">
        <f t="shared" si="637"/>
        <v>0</v>
      </c>
      <c r="DY61" s="319">
        <v>5.4</v>
      </c>
      <c r="DZ61" s="319" t="s">
        <v>180</v>
      </c>
      <c r="EA61" s="359" t="s">
        <v>311</v>
      </c>
      <c r="EB61" s="321" t="s">
        <v>179</v>
      </c>
      <c r="EC61" s="325">
        <v>85</v>
      </c>
      <c r="ED61" s="323">
        <v>4500</v>
      </c>
      <c r="EE61" s="324">
        <f>ED61*EC61</f>
        <v>382500</v>
      </c>
      <c r="EF61" s="108">
        <f t="shared" si="638"/>
        <v>1</v>
      </c>
      <c r="EG61" s="108">
        <f t="shared" si="639"/>
        <v>1</v>
      </c>
      <c r="EH61" s="108">
        <f t="shared" si="640"/>
        <v>1</v>
      </c>
      <c r="EI61" s="108">
        <f t="shared" si="641"/>
        <v>1</v>
      </c>
      <c r="EJ61" s="108">
        <f t="shared" si="642"/>
        <v>1</v>
      </c>
      <c r="EK61" s="108">
        <f t="shared" si="643"/>
        <v>1</v>
      </c>
      <c r="EL61" s="108">
        <f t="shared" si="644"/>
        <v>1</v>
      </c>
      <c r="EM61" s="109">
        <f t="shared" si="645"/>
        <v>382500</v>
      </c>
      <c r="EN61" s="110">
        <f t="shared" si="646"/>
        <v>0</v>
      </c>
      <c r="EP61" s="319">
        <v>5.4</v>
      </c>
      <c r="EQ61" s="319" t="s">
        <v>180</v>
      </c>
      <c r="ER61" s="320" t="s">
        <v>311</v>
      </c>
      <c r="ES61" s="321" t="s">
        <v>179</v>
      </c>
      <c r="ET61" s="325">
        <v>85</v>
      </c>
      <c r="EU61" s="323">
        <v>11000</v>
      </c>
      <c r="EV61" s="324">
        <f>EU61*ET61</f>
        <v>935000</v>
      </c>
      <c r="EW61" s="108">
        <f t="shared" si="647"/>
        <v>1</v>
      </c>
      <c r="EX61" s="108">
        <f t="shared" si="648"/>
        <v>1</v>
      </c>
      <c r="EY61" s="108">
        <f t="shared" si="649"/>
        <v>1</v>
      </c>
      <c r="EZ61" s="108">
        <f t="shared" si="650"/>
        <v>1</v>
      </c>
      <c r="FA61" s="108">
        <f t="shared" si="651"/>
        <v>1</v>
      </c>
      <c r="FB61" s="108">
        <f t="shared" si="652"/>
        <v>1</v>
      </c>
      <c r="FC61" s="108">
        <f t="shared" si="653"/>
        <v>1</v>
      </c>
      <c r="FD61" s="109">
        <f t="shared" si="654"/>
        <v>935000</v>
      </c>
      <c r="FE61" s="110">
        <f t="shared" si="655"/>
        <v>0</v>
      </c>
      <c r="FG61" s="319">
        <v>5.4</v>
      </c>
      <c r="FH61" s="319" t="s">
        <v>180</v>
      </c>
      <c r="FI61" s="359" t="s">
        <v>311</v>
      </c>
      <c r="FJ61" s="321" t="s">
        <v>179</v>
      </c>
      <c r="FK61" s="325">
        <v>85</v>
      </c>
      <c r="FL61" s="323">
        <v>16765</v>
      </c>
      <c r="FM61" s="324">
        <f>FL61*FK61</f>
        <v>1425025</v>
      </c>
      <c r="FN61" s="108">
        <f t="shared" si="656"/>
        <v>1</v>
      </c>
      <c r="FO61" s="108">
        <f t="shared" si="657"/>
        <v>1</v>
      </c>
      <c r="FP61" s="108">
        <f t="shared" si="658"/>
        <v>1</v>
      </c>
      <c r="FQ61" s="108">
        <f t="shared" si="659"/>
        <v>1</v>
      </c>
      <c r="FR61" s="108">
        <f t="shared" si="660"/>
        <v>1</v>
      </c>
      <c r="FS61" s="108">
        <f t="shared" si="661"/>
        <v>1</v>
      </c>
      <c r="FT61" s="108">
        <f t="shared" si="662"/>
        <v>1</v>
      </c>
      <c r="FU61" s="109">
        <f t="shared" si="663"/>
        <v>1425025</v>
      </c>
      <c r="FV61" s="110">
        <f t="shared" si="664"/>
        <v>0</v>
      </c>
      <c r="FX61" s="319">
        <v>5.4</v>
      </c>
      <c r="FY61" s="319" t="s">
        <v>180</v>
      </c>
      <c r="FZ61" s="320" t="s">
        <v>311</v>
      </c>
      <c r="GA61" s="321" t="s">
        <v>179</v>
      </c>
      <c r="GB61" s="325">
        <v>85</v>
      </c>
      <c r="GC61" s="323">
        <v>6000</v>
      </c>
      <c r="GD61" s="324">
        <f>GC61*GB61</f>
        <v>510000</v>
      </c>
      <c r="GE61" s="108">
        <f t="shared" si="665"/>
        <v>1</v>
      </c>
      <c r="GF61" s="108">
        <f t="shared" si="666"/>
        <v>1</v>
      </c>
      <c r="GG61" s="108">
        <f t="shared" si="667"/>
        <v>1</v>
      </c>
      <c r="GH61" s="108">
        <f t="shared" si="668"/>
        <v>1</v>
      </c>
      <c r="GI61" s="108">
        <f t="shared" si="669"/>
        <v>1</v>
      </c>
      <c r="GJ61" s="108">
        <f t="shared" si="670"/>
        <v>1</v>
      </c>
      <c r="GK61" s="108">
        <f t="shared" si="671"/>
        <v>1</v>
      </c>
      <c r="GL61" s="109">
        <f t="shared" si="672"/>
        <v>510000</v>
      </c>
      <c r="GM61" s="110">
        <f t="shared" si="673"/>
        <v>0</v>
      </c>
      <c r="GO61" s="319">
        <v>5.4</v>
      </c>
      <c r="GP61" s="319" t="s">
        <v>180</v>
      </c>
      <c r="GQ61" s="320" t="s">
        <v>311</v>
      </c>
      <c r="GR61" s="321" t="s">
        <v>179</v>
      </c>
      <c r="GS61" s="325">
        <v>85</v>
      </c>
      <c r="GT61" s="323">
        <v>11000</v>
      </c>
      <c r="GU61" s="324">
        <v>935000</v>
      </c>
      <c r="GV61" s="108">
        <f t="shared" si="674"/>
        <v>1</v>
      </c>
      <c r="GW61" s="108">
        <f t="shared" si="675"/>
        <v>1</v>
      </c>
      <c r="GX61" s="108">
        <f t="shared" si="676"/>
        <v>1</v>
      </c>
      <c r="GY61" s="108">
        <f t="shared" si="677"/>
        <v>1</v>
      </c>
      <c r="GZ61" s="108">
        <f t="shared" si="678"/>
        <v>1</v>
      </c>
      <c r="HA61" s="108">
        <f t="shared" si="679"/>
        <v>1</v>
      </c>
      <c r="HB61" s="108">
        <f t="shared" si="680"/>
        <v>1</v>
      </c>
      <c r="HC61" s="109">
        <f t="shared" si="681"/>
        <v>935000</v>
      </c>
      <c r="HD61" s="110">
        <f t="shared" si="682"/>
        <v>0</v>
      </c>
      <c r="HF61" s="319">
        <v>5.4</v>
      </c>
      <c r="HG61" s="319" t="s">
        <v>180</v>
      </c>
      <c r="HH61" s="320" t="s">
        <v>311</v>
      </c>
      <c r="HI61" s="321" t="s">
        <v>179</v>
      </c>
      <c r="HJ61" s="325">
        <v>85</v>
      </c>
      <c r="HK61" s="323">
        <v>14000</v>
      </c>
      <c r="HL61" s="324">
        <f>HK61*HJ61</f>
        <v>1190000</v>
      </c>
      <c r="HM61" s="108">
        <f t="shared" si="683"/>
        <v>1</v>
      </c>
      <c r="HN61" s="108">
        <f t="shared" si="684"/>
        <v>1</v>
      </c>
      <c r="HO61" s="108">
        <f t="shared" si="685"/>
        <v>1</v>
      </c>
      <c r="HP61" s="108">
        <f t="shared" si="686"/>
        <v>1</v>
      </c>
      <c r="HQ61" s="108">
        <f t="shared" si="687"/>
        <v>1</v>
      </c>
      <c r="HR61" s="108">
        <f t="shared" si="688"/>
        <v>1</v>
      </c>
      <c r="HS61" s="108">
        <f t="shared" si="689"/>
        <v>1</v>
      </c>
      <c r="HT61" s="109">
        <f t="shared" si="690"/>
        <v>1190000</v>
      </c>
      <c r="HU61" s="110">
        <f t="shared" si="691"/>
        <v>0</v>
      </c>
      <c r="HW61" s="319">
        <v>5.4</v>
      </c>
      <c r="HX61" s="319" t="s">
        <v>180</v>
      </c>
      <c r="HY61" s="320" t="s">
        <v>311</v>
      </c>
      <c r="HZ61" s="321" t="s">
        <v>179</v>
      </c>
      <c r="IA61" s="325">
        <v>85</v>
      </c>
      <c r="IB61" s="323">
        <v>8000</v>
      </c>
      <c r="IC61" s="324">
        <f>IB61*IA61</f>
        <v>680000</v>
      </c>
      <c r="ID61" s="108">
        <f t="shared" si="692"/>
        <v>1</v>
      </c>
      <c r="IE61" s="108">
        <f t="shared" si="693"/>
        <v>1</v>
      </c>
      <c r="IF61" s="108">
        <f t="shared" si="694"/>
        <v>1</v>
      </c>
      <c r="IG61" s="108">
        <f t="shared" si="695"/>
        <v>1</v>
      </c>
      <c r="IH61" s="108">
        <f t="shared" si="696"/>
        <v>1</v>
      </c>
      <c r="II61" s="108">
        <f t="shared" si="697"/>
        <v>1</v>
      </c>
      <c r="IJ61" s="108">
        <f t="shared" si="698"/>
        <v>1</v>
      </c>
      <c r="IK61" s="109">
        <f t="shared" si="699"/>
        <v>680000</v>
      </c>
      <c r="IL61" s="110">
        <f t="shared" si="700"/>
        <v>0</v>
      </c>
    </row>
    <row r="62" spans="1:246" s="213" customFormat="1" ht="126" x14ac:dyDescent="0.25">
      <c r="A62" s="211"/>
      <c r="B62" s="326">
        <v>5.5</v>
      </c>
      <c r="C62" s="319" t="s">
        <v>180</v>
      </c>
      <c r="D62" s="320" t="s">
        <v>312</v>
      </c>
      <c r="E62" s="327" t="s">
        <v>184</v>
      </c>
      <c r="F62" s="322">
        <v>85</v>
      </c>
      <c r="G62" s="323">
        <v>0</v>
      </c>
      <c r="H62" s="324">
        <f>G62*F62</f>
        <v>0</v>
      </c>
      <c r="J62" s="326">
        <v>5.5</v>
      </c>
      <c r="K62" s="319" t="s">
        <v>180</v>
      </c>
      <c r="L62" s="320" t="s">
        <v>312</v>
      </c>
      <c r="M62" s="327" t="s">
        <v>184</v>
      </c>
      <c r="N62" s="322">
        <v>85</v>
      </c>
      <c r="O62" s="323">
        <v>16273</v>
      </c>
      <c r="P62" s="324">
        <v>1383205</v>
      </c>
      <c r="Q62" s="108">
        <f t="shared" si="447"/>
        <v>1</v>
      </c>
      <c r="R62" s="108">
        <f t="shared" si="448"/>
        <v>1</v>
      </c>
      <c r="S62" s="108">
        <f t="shared" si="449"/>
        <v>1</v>
      </c>
      <c r="T62" s="108">
        <f t="shared" si="450"/>
        <v>1</v>
      </c>
      <c r="U62" s="108">
        <f t="shared" si="451"/>
        <v>1</v>
      </c>
      <c r="V62" s="108">
        <f t="shared" si="452"/>
        <v>1</v>
      </c>
      <c r="W62" s="108">
        <f t="shared" si="453"/>
        <v>1</v>
      </c>
      <c r="X62" s="109">
        <f t="shared" si="454"/>
        <v>1383205</v>
      </c>
      <c r="Y62" s="110">
        <f t="shared" si="455"/>
        <v>0</v>
      </c>
      <c r="AA62" s="326">
        <v>5.5</v>
      </c>
      <c r="AB62" s="319" t="s">
        <v>180</v>
      </c>
      <c r="AC62" s="320" t="s">
        <v>312</v>
      </c>
      <c r="AD62" s="327" t="s">
        <v>184</v>
      </c>
      <c r="AE62" s="322">
        <v>85</v>
      </c>
      <c r="AF62" s="323">
        <v>18450</v>
      </c>
      <c r="AG62" s="324">
        <v>1568250</v>
      </c>
      <c r="AH62" s="108">
        <f t="shared" si="584"/>
        <v>1</v>
      </c>
      <c r="AI62" s="108">
        <f t="shared" si="585"/>
        <v>1</v>
      </c>
      <c r="AJ62" s="108">
        <f t="shared" si="586"/>
        <v>1</v>
      </c>
      <c r="AK62" s="108">
        <f t="shared" si="587"/>
        <v>1</v>
      </c>
      <c r="AL62" s="108">
        <f t="shared" si="588"/>
        <v>1</v>
      </c>
      <c r="AM62" s="108">
        <f t="shared" si="589"/>
        <v>1</v>
      </c>
      <c r="AN62" s="108">
        <f t="shared" si="590"/>
        <v>1</v>
      </c>
      <c r="AO62" s="109">
        <f t="shared" si="591"/>
        <v>1568250</v>
      </c>
      <c r="AP62" s="110">
        <f t="shared" si="592"/>
        <v>0</v>
      </c>
      <c r="AR62" s="326">
        <v>5.5</v>
      </c>
      <c r="AS62" s="319" t="s">
        <v>180</v>
      </c>
      <c r="AT62" s="320" t="s">
        <v>312</v>
      </c>
      <c r="AU62" s="327" t="s">
        <v>184</v>
      </c>
      <c r="AV62" s="322">
        <v>85</v>
      </c>
      <c r="AW62" s="323">
        <v>12610</v>
      </c>
      <c r="AX62" s="324">
        <v>1071850</v>
      </c>
      <c r="AY62" s="108">
        <f t="shared" si="593"/>
        <v>1</v>
      </c>
      <c r="AZ62" s="108">
        <f t="shared" si="594"/>
        <v>1</v>
      </c>
      <c r="BA62" s="108">
        <f t="shared" si="595"/>
        <v>1</v>
      </c>
      <c r="BB62" s="108">
        <f t="shared" si="596"/>
        <v>1</v>
      </c>
      <c r="BC62" s="108">
        <f t="shared" si="597"/>
        <v>1</v>
      </c>
      <c r="BD62" s="108">
        <f t="shared" si="598"/>
        <v>1</v>
      </c>
      <c r="BE62" s="108">
        <f t="shared" si="599"/>
        <v>1</v>
      </c>
      <c r="BF62" s="109">
        <f t="shared" si="600"/>
        <v>1071850</v>
      </c>
      <c r="BG62" s="110">
        <f t="shared" si="601"/>
        <v>0</v>
      </c>
      <c r="BI62" s="326">
        <v>5.5</v>
      </c>
      <c r="BJ62" s="319" t="s">
        <v>180</v>
      </c>
      <c r="BK62" s="320" t="s">
        <v>312</v>
      </c>
      <c r="BL62" s="327" t="s">
        <v>184</v>
      </c>
      <c r="BM62" s="322">
        <v>85</v>
      </c>
      <c r="BN62" s="323">
        <v>20100</v>
      </c>
      <c r="BO62" s="324">
        <f>BN62*BM62</f>
        <v>1708500</v>
      </c>
      <c r="BP62" s="108">
        <f t="shared" si="602"/>
        <v>1</v>
      </c>
      <c r="BQ62" s="108">
        <f t="shared" si="603"/>
        <v>1</v>
      </c>
      <c r="BR62" s="108">
        <f t="shared" si="604"/>
        <v>1</v>
      </c>
      <c r="BS62" s="108">
        <f t="shared" si="605"/>
        <v>1</v>
      </c>
      <c r="BT62" s="108">
        <f t="shared" si="606"/>
        <v>1</v>
      </c>
      <c r="BU62" s="108">
        <f t="shared" si="607"/>
        <v>1</v>
      </c>
      <c r="BV62" s="108">
        <f t="shared" si="608"/>
        <v>1</v>
      </c>
      <c r="BW62" s="109">
        <f t="shared" si="609"/>
        <v>1708500</v>
      </c>
      <c r="BX62" s="110">
        <f t="shared" si="610"/>
        <v>0</v>
      </c>
      <c r="BZ62" s="326">
        <v>5.5</v>
      </c>
      <c r="CA62" s="319" t="s">
        <v>180</v>
      </c>
      <c r="CB62" s="320" t="s">
        <v>312</v>
      </c>
      <c r="CC62" s="327" t="s">
        <v>184</v>
      </c>
      <c r="CD62" s="322">
        <v>85</v>
      </c>
      <c r="CE62" s="323">
        <v>16000</v>
      </c>
      <c r="CF62" s="324">
        <f>CE62*CD62</f>
        <v>1360000</v>
      </c>
      <c r="CG62" s="108">
        <f t="shared" si="611"/>
        <v>1</v>
      </c>
      <c r="CH62" s="108">
        <f t="shared" si="612"/>
        <v>1</v>
      </c>
      <c r="CI62" s="108">
        <f t="shared" si="613"/>
        <v>1</v>
      </c>
      <c r="CJ62" s="108">
        <f t="shared" si="614"/>
        <v>1</v>
      </c>
      <c r="CK62" s="108">
        <f t="shared" si="615"/>
        <v>1</v>
      </c>
      <c r="CL62" s="108">
        <f t="shared" si="616"/>
        <v>1</v>
      </c>
      <c r="CM62" s="108">
        <f t="shared" si="617"/>
        <v>1</v>
      </c>
      <c r="CN62" s="109">
        <f t="shared" si="618"/>
        <v>1360000</v>
      </c>
      <c r="CO62" s="110">
        <f t="shared" si="619"/>
        <v>0</v>
      </c>
      <c r="CQ62" s="326">
        <v>5.5</v>
      </c>
      <c r="CR62" s="319" t="s">
        <v>180</v>
      </c>
      <c r="CS62" s="320" t="s">
        <v>312</v>
      </c>
      <c r="CT62" s="327" t="s">
        <v>184</v>
      </c>
      <c r="CU62" s="322">
        <v>85</v>
      </c>
      <c r="CV62" s="323">
        <v>15000</v>
      </c>
      <c r="CW62" s="324">
        <f>CV62*CU62</f>
        <v>1275000</v>
      </c>
      <c r="CX62" s="108">
        <f t="shared" si="620"/>
        <v>1</v>
      </c>
      <c r="CY62" s="108">
        <f t="shared" si="621"/>
        <v>1</v>
      </c>
      <c r="CZ62" s="108">
        <f t="shared" si="622"/>
        <v>1</v>
      </c>
      <c r="DA62" s="108">
        <f t="shared" si="623"/>
        <v>1</v>
      </c>
      <c r="DB62" s="108">
        <f t="shared" si="624"/>
        <v>1</v>
      </c>
      <c r="DC62" s="108">
        <f t="shared" si="625"/>
        <v>1</v>
      </c>
      <c r="DD62" s="108">
        <f t="shared" si="626"/>
        <v>1</v>
      </c>
      <c r="DE62" s="109">
        <f t="shared" si="627"/>
        <v>1275000</v>
      </c>
      <c r="DF62" s="110">
        <f t="shared" si="628"/>
        <v>0</v>
      </c>
      <c r="DH62" s="326">
        <v>5.5</v>
      </c>
      <c r="DI62" s="319" t="s">
        <v>180</v>
      </c>
      <c r="DJ62" s="359" t="s">
        <v>312</v>
      </c>
      <c r="DK62" s="327" t="s">
        <v>184</v>
      </c>
      <c r="DL62" s="322">
        <v>85</v>
      </c>
      <c r="DM62" s="323">
        <v>20630</v>
      </c>
      <c r="DN62" s="324">
        <f>DM62*DL62</f>
        <v>1753550</v>
      </c>
      <c r="DO62" s="108">
        <f t="shared" si="629"/>
        <v>1</v>
      </c>
      <c r="DP62" s="108">
        <f t="shared" si="630"/>
        <v>1</v>
      </c>
      <c r="DQ62" s="108">
        <f t="shared" si="631"/>
        <v>1</v>
      </c>
      <c r="DR62" s="108">
        <f t="shared" si="632"/>
        <v>1</v>
      </c>
      <c r="DS62" s="108">
        <f t="shared" si="633"/>
        <v>1</v>
      </c>
      <c r="DT62" s="108">
        <f t="shared" si="634"/>
        <v>1</v>
      </c>
      <c r="DU62" s="108">
        <f t="shared" si="635"/>
        <v>1</v>
      </c>
      <c r="DV62" s="109">
        <f t="shared" si="636"/>
        <v>1753550</v>
      </c>
      <c r="DW62" s="110">
        <f t="shared" si="637"/>
        <v>0</v>
      </c>
      <c r="DY62" s="326">
        <v>5.5</v>
      </c>
      <c r="DZ62" s="319" t="s">
        <v>180</v>
      </c>
      <c r="EA62" s="359" t="s">
        <v>312</v>
      </c>
      <c r="EB62" s="327" t="s">
        <v>184</v>
      </c>
      <c r="EC62" s="322">
        <v>85</v>
      </c>
      <c r="ED62" s="323">
        <v>12000</v>
      </c>
      <c r="EE62" s="324">
        <f>ED62*EC62</f>
        <v>1020000</v>
      </c>
      <c r="EF62" s="108">
        <f t="shared" si="638"/>
        <v>1</v>
      </c>
      <c r="EG62" s="108">
        <f t="shared" si="639"/>
        <v>1</v>
      </c>
      <c r="EH62" s="108">
        <f t="shared" si="640"/>
        <v>1</v>
      </c>
      <c r="EI62" s="108">
        <f t="shared" si="641"/>
        <v>1</v>
      </c>
      <c r="EJ62" s="108">
        <f t="shared" si="642"/>
        <v>1</v>
      </c>
      <c r="EK62" s="108">
        <f t="shared" si="643"/>
        <v>1</v>
      </c>
      <c r="EL62" s="108">
        <f t="shared" si="644"/>
        <v>1</v>
      </c>
      <c r="EM62" s="109">
        <f t="shared" si="645"/>
        <v>1020000</v>
      </c>
      <c r="EN62" s="110">
        <f t="shared" si="646"/>
        <v>0</v>
      </c>
      <c r="EP62" s="326">
        <v>5.5</v>
      </c>
      <c r="EQ62" s="319" t="s">
        <v>180</v>
      </c>
      <c r="ER62" s="320" t="s">
        <v>312</v>
      </c>
      <c r="ES62" s="327" t="s">
        <v>184</v>
      </c>
      <c r="ET62" s="322">
        <v>85</v>
      </c>
      <c r="EU62" s="323">
        <v>18000</v>
      </c>
      <c r="EV62" s="324">
        <f>EU62*ET62</f>
        <v>1530000</v>
      </c>
      <c r="EW62" s="108">
        <f t="shared" si="647"/>
        <v>1</v>
      </c>
      <c r="EX62" s="108">
        <f t="shared" si="648"/>
        <v>1</v>
      </c>
      <c r="EY62" s="108">
        <f t="shared" si="649"/>
        <v>1</v>
      </c>
      <c r="EZ62" s="108">
        <f t="shared" si="650"/>
        <v>1</v>
      </c>
      <c r="FA62" s="108">
        <f t="shared" si="651"/>
        <v>1</v>
      </c>
      <c r="FB62" s="108">
        <f t="shared" si="652"/>
        <v>1</v>
      </c>
      <c r="FC62" s="108">
        <f t="shared" si="653"/>
        <v>1</v>
      </c>
      <c r="FD62" s="109">
        <f t="shared" si="654"/>
        <v>1530000</v>
      </c>
      <c r="FE62" s="110">
        <f t="shared" si="655"/>
        <v>0</v>
      </c>
      <c r="FG62" s="326">
        <v>5.5</v>
      </c>
      <c r="FH62" s="319" t="s">
        <v>180</v>
      </c>
      <c r="FI62" s="359" t="s">
        <v>312</v>
      </c>
      <c r="FJ62" s="327" t="s">
        <v>184</v>
      </c>
      <c r="FK62" s="322">
        <v>85</v>
      </c>
      <c r="FL62" s="323">
        <v>20450</v>
      </c>
      <c r="FM62" s="324">
        <f>FL62*FK62</f>
        <v>1738250</v>
      </c>
      <c r="FN62" s="108">
        <f t="shared" si="656"/>
        <v>1</v>
      </c>
      <c r="FO62" s="108">
        <f t="shared" si="657"/>
        <v>1</v>
      </c>
      <c r="FP62" s="108">
        <f t="shared" si="658"/>
        <v>1</v>
      </c>
      <c r="FQ62" s="108">
        <f t="shared" si="659"/>
        <v>1</v>
      </c>
      <c r="FR62" s="108">
        <f t="shared" si="660"/>
        <v>1</v>
      </c>
      <c r="FS62" s="108">
        <f t="shared" si="661"/>
        <v>1</v>
      </c>
      <c r="FT62" s="108">
        <f t="shared" si="662"/>
        <v>1</v>
      </c>
      <c r="FU62" s="109">
        <f t="shared" si="663"/>
        <v>1738250</v>
      </c>
      <c r="FV62" s="110">
        <f t="shared" si="664"/>
        <v>0</v>
      </c>
      <c r="FX62" s="326">
        <v>5.5</v>
      </c>
      <c r="FY62" s="319" t="s">
        <v>180</v>
      </c>
      <c r="FZ62" s="320" t="s">
        <v>312</v>
      </c>
      <c r="GA62" s="327" t="s">
        <v>184</v>
      </c>
      <c r="GB62" s="322">
        <v>85</v>
      </c>
      <c r="GC62" s="323">
        <v>12000</v>
      </c>
      <c r="GD62" s="324">
        <f>GC62*GB62</f>
        <v>1020000</v>
      </c>
      <c r="GE62" s="108">
        <f t="shared" si="665"/>
        <v>1</v>
      </c>
      <c r="GF62" s="108">
        <f t="shared" si="666"/>
        <v>1</v>
      </c>
      <c r="GG62" s="108">
        <f t="shared" si="667"/>
        <v>1</v>
      </c>
      <c r="GH62" s="108">
        <f t="shared" si="668"/>
        <v>1</v>
      </c>
      <c r="GI62" s="108">
        <f t="shared" si="669"/>
        <v>1</v>
      </c>
      <c r="GJ62" s="108">
        <f t="shared" si="670"/>
        <v>1</v>
      </c>
      <c r="GK62" s="108">
        <f t="shared" si="671"/>
        <v>1</v>
      </c>
      <c r="GL62" s="109">
        <f t="shared" si="672"/>
        <v>1020000</v>
      </c>
      <c r="GM62" s="110">
        <f t="shared" si="673"/>
        <v>0</v>
      </c>
      <c r="GO62" s="326">
        <v>5.5</v>
      </c>
      <c r="GP62" s="319" t="s">
        <v>180</v>
      </c>
      <c r="GQ62" s="320" t="s">
        <v>312</v>
      </c>
      <c r="GR62" s="327" t="s">
        <v>184</v>
      </c>
      <c r="GS62" s="322">
        <v>85</v>
      </c>
      <c r="GT62" s="323">
        <v>21000</v>
      </c>
      <c r="GU62" s="324">
        <v>1785000</v>
      </c>
      <c r="GV62" s="108">
        <f t="shared" si="674"/>
        <v>1</v>
      </c>
      <c r="GW62" s="108">
        <f t="shared" si="675"/>
        <v>1</v>
      </c>
      <c r="GX62" s="108">
        <f t="shared" si="676"/>
        <v>1</v>
      </c>
      <c r="GY62" s="108">
        <f t="shared" si="677"/>
        <v>1</v>
      </c>
      <c r="GZ62" s="108">
        <f t="shared" si="678"/>
        <v>1</v>
      </c>
      <c r="HA62" s="108">
        <f t="shared" si="679"/>
        <v>1</v>
      </c>
      <c r="HB62" s="108">
        <f t="shared" si="680"/>
        <v>1</v>
      </c>
      <c r="HC62" s="109">
        <f t="shared" si="681"/>
        <v>1785000</v>
      </c>
      <c r="HD62" s="110">
        <f t="shared" si="682"/>
        <v>0</v>
      </c>
      <c r="HF62" s="326">
        <v>5.5</v>
      </c>
      <c r="HG62" s="319" t="s">
        <v>180</v>
      </c>
      <c r="HH62" s="320" t="s">
        <v>312</v>
      </c>
      <c r="HI62" s="327" t="s">
        <v>184</v>
      </c>
      <c r="HJ62" s="322">
        <v>85</v>
      </c>
      <c r="HK62" s="323">
        <v>21000</v>
      </c>
      <c r="HL62" s="324">
        <f>HK62*HJ62</f>
        <v>1785000</v>
      </c>
      <c r="HM62" s="108">
        <f t="shared" si="683"/>
        <v>1</v>
      </c>
      <c r="HN62" s="108">
        <f t="shared" si="684"/>
        <v>1</v>
      </c>
      <c r="HO62" s="108">
        <f t="shared" si="685"/>
        <v>1</v>
      </c>
      <c r="HP62" s="108">
        <f t="shared" si="686"/>
        <v>1</v>
      </c>
      <c r="HQ62" s="108">
        <f t="shared" si="687"/>
        <v>1</v>
      </c>
      <c r="HR62" s="108">
        <f t="shared" si="688"/>
        <v>1</v>
      </c>
      <c r="HS62" s="108">
        <f t="shared" si="689"/>
        <v>1</v>
      </c>
      <c r="HT62" s="109">
        <f t="shared" si="690"/>
        <v>1785000</v>
      </c>
      <c r="HU62" s="110">
        <f t="shared" si="691"/>
        <v>0</v>
      </c>
      <c r="HW62" s="326">
        <v>5.5</v>
      </c>
      <c r="HX62" s="319" t="s">
        <v>180</v>
      </c>
      <c r="HY62" s="320" t="s">
        <v>312</v>
      </c>
      <c r="HZ62" s="327" t="s">
        <v>184</v>
      </c>
      <c r="IA62" s="322">
        <v>85</v>
      </c>
      <c r="IB62" s="323">
        <v>12000</v>
      </c>
      <c r="IC62" s="324">
        <f>IB62*IA62</f>
        <v>1020000</v>
      </c>
      <c r="ID62" s="108">
        <f t="shared" si="692"/>
        <v>1</v>
      </c>
      <c r="IE62" s="108">
        <f t="shared" si="693"/>
        <v>1</v>
      </c>
      <c r="IF62" s="108">
        <f t="shared" si="694"/>
        <v>1</v>
      </c>
      <c r="IG62" s="108">
        <f t="shared" si="695"/>
        <v>1</v>
      </c>
      <c r="IH62" s="108">
        <f t="shared" si="696"/>
        <v>1</v>
      </c>
      <c r="II62" s="108">
        <f t="shared" si="697"/>
        <v>1</v>
      </c>
      <c r="IJ62" s="108">
        <f t="shared" si="698"/>
        <v>1</v>
      </c>
      <c r="IK62" s="109">
        <f t="shared" si="699"/>
        <v>1020000</v>
      </c>
      <c r="IL62" s="110">
        <f t="shared" si="700"/>
        <v>0</v>
      </c>
    </row>
    <row r="63" spans="1:246" s="213" customFormat="1" ht="29.25" customHeight="1" x14ac:dyDescent="0.25">
      <c r="A63" s="211"/>
      <c r="B63" s="317" t="s">
        <v>191</v>
      </c>
      <c r="C63" s="317"/>
      <c r="D63" s="340" t="s">
        <v>313</v>
      </c>
      <c r="E63" s="337"/>
      <c r="F63" s="330">
        <v>0</v>
      </c>
      <c r="G63" s="338"/>
      <c r="H63" s="339"/>
      <c r="J63" s="317" t="s">
        <v>191</v>
      </c>
      <c r="K63" s="317"/>
      <c r="L63" s="340" t="s">
        <v>313</v>
      </c>
      <c r="M63" s="337"/>
      <c r="N63" s="330">
        <v>0</v>
      </c>
      <c r="O63" s="338"/>
      <c r="P63" s="339"/>
      <c r="Q63" s="547"/>
      <c r="R63" s="548"/>
      <c r="S63" s="548"/>
      <c r="T63" s="548"/>
      <c r="U63" s="548"/>
      <c r="V63" s="548"/>
      <c r="W63" s="548"/>
      <c r="X63" s="548"/>
      <c r="Y63" s="549"/>
      <c r="AA63" s="317" t="s">
        <v>191</v>
      </c>
      <c r="AB63" s="317"/>
      <c r="AC63" s="340" t="s">
        <v>313</v>
      </c>
      <c r="AD63" s="337"/>
      <c r="AE63" s="330">
        <v>0</v>
      </c>
      <c r="AF63" s="338"/>
      <c r="AG63" s="339"/>
      <c r="AH63" s="547"/>
      <c r="AI63" s="548"/>
      <c r="AJ63" s="548"/>
      <c r="AK63" s="548"/>
      <c r="AL63" s="548"/>
      <c r="AM63" s="548"/>
      <c r="AN63" s="548"/>
      <c r="AO63" s="548"/>
      <c r="AP63" s="549"/>
      <c r="AR63" s="317" t="s">
        <v>191</v>
      </c>
      <c r="AS63" s="317"/>
      <c r="AT63" s="340" t="s">
        <v>313</v>
      </c>
      <c r="AU63" s="337"/>
      <c r="AV63" s="330">
        <v>0</v>
      </c>
      <c r="AW63" s="338">
        <v>0</v>
      </c>
      <c r="AX63" s="339"/>
      <c r="AY63" s="547"/>
      <c r="AZ63" s="548"/>
      <c r="BA63" s="548"/>
      <c r="BB63" s="548"/>
      <c r="BC63" s="548"/>
      <c r="BD63" s="548"/>
      <c r="BE63" s="548"/>
      <c r="BF63" s="548"/>
      <c r="BG63" s="549"/>
      <c r="BI63" s="317" t="s">
        <v>191</v>
      </c>
      <c r="BJ63" s="317"/>
      <c r="BK63" s="340" t="s">
        <v>313</v>
      </c>
      <c r="BL63" s="337"/>
      <c r="BM63" s="330">
        <v>0</v>
      </c>
      <c r="BN63" s="338"/>
      <c r="BO63" s="339"/>
      <c r="BP63" s="547"/>
      <c r="BQ63" s="548"/>
      <c r="BR63" s="548"/>
      <c r="BS63" s="548"/>
      <c r="BT63" s="548"/>
      <c r="BU63" s="548"/>
      <c r="BV63" s="548"/>
      <c r="BW63" s="548"/>
      <c r="BX63" s="549"/>
      <c r="BZ63" s="317" t="s">
        <v>191</v>
      </c>
      <c r="CA63" s="317"/>
      <c r="CB63" s="340" t="s">
        <v>313</v>
      </c>
      <c r="CC63" s="337"/>
      <c r="CD63" s="330">
        <v>0</v>
      </c>
      <c r="CE63" s="338"/>
      <c r="CF63" s="339"/>
      <c r="CG63" s="547"/>
      <c r="CH63" s="548"/>
      <c r="CI63" s="548"/>
      <c r="CJ63" s="548"/>
      <c r="CK63" s="548"/>
      <c r="CL63" s="548"/>
      <c r="CM63" s="548"/>
      <c r="CN63" s="548"/>
      <c r="CO63" s="549"/>
      <c r="CQ63" s="317" t="s">
        <v>191</v>
      </c>
      <c r="CR63" s="317"/>
      <c r="CS63" s="340" t="s">
        <v>313</v>
      </c>
      <c r="CT63" s="337"/>
      <c r="CU63" s="330">
        <v>0</v>
      </c>
      <c r="CV63" s="338"/>
      <c r="CW63" s="339"/>
      <c r="CX63" s="547"/>
      <c r="CY63" s="548"/>
      <c r="CZ63" s="548"/>
      <c r="DA63" s="548"/>
      <c r="DB63" s="548"/>
      <c r="DC63" s="548"/>
      <c r="DD63" s="548"/>
      <c r="DE63" s="548"/>
      <c r="DF63" s="549"/>
      <c r="DH63" s="317" t="s">
        <v>191</v>
      </c>
      <c r="DI63" s="317"/>
      <c r="DJ63" s="340" t="s">
        <v>313</v>
      </c>
      <c r="DK63" s="337"/>
      <c r="DL63" s="330">
        <v>0</v>
      </c>
      <c r="DM63" s="338"/>
      <c r="DN63" s="339"/>
      <c r="DO63" s="547"/>
      <c r="DP63" s="548"/>
      <c r="DQ63" s="548"/>
      <c r="DR63" s="548"/>
      <c r="DS63" s="548"/>
      <c r="DT63" s="548"/>
      <c r="DU63" s="548"/>
      <c r="DV63" s="548"/>
      <c r="DW63" s="549"/>
      <c r="DY63" s="317" t="s">
        <v>191</v>
      </c>
      <c r="DZ63" s="317"/>
      <c r="EA63" s="340" t="s">
        <v>313</v>
      </c>
      <c r="EB63" s="337"/>
      <c r="EC63" s="330">
        <v>0</v>
      </c>
      <c r="ED63" s="338"/>
      <c r="EE63" s="339"/>
      <c r="EF63" s="547"/>
      <c r="EG63" s="548"/>
      <c r="EH63" s="548"/>
      <c r="EI63" s="548"/>
      <c r="EJ63" s="548"/>
      <c r="EK63" s="548"/>
      <c r="EL63" s="548"/>
      <c r="EM63" s="548"/>
      <c r="EN63" s="549"/>
      <c r="EP63" s="317" t="s">
        <v>191</v>
      </c>
      <c r="EQ63" s="317"/>
      <c r="ER63" s="340" t="s">
        <v>313</v>
      </c>
      <c r="ES63" s="337"/>
      <c r="ET63" s="330">
        <v>0</v>
      </c>
      <c r="EU63" s="338"/>
      <c r="EV63" s="339"/>
      <c r="EW63" s="547"/>
      <c r="EX63" s="548"/>
      <c r="EY63" s="548"/>
      <c r="EZ63" s="548"/>
      <c r="FA63" s="548"/>
      <c r="FB63" s="548"/>
      <c r="FC63" s="548"/>
      <c r="FD63" s="548"/>
      <c r="FE63" s="549"/>
      <c r="FG63" s="317" t="s">
        <v>191</v>
      </c>
      <c r="FH63" s="317"/>
      <c r="FI63" s="340" t="s">
        <v>313</v>
      </c>
      <c r="FJ63" s="337"/>
      <c r="FK63" s="330">
        <v>0</v>
      </c>
      <c r="FL63" s="338"/>
      <c r="FM63" s="339"/>
      <c r="FN63" s="547"/>
      <c r="FO63" s="548"/>
      <c r="FP63" s="548"/>
      <c r="FQ63" s="548"/>
      <c r="FR63" s="548"/>
      <c r="FS63" s="548"/>
      <c r="FT63" s="548"/>
      <c r="FU63" s="548"/>
      <c r="FV63" s="549"/>
      <c r="FX63" s="317" t="s">
        <v>191</v>
      </c>
      <c r="FY63" s="317"/>
      <c r="FZ63" s="340" t="s">
        <v>313</v>
      </c>
      <c r="GA63" s="337"/>
      <c r="GB63" s="330">
        <v>0</v>
      </c>
      <c r="GC63" s="338"/>
      <c r="GD63" s="339"/>
      <c r="GE63" s="547"/>
      <c r="GF63" s="548"/>
      <c r="GG63" s="548"/>
      <c r="GH63" s="548"/>
      <c r="GI63" s="548"/>
      <c r="GJ63" s="548"/>
      <c r="GK63" s="548"/>
      <c r="GL63" s="548"/>
      <c r="GM63" s="549"/>
      <c r="GO63" s="317" t="s">
        <v>191</v>
      </c>
      <c r="GP63" s="317"/>
      <c r="GQ63" s="340" t="s">
        <v>313</v>
      </c>
      <c r="GR63" s="337"/>
      <c r="GS63" s="330">
        <v>0</v>
      </c>
      <c r="GT63" s="338"/>
      <c r="GU63" s="339"/>
      <c r="GV63" s="547"/>
      <c r="GW63" s="548"/>
      <c r="GX63" s="548"/>
      <c r="GY63" s="548"/>
      <c r="GZ63" s="548"/>
      <c r="HA63" s="548"/>
      <c r="HB63" s="548"/>
      <c r="HC63" s="548"/>
      <c r="HD63" s="549"/>
      <c r="HF63" s="317" t="s">
        <v>191</v>
      </c>
      <c r="HG63" s="317"/>
      <c r="HH63" s="340" t="s">
        <v>313</v>
      </c>
      <c r="HI63" s="337"/>
      <c r="HJ63" s="330">
        <v>0</v>
      </c>
      <c r="HK63" s="338"/>
      <c r="HL63" s="339"/>
      <c r="HM63" s="547"/>
      <c r="HN63" s="548"/>
      <c r="HO63" s="548"/>
      <c r="HP63" s="548"/>
      <c r="HQ63" s="548"/>
      <c r="HR63" s="548"/>
      <c r="HS63" s="548"/>
      <c r="HT63" s="548"/>
      <c r="HU63" s="549"/>
      <c r="HW63" s="317" t="s">
        <v>191</v>
      </c>
      <c r="HX63" s="317"/>
      <c r="HY63" s="340" t="s">
        <v>313</v>
      </c>
      <c r="HZ63" s="337"/>
      <c r="IA63" s="330">
        <v>0</v>
      </c>
      <c r="IB63" s="338"/>
      <c r="IC63" s="339"/>
      <c r="ID63" s="547"/>
      <c r="IE63" s="548"/>
      <c r="IF63" s="548"/>
      <c r="IG63" s="548"/>
      <c r="IH63" s="548"/>
      <c r="II63" s="548"/>
      <c r="IJ63" s="548"/>
      <c r="IK63" s="548"/>
      <c r="IL63" s="549"/>
    </row>
    <row r="64" spans="1:246" s="213" customFormat="1" ht="122.25" customHeight="1" x14ac:dyDescent="0.25">
      <c r="A64" s="211"/>
      <c r="B64" s="319" t="s">
        <v>314</v>
      </c>
      <c r="C64" s="319" t="s">
        <v>180</v>
      </c>
      <c r="D64" s="334" t="s">
        <v>315</v>
      </c>
      <c r="E64" s="321" t="s">
        <v>184</v>
      </c>
      <c r="F64" s="325">
        <v>85</v>
      </c>
      <c r="G64" s="323">
        <v>0</v>
      </c>
      <c r="H64" s="324">
        <f>G64*F64</f>
        <v>0</v>
      </c>
      <c r="J64" s="319" t="s">
        <v>314</v>
      </c>
      <c r="K64" s="319" t="s">
        <v>180</v>
      </c>
      <c r="L64" s="334" t="s">
        <v>315</v>
      </c>
      <c r="M64" s="321" t="s">
        <v>184</v>
      </c>
      <c r="N64" s="325">
        <v>85</v>
      </c>
      <c r="O64" s="323">
        <v>16188</v>
      </c>
      <c r="P64" s="324">
        <v>1375980</v>
      </c>
      <c r="Q64" s="108">
        <f t="shared" si="447"/>
        <v>1</v>
      </c>
      <c r="R64" s="108">
        <f t="shared" si="448"/>
        <v>1</v>
      </c>
      <c r="S64" s="108">
        <f t="shared" si="449"/>
        <v>1</v>
      </c>
      <c r="T64" s="108">
        <f t="shared" si="450"/>
        <v>1</v>
      </c>
      <c r="U64" s="108">
        <f t="shared" si="451"/>
        <v>1</v>
      </c>
      <c r="V64" s="108">
        <f t="shared" si="452"/>
        <v>1</v>
      </c>
      <c r="W64" s="108">
        <f t="shared" si="453"/>
        <v>1</v>
      </c>
      <c r="X64" s="109">
        <f t="shared" si="454"/>
        <v>1375980</v>
      </c>
      <c r="Y64" s="110">
        <f t="shared" si="455"/>
        <v>0</v>
      </c>
      <c r="AA64" s="319" t="s">
        <v>314</v>
      </c>
      <c r="AB64" s="319" t="s">
        <v>180</v>
      </c>
      <c r="AC64" s="334" t="s">
        <v>315</v>
      </c>
      <c r="AD64" s="321" t="s">
        <v>184</v>
      </c>
      <c r="AE64" s="325">
        <v>85</v>
      </c>
      <c r="AF64" s="323">
        <v>20700</v>
      </c>
      <c r="AG64" s="324">
        <v>1759500</v>
      </c>
      <c r="AH64" s="108">
        <f t="shared" ref="AH64:AH65" si="701">IFERROR(IF(EXACT(VLOOKUP(AA64,OFERTA_0,1,FALSE),AA64),1,0),0)</f>
        <v>1</v>
      </c>
      <c r="AI64" s="108">
        <f t="shared" ref="AI64:AI65" si="702">IFERROR(IF(EXACT(VLOOKUP(AA64,OFERTA_0,3,FALSE),AC64),1,0),0)</f>
        <v>1</v>
      </c>
      <c r="AJ64" s="108">
        <f t="shared" ref="AJ64:AJ65" si="703">IFERROR(IF(EXACT(VLOOKUP(AA64,OFERTA_0,4,FALSE),AD64),1,0),0)</f>
        <v>1</v>
      </c>
      <c r="AK64" s="108">
        <f t="shared" ref="AK64:AK65" si="704">IFERROR(IF(EXACT(VLOOKUP(AA64,OFERTA_0,5,FALSE),AE64),1,0),0)</f>
        <v>1</v>
      </c>
      <c r="AL64" s="108">
        <f t="shared" ref="AL64:AL65" si="705">IFERROR(IF(AF64&lt;=0,0,1),0)</f>
        <v>1</v>
      </c>
      <c r="AM64" s="108">
        <f t="shared" ref="AM64:AM65" si="706">IFERROR(IF(AG64&lt;=0,0,1),0)</f>
        <v>1</v>
      </c>
      <c r="AN64" s="108">
        <f t="shared" ref="AN64:AN65" si="707">PRODUCT(AH64:AM64)</f>
        <v>1</v>
      </c>
      <c r="AO64" s="109">
        <f t="shared" ref="AO64:AO65" si="708">ROUND(AG64,0)</f>
        <v>1759500</v>
      </c>
      <c r="AP64" s="110">
        <f t="shared" ref="AP64:AP65" si="709">AG64-AO64</f>
        <v>0</v>
      </c>
      <c r="AR64" s="319" t="s">
        <v>314</v>
      </c>
      <c r="AS64" s="319" t="s">
        <v>180</v>
      </c>
      <c r="AT64" s="334" t="s">
        <v>315</v>
      </c>
      <c r="AU64" s="321" t="s">
        <v>184</v>
      </c>
      <c r="AV64" s="325">
        <v>85</v>
      </c>
      <c r="AW64" s="323">
        <v>38800</v>
      </c>
      <c r="AX64" s="324">
        <v>3298000</v>
      </c>
      <c r="AY64" s="108">
        <f t="shared" ref="AY64:AY65" si="710">IFERROR(IF(EXACT(VLOOKUP(AR64,OFERTA_0,1,FALSE),AR64),1,0),0)</f>
        <v>1</v>
      </c>
      <c r="AZ64" s="108">
        <f t="shared" ref="AZ64:AZ65" si="711">IFERROR(IF(EXACT(VLOOKUP(AR64,OFERTA_0,3,FALSE),AT64),1,0),0)</f>
        <v>1</v>
      </c>
      <c r="BA64" s="108">
        <f t="shared" ref="BA64:BA65" si="712">IFERROR(IF(EXACT(VLOOKUP(AR64,OFERTA_0,4,FALSE),AU64),1,0),0)</f>
        <v>1</v>
      </c>
      <c r="BB64" s="108">
        <f t="shared" ref="BB64:BB65" si="713">IFERROR(IF(EXACT(VLOOKUP(AR64,OFERTA_0,5,FALSE),AV64),1,0),0)</f>
        <v>1</v>
      </c>
      <c r="BC64" s="108">
        <f t="shared" ref="BC64:BC65" si="714">IFERROR(IF(AW64&lt;=0,0,1),0)</f>
        <v>1</v>
      </c>
      <c r="BD64" s="108">
        <f t="shared" ref="BD64:BD65" si="715">IFERROR(IF(AX64&lt;=0,0,1),0)</f>
        <v>1</v>
      </c>
      <c r="BE64" s="108">
        <f t="shared" ref="BE64:BE65" si="716">PRODUCT(AY64:BD64)</f>
        <v>1</v>
      </c>
      <c r="BF64" s="109">
        <f t="shared" ref="BF64:BF65" si="717">ROUND(AX64,0)</f>
        <v>3298000</v>
      </c>
      <c r="BG64" s="110">
        <f t="shared" ref="BG64:BG65" si="718">AX64-BF64</f>
        <v>0</v>
      </c>
      <c r="BI64" s="319" t="s">
        <v>314</v>
      </c>
      <c r="BJ64" s="319" t="s">
        <v>180</v>
      </c>
      <c r="BK64" s="334" t="s">
        <v>315</v>
      </c>
      <c r="BL64" s="321" t="s">
        <v>184</v>
      </c>
      <c r="BM64" s="325">
        <v>85</v>
      </c>
      <c r="BN64" s="323">
        <v>16000</v>
      </c>
      <c r="BO64" s="324">
        <f>BN64*BM64</f>
        <v>1360000</v>
      </c>
      <c r="BP64" s="108">
        <f t="shared" ref="BP64:BP65" si="719">IFERROR(IF(EXACT(VLOOKUP(BI64,OFERTA_0,1,FALSE),BI64),1,0),0)</f>
        <v>1</v>
      </c>
      <c r="BQ64" s="108">
        <f t="shared" ref="BQ64:BQ65" si="720">IFERROR(IF(EXACT(VLOOKUP(BI64,OFERTA_0,3,FALSE),BK64),1,0),0)</f>
        <v>1</v>
      </c>
      <c r="BR64" s="108">
        <f t="shared" ref="BR64:BR65" si="721">IFERROR(IF(EXACT(VLOOKUP(BI64,OFERTA_0,4,FALSE),BL64),1,0),0)</f>
        <v>1</v>
      </c>
      <c r="BS64" s="108">
        <f t="shared" ref="BS64:BS65" si="722">IFERROR(IF(EXACT(VLOOKUP(BI64,OFERTA_0,5,FALSE),BM64),1,0),0)</f>
        <v>1</v>
      </c>
      <c r="BT64" s="108">
        <f t="shared" ref="BT64:BT65" si="723">IFERROR(IF(BN64&lt;=0,0,1),0)</f>
        <v>1</v>
      </c>
      <c r="BU64" s="108">
        <f t="shared" ref="BU64:BU65" si="724">IFERROR(IF(BO64&lt;=0,0,1),0)</f>
        <v>1</v>
      </c>
      <c r="BV64" s="108">
        <f t="shared" ref="BV64:BV65" si="725">PRODUCT(BP64:BU64)</f>
        <v>1</v>
      </c>
      <c r="BW64" s="109">
        <f t="shared" ref="BW64:BW65" si="726">ROUND(BO64,0)</f>
        <v>1360000</v>
      </c>
      <c r="BX64" s="110">
        <f t="shared" ref="BX64:BX65" si="727">BO64-BW64</f>
        <v>0</v>
      </c>
      <c r="BZ64" s="319" t="s">
        <v>314</v>
      </c>
      <c r="CA64" s="319" t="s">
        <v>180</v>
      </c>
      <c r="CB64" s="334" t="s">
        <v>315</v>
      </c>
      <c r="CC64" s="321" t="s">
        <v>184</v>
      </c>
      <c r="CD64" s="325">
        <v>85</v>
      </c>
      <c r="CE64" s="323">
        <v>22000</v>
      </c>
      <c r="CF64" s="324">
        <f>CE64*CD64</f>
        <v>1870000</v>
      </c>
      <c r="CG64" s="108">
        <f t="shared" ref="CG64:CG65" si="728">IFERROR(IF(EXACT(VLOOKUP(BZ64,OFERTA_0,1,FALSE),BZ64),1,0),0)</f>
        <v>1</v>
      </c>
      <c r="CH64" s="108">
        <f t="shared" ref="CH64:CH65" si="729">IFERROR(IF(EXACT(VLOOKUP(BZ64,OFERTA_0,3,FALSE),CB64),1,0),0)</f>
        <v>1</v>
      </c>
      <c r="CI64" s="108">
        <f t="shared" ref="CI64:CI65" si="730">IFERROR(IF(EXACT(VLOOKUP(BZ64,OFERTA_0,4,FALSE),CC64),1,0),0)</f>
        <v>1</v>
      </c>
      <c r="CJ64" s="108">
        <f t="shared" ref="CJ64:CJ65" si="731">IFERROR(IF(EXACT(VLOOKUP(BZ64,OFERTA_0,5,FALSE),CD64),1,0),0)</f>
        <v>1</v>
      </c>
      <c r="CK64" s="108">
        <f t="shared" ref="CK64:CK65" si="732">IFERROR(IF(CE64&lt;=0,0,1),0)</f>
        <v>1</v>
      </c>
      <c r="CL64" s="108">
        <f t="shared" ref="CL64:CL65" si="733">IFERROR(IF(CF64&lt;=0,0,1),0)</f>
        <v>1</v>
      </c>
      <c r="CM64" s="108">
        <f t="shared" ref="CM64:CM65" si="734">PRODUCT(CG64:CL64)</f>
        <v>1</v>
      </c>
      <c r="CN64" s="109">
        <f t="shared" ref="CN64:CN65" si="735">ROUND(CF64,0)</f>
        <v>1870000</v>
      </c>
      <c r="CO64" s="110">
        <f t="shared" ref="CO64:CO65" si="736">CF64-CN64</f>
        <v>0</v>
      </c>
      <c r="CQ64" s="319" t="s">
        <v>314</v>
      </c>
      <c r="CR64" s="319" t="s">
        <v>180</v>
      </c>
      <c r="CS64" s="334" t="s">
        <v>315</v>
      </c>
      <c r="CT64" s="321" t="s">
        <v>184</v>
      </c>
      <c r="CU64" s="325">
        <v>85</v>
      </c>
      <c r="CV64" s="323">
        <v>18700</v>
      </c>
      <c r="CW64" s="324">
        <f>CV64*CU64</f>
        <v>1589500</v>
      </c>
      <c r="CX64" s="108">
        <f t="shared" ref="CX64:CX65" si="737">IFERROR(IF(EXACT(VLOOKUP(CQ64,OFERTA_0,1,FALSE),CQ64),1,0),0)</f>
        <v>1</v>
      </c>
      <c r="CY64" s="108">
        <f t="shared" ref="CY64:CY65" si="738">IFERROR(IF(EXACT(VLOOKUP(CQ64,OFERTA_0,3,FALSE),CS64),1,0),0)</f>
        <v>1</v>
      </c>
      <c r="CZ64" s="108">
        <f t="shared" ref="CZ64:CZ65" si="739">IFERROR(IF(EXACT(VLOOKUP(CQ64,OFERTA_0,4,FALSE),CT64),1,0),0)</f>
        <v>1</v>
      </c>
      <c r="DA64" s="108">
        <f t="shared" ref="DA64:DA65" si="740">IFERROR(IF(EXACT(VLOOKUP(CQ64,OFERTA_0,5,FALSE),CU64),1,0),0)</f>
        <v>1</v>
      </c>
      <c r="DB64" s="108">
        <f t="shared" ref="DB64:DB65" si="741">IFERROR(IF(CV64&lt;=0,0,1),0)</f>
        <v>1</v>
      </c>
      <c r="DC64" s="108">
        <f t="shared" ref="DC64:DC65" si="742">IFERROR(IF(CW64&lt;=0,0,1),0)</f>
        <v>1</v>
      </c>
      <c r="DD64" s="108">
        <f t="shared" ref="DD64:DD65" si="743">PRODUCT(CX64:DC64)</f>
        <v>1</v>
      </c>
      <c r="DE64" s="109">
        <f t="shared" ref="DE64:DE65" si="744">ROUND(CW64,0)</f>
        <v>1589500</v>
      </c>
      <c r="DF64" s="110">
        <f t="shared" ref="DF64:DF65" si="745">CW64-DE64</f>
        <v>0</v>
      </c>
      <c r="DH64" s="319" t="s">
        <v>314</v>
      </c>
      <c r="DI64" s="319" t="s">
        <v>180</v>
      </c>
      <c r="DJ64" s="360" t="s">
        <v>315</v>
      </c>
      <c r="DK64" s="321" t="s">
        <v>184</v>
      </c>
      <c r="DL64" s="325">
        <v>85</v>
      </c>
      <c r="DM64" s="323">
        <v>45815</v>
      </c>
      <c r="DN64" s="324">
        <f>DM64*DL64</f>
        <v>3894275</v>
      </c>
      <c r="DO64" s="108">
        <f t="shared" ref="DO64:DO65" si="746">IFERROR(IF(EXACT(VLOOKUP(DH64,OFERTA_0,1,FALSE),DH64),1,0),0)</f>
        <v>1</v>
      </c>
      <c r="DP64" s="108">
        <f t="shared" ref="DP64:DP65" si="747">IFERROR(IF(EXACT(VLOOKUP(DH64,OFERTA_0,3,FALSE),DJ64),1,0),0)</f>
        <v>1</v>
      </c>
      <c r="DQ64" s="108">
        <f t="shared" ref="DQ64:DQ65" si="748">IFERROR(IF(EXACT(VLOOKUP(DH64,OFERTA_0,4,FALSE),DK64),1,0),0)</f>
        <v>1</v>
      </c>
      <c r="DR64" s="108">
        <f t="shared" ref="DR64:DR65" si="749">IFERROR(IF(EXACT(VLOOKUP(DH64,OFERTA_0,5,FALSE),DL64),1,0),0)</f>
        <v>1</v>
      </c>
      <c r="DS64" s="108">
        <f t="shared" ref="DS64:DS65" si="750">IFERROR(IF(DM64&lt;=0,0,1),0)</f>
        <v>1</v>
      </c>
      <c r="DT64" s="108">
        <f t="shared" ref="DT64:DT65" si="751">IFERROR(IF(DN64&lt;=0,0,1),0)</f>
        <v>1</v>
      </c>
      <c r="DU64" s="108">
        <f t="shared" ref="DU64:DU65" si="752">PRODUCT(DO64:DT64)</f>
        <v>1</v>
      </c>
      <c r="DV64" s="109">
        <f t="shared" ref="DV64:DV65" si="753">ROUND(DN64,0)</f>
        <v>3894275</v>
      </c>
      <c r="DW64" s="110">
        <f t="shared" ref="DW64:DW65" si="754">DN64-DV64</f>
        <v>0</v>
      </c>
      <c r="DY64" s="319" t="s">
        <v>314</v>
      </c>
      <c r="DZ64" s="319" t="s">
        <v>180</v>
      </c>
      <c r="EA64" s="360" t="s">
        <v>315</v>
      </c>
      <c r="EB64" s="321" t="s">
        <v>184</v>
      </c>
      <c r="EC64" s="325">
        <v>85</v>
      </c>
      <c r="ED64" s="323">
        <v>14500</v>
      </c>
      <c r="EE64" s="324">
        <f>ED64*EC64</f>
        <v>1232500</v>
      </c>
      <c r="EF64" s="108">
        <f t="shared" ref="EF64:EF65" si="755">IFERROR(IF(EXACT(VLOOKUP(DY64,OFERTA_0,1,FALSE),DY64),1,0),0)</f>
        <v>1</v>
      </c>
      <c r="EG64" s="108">
        <f t="shared" ref="EG64:EG65" si="756">IFERROR(IF(EXACT(VLOOKUP(DY64,OFERTA_0,3,FALSE),EA64),1,0),0)</f>
        <v>1</v>
      </c>
      <c r="EH64" s="108">
        <f t="shared" ref="EH64:EH65" si="757">IFERROR(IF(EXACT(VLOOKUP(DY64,OFERTA_0,4,FALSE),EB64),1,0),0)</f>
        <v>1</v>
      </c>
      <c r="EI64" s="108">
        <f t="shared" ref="EI64:EI65" si="758">IFERROR(IF(EXACT(VLOOKUP(DY64,OFERTA_0,5,FALSE),EC64),1,0),0)</f>
        <v>1</v>
      </c>
      <c r="EJ64" s="108">
        <f t="shared" ref="EJ64:EJ65" si="759">IFERROR(IF(ED64&lt;=0,0,1),0)</f>
        <v>1</v>
      </c>
      <c r="EK64" s="108">
        <f t="shared" ref="EK64:EK65" si="760">IFERROR(IF(EE64&lt;=0,0,1),0)</f>
        <v>1</v>
      </c>
      <c r="EL64" s="108">
        <f t="shared" ref="EL64:EL65" si="761">PRODUCT(EF64:EK64)</f>
        <v>1</v>
      </c>
      <c r="EM64" s="109">
        <f t="shared" ref="EM64:EM65" si="762">ROUND(EE64,0)</f>
        <v>1232500</v>
      </c>
      <c r="EN64" s="110">
        <f t="shared" ref="EN64:EN65" si="763">EE64-EM64</f>
        <v>0</v>
      </c>
      <c r="EP64" s="319" t="s">
        <v>314</v>
      </c>
      <c r="EQ64" s="319" t="s">
        <v>180</v>
      </c>
      <c r="ER64" s="334" t="s">
        <v>315</v>
      </c>
      <c r="ES64" s="321" t="s">
        <v>184</v>
      </c>
      <c r="ET64" s="325">
        <v>85</v>
      </c>
      <c r="EU64" s="323">
        <v>25000</v>
      </c>
      <c r="EV64" s="324">
        <f>EU64*ET64</f>
        <v>2125000</v>
      </c>
      <c r="EW64" s="108">
        <f t="shared" ref="EW64:EW65" si="764">IFERROR(IF(EXACT(VLOOKUP(EP64,OFERTA_0,1,FALSE),EP64),1,0),0)</f>
        <v>1</v>
      </c>
      <c r="EX64" s="108">
        <f t="shared" ref="EX64:EX65" si="765">IFERROR(IF(EXACT(VLOOKUP(EP64,OFERTA_0,3,FALSE),ER64),1,0),0)</f>
        <v>1</v>
      </c>
      <c r="EY64" s="108">
        <f t="shared" ref="EY64:EY65" si="766">IFERROR(IF(EXACT(VLOOKUP(EP64,OFERTA_0,4,FALSE),ES64),1,0),0)</f>
        <v>1</v>
      </c>
      <c r="EZ64" s="108">
        <f t="shared" ref="EZ64:EZ65" si="767">IFERROR(IF(EXACT(VLOOKUP(EP64,OFERTA_0,5,FALSE),ET64),1,0),0)</f>
        <v>1</v>
      </c>
      <c r="FA64" s="108">
        <f t="shared" ref="FA64:FA65" si="768">IFERROR(IF(EU64&lt;=0,0,1),0)</f>
        <v>1</v>
      </c>
      <c r="FB64" s="108">
        <f t="shared" ref="FB64:FB65" si="769">IFERROR(IF(EV64&lt;=0,0,1),0)</f>
        <v>1</v>
      </c>
      <c r="FC64" s="108">
        <f t="shared" ref="FC64:FC65" si="770">PRODUCT(EW64:FB64)</f>
        <v>1</v>
      </c>
      <c r="FD64" s="109">
        <f t="shared" ref="FD64:FD65" si="771">ROUND(EV64,0)</f>
        <v>2125000</v>
      </c>
      <c r="FE64" s="110">
        <f t="shared" ref="FE64:FE65" si="772">EV64-FD64</f>
        <v>0</v>
      </c>
      <c r="FG64" s="319" t="s">
        <v>314</v>
      </c>
      <c r="FH64" s="319" t="s">
        <v>180</v>
      </c>
      <c r="FI64" s="360" t="s">
        <v>315</v>
      </c>
      <c r="FJ64" s="321" t="s">
        <v>184</v>
      </c>
      <c r="FK64" s="325">
        <v>85</v>
      </c>
      <c r="FL64" s="323">
        <v>45810</v>
      </c>
      <c r="FM64" s="324">
        <f>FL64*FK64</f>
        <v>3893850</v>
      </c>
      <c r="FN64" s="108">
        <f t="shared" ref="FN64:FN65" si="773">IFERROR(IF(EXACT(VLOOKUP(FG64,OFERTA_0,1,FALSE),FG64),1,0),0)</f>
        <v>1</v>
      </c>
      <c r="FO64" s="108">
        <f t="shared" ref="FO64:FO65" si="774">IFERROR(IF(EXACT(VLOOKUP(FG64,OFERTA_0,3,FALSE),FI64),1,0),0)</f>
        <v>1</v>
      </c>
      <c r="FP64" s="108">
        <f t="shared" ref="FP64:FP65" si="775">IFERROR(IF(EXACT(VLOOKUP(FG64,OFERTA_0,4,FALSE),FJ64),1,0),0)</f>
        <v>1</v>
      </c>
      <c r="FQ64" s="108">
        <f t="shared" ref="FQ64:FQ65" si="776">IFERROR(IF(EXACT(VLOOKUP(FG64,OFERTA_0,5,FALSE),FK64),1,0),0)</f>
        <v>1</v>
      </c>
      <c r="FR64" s="108">
        <f t="shared" ref="FR64:FR65" si="777">IFERROR(IF(FL64&lt;=0,0,1),0)</f>
        <v>1</v>
      </c>
      <c r="FS64" s="108">
        <f t="shared" ref="FS64:FS65" si="778">IFERROR(IF(FM64&lt;=0,0,1),0)</f>
        <v>1</v>
      </c>
      <c r="FT64" s="108">
        <f t="shared" ref="FT64:FT65" si="779">PRODUCT(FN64:FS64)</f>
        <v>1</v>
      </c>
      <c r="FU64" s="109">
        <f t="shared" ref="FU64:FU65" si="780">ROUND(FM64,0)</f>
        <v>3893850</v>
      </c>
      <c r="FV64" s="110">
        <f t="shared" ref="FV64:FV65" si="781">FM64-FU64</f>
        <v>0</v>
      </c>
      <c r="FX64" s="319" t="s">
        <v>314</v>
      </c>
      <c r="FY64" s="319" t="s">
        <v>180</v>
      </c>
      <c r="FZ64" s="334" t="s">
        <v>315</v>
      </c>
      <c r="GA64" s="321" t="s">
        <v>184</v>
      </c>
      <c r="GB64" s="325">
        <v>85</v>
      </c>
      <c r="GC64" s="323">
        <v>16000</v>
      </c>
      <c r="GD64" s="324">
        <f>GC64*GB64</f>
        <v>1360000</v>
      </c>
      <c r="GE64" s="108">
        <f t="shared" ref="GE64:GE65" si="782">IFERROR(IF(EXACT(VLOOKUP(FX64,OFERTA_0,1,FALSE),FX64),1,0),0)</f>
        <v>1</v>
      </c>
      <c r="GF64" s="108">
        <f t="shared" ref="GF64:GF65" si="783">IFERROR(IF(EXACT(VLOOKUP(FX64,OFERTA_0,3,FALSE),FZ64),1,0),0)</f>
        <v>1</v>
      </c>
      <c r="GG64" s="108">
        <f t="shared" ref="GG64:GG65" si="784">IFERROR(IF(EXACT(VLOOKUP(FX64,OFERTA_0,4,FALSE),GA64),1,0),0)</f>
        <v>1</v>
      </c>
      <c r="GH64" s="108">
        <f t="shared" ref="GH64:GH65" si="785">IFERROR(IF(EXACT(VLOOKUP(FX64,OFERTA_0,5,FALSE),GB64),1,0),0)</f>
        <v>1</v>
      </c>
      <c r="GI64" s="108">
        <f t="shared" ref="GI64:GI65" si="786">IFERROR(IF(GC64&lt;=0,0,1),0)</f>
        <v>1</v>
      </c>
      <c r="GJ64" s="108">
        <f t="shared" ref="GJ64:GJ65" si="787">IFERROR(IF(GD64&lt;=0,0,1),0)</f>
        <v>1</v>
      </c>
      <c r="GK64" s="108">
        <f t="shared" ref="GK64:GK65" si="788">PRODUCT(GE64:GJ64)</f>
        <v>1</v>
      </c>
      <c r="GL64" s="109">
        <f t="shared" ref="GL64:GL65" si="789">ROUND(GD64,0)</f>
        <v>1360000</v>
      </c>
      <c r="GM64" s="110">
        <f t="shared" ref="GM64:GM65" si="790">GD64-GL64</f>
        <v>0</v>
      </c>
      <c r="GO64" s="319" t="s">
        <v>314</v>
      </c>
      <c r="GP64" s="319" t="s">
        <v>180</v>
      </c>
      <c r="GQ64" s="334" t="s">
        <v>315</v>
      </c>
      <c r="GR64" s="321" t="s">
        <v>184</v>
      </c>
      <c r="GS64" s="325">
        <v>85</v>
      </c>
      <c r="GT64" s="323">
        <v>25000</v>
      </c>
      <c r="GU64" s="324">
        <v>2125000</v>
      </c>
      <c r="GV64" s="108">
        <f t="shared" ref="GV64:GV65" si="791">IFERROR(IF(EXACT(VLOOKUP(GO64,OFERTA_0,1,FALSE),GO64),1,0),0)</f>
        <v>1</v>
      </c>
      <c r="GW64" s="108">
        <f t="shared" ref="GW64:GW65" si="792">IFERROR(IF(EXACT(VLOOKUP(GO64,OFERTA_0,3,FALSE),GQ64),1,0),0)</f>
        <v>1</v>
      </c>
      <c r="GX64" s="108">
        <f t="shared" ref="GX64:GX65" si="793">IFERROR(IF(EXACT(VLOOKUP(GO64,OFERTA_0,4,FALSE),GR64),1,0),0)</f>
        <v>1</v>
      </c>
      <c r="GY64" s="108">
        <f t="shared" ref="GY64:GY65" si="794">IFERROR(IF(EXACT(VLOOKUP(GO64,OFERTA_0,5,FALSE),GS64),1,0),0)</f>
        <v>1</v>
      </c>
      <c r="GZ64" s="108">
        <f t="shared" ref="GZ64:GZ65" si="795">IFERROR(IF(GT64&lt;=0,0,1),0)</f>
        <v>1</v>
      </c>
      <c r="HA64" s="108">
        <f t="shared" ref="HA64:HA65" si="796">IFERROR(IF(GU64&lt;=0,0,1),0)</f>
        <v>1</v>
      </c>
      <c r="HB64" s="108">
        <f t="shared" ref="HB64:HB65" si="797">PRODUCT(GV64:HA64)</f>
        <v>1</v>
      </c>
      <c r="HC64" s="109">
        <f t="shared" ref="HC64:HC65" si="798">ROUND(GU64,0)</f>
        <v>2125000</v>
      </c>
      <c r="HD64" s="110">
        <f t="shared" ref="HD64:HD65" si="799">GU64-HC64</f>
        <v>0</v>
      </c>
      <c r="HF64" s="319" t="s">
        <v>314</v>
      </c>
      <c r="HG64" s="319" t="s">
        <v>180</v>
      </c>
      <c r="HH64" s="334" t="s">
        <v>315</v>
      </c>
      <c r="HI64" s="321" t="s">
        <v>184</v>
      </c>
      <c r="HJ64" s="325">
        <v>85</v>
      </c>
      <c r="HK64" s="323">
        <v>18000</v>
      </c>
      <c r="HL64" s="324">
        <f>HK64*HJ64</f>
        <v>1530000</v>
      </c>
      <c r="HM64" s="108">
        <f t="shared" ref="HM64:HM65" si="800">IFERROR(IF(EXACT(VLOOKUP(HF64,OFERTA_0,1,FALSE),HF64),1,0),0)</f>
        <v>1</v>
      </c>
      <c r="HN64" s="108">
        <f t="shared" ref="HN64:HN65" si="801">IFERROR(IF(EXACT(VLOOKUP(HF64,OFERTA_0,3,FALSE),HH64),1,0),0)</f>
        <v>1</v>
      </c>
      <c r="HO64" s="108">
        <f t="shared" ref="HO64:HO65" si="802">IFERROR(IF(EXACT(VLOOKUP(HF64,OFERTA_0,4,FALSE),HI64),1,0),0)</f>
        <v>1</v>
      </c>
      <c r="HP64" s="108">
        <f t="shared" ref="HP64:HP65" si="803">IFERROR(IF(EXACT(VLOOKUP(HF64,OFERTA_0,5,FALSE),HJ64),1,0),0)</f>
        <v>1</v>
      </c>
      <c r="HQ64" s="108">
        <f t="shared" ref="HQ64:HQ65" si="804">IFERROR(IF(HK64&lt;=0,0,1),0)</f>
        <v>1</v>
      </c>
      <c r="HR64" s="108">
        <f t="shared" ref="HR64:HR65" si="805">IFERROR(IF(HL64&lt;=0,0,1),0)</f>
        <v>1</v>
      </c>
      <c r="HS64" s="108">
        <f t="shared" ref="HS64:HS65" si="806">PRODUCT(HM64:HR64)</f>
        <v>1</v>
      </c>
      <c r="HT64" s="109">
        <f t="shared" ref="HT64:HT65" si="807">ROUND(HL64,0)</f>
        <v>1530000</v>
      </c>
      <c r="HU64" s="110">
        <f t="shared" ref="HU64:HU65" si="808">HL64-HT64</f>
        <v>0</v>
      </c>
      <c r="HW64" s="319" t="s">
        <v>314</v>
      </c>
      <c r="HX64" s="319" t="s">
        <v>180</v>
      </c>
      <c r="HY64" s="334" t="s">
        <v>315</v>
      </c>
      <c r="HZ64" s="321" t="s">
        <v>184</v>
      </c>
      <c r="IA64" s="325">
        <v>85</v>
      </c>
      <c r="IB64" s="323">
        <v>25000</v>
      </c>
      <c r="IC64" s="324">
        <f>IB64*IA64</f>
        <v>2125000</v>
      </c>
      <c r="ID64" s="108">
        <f t="shared" ref="ID64:ID65" si="809">IFERROR(IF(EXACT(VLOOKUP(HW64,OFERTA_0,1,FALSE),HW64),1,0),0)</f>
        <v>1</v>
      </c>
      <c r="IE64" s="108">
        <f t="shared" ref="IE64:IE65" si="810">IFERROR(IF(EXACT(VLOOKUP(HW64,OFERTA_0,3,FALSE),HY64),1,0),0)</f>
        <v>1</v>
      </c>
      <c r="IF64" s="108">
        <f t="shared" ref="IF64:IF65" si="811">IFERROR(IF(EXACT(VLOOKUP(HW64,OFERTA_0,4,FALSE),HZ64),1,0),0)</f>
        <v>1</v>
      </c>
      <c r="IG64" s="108">
        <f t="shared" ref="IG64:IG65" si="812">IFERROR(IF(EXACT(VLOOKUP(HW64,OFERTA_0,5,FALSE),IA64),1,0),0)</f>
        <v>1</v>
      </c>
      <c r="IH64" s="108">
        <f t="shared" ref="IH64:IH65" si="813">IFERROR(IF(IB64&lt;=0,0,1),0)</f>
        <v>1</v>
      </c>
      <c r="II64" s="108">
        <f t="shared" ref="II64:II65" si="814">IFERROR(IF(IC64&lt;=0,0,1),0)</f>
        <v>1</v>
      </c>
      <c r="IJ64" s="108">
        <f t="shared" ref="IJ64:IJ65" si="815">PRODUCT(ID64:II64)</f>
        <v>1</v>
      </c>
      <c r="IK64" s="109">
        <f t="shared" ref="IK64:IK65" si="816">ROUND(IC64,0)</f>
        <v>2125000</v>
      </c>
      <c r="IL64" s="110">
        <f t="shared" ref="IL64:IL65" si="817">IC64-IK64</f>
        <v>0</v>
      </c>
    </row>
    <row r="65" spans="1:246" s="213" customFormat="1" ht="93" customHeight="1" x14ac:dyDescent="0.25">
      <c r="A65" s="211"/>
      <c r="B65" s="319" t="s">
        <v>316</v>
      </c>
      <c r="C65" s="319" t="s">
        <v>178</v>
      </c>
      <c r="D65" s="334" t="s">
        <v>317</v>
      </c>
      <c r="E65" s="321" t="s">
        <v>184</v>
      </c>
      <c r="F65" s="325">
        <v>85</v>
      </c>
      <c r="G65" s="323">
        <v>0</v>
      </c>
      <c r="H65" s="324">
        <f>G65*F65</f>
        <v>0</v>
      </c>
      <c r="J65" s="319" t="s">
        <v>316</v>
      </c>
      <c r="K65" s="319" t="s">
        <v>178</v>
      </c>
      <c r="L65" s="334" t="s">
        <v>317</v>
      </c>
      <c r="M65" s="321" t="s">
        <v>184</v>
      </c>
      <c r="N65" s="325">
        <v>85</v>
      </c>
      <c r="O65" s="323">
        <v>22402</v>
      </c>
      <c r="P65" s="324">
        <v>1904170</v>
      </c>
      <c r="Q65" s="108">
        <f t="shared" si="447"/>
        <v>1</v>
      </c>
      <c r="R65" s="108">
        <f t="shared" si="448"/>
        <v>1</v>
      </c>
      <c r="S65" s="108">
        <f t="shared" si="449"/>
        <v>1</v>
      </c>
      <c r="T65" s="108">
        <f t="shared" si="450"/>
        <v>1</v>
      </c>
      <c r="U65" s="108">
        <f t="shared" si="451"/>
        <v>1</v>
      </c>
      <c r="V65" s="108">
        <f t="shared" si="452"/>
        <v>1</v>
      </c>
      <c r="W65" s="108">
        <f t="shared" si="453"/>
        <v>1</v>
      </c>
      <c r="X65" s="109">
        <f t="shared" si="454"/>
        <v>1904170</v>
      </c>
      <c r="Y65" s="110">
        <f t="shared" si="455"/>
        <v>0</v>
      </c>
      <c r="AA65" s="319" t="s">
        <v>316</v>
      </c>
      <c r="AB65" s="319" t="s">
        <v>178</v>
      </c>
      <c r="AC65" s="334" t="s">
        <v>317</v>
      </c>
      <c r="AD65" s="321" t="s">
        <v>184</v>
      </c>
      <c r="AE65" s="325">
        <v>85</v>
      </c>
      <c r="AF65" s="323">
        <v>23350</v>
      </c>
      <c r="AG65" s="324">
        <v>1984750</v>
      </c>
      <c r="AH65" s="108">
        <f t="shared" si="701"/>
        <v>1</v>
      </c>
      <c r="AI65" s="108">
        <f t="shared" si="702"/>
        <v>1</v>
      </c>
      <c r="AJ65" s="108">
        <f t="shared" si="703"/>
        <v>1</v>
      </c>
      <c r="AK65" s="108">
        <f t="shared" si="704"/>
        <v>1</v>
      </c>
      <c r="AL65" s="108">
        <f t="shared" si="705"/>
        <v>1</v>
      </c>
      <c r="AM65" s="108">
        <f t="shared" si="706"/>
        <v>1</v>
      </c>
      <c r="AN65" s="108">
        <f t="shared" si="707"/>
        <v>1</v>
      </c>
      <c r="AO65" s="109">
        <f t="shared" si="708"/>
        <v>1984750</v>
      </c>
      <c r="AP65" s="110">
        <f t="shared" si="709"/>
        <v>0</v>
      </c>
      <c r="AR65" s="319" t="s">
        <v>316</v>
      </c>
      <c r="AS65" s="319" t="s">
        <v>178</v>
      </c>
      <c r="AT65" s="334" t="s">
        <v>317</v>
      </c>
      <c r="AU65" s="321" t="s">
        <v>184</v>
      </c>
      <c r="AV65" s="325">
        <v>85</v>
      </c>
      <c r="AW65" s="323">
        <v>38800</v>
      </c>
      <c r="AX65" s="324">
        <v>3298000</v>
      </c>
      <c r="AY65" s="108">
        <f t="shared" si="710"/>
        <v>1</v>
      </c>
      <c r="AZ65" s="108">
        <f t="shared" si="711"/>
        <v>1</v>
      </c>
      <c r="BA65" s="108">
        <f t="shared" si="712"/>
        <v>1</v>
      </c>
      <c r="BB65" s="108">
        <f t="shared" si="713"/>
        <v>1</v>
      </c>
      <c r="BC65" s="108">
        <f t="shared" si="714"/>
        <v>1</v>
      </c>
      <c r="BD65" s="108">
        <f t="shared" si="715"/>
        <v>1</v>
      </c>
      <c r="BE65" s="108">
        <f t="shared" si="716"/>
        <v>1</v>
      </c>
      <c r="BF65" s="109">
        <f t="shared" si="717"/>
        <v>3298000</v>
      </c>
      <c r="BG65" s="110">
        <f t="shared" si="718"/>
        <v>0</v>
      </c>
      <c r="BI65" s="319" t="s">
        <v>316</v>
      </c>
      <c r="BJ65" s="319" t="s">
        <v>178</v>
      </c>
      <c r="BK65" s="334" t="s">
        <v>317</v>
      </c>
      <c r="BL65" s="321" t="s">
        <v>184</v>
      </c>
      <c r="BM65" s="325">
        <v>85</v>
      </c>
      <c r="BN65" s="323">
        <v>16000</v>
      </c>
      <c r="BO65" s="324">
        <f>BN65*BM65</f>
        <v>1360000</v>
      </c>
      <c r="BP65" s="108">
        <f t="shared" si="719"/>
        <v>1</v>
      </c>
      <c r="BQ65" s="108">
        <f t="shared" si="720"/>
        <v>1</v>
      </c>
      <c r="BR65" s="108">
        <f t="shared" si="721"/>
        <v>1</v>
      </c>
      <c r="BS65" s="108">
        <f t="shared" si="722"/>
        <v>1</v>
      </c>
      <c r="BT65" s="108">
        <f t="shared" si="723"/>
        <v>1</v>
      </c>
      <c r="BU65" s="108">
        <f t="shared" si="724"/>
        <v>1</v>
      </c>
      <c r="BV65" s="108">
        <f t="shared" si="725"/>
        <v>1</v>
      </c>
      <c r="BW65" s="109">
        <f t="shared" si="726"/>
        <v>1360000</v>
      </c>
      <c r="BX65" s="110">
        <f t="shared" si="727"/>
        <v>0</v>
      </c>
      <c r="BZ65" s="319" t="s">
        <v>316</v>
      </c>
      <c r="CA65" s="319" t="s">
        <v>178</v>
      </c>
      <c r="CB65" s="334" t="s">
        <v>317</v>
      </c>
      <c r="CC65" s="321" t="s">
        <v>184</v>
      </c>
      <c r="CD65" s="325">
        <v>85</v>
      </c>
      <c r="CE65" s="323">
        <v>65000</v>
      </c>
      <c r="CF65" s="324">
        <f>CE65*CD65</f>
        <v>5525000</v>
      </c>
      <c r="CG65" s="108">
        <f t="shared" si="728"/>
        <v>1</v>
      </c>
      <c r="CH65" s="108">
        <f t="shared" si="729"/>
        <v>1</v>
      </c>
      <c r="CI65" s="108">
        <f t="shared" si="730"/>
        <v>1</v>
      </c>
      <c r="CJ65" s="108">
        <f t="shared" si="731"/>
        <v>1</v>
      </c>
      <c r="CK65" s="108">
        <f t="shared" si="732"/>
        <v>1</v>
      </c>
      <c r="CL65" s="108">
        <f t="shared" si="733"/>
        <v>1</v>
      </c>
      <c r="CM65" s="108">
        <f t="shared" si="734"/>
        <v>1</v>
      </c>
      <c r="CN65" s="109">
        <f t="shared" si="735"/>
        <v>5525000</v>
      </c>
      <c r="CO65" s="110">
        <f t="shared" si="736"/>
        <v>0</v>
      </c>
      <c r="CQ65" s="319" t="s">
        <v>316</v>
      </c>
      <c r="CR65" s="319" t="s">
        <v>178</v>
      </c>
      <c r="CS65" s="334" t="s">
        <v>317</v>
      </c>
      <c r="CT65" s="321" t="s">
        <v>184</v>
      </c>
      <c r="CU65" s="325">
        <v>85</v>
      </c>
      <c r="CV65" s="323">
        <v>25000</v>
      </c>
      <c r="CW65" s="324">
        <f>CV65*CU65</f>
        <v>2125000</v>
      </c>
      <c r="CX65" s="108">
        <f t="shared" si="737"/>
        <v>1</v>
      </c>
      <c r="CY65" s="108">
        <f t="shared" si="738"/>
        <v>1</v>
      </c>
      <c r="CZ65" s="108">
        <f t="shared" si="739"/>
        <v>1</v>
      </c>
      <c r="DA65" s="108">
        <f t="shared" si="740"/>
        <v>1</v>
      </c>
      <c r="DB65" s="108">
        <f t="shared" si="741"/>
        <v>1</v>
      </c>
      <c r="DC65" s="108">
        <f t="shared" si="742"/>
        <v>1</v>
      </c>
      <c r="DD65" s="108">
        <f t="shared" si="743"/>
        <v>1</v>
      </c>
      <c r="DE65" s="109">
        <f t="shared" si="744"/>
        <v>2125000</v>
      </c>
      <c r="DF65" s="110">
        <f t="shared" si="745"/>
        <v>0</v>
      </c>
      <c r="DH65" s="319" t="s">
        <v>316</v>
      </c>
      <c r="DI65" s="319" t="s">
        <v>178</v>
      </c>
      <c r="DJ65" s="360" t="s">
        <v>317</v>
      </c>
      <c r="DK65" s="321" t="s">
        <v>184</v>
      </c>
      <c r="DL65" s="325">
        <v>85</v>
      </c>
      <c r="DM65" s="323">
        <v>23712</v>
      </c>
      <c r="DN65" s="324">
        <f>DM65*DL65</f>
        <v>2015520</v>
      </c>
      <c r="DO65" s="108">
        <f t="shared" si="746"/>
        <v>1</v>
      </c>
      <c r="DP65" s="108">
        <f t="shared" si="747"/>
        <v>1</v>
      </c>
      <c r="DQ65" s="108">
        <f t="shared" si="748"/>
        <v>1</v>
      </c>
      <c r="DR65" s="108">
        <f t="shared" si="749"/>
        <v>1</v>
      </c>
      <c r="DS65" s="108">
        <f t="shared" si="750"/>
        <v>1</v>
      </c>
      <c r="DT65" s="108">
        <f t="shared" si="751"/>
        <v>1</v>
      </c>
      <c r="DU65" s="108">
        <f t="shared" si="752"/>
        <v>1</v>
      </c>
      <c r="DV65" s="109">
        <f t="shared" si="753"/>
        <v>2015520</v>
      </c>
      <c r="DW65" s="110">
        <f t="shared" si="754"/>
        <v>0</v>
      </c>
      <c r="DY65" s="319" t="s">
        <v>316</v>
      </c>
      <c r="DZ65" s="319" t="s">
        <v>178</v>
      </c>
      <c r="EA65" s="360" t="s">
        <v>317</v>
      </c>
      <c r="EB65" s="321" t="s">
        <v>184</v>
      </c>
      <c r="EC65" s="325">
        <v>85</v>
      </c>
      <c r="ED65" s="323">
        <v>14500</v>
      </c>
      <c r="EE65" s="324">
        <f>ED65*EC65</f>
        <v>1232500</v>
      </c>
      <c r="EF65" s="108">
        <f t="shared" si="755"/>
        <v>1</v>
      </c>
      <c r="EG65" s="108">
        <f t="shared" si="756"/>
        <v>1</v>
      </c>
      <c r="EH65" s="108">
        <f t="shared" si="757"/>
        <v>1</v>
      </c>
      <c r="EI65" s="108">
        <f t="shared" si="758"/>
        <v>1</v>
      </c>
      <c r="EJ65" s="108">
        <f t="shared" si="759"/>
        <v>1</v>
      </c>
      <c r="EK65" s="108">
        <f t="shared" si="760"/>
        <v>1</v>
      </c>
      <c r="EL65" s="108">
        <f t="shared" si="761"/>
        <v>1</v>
      </c>
      <c r="EM65" s="109">
        <f t="shared" si="762"/>
        <v>1232500</v>
      </c>
      <c r="EN65" s="110">
        <f t="shared" si="763"/>
        <v>0</v>
      </c>
      <c r="EP65" s="319" t="s">
        <v>316</v>
      </c>
      <c r="EQ65" s="319" t="s">
        <v>178</v>
      </c>
      <c r="ER65" s="334" t="s">
        <v>317</v>
      </c>
      <c r="ES65" s="321" t="s">
        <v>184</v>
      </c>
      <c r="ET65" s="325">
        <v>85</v>
      </c>
      <c r="EU65" s="323">
        <v>23000</v>
      </c>
      <c r="EV65" s="324">
        <f>EU65*ET65</f>
        <v>1955000</v>
      </c>
      <c r="EW65" s="108">
        <f t="shared" si="764"/>
        <v>1</v>
      </c>
      <c r="EX65" s="108">
        <f t="shared" si="765"/>
        <v>1</v>
      </c>
      <c r="EY65" s="108">
        <f t="shared" si="766"/>
        <v>1</v>
      </c>
      <c r="EZ65" s="108">
        <f t="shared" si="767"/>
        <v>1</v>
      </c>
      <c r="FA65" s="108">
        <f t="shared" si="768"/>
        <v>1</v>
      </c>
      <c r="FB65" s="108">
        <f t="shared" si="769"/>
        <v>1</v>
      </c>
      <c r="FC65" s="108">
        <f t="shared" si="770"/>
        <v>1</v>
      </c>
      <c r="FD65" s="109">
        <f t="shared" si="771"/>
        <v>1955000</v>
      </c>
      <c r="FE65" s="110">
        <f t="shared" si="772"/>
        <v>0</v>
      </c>
      <c r="FG65" s="319" t="s">
        <v>316</v>
      </c>
      <c r="FH65" s="319" t="s">
        <v>178</v>
      </c>
      <c r="FI65" s="360" t="s">
        <v>317</v>
      </c>
      <c r="FJ65" s="321" t="s">
        <v>184</v>
      </c>
      <c r="FK65" s="325">
        <v>85</v>
      </c>
      <c r="FL65" s="323">
        <v>23722</v>
      </c>
      <c r="FM65" s="324">
        <f>FL65*FK65</f>
        <v>2016370</v>
      </c>
      <c r="FN65" s="108">
        <f t="shared" si="773"/>
        <v>1</v>
      </c>
      <c r="FO65" s="108">
        <f t="shared" si="774"/>
        <v>1</v>
      </c>
      <c r="FP65" s="108">
        <f t="shared" si="775"/>
        <v>1</v>
      </c>
      <c r="FQ65" s="108">
        <f t="shared" si="776"/>
        <v>1</v>
      </c>
      <c r="FR65" s="108">
        <f t="shared" si="777"/>
        <v>1</v>
      </c>
      <c r="FS65" s="108">
        <f t="shared" si="778"/>
        <v>1</v>
      </c>
      <c r="FT65" s="108">
        <f t="shared" si="779"/>
        <v>1</v>
      </c>
      <c r="FU65" s="109">
        <f t="shared" si="780"/>
        <v>2016370</v>
      </c>
      <c r="FV65" s="110">
        <f t="shared" si="781"/>
        <v>0</v>
      </c>
      <c r="FX65" s="319" t="s">
        <v>316</v>
      </c>
      <c r="FY65" s="319" t="s">
        <v>178</v>
      </c>
      <c r="FZ65" s="334" t="s">
        <v>317</v>
      </c>
      <c r="GA65" s="321" t="s">
        <v>184</v>
      </c>
      <c r="GB65" s="325">
        <v>85</v>
      </c>
      <c r="GC65" s="323">
        <v>22000</v>
      </c>
      <c r="GD65" s="324">
        <f>GC65*GB65</f>
        <v>1870000</v>
      </c>
      <c r="GE65" s="108">
        <f t="shared" si="782"/>
        <v>1</v>
      </c>
      <c r="GF65" s="108">
        <f t="shared" si="783"/>
        <v>1</v>
      </c>
      <c r="GG65" s="108">
        <f t="shared" si="784"/>
        <v>1</v>
      </c>
      <c r="GH65" s="108">
        <f t="shared" si="785"/>
        <v>1</v>
      </c>
      <c r="GI65" s="108">
        <f t="shared" si="786"/>
        <v>1</v>
      </c>
      <c r="GJ65" s="108">
        <f t="shared" si="787"/>
        <v>1</v>
      </c>
      <c r="GK65" s="108">
        <f t="shared" si="788"/>
        <v>1</v>
      </c>
      <c r="GL65" s="109">
        <f t="shared" si="789"/>
        <v>1870000</v>
      </c>
      <c r="GM65" s="110">
        <f t="shared" si="790"/>
        <v>0</v>
      </c>
      <c r="GO65" s="319" t="s">
        <v>316</v>
      </c>
      <c r="GP65" s="319" t="s">
        <v>178</v>
      </c>
      <c r="GQ65" s="334" t="s">
        <v>317</v>
      </c>
      <c r="GR65" s="321" t="s">
        <v>184</v>
      </c>
      <c r="GS65" s="325">
        <v>85</v>
      </c>
      <c r="GT65" s="323">
        <v>30000</v>
      </c>
      <c r="GU65" s="324">
        <v>2550000</v>
      </c>
      <c r="GV65" s="108">
        <f t="shared" si="791"/>
        <v>1</v>
      </c>
      <c r="GW65" s="108">
        <f t="shared" si="792"/>
        <v>1</v>
      </c>
      <c r="GX65" s="108">
        <f t="shared" si="793"/>
        <v>1</v>
      </c>
      <c r="GY65" s="108">
        <f t="shared" si="794"/>
        <v>1</v>
      </c>
      <c r="GZ65" s="108">
        <f t="shared" si="795"/>
        <v>1</v>
      </c>
      <c r="HA65" s="108">
        <f t="shared" si="796"/>
        <v>1</v>
      </c>
      <c r="HB65" s="108">
        <f t="shared" si="797"/>
        <v>1</v>
      </c>
      <c r="HC65" s="109">
        <f t="shared" si="798"/>
        <v>2550000</v>
      </c>
      <c r="HD65" s="110">
        <f t="shared" si="799"/>
        <v>0</v>
      </c>
      <c r="HF65" s="319" t="s">
        <v>316</v>
      </c>
      <c r="HG65" s="319" t="s">
        <v>178</v>
      </c>
      <c r="HH65" s="334" t="s">
        <v>317</v>
      </c>
      <c r="HI65" s="321" t="s">
        <v>184</v>
      </c>
      <c r="HJ65" s="325">
        <v>85</v>
      </c>
      <c r="HK65" s="323">
        <v>16000</v>
      </c>
      <c r="HL65" s="324">
        <f>HK65*HJ65</f>
        <v>1360000</v>
      </c>
      <c r="HM65" s="108">
        <f t="shared" si="800"/>
        <v>1</v>
      </c>
      <c r="HN65" s="108">
        <f t="shared" si="801"/>
        <v>1</v>
      </c>
      <c r="HO65" s="108">
        <f t="shared" si="802"/>
        <v>1</v>
      </c>
      <c r="HP65" s="108">
        <f t="shared" si="803"/>
        <v>1</v>
      </c>
      <c r="HQ65" s="108">
        <f t="shared" si="804"/>
        <v>1</v>
      </c>
      <c r="HR65" s="108">
        <f t="shared" si="805"/>
        <v>1</v>
      </c>
      <c r="HS65" s="108">
        <f t="shared" si="806"/>
        <v>1</v>
      </c>
      <c r="HT65" s="109">
        <f t="shared" si="807"/>
        <v>1360000</v>
      </c>
      <c r="HU65" s="110">
        <f t="shared" si="808"/>
        <v>0</v>
      </c>
      <c r="HW65" s="319" t="s">
        <v>316</v>
      </c>
      <c r="HX65" s="319" t="s">
        <v>178</v>
      </c>
      <c r="HY65" s="334" t="s">
        <v>317</v>
      </c>
      <c r="HZ65" s="321" t="s">
        <v>184</v>
      </c>
      <c r="IA65" s="325">
        <v>85</v>
      </c>
      <c r="IB65" s="323">
        <v>25000</v>
      </c>
      <c r="IC65" s="324">
        <f>IB65*IA65</f>
        <v>2125000</v>
      </c>
      <c r="ID65" s="108">
        <f t="shared" si="809"/>
        <v>1</v>
      </c>
      <c r="IE65" s="108">
        <f t="shared" si="810"/>
        <v>1</v>
      </c>
      <c r="IF65" s="108">
        <f t="shared" si="811"/>
        <v>1</v>
      </c>
      <c r="IG65" s="108">
        <f t="shared" si="812"/>
        <v>1</v>
      </c>
      <c r="IH65" s="108">
        <f t="shared" si="813"/>
        <v>1</v>
      </c>
      <c r="II65" s="108">
        <f t="shared" si="814"/>
        <v>1</v>
      </c>
      <c r="IJ65" s="108">
        <f t="shared" si="815"/>
        <v>1</v>
      </c>
      <c r="IK65" s="109">
        <f t="shared" si="816"/>
        <v>2125000</v>
      </c>
      <c r="IL65" s="110">
        <f t="shared" si="817"/>
        <v>0</v>
      </c>
    </row>
    <row r="66" spans="1:246" s="213" customFormat="1" ht="31.5" customHeight="1" x14ac:dyDescent="0.25">
      <c r="A66" s="211"/>
      <c r="B66" s="317" t="s">
        <v>192</v>
      </c>
      <c r="C66" s="317"/>
      <c r="D66" s="336" t="s">
        <v>195</v>
      </c>
      <c r="E66" s="337"/>
      <c r="F66" s="330">
        <v>0</v>
      </c>
      <c r="G66" s="338"/>
      <c r="H66" s="339"/>
      <c r="J66" s="317" t="s">
        <v>192</v>
      </c>
      <c r="K66" s="317"/>
      <c r="L66" s="336" t="s">
        <v>195</v>
      </c>
      <c r="M66" s="337"/>
      <c r="N66" s="330">
        <v>0</v>
      </c>
      <c r="O66" s="338"/>
      <c r="P66" s="339"/>
      <c r="Q66" s="547"/>
      <c r="R66" s="548"/>
      <c r="S66" s="548"/>
      <c r="T66" s="548"/>
      <c r="U66" s="548"/>
      <c r="V66" s="548"/>
      <c r="W66" s="548"/>
      <c r="X66" s="548"/>
      <c r="Y66" s="549"/>
      <c r="AA66" s="317" t="s">
        <v>192</v>
      </c>
      <c r="AB66" s="317"/>
      <c r="AC66" s="336" t="s">
        <v>195</v>
      </c>
      <c r="AD66" s="337"/>
      <c r="AE66" s="330">
        <v>0</v>
      </c>
      <c r="AF66" s="338"/>
      <c r="AG66" s="339"/>
      <c r="AH66" s="547"/>
      <c r="AI66" s="548"/>
      <c r="AJ66" s="548"/>
      <c r="AK66" s="548"/>
      <c r="AL66" s="548"/>
      <c r="AM66" s="548"/>
      <c r="AN66" s="548"/>
      <c r="AO66" s="548"/>
      <c r="AP66" s="549"/>
      <c r="AR66" s="317" t="s">
        <v>192</v>
      </c>
      <c r="AS66" s="317"/>
      <c r="AT66" s="336" t="s">
        <v>195</v>
      </c>
      <c r="AU66" s="337"/>
      <c r="AV66" s="330">
        <v>0</v>
      </c>
      <c r="AW66" s="338">
        <v>0</v>
      </c>
      <c r="AX66" s="339"/>
      <c r="AY66" s="547"/>
      <c r="AZ66" s="548"/>
      <c r="BA66" s="548"/>
      <c r="BB66" s="548"/>
      <c r="BC66" s="548"/>
      <c r="BD66" s="548"/>
      <c r="BE66" s="548"/>
      <c r="BF66" s="548"/>
      <c r="BG66" s="549"/>
      <c r="BI66" s="317" t="s">
        <v>192</v>
      </c>
      <c r="BJ66" s="317"/>
      <c r="BK66" s="336" t="s">
        <v>195</v>
      </c>
      <c r="BL66" s="337"/>
      <c r="BM66" s="330">
        <v>0</v>
      </c>
      <c r="BN66" s="338"/>
      <c r="BO66" s="339"/>
      <c r="BP66" s="547"/>
      <c r="BQ66" s="548"/>
      <c r="BR66" s="548"/>
      <c r="BS66" s="548"/>
      <c r="BT66" s="548"/>
      <c r="BU66" s="548"/>
      <c r="BV66" s="548"/>
      <c r="BW66" s="548"/>
      <c r="BX66" s="549"/>
      <c r="BZ66" s="317" t="s">
        <v>192</v>
      </c>
      <c r="CA66" s="317"/>
      <c r="CB66" s="340" t="s">
        <v>195</v>
      </c>
      <c r="CC66" s="337"/>
      <c r="CD66" s="330">
        <v>0</v>
      </c>
      <c r="CE66" s="338"/>
      <c r="CF66" s="339"/>
      <c r="CG66" s="547"/>
      <c r="CH66" s="548"/>
      <c r="CI66" s="548"/>
      <c r="CJ66" s="548"/>
      <c r="CK66" s="548"/>
      <c r="CL66" s="548"/>
      <c r="CM66" s="548"/>
      <c r="CN66" s="548"/>
      <c r="CO66" s="549"/>
      <c r="CQ66" s="317" t="s">
        <v>192</v>
      </c>
      <c r="CR66" s="317"/>
      <c r="CS66" s="336" t="s">
        <v>195</v>
      </c>
      <c r="CT66" s="337"/>
      <c r="CU66" s="330">
        <v>0</v>
      </c>
      <c r="CV66" s="338"/>
      <c r="CW66" s="339"/>
      <c r="CX66" s="547"/>
      <c r="CY66" s="548"/>
      <c r="CZ66" s="548"/>
      <c r="DA66" s="548"/>
      <c r="DB66" s="548"/>
      <c r="DC66" s="548"/>
      <c r="DD66" s="548"/>
      <c r="DE66" s="548"/>
      <c r="DF66" s="549"/>
      <c r="DH66" s="317" t="s">
        <v>192</v>
      </c>
      <c r="DI66" s="317"/>
      <c r="DJ66" s="336" t="s">
        <v>195</v>
      </c>
      <c r="DK66" s="337"/>
      <c r="DL66" s="330">
        <v>0</v>
      </c>
      <c r="DM66" s="338"/>
      <c r="DN66" s="339"/>
      <c r="DO66" s="547"/>
      <c r="DP66" s="548"/>
      <c r="DQ66" s="548"/>
      <c r="DR66" s="548"/>
      <c r="DS66" s="548"/>
      <c r="DT66" s="548"/>
      <c r="DU66" s="548"/>
      <c r="DV66" s="548"/>
      <c r="DW66" s="549"/>
      <c r="DY66" s="317" t="s">
        <v>192</v>
      </c>
      <c r="DZ66" s="317"/>
      <c r="EA66" s="336" t="s">
        <v>195</v>
      </c>
      <c r="EB66" s="337"/>
      <c r="EC66" s="330">
        <v>0</v>
      </c>
      <c r="ED66" s="338"/>
      <c r="EE66" s="339"/>
      <c r="EF66" s="547"/>
      <c r="EG66" s="548"/>
      <c r="EH66" s="548"/>
      <c r="EI66" s="548"/>
      <c r="EJ66" s="548"/>
      <c r="EK66" s="548"/>
      <c r="EL66" s="548"/>
      <c r="EM66" s="548"/>
      <c r="EN66" s="549"/>
      <c r="EP66" s="317" t="s">
        <v>192</v>
      </c>
      <c r="EQ66" s="317"/>
      <c r="ER66" s="336" t="s">
        <v>195</v>
      </c>
      <c r="ES66" s="337"/>
      <c r="ET66" s="330">
        <v>0</v>
      </c>
      <c r="EU66" s="338"/>
      <c r="EV66" s="339"/>
      <c r="EW66" s="547"/>
      <c r="EX66" s="548"/>
      <c r="EY66" s="548"/>
      <c r="EZ66" s="548"/>
      <c r="FA66" s="548"/>
      <c r="FB66" s="548"/>
      <c r="FC66" s="548"/>
      <c r="FD66" s="548"/>
      <c r="FE66" s="549"/>
      <c r="FG66" s="317" t="s">
        <v>192</v>
      </c>
      <c r="FH66" s="317"/>
      <c r="FI66" s="336" t="s">
        <v>195</v>
      </c>
      <c r="FJ66" s="337"/>
      <c r="FK66" s="330">
        <v>0</v>
      </c>
      <c r="FL66" s="338"/>
      <c r="FM66" s="339"/>
      <c r="FN66" s="547"/>
      <c r="FO66" s="548"/>
      <c r="FP66" s="548"/>
      <c r="FQ66" s="548"/>
      <c r="FR66" s="548"/>
      <c r="FS66" s="548"/>
      <c r="FT66" s="548"/>
      <c r="FU66" s="548"/>
      <c r="FV66" s="549"/>
      <c r="FX66" s="317" t="s">
        <v>192</v>
      </c>
      <c r="FY66" s="317"/>
      <c r="FZ66" s="336" t="s">
        <v>195</v>
      </c>
      <c r="GA66" s="337"/>
      <c r="GB66" s="330">
        <v>0</v>
      </c>
      <c r="GC66" s="338"/>
      <c r="GD66" s="339"/>
      <c r="GE66" s="547"/>
      <c r="GF66" s="548"/>
      <c r="GG66" s="548"/>
      <c r="GH66" s="548"/>
      <c r="GI66" s="548"/>
      <c r="GJ66" s="548"/>
      <c r="GK66" s="548"/>
      <c r="GL66" s="548"/>
      <c r="GM66" s="549"/>
      <c r="GO66" s="317" t="s">
        <v>192</v>
      </c>
      <c r="GP66" s="317"/>
      <c r="GQ66" s="336" t="s">
        <v>195</v>
      </c>
      <c r="GR66" s="337"/>
      <c r="GS66" s="330">
        <v>0</v>
      </c>
      <c r="GT66" s="338"/>
      <c r="GU66" s="339"/>
      <c r="GV66" s="547"/>
      <c r="GW66" s="548"/>
      <c r="GX66" s="548"/>
      <c r="GY66" s="548"/>
      <c r="GZ66" s="548"/>
      <c r="HA66" s="548"/>
      <c r="HB66" s="548"/>
      <c r="HC66" s="548"/>
      <c r="HD66" s="549"/>
      <c r="HF66" s="317" t="s">
        <v>192</v>
      </c>
      <c r="HG66" s="317"/>
      <c r="HH66" s="336" t="s">
        <v>195</v>
      </c>
      <c r="HI66" s="337"/>
      <c r="HJ66" s="330">
        <v>0</v>
      </c>
      <c r="HK66" s="338"/>
      <c r="HL66" s="339"/>
      <c r="HM66" s="547"/>
      <c r="HN66" s="548"/>
      <c r="HO66" s="548"/>
      <c r="HP66" s="548"/>
      <c r="HQ66" s="548"/>
      <c r="HR66" s="548"/>
      <c r="HS66" s="548"/>
      <c r="HT66" s="548"/>
      <c r="HU66" s="549"/>
      <c r="HW66" s="317" t="s">
        <v>192</v>
      </c>
      <c r="HX66" s="317"/>
      <c r="HY66" s="336" t="s">
        <v>195</v>
      </c>
      <c r="HZ66" s="337"/>
      <c r="IA66" s="330">
        <v>0</v>
      </c>
      <c r="IB66" s="338"/>
      <c r="IC66" s="339"/>
      <c r="ID66" s="547"/>
      <c r="IE66" s="548"/>
      <c r="IF66" s="548"/>
      <c r="IG66" s="548"/>
      <c r="IH66" s="548"/>
      <c r="II66" s="548"/>
      <c r="IJ66" s="548"/>
      <c r="IK66" s="548"/>
      <c r="IL66" s="549"/>
    </row>
    <row r="67" spans="1:246" s="213" customFormat="1" ht="93.75" customHeight="1" x14ac:dyDescent="0.25">
      <c r="A67" s="211"/>
      <c r="B67" s="319">
        <v>7.1</v>
      </c>
      <c r="C67" s="319" t="s">
        <v>178</v>
      </c>
      <c r="D67" s="334" t="s">
        <v>196</v>
      </c>
      <c r="E67" s="321" t="s">
        <v>184</v>
      </c>
      <c r="F67" s="325">
        <v>510</v>
      </c>
      <c r="G67" s="323">
        <v>0</v>
      </c>
      <c r="H67" s="324">
        <f t="shared" ref="H67:H80" si="818">G67*F67</f>
        <v>0</v>
      </c>
      <c r="J67" s="319">
        <v>7.1</v>
      </c>
      <c r="K67" s="319" t="s">
        <v>178</v>
      </c>
      <c r="L67" s="334" t="s">
        <v>196</v>
      </c>
      <c r="M67" s="321" t="s">
        <v>184</v>
      </c>
      <c r="N67" s="325">
        <v>510</v>
      </c>
      <c r="O67" s="323">
        <v>8732</v>
      </c>
      <c r="P67" s="324">
        <v>4453320</v>
      </c>
      <c r="Q67" s="108">
        <f t="shared" si="447"/>
        <v>1</v>
      </c>
      <c r="R67" s="108">
        <f t="shared" si="448"/>
        <v>1</v>
      </c>
      <c r="S67" s="108">
        <f t="shared" si="449"/>
        <v>1</v>
      </c>
      <c r="T67" s="108">
        <f t="shared" si="450"/>
        <v>1</v>
      </c>
      <c r="U67" s="108">
        <f t="shared" si="451"/>
        <v>1</v>
      </c>
      <c r="V67" s="108">
        <f t="shared" si="452"/>
        <v>1</v>
      </c>
      <c r="W67" s="108">
        <f t="shared" si="453"/>
        <v>1</v>
      </c>
      <c r="X67" s="109">
        <f t="shared" si="454"/>
        <v>4453320</v>
      </c>
      <c r="Y67" s="110">
        <f t="shared" si="455"/>
        <v>0</v>
      </c>
      <c r="AA67" s="319">
        <v>7.1</v>
      </c>
      <c r="AB67" s="319" t="s">
        <v>178</v>
      </c>
      <c r="AC67" s="334" t="s">
        <v>196</v>
      </c>
      <c r="AD67" s="321" t="s">
        <v>184</v>
      </c>
      <c r="AE67" s="325">
        <v>510</v>
      </c>
      <c r="AF67" s="323">
        <v>15600</v>
      </c>
      <c r="AG67" s="324">
        <v>7956000</v>
      </c>
      <c r="AH67" s="108">
        <f t="shared" ref="AH67:AH80" si="819">IFERROR(IF(EXACT(VLOOKUP(AA67,OFERTA_0,1,FALSE),AA67),1,0),0)</f>
        <v>1</v>
      </c>
      <c r="AI67" s="108">
        <f t="shared" ref="AI67:AI80" si="820">IFERROR(IF(EXACT(VLOOKUP(AA67,OFERTA_0,3,FALSE),AC67),1,0),0)</f>
        <v>1</v>
      </c>
      <c r="AJ67" s="108">
        <f t="shared" ref="AJ67:AJ80" si="821">IFERROR(IF(EXACT(VLOOKUP(AA67,OFERTA_0,4,FALSE),AD67),1,0),0)</f>
        <v>1</v>
      </c>
      <c r="AK67" s="108">
        <f t="shared" ref="AK67:AK80" si="822">IFERROR(IF(EXACT(VLOOKUP(AA67,OFERTA_0,5,FALSE),AE67),1,0),0)</f>
        <v>1</v>
      </c>
      <c r="AL67" s="108">
        <f t="shared" ref="AL67:AL80" si="823">IFERROR(IF(AF67&lt;=0,0,1),0)</f>
        <v>1</v>
      </c>
      <c r="AM67" s="108">
        <f t="shared" ref="AM67:AM80" si="824">IFERROR(IF(AG67&lt;=0,0,1),0)</f>
        <v>1</v>
      </c>
      <c r="AN67" s="108">
        <f t="shared" ref="AN67:AN80" si="825">PRODUCT(AH67:AM67)</f>
        <v>1</v>
      </c>
      <c r="AO67" s="109">
        <f t="shared" ref="AO67:AO80" si="826">ROUND(AG67,0)</f>
        <v>7956000</v>
      </c>
      <c r="AP67" s="110">
        <f t="shared" ref="AP67:AP80" si="827">AG67-AO67</f>
        <v>0</v>
      </c>
      <c r="AR67" s="319">
        <v>7.1</v>
      </c>
      <c r="AS67" s="319" t="s">
        <v>178</v>
      </c>
      <c r="AT67" s="334" t="s">
        <v>196</v>
      </c>
      <c r="AU67" s="321" t="s">
        <v>184</v>
      </c>
      <c r="AV67" s="325">
        <v>510</v>
      </c>
      <c r="AW67" s="323">
        <v>14550</v>
      </c>
      <c r="AX67" s="324">
        <v>7420500</v>
      </c>
      <c r="AY67" s="108">
        <f t="shared" ref="AY67:AY80" si="828">IFERROR(IF(EXACT(VLOOKUP(AR67,OFERTA_0,1,FALSE),AR67),1,0),0)</f>
        <v>1</v>
      </c>
      <c r="AZ67" s="108">
        <f t="shared" ref="AZ67:AZ80" si="829">IFERROR(IF(EXACT(VLOOKUP(AR67,OFERTA_0,3,FALSE),AT67),1,0),0)</f>
        <v>1</v>
      </c>
      <c r="BA67" s="108">
        <f t="shared" ref="BA67:BA80" si="830">IFERROR(IF(EXACT(VLOOKUP(AR67,OFERTA_0,4,FALSE),AU67),1,0),0)</f>
        <v>1</v>
      </c>
      <c r="BB67" s="108">
        <f t="shared" ref="BB67:BB80" si="831">IFERROR(IF(EXACT(VLOOKUP(AR67,OFERTA_0,5,FALSE),AV67),1,0),0)</f>
        <v>1</v>
      </c>
      <c r="BC67" s="108">
        <f t="shared" ref="BC67:BC80" si="832">IFERROR(IF(AW67&lt;=0,0,1),0)</f>
        <v>1</v>
      </c>
      <c r="BD67" s="108">
        <f t="shared" ref="BD67:BD80" si="833">IFERROR(IF(AX67&lt;=0,0,1),0)</f>
        <v>1</v>
      </c>
      <c r="BE67" s="108">
        <f t="shared" ref="BE67:BE80" si="834">PRODUCT(AY67:BD67)</f>
        <v>1</v>
      </c>
      <c r="BF67" s="109">
        <f t="shared" ref="BF67:BF80" si="835">ROUND(AX67,0)</f>
        <v>7420500</v>
      </c>
      <c r="BG67" s="110">
        <f t="shared" ref="BG67:BG80" si="836">AX67-BF67</f>
        <v>0</v>
      </c>
      <c r="BI67" s="319">
        <v>7.1</v>
      </c>
      <c r="BJ67" s="319" t="s">
        <v>178</v>
      </c>
      <c r="BK67" s="334" t="s">
        <v>196</v>
      </c>
      <c r="BL67" s="321" t="s">
        <v>184</v>
      </c>
      <c r="BM67" s="325">
        <v>510</v>
      </c>
      <c r="BN67" s="323">
        <v>9537</v>
      </c>
      <c r="BO67" s="324">
        <f t="shared" ref="BO67:BO80" si="837">BN67*BM67</f>
        <v>4863870</v>
      </c>
      <c r="BP67" s="108">
        <f t="shared" ref="BP67:BP80" si="838">IFERROR(IF(EXACT(VLOOKUP(BI67,OFERTA_0,1,FALSE),BI67),1,0),0)</f>
        <v>1</v>
      </c>
      <c r="BQ67" s="108">
        <f t="shared" ref="BQ67:BQ80" si="839">IFERROR(IF(EXACT(VLOOKUP(BI67,OFERTA_0,3,FALSE),BK67),1,0),0)</f>
        <v>1</v>
      </c>
      <c r="BR67" s="108">
        <f t="shared" ref="BR67:BR80" si="840">IFERROR(IF(EXACT(VLOOKUP(BI67,OFERTA_0,4,FALSE),BL67),1,0),0)</f>
        <v>1</v>
      </c>
      <c r="BS67" s="108">
        <f t="shared" ref="BS67:BS80" si="841">IFERROR(IF(EXACT(VLOOKUP(BI67,OFERTA_0,5,FALSE),BM67),1,0),0)</f>
        <v>1</v>
      </c>
      <c r="BT67" s="108">
        <f t="shared" ref="BT67:BT80" si="842">IFERROR(IF(BN67&lt;=0,0,1),0)</f>
        <v>1</v>
      </c>
      <c r="BU67" s="108">
        <f t="shared" ref="BU67:BU80" si="843">IFERROR(IF(BO67&lt;=0,0,1),0)</f>
        <v>1</v>
      </c>
      <c r="BV67" s="108">
        <f t="shared" ref="BV67:BV80" si="844">PRODUCT(BP67:BU67)</f>
        <v>1</v>
      </c>
      <c r="BW67" s="109">
        <f t="shared" ref="BW67:BW80" si="845">ROUND(BO67,0)</f>
        <v>4863870</v>
      </c>
      <c r="BX67" s="110">
        <f t="shared" ref="BX67:BX80" si="846">BO67-BW67</f>
        <v>0</v>
      </c>
      <c r="BZ67" s="319">
        <v>7.1</v>
      </c>
      <c r="CA67" s="319" t="s">
        <v>178</v>
      </c>
      <c r="CB67" s="334" t="s">
        <v>196</v>
      </c>
      <c r="CC67" s="321" t="s">
        <v>184</v>
      </c>
      <c r="CD67" s="325">
        <v>510</v>
      </c>
      <c r="CE67" s="323">
        <v>13000</v>
      </c>
      <c r="CF67" s="324">
        <f t="shared" ref="CF67:CF80" si="847">CE67*CD67</f>
        <v>6630000</v>
      </c>
      <c r="CG67" s="108">
        <f t="shared" ref="CG67:CG80" si="848">IFERROR(IF(EXACT(VLOOKUP(BZ67,OFERTA_0,1,FALSE),BZ67),1,0),0)</f>
        <v>1</v>
      </c>
      <c r="CH67" s="108">
        <f t="shared" ref="CH67:CH80" si="849">IFERROR(IF(EXACT(VLOOKUP(BZ67,OFERTA_0,3,FALSE),CB67),1,0),0)</f>
        <v>1</v>
      </c>
      <c r="CI67" s="108">
        <f t="shared" ref="CI67:CI80" si="850">IFERROR(IF(EXACT(VLOOKUP(BZ67,OFERTA_0,4,FALSE),CC67),1,0),0)</f>
        <v>1</v>
      </c>
      <c r="CJ67" s="108">
        <f t="shared" ref="CJ67:CJ80" si="851">IFERROR(IF(EXACT(VLOOKUP(BZ67,OFERTA_0,5,FALSE),CD67),1,0),0)</f>
        <v>1</v>
      </c>
      <c r="CK67" s="108">
        <f t="shared" ref="CK67:CK80" si="852">IFERROR(IF(CE67&lt;=0,0,1),0)</f>
        <v>1</v>
      </c>
      <c r="CL67" s="108">
        <f t="shared" ref="CL67:CL80" si="853">IFERROR(IF(CF67&lt;=0,0,1),0)</f>
        <v>1</v>
      </c>
      <c r="CM67" s="108">
        <f t="shared" ref="CM67:CM80" si="854">PRODUCT(CG67:CL67)</f>
        <v>1</v>
      </c>
      <c r="CN67" s="109">
        <f t="shared" ref="CN67:CN80" si="855">ROUND(CF67,0)</f>
        <v>6630000</v>
      </c>
      <c r="CO67" s="110">
        <f t="shared" ref="CO67:CO80" si="856">CF67-CN67</f>
        <v>0</v>
      </c>
      <c r="CQ67" s="319">
        <v>7.1</v>
      </c>
      <c r="CR67" s="319" t="s">
        <v>178</v>
      </c>
      <c r="CS67" s="334" t="s">
        <v>196</v>
      </c>
      <c r="CT67" s="321" t="s">
        <v>184</v>
      </c>
      <c r="CU67" s="325">
        <v>510</v>
      </c>
      <c r="CV67" s="323">
        <v>13400</v>
      </c>
      <c r="CW67" s="324">
        <f t="shared" ref="CW67:CW80" si="857">CV67*CU67</f>
        <v>6834000</v>
      </c>
      <c r="CX67" s="108">
        <f t="shared" ref="CX67:CX80" si="858">IFERROR(IF(EXACT(VLOOKUP(CQ67,OFERTA_0,1,FALSE),CQ67),1,0),0)</f>
        <v>1</v>
      </c>
      <c r="CY67" s="108">
        <f t="shared" ref="CY67:CY80" si="859">IFERROR(IF(EXACT(VLOOKUP(CQ67,OFERTA_0,3,FALSE),CS67),1,0),0)</f>
        <v>1</v>
      </c>
      <c r="CZ67" s="108">
        <f t="shared" ref="CZ67:CZ80" si="860">IFERROR(IF(EXACT(VLOOKUP(CQ67,OFERTA_0,4,FALSE),CT67),1,0),0)</f>
        <v>1</v>
      </c>
      <c r="DA67" s="108">
        <f t="shared" ref="DA67:DA80" si="861">IFERROR(IF(EXACT(VLOOKUP(CQ67,OFERTA_0,5,FALSE),CU67),1,0),0)</f>
        <v>1</v>
      </c>
      <c r="DB67" s="108">
        <f t="shared" ref="DB67:DB80" si="862">IFERROR(IF(CV67&lt;=0,0,1),0)</f>
        <v>1</v>
      </c>
      <c r="DC67" s="108">
        <f t="shared" ref="DC67:DC80" si="863">IFERROR(IF(CW67&lt;=0,0,1),0)</f>
        <v>1</v>
      </c>
      <c r="DD67" s="108">
        <f t="shared" ref="DD67:DD80" si="864">PRODUCT(CX67:DC67)</f>
        <v>1</v>
      </c>
      <c r="DE67" s="109">
        <f t="shared" ref="DE67:DE80" si="865">ROUND(CW67,0)</f>
        <v>6834000</v>
      </c>
      <c r="DF67" s="110">
        <f t="shared" ref="DF67:DF80" si="866">CW67-DE67</f>
        <v>0</v>
      </c>
      <c r="DH67" s="319">
        <v>7.1</v>
      </c>
      <c r="DI67" s="319" t="s">
        <v>178</v>
      </c>
      <c r="DJ67" s="360" t="s">
        <v>196</v>
      </c>
      <c r="DK67" s="321" t="s">
        <v>184</v>
      </c>
      <c r="DL67" s="325">
        <v>510</v>
      </c>
      <c r="DM67" s="323">
        <v>10040</v>
      </c>
      <c r="DN67" s="324">
        <f t="shared" ref="DN67:DN80" si="867">DM67*DL67</f>
        <v>5120400</v>
      </c>
      <c r="DO67" s="108">
        <f t="shared" ref="DO67:DO80" si="868">IFERROR(IF(EXACT(VLOOKUP(DH67,OFERTA_0,1,FALSE),DH67),1,0),0)</f>
        <v>1</v>
      </c>
      <c r="DP67" s="108">
        <f t="shared" ref="DP67:DP80" si="869">IFERROR(IF(EXACT(VLOOKUP(DH67,OFERTA_0,3,FALSE),DJ67),1,0),0)</f>
        <v>1</v>
      </c>
      <c r="DQ67" s="108">
        <f t="shared" ref="DQ67:DQ80" si="870">IFERROR(IF(EXACT(VLOOKUP(DH67,OFERTA_0,4,FALSE),DK67),1,0),0)</f>
        <v>1</v>
      </c>
      <c r="DR67" s="108">
        <f t="shared" ref="DR67:DR80" si="871">IFERROR(IF(EXACT(VLOOKUP(DH67,OFERTA_0,5,FALSE),DL67),1,0),0)</f>
        <v>1</v>
      </c>
      <c r="DS67" s="108">
        <f t="shared" ref="DS67:DS80" si="872">IFERROR(IF(DM67&lt;=0,0,1),0)</f>
        <v>1</v>
      </c>
      <c r="DT67" s="108">
        <f t="shared" ref="DT67:DT80" si="873">IFERROR(IF(DN67&lt;=0,0,1),0)</f>
        <v>1</v>
      </c>
      <c r="DU67" s="108">
        <f t="shared" ref="DU67:DU80" si="874">PRODUCT(DO67:DT67)</f>
        <v>1</v>
      </c>
      <c r="DV67" s="109">
        <f t="shared" ref="DV67:DV80" si="875">ROUND(DN67,0)</f>
        <v>5120400</v>
      </c>
      <c r="DW67" s="110">
        <f t="shared" ref="DW67:DW80" si="876">DN67-DV67</f>
        <v>0</v>
      </c>
      <c r="DY67" s="319">
        <v>7.1</v>
      </c>
      <c r="DZ67" s="319" t="s">
        <v>178</v>
      </c>
      <c r="EA67" s="360" t="s">
        <v>196</v>
      </c>
      <c r="EB67" s="321" t="s">
        <v>184</v>
      </c>
      <c r="EC67" s="325">
        <v>510</v>
      </c>
      <c r="ED67" s="323">
        <v>12000</v>
      </c>
      <c r="EE67" s="324">
        <f t="shared" ref="EE67:EE80" si="877">ED67*EC67</f>
        <v>6120000</v>
      </c>
      <c r="EF67" s="108">
        <f t="shared" ref="EF67:EF80" si="878">IFERROR(IF(EXACT(VLOOKUP(DY67,OFERTA_0,1,FALSE),DY67),1,0),0)</f>
        <v>1</v>
      </c>
      <c r="EG67" s="108">
        <f t="shared" ref="EG67:EG80" si="879">IFERROR(IF(EXACT(VLOOKUP(DY67,OFERTA_0,3,FALSE),EA67),1,0),0)</f>
        <v>1</v>
      </c>
      <c r="EH67" s="108">
        <f t="shared" ref="EH67:EH80" si="880">IFERROR(IF(EXACT(VLOOKUP(DY67,OFERTA_0,4,FALSE),EB67),1,0),0)</f>
        <v>1</v>
      </c>
      <c r="EI67" s="108">
        <f t="shared" ref="EI67:EI80" si="881">IFERROR(IF(EXACT(VLOOKUP(DY67,OFERTA_0,5,FALSE),EC67),1,0),0)</f>
        <v>1</v>
      </c>
      <c r="EJ67" s="108">
        <f t="shared" ref="EJ67:EJ80" si="882">IFERROR(IF(ED67&lt;=0,0,1),0)</f>
        <v>1</v>
      </c>
      <c r="EK67" s="108">
        <f t="shared" ref="EK67:EK80" si="883">IFERROR(IF(EE67&lt;=0,0,1),0)</f>
        <v>1</v>
      </c>
      <c r="EL67" s="108">
        <f t="shared" ref="EL67:EL80" si="884">PRODUCT(EF67:EK67)</f>
        <v>1</v>
      </c>
      <c r="EM67" s="109">
        <f t="shared" ref="EM67:EM80" si="885">ROUND(EE67,0)</f>
        <v>6120000</v>
      </c>
      <c r="EN67" s="110">
        <f t="shared" ref="EN67:EN80" si="886">EE67-EM67</f>
        <v>0</v>
      </c>
      <c r="EP67" s="319">
        <v>7.1</v>
      </c>
      <c r="EQ67" s="319" t="s">
        <v>178</v>
      </c>
      <c r="ER67" s="334" t="s">
        <v>196</v>
      </c>
      <c r="ES67" s="321" t="s">
        <v>184</v>
      </c>
      <c r="ET67" s="325">
        <v>510</v>
      </c>
      <c r="EU67" s="323">
        <v>13000</v>
      </c>
      <c r="EV67" s="324">
        <f t="shared" ref="EV67:EV80" si="887">EU67*ET67</f>
        <v>6630000</v>
      </c>
      <c r="EW67" s="108">
        <f t="shared" ref="EW67:EW80" si="888">IFERROR(IF(EXACT(VLOOKUP(EP67,OFERTA_0,1,FALSE),EP67),1,0),0)</f>
        <v>1</v>
      </c>
      <c r="EX67" s="108">
        <f t="shared" ref="EX67:EX80" si="889">IFERROR(IF(EXACT(VLOOKUP(EP67,OFERTA_0,3,FALSE),ER67),1,0),0)</f>
        <v>1</v>
      </c>
      <c r="EY67" s="108">
        <f t="shared" ref="EY67:EY80" si="890">IFERROR(IF(EXACT(VLOOKUP(EP67,OFERTA_0,4,FALSE),ES67),1,0),0)</f>
        <v>1</v>
      </c>
      <c r="EZ67" s="108">
        <f t="shared" ref="EZ67:EZ80" si="891">IFERROR(IF(EXACT(VLOOKUP(EP67,OFERTA_0,5,FALSE),ET67),1,0),0)</f>
        <v>1</v>
      </c>
      <c r="FA67" s="108">
        <f t="shared" ref="FA67:FA80" si="892">IFERROR(IF(EU67&lt;=0,0,1),0)</f>
        <v>1</v>
      </c>
      <c r="FB67" s="108">
        <f t="shared" ref="FB67:FB80" si="893">IFERROR(IF(EV67&lt;=0,0,1),0)</f>
        <v>1</v>
      </c>
      <c r="FC67" s="108">
        <f t="shared" ref="FC67:FC80" si="894">PRODUCT(EW67:FB67)</f>
        <v>1</v>
      </c>
      <c r="FD67" s="109">
        <f t="shared" ref="FD67:FD80" si="895">ROUND(EV67,0)</f>
        <v>6630000</v>
      </c>
      <c r="FE67" s="110">
        <f t="shared" ref="FE67:FE80" si="896">EV67-FD67</f>
        <v>0</v>
      </c>
      <c r="FG67" s="319">
        <v>7.1</v>
      </c>
      <c r="FH67" s="319" t="s">
        <v>178</v>
      </c>
      <c r="FI67" s="360" t="s">
        <v>196</v>
      </c>
      <c r="FJ67" s="321" t="s">
        <v>184</v>
      </c>
      <c r="FK67" s="325">
        <v>510</v>
      </c>
      <c r="FL67" s="323">
        <v>10050</v>
      </c>
      <c r="FM67" s="324">
        <f t="shared" ref="FM67:FM80" si="897">FL67*FK67</f>
        <v>5125500</v>
      </c>
      <c r="FN67" s="108">
        <f t="shared" ref="FN67:FN80" si="898">IFERROR(IF(EXACT(VLOOKUP(FG67,OFERTA_0,1,FALSE),FG67),1,0),0)</f>
        <v>1</v>
      </c>
      <c r="FO67" s="108">
        <f t="shared" ref="FO67:FO80" si="899">IFERROR(IF(EXACT(VLOOKUP(FG67,OFERTA_0,3,FALSE),FI67),1,0),0)</f>
        <v>1</v>
      </c>
      <c r="FP67" s="108">
        <f t="shared" ref="FP67:FP80" si="900">IFERROR(IF(EXACT(VLOOKUP(FG67,OFERTA_0,4,FALSE),FJ67),1,0),0)</f>
        <v>1</v>
      </c>
      <c r="FQ67" s="108">
        <f t="shared" ref="FQ67:FQ80" si="901">IFERROR(IF(EXACT(VLOOKUP(FG67,OFERTA_0,5,FALSE),FK67),1,0),0)</f>
        <v>1</v>
      </c>
      <c r="FR67" s="108">
        <f t="shared" ref="FR67:FR80" si="902">IFERROR(IF(FL67&lt;=0,0,1),0)</f>
        <v>1</v>
      </c>
      <c r="FS67" s="108">
        <f t="shared" ref="FS67:FS80" si="903">IFERROR(IF(FM67&lt;=0,0,1),0)</f>
        <v>1</v>
      </c>
      <c r="FT67" s="108">
        <f t="shared" ref="FT67:FT80" si="904">PRODUCT(FN67:FS67)</f>
        <v>1</v>
      </c>
      <c r="FU67" s="109">
        <f t="shared" ref="FU67:FU80" si="905">ROUND(FM67,0)</f>
        <v>5125500</v>
      </c>
      <c r="FV67" s="110">
        <f t="shared" ref="FV67:FV80" si="906">FM67-FU67</f>
        <v>0</v>
      </c>
      <c r="FX67" s="319">
        <v>7.1</v>
      </c>
      <c r="FY67" s="319" t="s">
        <v>178</v>
      </c>
      <c r="FZ67" s="334" t="s">
        <v>196</v>
      </c>
      <c r="GA67" s="321" t="s">
        <v>184</v>
      </c>
      <c r="GB67" s="325">
        <v>510</v>
      </c>
      <c r="GC67" s="323">
        <v>11000</v>
      </c>
      <c r="GD67" s="324">
        <f t="shared" ref="GD67:GD80" si="907">GC67*GB67</f>
        <v>5610000</v>
      </c>
      <c r="GE67" s="108">
        <f t="shared" ref="GE67:GE80" si="908">IFERROR(IF(EXACT(VLOOKUP(FX67,OFERTA_0,1,FALSE),FX67),1,0),0)</f>
        <v>1</v>
      </c>
      <c r="GF67" s="108">
        <f t="shared" ref="GF67:GF80" si="909">IFERROR(IF(EXACT(VLOOKUP(FX67,OFERTA_0,3,FALSE),FZ67),1,0),0)</f>
        <v>1</v>
      </c>
      <c r="GG67" s="108">
        <f t="shared" ref="GG67:GG80" si="910">IFERROR(IF(EXACT(VLOOKUP(FX67,OFERTA_0,4,FALSE),GA67),1,0),0)</f>
        <v>1</v>
      </c>
      <c r="GH67" s="108">
        <f t="shared" ref="GH67:GH80" si="911">IFERROR(IF(EXACT(VLOOKUP(FX67,OFERTA_0,5,FALSE),GB67),1,0),0)</f>
        <v>1</v>
      </c>
      <c r="GI67" s="108">
        <f t="shared" ref="GI67:GI80" si="912">IFERROR(IF(GC67&lt;=0,0,1),0)</f>
        <v>1</v>
      </c>
      <c r="GJ67" s="108">
        <f t="shared" ref="GJ67:GJ80" si="913">IFERROR(IF(GD67&lt;=0,0,1),0)</f>
        <v>1</v>
      </c>
      <c r="GK67" s="108">
        <f t="shared" ref="GK67:GK80" si="914">PRODUCT(GE67:GJ67)</f>
        <v>1</v>
      </c>
      <c r="GL67" s="109">
        <f t="shared" ref="GL67:GL80" si="915">ROUND(GD67,0)</f>
        <v>5610000</v>
      </c>
      <c r="GM67" s="110">
        <f t="shared" ref="GM67:GM80" si="916">GD67-GL67</f>
        <v>0</v>
      </c>
      <c r="GO67" s="319">
        <v>7.1</v>
      </c>
      <c r="GP67" s="319" t="s">
        <v>178</v>
      </c>
      <c r="GQ67" s="334" t="s">
        <v>196</v>
      </c>
      <c r="GR67" s="321" t="s">
        <v>184</v>
      </c>
      <c r="GS67" s="325">
        <v>510</v>
      </c>
      <c r="GT67" s="323">
        <v>15000</v>
      </c>
      <c r="GU67" s="324">
        <v>7650000</v>
      </c>
      <c r="GV67" s="108">
        <f t="shared" ref="GV67:GV80" si="917">IFERROR(IF(EXACT(VLOOKUP(GO67,OFERTA_0,1,FALSE),GO67),1,0),0)</f>
        <v>1</v>
      </c>
      <c r="GW67" s="108">
        <f t="shared" ref="GW67:GW80" si="918">IFERROR(IF(EXACT(VLOOKUP(GO67,OFERTA_0,3,FALSE),GQ67),1,0),0)</f>
        <v>1</v>
      </c>
      <c r="GX67" s="108">
        <f t="shared" ref="GX67:GX80" si="919">IFERROR(IF(EXACT(VLOOKUP(GO67,OFERTA_0,4,FALSE),GR67),1,0),0)</f>
        <v>1</v>
      </c>
      <c r="GY67" s="108">
        <f t="shared" ref="GY67:GY80" si="920">IFERROR(IF(EXACT(VLOOKUP(GO67,OFERTA_0,5,FALSE),GS67),1,0),0)</f>
        <v>1</v>
      </c>
      <c r="GZ67" s="108">
        <f t="shared" ref="GZ67:GZ80" si="921">IFERROR(IF(GT67&lt;=0,0,1),0)</f>
        <v>1</v>
      </c>
      <c r="HA67" s="108">
        <f t="shared" ref="HA67:HA80" si="922">IFERROR(IF(GU67&lt;=0,0,1),0)</f>
        <v>1</v>
      </c>
      <c r="HB67" s="108">
        <f t="shared" ref="HB67:HB80" si="923">PRODUCT(GV67:HA67)</f>
        <v>1</v>
      </c>
      <c r="HC67" s="109">
        <f t="shared" ref="HC67:HC80" si="924">ROUND(GU67,0)</f>
        <v>7650000</v>
      </c>
      <c r="HD67" s="110">
        <f t="shared" ref="HD67:HD80" si="925">GU67-HC67</f>
        <v>0</v>
      </c>
      <c r="HF67" s="319">
        <v>7.1</v>
      </c>
      <c r="HG67" s="319" t="s">
        <v>178</v>
      </c>
      <c r="HH67" s="334" t="s">
        <v>196</v>
      </c>
      <c r="HI67" s="321" t="s">
        <v>184</v>
      </c>
      <c r="HJ67" s="325">
        <v>510</v>
      </c>
      <c r="HK67" s="323">
        <v>9000</v>
      </c>
      <c r="HL67" s="324">
        <f t="shared" ref="HL67:HL80" si="926">HK67*HJ67</f>
        <v>4590000</v>
      </c>
      <c r="HM67" s="108">
        <f t="shared" ref="HM67:HM80" si="927">IFERROR(IF(EXACT(VLOOKUP(HF67,OFERTA_0,1,FALSE),HF67),1,0),0)</f>
        <v>1</v>
      </c>
      <c r="HN67" s="108">
        <f t="shared" ref="HN67:HN80" si="928">IFERROR(IF(EXACT(VLOOKUP(HF67,OFERTA_0,3,FALSE),HH67),1,0),0)</f>
        <v>1</v>
      </c>
      <c r="HO67" s="108">
        <f t="shared" ref="HO67:HO80" si="929">IFERROR(IF(EXACT(VLOOKUP(HF67,OFERTA_0,4,FALSE),HI67),1,0),0)</f>
        <v>1</v>
      </c>
      <c r="HP67" s="108">
        <f t="shared" ref="HP67:HP80" si="930">IFERROR(IF(EXACT(VLOOKUP(HF67,OFERTA_0,5,FALSE),HJ67),1,0),0)</f>
        <v>1</v>
      </c>
      <c r="HQ67" s="108">
        <f t="shared" ref="HQ67:HQ80" si="931">IFERROR(IF(HK67&lt;=0,0,1),0)</f>
        <v>1</v>
      </c>
      <c r="HR67" s="108">
        <f t="shared" ref="HR67:HR80" si="932">IFERROR(IF(HL67&lt;=0,0,1),0)</f>
        <v>1</v>
      </c>
      <c r="HS67" s="108">
        <f t="shared" ref="HS67:HS80" si="933">PRODUCT(HM67:HR67)</f>
        <v>1</v>
      </c>
      <c r="HT67" s="109">
        <f t="shared" ref="HT67:HT80" si="934">ROUND(HL67,0)</f>
        <v>4590000</v>
      </c>
      <c r="HU67" s="110">
        <f t="shared" ref="HU67:HU80" si="935">HL67-HT67</f>
        <v>0</v>
      </c>
      <c r="HW67" s="319">
        <v>7.1</v>
      </c>
      <c r="HX67" s="319" t="s">
        <v>178</v>
      </c>
      <c r="HY67" s="334" t="s">
        <v>196</v>
      </c>
      <c r="HZ67" s="321" t="s">
        <v>184</v>
      </c>
      <c r="IA67" s="325">
        <v>510</v>
      </c>
      <c r="IB67" s="323">
        <v>12000</v>
      </c>
      <c r="IC67" s="324">
        <f t="shared" ref="IC67:IC80" si="936">IB67*IA67</f>
        <v>6120000</v>
      </c>
      <c r="ID67" s="108">
        <f t="shared" ref="ID67:ID80" si="937">IFERROR(IF(EXACT(VLOOKUP(HW67,OFERTA_0,1,FALSE),HW67),1,0),0)</f>
        <v>1</v>
      </c>
      <c r="IE67" s="108">
        <f t="shared" ref="IE67:IE80" si="938">IFERROR(IF(EXACT(VLOOKUP(HW67,OFERTA_0,3,FALSE),HY67),1,0),0)</f>
        <v>1</v>
      </c>
      <c r="IF67" s="108">
        <f t="shared" ref="IF67:IF80" si="939">IFERROR(IF(EXACT(VLOOKUP(HW67,OFERTA_0,4,FALSE),HZ67),1,0),0)</f>
        <v>1</v>
      </c>
      <c r="IG67" s="108">
        <f t="shared" ref="IG67:IG80" si="940">IFERROR(IF(EXACT(VLOOKUP(HW67,OFERTA_0,5,FALSE),IA67),1,0),0)</f>
        <v>1</v>
      </c>
      <c r="IH67" s="108">
        <f t="shared" ref="IH67:IH80" si="941">IFERROR(IF(IB67&lt;=0,0,1),0)</f>
        <v>1</v>
      </c>
      <c r="II67" s="108">
        <f t="shared" ref="II67:II80" si="942">IFERROR(IF(IC67&lt;=0,0,1),0)</f>
        <v>1</v>
      </c>
      <c r="IJ67" s="108">
        <f t="shared" ref="IJ67:IJ80" si="943">PRODUCT(ID67:II67)</f>
        <v>1</v>
      </c>
      <c r="IK67" s="109">
        <f t="shared" ref="IK67:IK80" si="944">ROUND(IC67,0)</f>
        <v>6120000</v>
      </c>
      <c r="IL67" s="110">
        <f t="shared" ref="IL67:IL80" si="945">IC67-IK67</f>
        <v>0</v>
      </c>
    </row>
    <row r="68" spans="1:246" s="213" customFormat="1" ht="95.25" customHeight="1" x14ac:dyDescent="0.25">
      <c r="A68" s="211"/>
      <c r="B68" s="319">
        <v>7.2</v>
      </c>
      <c r="C68" s="341" t="s">
        <v>178</v>
      </c>
      <c r="D68" s="334" t="s">
        <v>318</v>
      </c>
      <c r="E68" s="321" t="s">
        <v>198</v>
      </c>
      <c r="F68" s="325">
        <v>85</v>
      </c>
      <c r="G68" s="323">
        <v>0</v>
      </c>
      <c r="H68" s="324">
        <f t="shared" si="818"/>
        <v>0</v>
      </c>
      <c r="J68" s="319">
        <v>7.2</v>
      </c>
      <c r="K68" s="341" t="s">
        <v>178</v>
      </c>
      <c r="L68" s="334" t="s">
        <v>318</v>
      </c>
      <c r="M68" s="321" t="s">
        <v>198</v>
      </c>
      <c r="N68" s="325">
        <v>85</v>
      </c>
      <c r="O68" s="323">
        <v>390141</v>
      </c>
      <c r="P68" s="324">
        <v>33161985</v>
      </c>
      <c r="Q68" s="108">
        <f t="shared" si="447"/>
        <v>1</v>
      </c>
      <c r="R68" s="108">
        <f t="shared" si="448"/>
        <v>1</v>
      </c>
      <c r="S68" s="108">
        <f t="shared" si="449"/>
        <v>1</v>
      </c>
      <c r="T68" s="108">
        <f t="shared" si="450"/>
        <v>1</v>
      </c>
      <c r="U68" s="108">
        <f t="shared" si="451"/>
        <v>1</v>
      </c>
      <c r="V68" s="108">
        <f t="shared" si="452"/>
        <v>1</v>
      </c>
      <c r="W68" s="108">
        <f t="shared" si="453"/>
        <v>1</v>
      </c>
      <c r="X68" s="109">
        <f t="shared" si="454"/>
        <v>33161985</v>
      </c>
      <c r="Y68" s="110">
        <f t="shared" si="455"/>
        <v>0</v>
      </c>
      <c r="AA68" s="319">
        <v>7.2</v>
      </c>
      <c r="AB68" s="341" t="s">
        <v>178</v>
      </c>
      <c r="AC68" s="334" t="s">
        <v>318</v>
      </c>
      <c r="AD68" s="321" t="s">
        <v>198</v>
      </c>
      <c r="AE68" s="325">
        <v>85</v>
      </c>
      <c r="AF68" s="323">
        <v>20092.599999999999</v>
      </c>
      <c r="AG68" s="324">
        <v>1707870.9999999998</v>
      </c>
      <c r="AH68" s="108">
        <f t="shared" si="819"/>
        <v>1</v>
      </c>
      <c r="AI68" s="108">
        <f t="shared" si="820"/>
        <v>1</v>
      </c>
      <c r="AJ68" s="108">
        <f t="shared" si="821"/>
        <v>1</v>
      </c>
      <c r="AK68" s="108">
        <f t="shared" si="822"/>
        <v>1</v>
      </c>
      <c r="AL68" s="108">
        <f t="shared" si="823"/>
        <v>1</v>
      </c>
      <c r="AM68" s="108">
        <f t="shared" si="824"/>
        <v>1</v>
      </c>
      <c r="AN68" s="108">
        <f t="shared" si="825"/>
        <v>1</v>
      </c>
      <c r="AO68" s="109">
        <f t="shared" si="826"/>
        <v>1707871</v>
      </c>
      <c r="AP68" s="110">
        <f t="shared" si="827"/>
        <v>0</v>
      </c>
      <c r="AR68" s="319">
        <v>7.2</v>
      </c>
      <c r="AS68" s="341" t="s">
        <v>178</v>
      </c>
      <c r="AT68" s="334" t="s">
        <v>318</v>
      </c>
      <c r="AU68" s="321" t="s">
        <v>198</v>
      </c>
      <c r="AV68" s="325">
        <v>85</v>
      </c>
      <c r="AW68" s="323">
        <v>14550</v>
      </c>
      <c r="AX68" s="324">
        <v>1236750</v>
      </c>
      <c r="AY68" s="108">
        <f t="shared" si="828"/>
        <v>1</v>
      </c>
      <c r="AZ68" s="108">
        <f t="shared" si="829"/>
        <v>1</v>
      </c>
      <c r="BA68" s="108">
        <f t="shared" si="830"/>
        <v>1</v>
      </c>
      <c r="BB68" s="108">
        <f t="shared" si="831"/>
        <v>1</v>
      </c>
      <c r="BC68" s="108">
        <f t="shared" si="832"/>
        <v>1</v>
      </c>
      <c r="BD68" s="108">
        <f t="shared" si="833"/>
        <v>1</v>
      </c>
      <c r="BE68" s="108">
        <f t="shared" si="834"/>
        <v>1</v>
      </c>
      <c r="BF68" s="109">
        <f t="shared" si="835"/>
        <v>1236750</v>
      </c>
      <c r="BG68" s="110">
        <f t="shared" si="836"/>
        <v>0</v>
      </c>
      <c r="BI68" s="319">
        <v>7.2</v>
      </c>
      <c r="BJ68" s="341" t="s">
        <v>178</v>
      </c>
      <c r="BK68" s="334" t="s">
        <v>318</v>
      </c>
      <c r="BL68" s="321" t="s">
        <v>198</v>
      </c>
      <c r="BM68" s="325">
        <v>85</v>
      </c>
      <c r="BN68" s="323">
        <v>9537</v>
      </c>
      <c r="BO68" s="324">
        <f t="shared" si="837"/>
        <v>810645</v>
      </c>
      <c r="BP68" s="108">
        <f t="shared" si="838"/>
        <v>1</v>
      </c>
      <c r="BQ68" s="108">
        <f t="shared" si="839"/>
        <v>1</v>
      </c>
      <c r="BR68" s="108">
        <f t="shared" si="840"/>
        <v>1</v>
      </c>
      <c r="BS68" s="108">
        <f t="shared" si="841"/>
        <v>1</v>
      </c>
      <c r="BT68" s="108">
        <f t="shared" si="842"/>
        <v>1</v>
      </c>
      <c r="BU68" s="108">
        <f t="shared" si="843"/>
        <v>1</v>
      </c>
      <c r="BV68" s="108">
        <f t="shared" si="844"/>
        <v>1</v>
      </c>
      <c r="BW68" s="109">
        <f t="shared" si="845"/>
        <v>810645</v>
      </c>
      <c r="BX68" s="110">
        <f t="shared" si="846"/>
        <v>0</v>
      </c>
      <c r="BZ68" s="319">
        <v>7.2</v>
      </c>
      <c r="CA68" s="341" t="s">
        <v>178</v>
      </c>
      <c r="CB68" s="334" t="s">
        <v>318</v>
      </c>
      <c r="CC68" s="321" t="s">
        <v>198</v>
      </c>
      <c r="CD68" s="325">
        <v>85</v>
      </c>
      <c r="CE68" s="323">
        <v>18900</v>
      </c>
      <c r="CF68" s="324">
        <f t="shared" si="847"/>
        <v>1606500</v>
      </c>
      <c r="CG68" s="108">
        <f t="shared" si="848"/>
        <v>1</v>
      </c>
      <c r="CH68" s="108">
        <f t="shared" si="849"/>
        <v>1</v>
      </c>
      <c r="CI68" s="108">
        <f t="shared" si="850"/>
        <v>1</v>
      </c>
      <c r="CJ68" s="108">
        <f t="shared" si="851"/>
        <v>1</v>
      </c>
      <c r="CK68" s="108">
        <f t="shared" si="852"/>
        <v>1</v>
      </c>
      <c r="CL68" s="108">
        <f t="shared" si="853"/>
        <v>1</v>
      </c>
      <c r="CM68" s="108">
        <f t="shared" si="854"/>
        <v>1</v>
      </c>
      <c r="CN68" s="109">
        <f t="shared" si="855"/>
        <v>1606500</v>
      </c>
      <c r="CO68" s="110">
        <f t="shared" si="856"/>
        <v>0</v>
      </c>
      <c r="CQ68" s="319">
        <v>7.2</v>
      </c>
      <c r="CR68" s="341" t="s">
        <v>178</v>
      </c>
      <c r="CS68" s="334" t="s">
        <v>318</v>
      </c>
      <c r="CT68" s="321" t="s">
        <v>198</v>
      </c>
      <c r="CU68" s="325">
        <v>85</v>
      </c>
      <c r="CV68" s="323">
        <v>16000</v>
      </c>
      <c r="CW68" s="324">
        <f t="shared" si="857"/>
        <v>1360000</v>
      </c>
      <c r="CX68" s="108">
        <f t="shared" si="858"/>
        <v>1</v>
      </c>
      <c r="CY68" s="108">
        <f t="shared" si="859"/>
        <v>1</v>
      </c>
      <c r="CZ68" s="108">
        <f t="shared" si="860"/>
        <v>1</v>
      </c>
      <c r="DA68" s="108">
        <f t="shared" si="861"/>
        <v>1</v>
      </c>
      <c r="DB68" s="108">
        <f t="shared" si="862"/>
        <v>1</v>
      </c>
      <c r="DC68" s="108">
        <f t="shared" si="863"/>
        <v>1</v>
      </c>
      <c r="DD68" s="108">
        <f t="shared" si="864"/>
        <v>1</v>
      </c>
      <c r="DE68" s="109">
        <f t="shared" si="865"/>
        <v>1360000</v>
      </c>
      <c r="DF68" s="110">
        <f t="shared" si="866"/>
        <v>0</v>
      </c>
      <c r="DH68" s="319">
        <v>7.2</v>
      </c>
      <c r="DI68" s="341" t="s">
        <v>178</v>
      </c>
      <c r="DJ68" s="360" t="s">
        <v>318</v>
      </c>
      <c r="DK68" s="321" t="s">
        <v>198</v>
      </c>
      <c r="DL68" s="325">
        <v>85</v>
      </c>
      <c r="DM68" s="323">
        <v>13740</v>
      </c>
      <c r="DN68" s="324">
        <f t="shared" si="867"/>
        <v>1167900</v>
      </c>
      <c r="DO68" s="108">
        <f t="shared" si="868"/>
        <v>1</v>
      </c>
      <c r="DP68" s="108">
        <f t="shared" si="869"/>
        <v>1</v>
      </c>
      <c r="DQ68" s="108">
        <f t="shared" si="870"/>
        <v>1</v>
      </c>
      <c r="DR68" s="108">
        <f t="shared" si="871"/>
        <v>1</v>
      </c>
      <c r="DS68" s="108">
        <f t="shared" si="872"/>
        <v>1</v>
      </c>
      <c r="DT68" s="108">
        <f t="shared" si="873"/>
        <v>1</v>
      </c>
      <c r="DU68" s="108">
        <f t="shared" si="874"/>
        <v>1</v>
      </c>
      <c r="DV68" s="109">
        <f t="shared" si="875"/>
        <v>1167900</v>
      </c>
      <c r="DW68" s="110">
        <f t="shared" si="876"/>
        <v>0</v>
      </c>
      <c r="DY68" s="319">
        <v>7.2</v>
      </c>
      <c r="DZ68" s="341" t="s">
        <v>178</v>
      </c>
      <c r="EA68" s="360" t="s">
        <v>318</v>
      </c>
      <c r="EB68" s="321" t="s">
        <v>198</v>
      </c>
      <c r="EC68" s="325">
        <v>85</v>
      </c>
      <c r="ED68" s="323">
        <v>14500</v>
      </c>
      <c r="EE68" s="324">
        <f t="shared" si="877"/>
        <v>1232500</v>
      </c>
      <c r="EF68" s="108">
        <f t="shared" si="878"/>
        <v>1</v>
      </c>
      <c r="EG68" s="108">
        <f t="shared" si="879"/>
        <v>1</v>
      </c>
      <c r="EH68" s="108">
        <f t="shared" si="880"/>
        <v>1</v>
      </c>
      <c r="EI68" s="108">
        <f t="shared" si="881"/>
        <v>1</v>
      </c>
      <c r="EJ68" s="108">
        <f t="shared" si="882"/>
        <v>1</v>
      </c>
      <c r="EK68" s="108">
        <f t="shared" si="883"/>
        <v>1</v>
      </c>
      <c r="EL68" s="108">
        <f t="shared" si="884"/>
        <v>1</v>
      </c>
      <c r="EM68" s="109">
        <f t="shared" si="885"/>
        <v>1232500</v>
      </c>
      <c r="EN68" s="110">
        <f t="shared" si="886"/>
        <v>0</v>
      </c>
      <c r="EP68" s="319">
        <v>7.2</v>
      </c>
      <c r="EQ68" s="341" t="s">
        <v>178</v>
      </c>
      <c r="ER68" s="334" t="s">
        <v>318</v>
      </c>
      <c r="ES68" s="321" t="s">
        <v>198</v>
      </c>
      <c r="ET68" s="325">
        <v>85</v>
      </c>
      <c r="EU68" s="323">
        <v>23000</v>
      </c>
      <c r="EV68" s="324">
        <f t="shared" si="887"/>
        <v>1955000</v>
      </c>
      <c r="EW68" s="108">
        <f t="shared" si="888"/>
        <v>1</v>
      </c>
      <c r="EX68" s="108">
        <f t="shared" si="889"/>
        <v>1</v>
      </c>
      <c r="EY68" s="108">
        <f t="shared" si="890"/>
        <v>1</v>
      </c>
      <c r="EZ68" s="108">
        <f t="shared" si="891"/>
        <v>1</v>
      </c>
      <c r="FA68" s="108">
        <f t="shared" si="892"/>
        <v>1</v>
      </c>
      <c r="FB68" s="108">
        <f t="shared" si="893"/>
        <v>1</v>
      </c>
      <c r="FC68" s="108">
        <f t="shared" si="894"/>
        <v>1</v>
      </c>
      <c r="FD68" s="109">
        <f t="shared" si="895"/>
        <v>1955000</v>
      </c>
      <c r="FE68" s="110">
        <f t="shared" si="896"/>
        <v>0</v>
      </c>
      <c r="FG68" s="319">
        <v>7.2</v>
      </c>
      <c r="FH68" s="341" t="s">
        <v>178</v>
      </c>
      <c r="FI68" s="360" t="s">
        <v>318</v>
      </c>
      <c r="FJ68" s="321" t="s">
        <v>198</v>
      </c>
      <c r="FK68" s="325">
        <v>85</v>
      </c>
      <c r="FL68" s="323">
        <v>13740</v>
      </c>
      <c r="FM68" s="324">
        <f t="shared" si="897"/>
        <v>1167900</v>
      </c>
      <c r="FN68" s="108">
        <f t="shared" si="898"/>
        <v>1</v>
      </c>
      <c r="FO68" s="108">
        <f t="shared" si="899"/>
        <v>1</v>
      </c>
      <c r="FP68" s="108">
        <f t="shared" si="900"/>
        <v>1</v>
      </c>
      <c r="FQ68" s="108">
        <f t="shared" si="901"/>
        <v>1</v>
      </c>
      <c r="FR68" s="108">
        <f t="shared" si="902"/>
        <v>1</v>
      </c>
      <c r="FS68" s="108">
        <f t="shared" si="903"/>
        <v>1</v>
      </c>
      <c r="FT68" s="108">
        <f t="shared" si="904"/>
        <v>1</v>
      </c>
      <c r="FU68" s="109">
        <f t="shared" si="905"/>
        <v>1167900</v>
      </c>
      <c r="FV68" s="110">
        <f t="shared" si="906"/>
        <v>0</v>
      </c>
      <c r="FX68" s="319">
        <v>7.2</v>
      </c>
      <c r="FY68" s="341" t="s">
        <v>178</v>
      </c>
      <c r="FZ68" s="334" t="s">
        <v>318</v>
      </c>
      <c r="GA68" s="321" t="s">
        <v>198</v>
      </c>
      <c r="GB68" s="325">
        <v>85</v>
      </c>
      <c r="GC68" s="323">
        <v>80000</v>
      </c>
      <c r="GD68" s="324">
        <f t="shared" si="907"/>
        <v>6800000</v>
      </c>
      <c r="GE68" s="108">
        <f t="shared" si="908"/>
        <v>1</v>
      </c>
      <c r="GF68" s="108">
        <f t="shared" si="909"/>
        <v>1</v>
      </c>
      <c r="GG68" s="108">
        <f t="shared" si="910"/>
        <v>1</v>
      </c>
      <c r="GH68" s="108">
        <f t="shared" si="911"/>
        <v>1</v>
      </c>
      <c r="GI68" s="108">
        <f t="shared" si="912"/>
        <v>1</v>
      </c>
      <c r="GJ68" s="108">
        <f t="shared" si="913"/>
        <v>1</v>
      </c>
      <c r="GK68" s="108">
        <f t="shared" si="914"/>
        <v>1</v>
      </c>
      <c r="GL68" s="109">
        <f t="shared" si="915"/>
        <v>6800000</v>
      </c>
      <c r="GM68" s="110">
        <f t="shared" si="916"/>
        <v>0</v>
      </c>
      <c r="GO68" s="319">
        <v>7.2</v>
      </c>
      <c r="GP68" s="341" t="s">
        <v>178</v>
      </c>
      <c r="GQ68" s="334" t="s">
        <v>318</v>
      </c>
      <c r="GR68" s="321" t="s">
        <v>198</v>
      </c>
      <c r="GS68" s="325">
        <v>85</v>
      </c>
      <c r="GT68" s="323">
        <v>17000</v>
      </c>
      <c r="GU68" s="324">
        <v>1445000</v>
      </c>
      <c r="GV68" s="108">
        <f t="shared" si="917"/>
        <v>1</v>
      </c>
      <c r="GW68" s="108">
        <f t="shared" si="918"/>
        <v>1</v>
      </c>
      <c r="GX68" s="108">
        <f t="shared" si="919"/>
        <v>1</v>
      </c>
      <c r="GY68" s="108">
        <f t="shared" si="920"/>
        <v>1</v>
      </c>
      <c r="GZ68" s="108">
        <f t="shared" si="921"/>
        <v>1</v>
      </c>
      <c r="HA68" s="108">
        <f t="shared" si="922"/>
        <v>1</v>
      </c>
      <c r="HB68" s="108">
        <f t="shared" si="923"/>
        <v>1</v>
      </c>
      <c r="HC68" s="109">
        <f t="shared" si="924"/>
        <v>1445000</v>
      </c>
      <c r="HD68" s="110">
        <f t="shared" si="925"/>
        <v>0</v>
      </c>
      <c r="HF68" s="319">
        <v>7.2</v>
      </c>
      <c r="HG68" s="341" t="s">
        <v>178</v>
      </c>
      <c r="HH68" s="334" t="s">
        <v>318</v>
      </c>
      <c r="HI68" s="321" t="s">
        <v>198</v>
      </c>
      <c r="HJ68" s="325">
        <v>85</v>
      </c>
      <c r="HK68" s="323">
        <v>195000</v>
      </c>
      <c r="HL68" s="324">
        <f t="shared" si="926"/>
        <v>16575000</v>
      </c>
      <c r="HM68" s="108">
        <f t="shared" si="927"/>
        <v>1</v>
      </c>
      <c r="HN68" s="108">
        <f t="shared" si="928"/>
        <v>1</v>
      </c>
      <c r="HO68" s="108">
        <f t="shared" si="929"/>
        <v>1</v>
      </c>
      <c r="HP68" s="108">
        <f t="shared" si="930"/>
        <v>1</v>
      </c>
      <c r="HQ68" s="108">
        <f t="shared" si="931"/>
        <v>1</v>
      </c>
      <c r="HR68" s="108">
        <f t="shared" si="932"/>
        <v>1</v>
      </c>
      <c r="HS68" s="108">
        <f t="shared" si="933"/>
        <v>1</v>
      </c>
      <c r="HT68" s="109">
        <f t="shared" si="934"/>
        <v>16575000</v>
      </c>
      <c r="HU68" s="110">
        <f t="shared" si="935"/>
        <v>0</v>
      </c>
      <c r="HW68" s="319">
        <v>7.2</v>
      </c>
      <c r="HX68" s="341" t="s">
        <v>178</v>
      </c>
      <c r="HY68" s="334" t="s">
        <v>318</v>
      </c>
      <c r="HZ68" s="321" t="s">
        <v>198</v>
      </c>
      <c r="IA68" s="325">
        <v>85</v>
      </c>
      <c r="IB68" s="323">
        <v>20000</v>
      </c>
      <c r="IC68" s="324">
        <f t="shared" si="936"/>
        <v>1700000</v>
      </c>
      <c r="ID68" s="108">
        <f t="shared" si="937"/>
        <v>1</v>
      </c>
      <c r="IE68" s="108">
        <f t="shared" si="938"/>
        <v>1</v>
      </c>
      <c r="IF68" s="108">
        <f t="shared" si="939"/>
        <v>1</v>
      </c>
      <c r="IG68" s="108">
        <f t="shared" si="940"/>
        <v>1</v>
      </c>
      <c r="IH68" s="108">
        <f t="shared" si="941"/>
        <v>1</v>
      </c>
      <c r="II68" s="108">
        <f t="shared" si="942"/>
        <v>1</v>
      </c>
      <c r="IJ68" s="108">
        <f t="shared" si="943"/>
        <v>1</v>
      </c>
      <c r="IK68" s="109">
        <f t="shared" si="944"/>
        <v>1700000</v>
      </c>
      <c r="IL68" s="110">
        <f t="shared" si="945"/>
        <v>0</v>
      </c>
    </row>
    <row r="69" spans="1:246" s="213" customFormat="1" ht="122.25" customHeight="1" x14ac:dyDescent="0.25">
      <c r="A69" s="211"/>
      <c r="B69" s="319">
        <v>7.3</v>
      </c>
      <c r="C69" s="319" t="s">
        <v>180</v>
      </c>
      <c r="D69" s="334" t="s">
        <v>319</v>
      </c>
      <c r="E69" s="321" t="s">
        <v>184</v>
      </c>
      <c r="F69" s="325">
        <v>85</v>
      </c>
      <c r="G69" s="323">
        <v>0</v>
      </c>
      <c r="H69" s="324">
        <f t="shared" si="818"/>
        <v>0</v>
      </c>
      <c r="J69" s="319">
        <v>7.3</v>
      </c>
      <c r="K69" s="319" t="s">
        <v>180</v>
      </c>
      <c r="L69" s="334" t="s">
        <v>319</v>
      </c>
      <c r="M69" s="321" t="s">
        <v>184</v>
      </c>
      <c r="N69" s="325">
        <v>85</v>
      </c>
      <c r="O69" s="323">
        <v>8375</v>
      </c>
      <c r="P69" s="324">
        <v>711875</v>
      </c>
      <c r="Q69" s="108">
        <f t="shared" si="447"/>
        <v>1</v>
      </c>
      <c r="R69" s="108">
        <f t="shared" si="448"/>
        <v>1</v>
      </c>
      <c r="S69" s="108">
        <f t="shared" si="449"/>
        <v>1</v>
      </c>
      <c r="T69" s="108">
        <f t="shared" si="450"/>
        <v>1</v>
      </c>
      <c r="U69" s="108">
        <f t="shared" si="451"/>
        <v>1</v>
      </c>
      <c r="V69" s="108">
        <f t="shared" si="452"/>
        <v>1</v>
      </c>
      <c r="W69" s="108">
        <f t="shared" si="453"/>
        <v>1</v>
      </c>
      <c r="X69" s="109">
        <f t="shared" si="454"/>
        <v>711875</v>
      </c>
      <c r="Y69" s="110">
        <f t="shared" si="455"/>
        <v>0</v>
      </c>
      <c r="AA69" s="319">
        <v>7.3</v>
      </c>
      <c r="AB69" s="319" t="s">
        <v>180</v>
      </c>
      <c r="AC69" s="334" t="s">
        <v>319</v>
      </c>
      <c r="AD69" s="321" t="s">
        <v>184</v>
      </c>
      <c r="AE69" s="325">
        <v>85</v>
      </c>
      <c r="AF69" s="323">
        <v>13800</v>
      </c>
      <c r="AG69" s="324">
        <v>1173000</v>
      </c>
      <c r="AH69" s="108">
        <f t="shared" si="819"/>
        <v>1</v>
      </c>
      <c r="AI69" s="108">
        <f t="shared" si="820"/>
        <v>1</v>
      </c>
      <c r="AJ69" s="108">
        <f t="shared" si="821"/>
        <v>1</v>
      </c>
      <c r="AK69" s="108">
        <f t="shared" si="822"/>
        <v>1</v>
      </c>
      <c r="AL69" s="108">
        <f t="shared" si="823"/>
        <v>1</v>
      </c>
      <c r="AM69" s="108">
        <f t="shared" si="824"/>
        <v>1</v>
      </c>
      <c r="AN69" s="108">
        <f t="shared" si="825"/>
        <v>1</v>
      </c>
      <c r="AO69" s="109">
        <f t="shared" si="826"/>
        <v>1173000</v>
      </c>
      <c r="AP69" s="110">
        <f t="shared" si="827"/>
        <v>0</v>
      </c>
      <c r="AR69" s="319">
        <v>7.3</v>
      </c>
      <c r="AS69" s="319" t="s">
        <v>180</v>
      </c>
      <c r="AT69" s="334" t="s">
        <v>319</v>
      </c>
      <c r="AU69" s="321" t="s">
        <v>184</v>
      </c>
      <c r="AV69" s="325">
        <v>85</v>
      </c>
      <c r="AW69" s="323">
        <v>11640</v>
      </c>
      <c r="AX69" s="324">
        <v>989400</v>
      </c>
      <c r="AY69" s="108">
        <f t="shared" si="828"/>
        <v>1</v>
      </c>
      <c r="AZ69" s="108">
        <f t="shared" si="829"/>
        <v>1</v>
      </c>
      <c r="BA69" s="108">
        <f t="shared" si="830"/>
        <v>1</v>
      </c>
      <c r="BB69" s="108">
        <f t="shared" si="831"/>
        <v>1</v>
      </c>
      <c r="BC69" s="108">
        <f t="shared" si="832"/>
        <v>1</v>
      </c>
      <c r="BD69" s="108">
        <f t="shared" si="833"/>
        <v>1</v>
      </c>
      <c r="BE69" s="108">
        <f t="shared" si="834"/>
        <v>1</v>
      </c>
      <c r="BF69" s="109">
        <f t="shared" si="835"/>
        <v>989400</v>
      </c>
      <c r="BG69" s="110">
        <f t="shared" si="836"/>
        <v>0</v>
      </c>
      <c r="BI69" s="319">
        <v>7.3</v>
      </c>
      <c r="BJ69" s="319" t="s">
        <v>180</v>
      </c>
      <c r="BK69" s="334" t="s">
        <v>319</v>
      </c>
      <c r="BL69" s="321" t="s">
        <v>184</v>
      </c>
      <c r="BM69" s="325">
        <v>85</v>
      </c>
      <c r="BN69" s="323">
        <v>5000</v>
      </c>
      <c r="BO69" s="324">
        <f t="shared" si="837"/>
        <v>425000</v>
      </c>
      <c r="BP69" s="108">
        <f t="shared" si="838"/>
        <v>1</v>
      </c>
      <c r="BQ69" s="108">
        <f t="shared" si="839"/>
        <v>1</v>
      </c>
      <c r="BR69" s="108">
        <f t="shared" si="840"/>
        <v>1</v>
      </c>
      <c r="BS69" s="108">
        <f t="shared" si="841"/>
        <v>1</v>
      </c>
      <c r="BT69" s="108">
        <f t="shared" si="842"/>
        <v>1</v>
      </c>
      <c r="BU69" s="108">
        <f t="shared" si="843"/>
        <v>1</v>
      </c>
      <c r="BV69" s="108">
        <f t="shared" si="844"/>
        <v>1</v>
      </c>
      <c r="BW69" s="109">
        <f t="shared" si="845"/>
        <v>425000</v>
      </c>
      <c r="BX69" s="110">
        <f t="shared" si="846"/>
        <v>0</v>
      </c>
      <c r="BZ69" s="319">
        <v>7.3</v>
      </c>
      <c r="CA69" s="319" t="s">
        <v>180</v>
      </c>
      <c r="CB69" s="334" t="s">
        <v>319</v>
      </c>
      <c r="CC69" s="321" t="s">
        <v>184</v>
      </c>
      <c r="CD69" s="325">
        <v>85</v>
      </c>
      <c r="CE69" s="323">
        <v>22000</v>
      </c>
      <c r="CF69" s="324">
        <f t="shared" si="847"/>
        <v>1870000</v>
      </c>
      <c r="CG69" s="108">
        <f t="shared" si="848"/>
        <v>1</v>
      </c>
      <c r="CH69" s="108">
        <f t="shared" si="849"/>
        <v>1</v>
      </c>
      <c r="CI69" s="108">
        <f t="shared" si="850"/>
        <v>1</v>
      </c>
      <c r="CJ69" s="108">
        <f t="shared" si="851"/>
        <v>1</v>
      </c>
      <c r="CK69" s="108">
        <f t="shared" si="852"/>
        <v>1</v>
      </c>
      <c r="CL69" s="108">
        <f t="shared" si="853"/>
        <v>1</v>
      </c>
      <c r="CM69" s="108">
        <f t="shared" si="854"/>
        <v>1</v>
      </c>
      <c r="CN69" s="109">
        <f t="shared" si="855"/>
        <v>1870000</v>
      </c>
      <c r="CO69" s="110">
        <f t="shared" si="856"/>
        <v>0</v>
      </c>
      <c r="CQ69" s="319">
        <v>7.3</v>
      </c>
      <c r="CR69" s="319" t="s">
        <v>180</v>
      </c>
      <c r="CS69" s="334" t="s">
        <v>319</v>
      </c>
      <c r="CT69" s="321" t="s">
        <v>184</v>
      </c>
      <c r="CU69" s="325">
        <v>85</v>
      </c>
      <c r="CV69" s="323">
        <v>26000</v>
      </c>
      <c r="CW69" s="324">
        <f t="shared" si="857"/>
        <v>2210000</v>
      </c>
      <c r="CX69" s="108">
        <f t="shared" si="858"/>
        <v>1</v>
      </c>
      <c r="CY69" s="108">
        <f t="shared" si="859"/>
        <v>1</v>
      </c>
      <c r="CZ69" s="108">
        <f t="shared" si="860"/>
        <v>1</v>
      </c>
      <c r="DA69" s="108">
        <f t="shared" si="861"/>
        <v>1</v>
      </c>
      <c r="DB69" s="108">
        <f t="shared" si="862"/>
        <v>1</v>
      </c>
      <c r="DC69" s="108">
        <f t="shared" si="863"/>
        <v>1</v>
      </c>
      <c r="DD69" s="108">
        <f t="shared" si="864"/>
        <v>1</v>
      </c>
      <c r="DE69" s="109">
        <f t="shared" si="865"/>
        <v>2210000</v>
      </c>
      <c r="DF69" s="110">
        <f t="shared" si="866"/>
        <v>0</v>
      </c>
      <c r="DH69" s="319">
        <v>7.3</v>
      </c>
      <c r="DI69" s="319" t="s">
        <v>180</v>
      </c>
      <c r="DJ69" s="360" t="s">
        <v>319</v>
      </c>
      <c r="DK69" s="321" t="s">
        <v>184</v>
      </c>
      <c r="DL69" s="325">
        <v>85</v>
      </c>
      <c r="DM69" s="323">
        <v>6700</v>
      </c>
      <c r="DN69" s="324">
        <f t="shared" si="867"/>
        <v>569500</v>
      </c>
      <c r="DO69" s="108">
        <f t="shared" si="868"/>
        <v>1</v>
      </c>
      <c r="DP69" s="108">
        <f t="shared" si="869"/>
        <v>1</v>
      </c>
      <c r="DQ69" s="108">
        <f t="shared" si="870"/>
        <v>1</v>
      </c>
      <c r="DR69" s="108">
        <f t="shared" si="871"/>
        <v>1</v>
      </c>
      <c r="DS69" s="108">
        <f t="shared" si="872"/>
        <v>1</v>
      </c>
      <c r="DT69" s="108">
        <f t="shared" si="873"/>
        <v>1</v>
      </c>
      <c r="DU69" s="108">
        <f t="shared" si="874"/>
        <v>1</v>
      </c>
      <c r="DV69" s="109">
        <f t="shared" si="875"/>
        <v>569500</v>
      </c>
      <c r="DW69" s="110">
        <f t="shared" si="876"/>
        <v>0</v>
      </c>
      <c r="DY69" s="319">
        <v>7.3</v>
      </c>
      <c r="DZ69" s="319" t="s">
        <v>180</v>
      </c>
      <c r="EA69" s="360" t="s">
        <v>319</v>
      </c>
      <c r="EB69" s="321" t="s">
        <v>184</v>
      </c>
      <c r="EC69" s="325">
        <v>85</v>
      </c>
      <c r="ED69" s="323">
        <v>5000</v>
      </c>
      <c r="EE69" s="324">
        <f t="shared" si="877"/>
        <v>425000</v>
      </c>
      <c r="EF69" s="108">
        <f t="shared" si="878"/>
        <v>1</v>
      </c>
      <c r="EG69" s="108">
        <f t="shared" si="879"/>
        <v>1</v>
      </c>
      <c r="EH69" s="108">
        <f t="shared" si="880"/>
        <v>1</v>
      </c>
      <c r="EI69" s="108">
        <f t="shared" si="881"/>
        <v>1</v>
      </c>
      <c r="EJ69" s="108">
        <f t="shared" si="882"/>
        <v>1</v>
      </c>
      <c r="EK69" s="108">
        <f t="shared" si="883"/>
        <v>1</v>
      </c>
      <c r="EL69" s="108">
        <f t="shared" si="884"/>
        <v>1</v>
      </c>
      <c r="EM69" s="109">
        <f t="shared" si="885"/>
        <v>425000</v>
      </c>
      <c r="EN69" s="110">
        <f t="shared" si="886"/>
        <v>0</v>
      </c>
      <c r="EP69" s="319">
        <v>7.3</v>
      </c>
      <c r="EQ69" s="319" t="s">
        <v>180</v>
      </c>
      <c r="ER69" s="334" t="s">
        <v>319</v>
      </c>
      <c r="ES69" s="321" t="s">
        <v>184</v>
      </c>
      <c r="ET69" s="325">
        <v>85</v>
      </c>
      <c r="EU69" s="323">
        <v>9100</v>
      </c>
      <c r="EV69" s="324">
        <f t="shared" si="887"/>
        <v>773500</v>
      </c>
      <c r="EW69" s="108">
        <f t="shared" si="888"/>
        <v>1</v>
      </c>
      <c r="EX69" s="108">
        <f t="shared" si="889"/>
        <v>1</v>
      </c>
      <c r="EY69" s="108">
        <f t="shared" si="890"/>
        <v>1</v>
      </c>
      <c r="EZ69" s="108">
        <f t="shared" si="891"/>
        <v>1</v>
      </c>
      <c r="FA69" s="108">
        <f t="shared" si="892"/>
        <v>1</v>
      </c>
      <c r="FB69" s="108">
        <f t="shared" si="893"/>
        <v>1</v>
      </c>
      <c r="FC69" s="108">
        <f t="shared" si="894"/>
        <v>1</v>
      </c>
      <c r="FD69" s="109">
        <f t="shared" si="895"/>
        <v>773500</v>
      </c>
      <c r="FE69" s="110">
        <f t="shared" si="896"/>
        <v>0</v>
      </c>
      <c r="FG69" s="319">
        <v>7.3</v>
      </c>
      <c r="FH69" s="319" t="s">
        <v>180</v>
      </c>
      <c r="FI69" s="360" t="s">
        <v>319</v>
      </c>
      <c r="FJ69" s="321" t="s">
        <v>184</v>
      </c>
      <c r="FK69" s="325">
        <v>85</v>
      </c>
      <c r="FL69" s="323">
        <v>6715</v>
      </c>
      <c r="FM69" s="324">
        <f t="shared" si="897"/>
        <v>570775</v>
      </c>
      <c r="FN69" s="108">
        <f t="shared" si="898"/>
        <v>1</v>
      </c>
      <c r="FO69" s="108">
        <f t="shared" si="899"/>
        <v>1</v>
      </c>
      <c r="FP69" s="108">
        <f t="shared" si="900"/>
        <v>1</v>
      </c>
      <c r="FQ69" s="108">
        <f t="shared" si="901"/>
        <v>1</v>
      </c>
      <c r="FR69" s="108">
        <f t="shared" si="902"/>
        <v>1</v>
      </c>
      <c r="FS69" s="108">
        <f t="shared" si="903"/>
        <v>1</v>
      </c>
      <c r="FT69" s="108">
        <f t="shared" si="904"/>
        <v>1</v>
      </c>
      <c r="FU69" s="109">
        <f t="shared" si="905"/>
        <v>570775</v>
      </c>
      <c r="FV69" s="110">
        <f t="shared" si="906"/>
        <v>0</v>
      </c>
      <c r="FX69" s="319">
        <v>7.3</v>
      </c>
      <c r="FY69" s="319" t="s">
        <v>180</v>
      </c>
      <c r="FZ69" s="334" t="s">
        <v>319</v>
      </c>
      <c r="GA69" s="321" t="s">
        <v>184</v>
      </c>
      <c r="GB69" s="325">
        <v>85</v>
      </c>
      <c r="GC69" s="323">
        <v>20000</v>
      </c>
      <c r="GD69" s="324">
        <f t="shared" si="907"/>
        <v>1700000</v>
      </c>
      <c r="GE69" s="108">
        <f t="shared" si="908"/>
        <v>1</v>
      </c>
      <c r="GF69" s="108">
        <f t="shared" si="909"/>
        <v>1</v>
      </c>
      <c r="GG69" s="108">
        <f t="shared" si="910"/>
        <v>1</v>
      </c>
      <c r="GH69" s="108">
        <f t="shared" si="911"/>
        <v>1</v>
      </c>
      <c r="GI69" s="108">
        <f t="shared" si="912"/>
        <v>1</v>
      </c>
      <c r="GJ69" s="108">
        <f t="shared" si="913"/>
        <v>1</v>
      </c>
      <c r="GK69" s="108">
        <f t="shared" si="914"/>
        <v>1</v>
      </c>
      <c r="GL69" s="109">
        <f t="shared" si="915"/>
        <v>1700000</v>
      </c>
      <c r="GM69" s="110">
        <f t="shared" si="916"/>
        <v>0</v>
      </c>
      <c r="GO69" s="319">
        <v>7.3</v>
      </c>
      <c r="GP69" s="319" t="s">
        <v>180</v>
      </c>
      <c r="GQ69" s="334" t="s">
        <v>319</v>
      </c>
      <c r="GR69" s="321" t="s">
        <v>184</v>
      </c>
      <c r="GS69" s="325">
        <v>85</v>
      </c>
      <c r="GT69" s="323">
        <v>16000</v>
      </c>
      <c r="GU69" s="324">
        <v>1360000</v>
      </c>
      <c r="GV69" s="108">
        <f t="shared" si="917"/>
        <v>1</v>
      </c>
      <c r="GW69" s="108">
        <f t="shared" si="918"/>
        <v>1</v>
      </c>
      <c r="GX69" s="108">
        <f t="shared" si="919"/>
        <v>1</v>
      </c>
      <c r="GY69" s="108">
        <f t="shared" si="920"/>
        <v>1</v>
      </c>
      <c r="GZ69" s="108">
        <f t="shared" si="921"/>
        <v>1</v>
      </c>
      <c r="HA69" s="108">
        <f t="shared" si="922"/>
        <v>1</v>
      </c>
      <c r="HB69" s="108">
        <f t="shared" si="923"/>
        <v>1</v>
      </c>
      <c r="HC69" s="109">
        <f t="shared" si="924"/>
        <v>1360000</v>
      </c>
      <c r="HD69" s="110">
        <f t="shared" si="925"/>
        <v>0</v>
      </c>
      <c r="HF69" s="319">
        <v>7.3</v>
      </c>
      <c r="HG69" s="319" t="s">
        <v>180</v>
      </c>
      <c r="HH69" s="334" t="s">
        <v>319</v>
      </c>
      <c r="HI69" s="321" t="s">
        <v>184</v>
      </c>
      <c r="HJ69" s="325">
        <v>85</v>
      </c>
      <c r="HK69" s="323">
        <v>6500</v>
      </c>
      <c r="HL69" s="324">
        <f t="shared" si="926"/>
        <v>552500</v>
      </c>
      <c r="HM69" s="108">
        <f t="shared" si="927"/>
        <v>1</v>
      </c>
      <c r="HN69" s="108">
        <f t="shared" si="928"/>
        <v>1</v>
      </c>
      <c r="HO69" s="108">
        <f t="shared" si="929"/>
        <v>1</v>
      </c>
      <c r="HP69" s="108">
        <f t="shared" si="930"/>
        <v>1</v>
      </c>
      <c r="HQ69" s="108">
        <f t="shared" si="931"/>
        <v>1</v>
      </c>
      <c r="HR69" s="108">
        <f t="shared" si="932"/>
        <v>1</v>
      </c>
      <c r="HS69" s="108">
        <f t="shared" si="933"/>
        <v>1</v>
      </c>
      <c r="HT69" s="109">
        <f t="shared" si="934"/>
        <v>552500</v>
      </c>
      <c r="HU69" s="110">
        <f t="shared" si="935"/>
        <v>0</v>
      </c>
      <c r="HW69" s="319">
        <v>7.3</v>
      </c>
      <c r="HX69" s="319" t="s">
        <v>180</v>
      </c>
      <c r="HY69" s="334" t="s">
        <v>319</v>
      </c>
      <c r="HZ69" s="321" t="s">
        <v>184</v>
      </c>
      <c r="IA69" s="325">
        <v>85</v>
      </c>
      <c r="IB69" s="323">
        <v>15000</v>
      </c>
      <c r="IC69" s="324">
        <f t="shared" si="936"/>
        <v>1275000</v>
      </c>
      <c r="ID69" s="108">
        <f t="shared" si="937"/>
        <v>1</v>
      </c>
      <c r="IE69" s="108">
        <f t="shared" si="938"/>
        <v>1</v>
      </c>
      <c r="IF69" s="108">
        <f t="shared" si="939"/>
        <v>1</v>
      </c>
      <c r="IG69" s="108">
        <f t="shared" si="940"/>
        <v>1</v>
      </c>
      <c r="IH69" s="108">
        <f t="shared" si="941"/>
        <v>1</v>
      </c>
      <c r="II69" s="108">
        <f t="shared" si="942"/>
        <v>1</v>
      </c>
      <c r="IJ69" s="108">
        <f t="shared" si="943"/>
        <v>1</v>
      </c>
      <c r="IK69" s="109">
        <f t="shared" si="944"/>
        <v>1275000</v>
      </c>
      <c r="IL69" s="110">
        <f t="shared" si="945"/>
        <v>0</v>
      </c>
    </row>
    <row r="70" spans="1:246" s="213" customFormat="1" ht="127.5" customHeight="1" x14ac:dyDescent="0.25">
      <c r="A70" s="211"/>
      <c r="B70" s="326">
        <v>7.4</v>
      </c>
      <c r="C70" s="319" t="s">
        <v>180</v>
      </c>
      <c r="D70" s="334" t="s">
        <v>320</v>
      </c>
      <c r="E70" s="327" t="s">
        <v>259</v>
      </c>
      <c r="F70" s="322">
        <v>85</v>
      </c>
      <c r="G70" s="323">
        <v>0</v>
      </c>
      <c r="H70" s="328">
        <f>G70*F70</f>
        <v>0</v>
      </c>
      <c r="J70" s="326">
        <v>7.4</v>
      </c>
      <c r="K70" s="319" t="s">
        <v>180</v>
      </c>
      <c r="L70" s="334" t="s">
        <v>320</v>
      </c>
      <c r="M70" s="327" t="s">
        <v>184</v>
      </c>
      <c r="N70" s="322">
        <v>85</v>
      </c>
      <c r="O70" s="323">
        <v>4126</v>
      </c>
      <c r="P70" s="328">
        <v>350710</v>
      </c>
      <c r="Q70" s="108">
        <f t="shared" si="447"/>
        <v>1</v>
      </c>
      <c r="R70" s="108">
        <f t="shared" si="448"/>
        <v>1</v>
      </c>
      <c r="S70" s="108">
        <f t="shared" si="449"/>
        <v>1</v>
      </c>
      <c r="T70" s="108">
        <f t="shared" si="450"/>
        <v>1</v>
      </c>
      <c r="U70" s="108">
        <f t="shared" si="451"/>
        <v>1</v>
      </c>
      <c r="V70" s="108">
        <f t="shared" si="452"/>
        <v>1</v>
      </c>
      <c r="W70" s="108">
        <f t="shared" si="453"/>
        <v>1</v>
      </c>
      <c r="X70" s="109">
        <f t="shared" si="454"/>
        <v>350710</v>
      </c>
      <c r="Y70" s="110">
        <f t="shared" si="455"/>
        <v>0</v>
      </c>
      <c r="AA70" s="326">
        <v>7.4</v>
      </c>
      <c r="AB70" s="319" t="s">
        <v>180</v>
      </c>
      <c r="AC70" s="334" t="s">
        <v>320</v>
      </c>
      <c r="AD70" s="327" t="s">
        <v>184</v>
      </c>
      <c r="AE70" s="322">
        <v>85</v>
      </c>
      <c r="AF70" s="323">
        <v>13699.5</v>
      </c>
      <c r="AG70" s="328">
        <v>1164457.5</v>
      </c>
      <c r="AH70" s="108">
        <f t="shared" si="819"/>
        <v>1</v>
      </c>
      <c r="AI70" s="108">
        <f t="shared" si="820"/>
        <v>1</v>
      </c>
      <c r="AJ70" s="108">
        <f t="shared" si="821"/>
        <v>1</v>
      </c>
      <c r="AK70" s="108">
        <f t="shared" si="822"/>
        <v>1</v>
      </c>
      <c r="AL70" s="108">
        <f t="shared" si="823"/>
        <v>1</v>
      </c>
      <c r="AM70" s="108">
        <f t="shared" si="824"/>
        <v>1</v>
      </c>
      <c r="AN70" s="108">
        <f t="shared" si="825"/>
        <v>1</v>
      </c>
      <c r="AO70" s="109">
        <f t="shared" si="826"/>
        <v>1164458</v>
      </c>
      <c r="AP70" s="110">
        <f t="shared" si="827"/>
        <v>-0.5</v>
      </c>
      <c r="AR70" s="326">
        <v>7.4</v>
      </c>
      <c r="AS70" s="319" t="s">
        <v>180</v>
      </c>
      <c r="AT70" s="334" t="s">
        <v>320</v>
      </c>
      <c r="AU70" s="327" t="s">
        <v>184</v>
      </c>
      <c r="AV70" s="322">
        <v>85</v>
      </c>
      <c r="AW70" s="323">
        <v>5820</v>
      </c>
      <c r="AX70" s="328">
        <v>494700</v>
      </c>
      <c r="AY70" s="108">
        <f t="shared" si="828"/>
        <v>1</v>
      </c>
      <c r="AZ70" s="108">
        <f t="shared" si="829"/>
        <v>1</v>
      </c>
      <c r="BA70" s="108">
        <f t="shared" si="830"/>
        <v>1</v>
      </c>
      <c r="BB70" s="108">
        <f t="shared" si="831"/>
        <v>1</v>
      </c>
      <c r="BC70" s="108">
        <f t="shared" si="832"/>
        <v>1</v>
      </c>
      <c r="BD70" s="108">
        <f t="shared" si="833"/>
        <v>1</v>
      </c>
      <c r="BE70" s="108">
        <f t="shared" si="834"/>
        <v>1</v>
      </c>
      <c r="BF70" s="109">
        <f t="shared" si="835"/>
        <v>494700</v>
      </c>
      <c r="BG70" s="110">
        <f t="shared" si="836"/>
        <v>0</v>
      </c>
      <c r="BI70" s="326">
        <v>7.4</v>
      </c>
      <c r="BJ70" s="319" t="s">
        <v>180</v>
      </c>
      <c r="BK70" s="334" t="s">
        <v>320</v>
      </c>
      <c r="BL70" s="327" t="s">
        <v>259</v>
      </c>
      <c r="BM70" s="322">
        <v>85</v>
      </c>
      <c r="BN70" s="323">
        <v>5000</v>
      </c>
      <c r="BO70" s="328">
        <f>BN70*BM70</f>
        <v>425000</v>
      </c>
      <c r="BP70" s="108">
        <f t="shared" si="838"/>
        <v>1</v>
      </c>
      <c r="BQ70" s="108">
        <f t="shared" si="839"/>
        <v>1</v>
      </c>
      <c r="BR70" s="108">
        <f t="shared" si="840"/>
        <v>1</v>
      </c>
      <c r="BS70" s="108">
        <f t="shared" si="841"/>
        <v>1</v>
      </c>
      <c r="BT70" s="108">
        <f t="shared" si="842"/>
        <v>1</v>
      </c>
      <c r="BU70" s="108">
        <f t="shared" si="843"/>
        <v>1</v>
      </c>
      <c r="BV70" s="108">
        <f t="shared" si="844"/>
        <v>1</v>
      </c>
      <c r="BW70" s="109">
        <f t="shared" si="845"/>
        <v>425000</v>
      </c>
      <c r="BX70" s="110">
        <f t="shared" si="846"/>
        <v>0</v>
      </c>
      <c r="BZ70" s="326">
        <v>7.4</v>
      </c>
      <c r="CA70" s="319" t="s">
        <v>180</v>
      </c>
      <c r="CB70" s="334" t="s">
        <v>320</v>
      </c>
      <c r="CC70" s="327" t="s">
        <v>259</v>
      </c>
      <c r="CD70" s="322">
        <v>85</v>
      </c>
      <c r="CE70" s="323">
        <v>8000</v>
      </c>
      <c r="CF70" s="328">
        <f>CE70*CD70</f>
        <v>680000</v>
      </c>
      <c r="CG70" s="108">
        <f t="shared" si="848"/>
        <v>1</v>
      </c>
      <c r="CH70" s="108">
        <f t="shared" si="849"/>
        <v>1</v>
      </c>
      <c r="CI70" s="108">
        <f t="shared" si="850"/>
        <v>1</v>
      </c>
      <c r="CJ70" s="108">
        <f t="shared" si="851"/>
        <v>1</v>
      </c>
      <c r="CK70" s="108">
        <f t="shared" si="852"/>
        <v>1</v>
      </c>
      <c r="CL70" s="108">
        <f t="shared" si="853"/>
        <v>1</v>
      </c>
      <c r="CM70" s="108">
        <f t="shared" si="854"/>
        <v>1</v>
      </c>
      <c r="CN70" s="109">
        <f t="shared" si="855"/>
        <v>680000</v>
      </c>
      <c r="CO70" s="110">
        <f t="shared" si="856"/>
        <v>0</v>
      </c>
      <c r="CQ70" s="326">
        <v>7.4</v>
      </c>
      <c r="CR70" s="319" t="s">
        <v>180</v>
      </c>
      <c r="CS70" s="334" t="s">
        <v>320</v>
      </c>
      <c r="CT70" s="327" t="s">
        <v>259</v>
      </c>
      <c r="CU70" s="322">
        <v>85</v>
      </c>
      <c r="CV70" s="323">
        <v>5500</v>
      </c>
      <c r="CW70" s="328">
        <f>CV70*CU70</f>
        <v>467500</v>
      </c>
      <c r="CX70" s="108">
        <f t="shared" si="858"/>
        <v>1</v>
      </c>
      <c r="CY70" s="108">
        <f t="shared" si="859"/>
        <v>1</v>
      </c>
      <c r="CZ70" s="108">
        <f t="shared" si="860"/>
        <v>1</v>
      </c>
      <c r="DA70" s="108">
        <f t="shared" si="861"/>
        <v>1</v>
      </c>
      <c r="DB70" s="108">
        <f t="shared" si="862"/>
        <v>1</v>
      </c>
      <c r="DC70" s="108">
        <f t="shared" si="863"/>
        <v>1</v>
      </c>
      <c r="DD70" s="108">
        <f t="shared" si="864"/>
        <v>1</v>
      </c>
      <c r="DE70" s="109">
        <f t="shared" si="865"/>
        <v>467500</v>
      </c>
      <c r="DF70" s="110">
        <f t="shared" si="866"/>
        <v>0</v>
      </c>
      <c r="DH70" s="326">
        <v>7.4</v>
      </c>
      <c r="DI70" s="319" t="s">
        <v>180</v>
      </c>
      <c r="DJ70" s="360" t="s">
        <v>320</v>
      </c>
      <c r="DK70" s="327" t="s">
        <v>259</v>
      </c>
      <c r="DL70" s="322">
        <v>85</v>
      </c>
      <c r="DM70" s="323">
        <v>6766</v>
      </c>
      <c r="DN70" s="328">
        <f>DM70*DL70</f>
        <v>575110</v>
      </c>
      <c r="DO70" s="108">
        <f t="shared" si="868"/>
        <v>1</v>
      </c>
      <c r="DP70" s="108">
        <f t="shared" si="869"/>
        <v>1</v>
      </c>
      <c r="DQ70" s="108">
        <f t="shared" si="870"/>
        <v>1</v>
      </c>
      <c r="DR70" s="108">
        <f t="shared" si="871"/>
        <v>1</v>
      </c>
      <c r="DS70" s="108">
        <f t="shared" si="872"/>
        <v>1</v>
      </c>
      <c r="DT70" s="108">
        <f t="shared" si="873"/>
        <v>1</v>
      </c>
      <c r="DU70" s="108">
        <f t="shared" si="874"/>
        <v>1</v>
      </c>
      <c r="DV70" s="109">
        <f t="shared" si="875"/>
        <v>575110</v>
      </c>
      <c r="DW70" s="110">
        <f t="shared" si="876"/>
        <v>0</v>
      </c>
      <c r="DY70" s="326">
        <v>7.4</v>
      </c>
      <c r="DZ70" s="319" t="s">
        <v>180</v>
      </c>
      <c r="EA70" s="360" t="s">
        <v>320</v>
      </c>
      <c r="EB70" s="327" t="s">
        <v>259</v>
      </c>
      <c r="EC70" s="322">
        <v>85</v>
      </c>
      <c r="ED70" s="323">
        <v>5000</v>
      </c>
      <c r="EE70" s="328">
        <f>ED70*EC70</f>
        <v>425000</v>
      </c>
      <c r="EF70" s="108">
        <f t="shared" si="878"/>
        <v>1</v>
      </c>
      <c r="EG70" s="108">
        <f t="shared" si="879"/>
        <v>1</v>
      </c>
      <c r="EH70" s="108">
        <f t="shared" si="880"/>
        <v>1</v>
      </c>
      <c r="EI70" s="108">
        <f t="shared" si="881"/>
        <v>1</v>
      </c>
      <c r="EJ70" s="108">
        <f t="shared" si="882"/>
        <v>1</v>
      </c>
      <c r="EK70" s="108">
        <f t="shared" si="883"/>
        <v>1</v>
      </c>
      <c r="EL70" s="108">
        <f t="shared" si="884"/>
        <v>1</v>
      </c>
      <c r="EM70" s="109">
        <f t="shared" si="885"/>
        <v>425000</v>
      </c>
      <c r="EN70" s="110">
        <f t="shared" si="886"/>
        <v>0</v>
      </c>
      <c r="EP70" s="326">
        <v>7.4</v>
      </c>
      <c r="EQ70" s="319" t="s">
        <v>180</v>
      </c>
      <c r="ER70" s="334" t="s">
        <v>320</v>
      </c>
      <c r="ES70" s="327" t="s">
        <v>259</v>
      </c>
      <c r="ET70" s="322">
        <v>85</v>
      </c>
      <c r="EU70" s="323">
        <v>10000</v>
      </c>
      <c r="EV70" s="328">
        <f>EU70*ET70</f>
        <v>850000</v>
      </c>
      <c r="EW70" s="108">
        <f t="shared" si="888"/>
        <v>1</v>
      </c>
      <c r="EX70" s="108">
        <f t="shared" si="889"/>
        <v>1</v>
      </c>
      <c r="EY70" s="108">
        <f t="shared" si="890"/>
        <v>1</v>
      </c>
      <c r="EZ70" s="108">
        <f t="shared" si="891"/>
        <v>1</v>
      </c>
      <c r="FA70" s="108">
        <f t="shared" si="892"/>
        <v>1</v>
      </c>
      <c r="FB70" s="108">
        <f t="shared" si="893"/>
        <v>1</v>
      </c>
      <c r="FC70" s="108">
        <f t="shared" si="894"/>
        <v>1</v>
      </c>
      <c r="FD70" s="109">
        <f t="shared" si="895"/>
        <v>850000</v>
      </c>
      <c r="FE70" s="110">
        <f t="shared" si="896"/>
        <v>0</v>
      </c>
      <c r="FG70" s="326">
        <v>7.4</v>
      </c>
      <c r="FH70" s="319" t="s">
        <v>180</v>
      </c>
      <c r="FI70" s="360" t="s">
        <v>320</v>
      </c>
      <c r="FJ70" s="327" t="s">
        <v>259</v>
      </c>
      <c r="FK70" s="322">
        <v>85</v>
      </c>
      <c r="FL70" s="323">
        <v>6772</v>
      </c>
      <c r="FM70" s="328">
        <f>FL70*FK70</f>
        <v>575620</v>
      </c>
      <c r="FN70" s="108">
        <f t="shared" si="898"/>
        <v>1</v>
      </c>
      <c r="FO70" s="108">
        <f t="shared" si="899"/>
        <v>1</v>
      </c>
      <c r="FP70" s="108">
        <f t="shared" si="900"/>
        <v>1</v>
      </c>
      <c r="FQ70" s="108">
        <f t="shared" si="901"/>
        <v>1</v>
      </c>
      <c r="FR70" s="108">
        <f t="shared" si="902"/>
        <v>1</v>
      </c>
      <c r="FS70" s="108">
        <f t="shared" si="903"/>
        <v>1</v>
      </c>
      <c r="FT70" s="108">
        <f t="shared" si="904"/>
        <v>1</v>
      </c>
      <c r="FU70" s="109">
        <f t="shared" si="905"/>
        <v>575620</v>
      </c>
      <c r="FV70" s="110">
        <f t="shared" si="906"/>
        <v>0</v>
      </c>
      <c r="FX70" s="326">
        <v>7.4</v>
      </c>
      <c r="FY70" s="319" t="s">
        <v>180</v>
      </c>
      <c r="FZ70" s="334" t="s">
        <v>320</v>
      </c>
      <c r="GA70" s="327" t="s">
        <v>259</v>
      </c>
      <c r="GB70" s="322">
        <v>85</v>
      </c>
      <c r="GC70" s="323">
        <v>10000</v>
      </c>
      <c r="GD70" s="328">
        <f>GC70*GB70</f>
        <v>850000</v>
      </c>
      <c r="GE70" s="108">
        <f t="shared" si="908"/>
        <v>1</v>
      </c>
      <c r="GF70" s="108">
        <f t="shared" si="909"/>
        <v>1</v>
      </c>
      <c r="GG70" s="108">
        <f t="shared" si="910"/>
        <v>1</v>
      </c>
      <c r="GH70" s="108">
        <f t="shared" si="911"/>
        <v>1</v>
      </c>
      <c r="GI70" s="108">
        <f t="shared" si="912"/>
        <v>1</v>
      </c>
      <c r="GJ70" s="108">
        <f t="shared" si="913"/>
        <v>1</v>
      </c>
      <c r="GK70" s="108">
        <f t="shared" si="914"/>
        <v>1</v>
      </c>
      <c r="GL70" s="109">
        <f t="shared" si="915"/>
        <v>850000</v>
      </c>
      <c r="GM70" s="110">
        <f t="shared" si="916"/>
        <v>0</v>
      </c>
      <c r="GO70" s="326">
        <v>7.4</v>
      </c>
      <c r="GP70" s="319" t="s">
        <v>180</v>
      </c>
      <c r="GQ70" s="334" t="s">
        <v>320</v>
      </c>
      <c r="GR70" s="327" t="s">
        <v>184</v>
      </c>
      <c r="GS70" s="322">
        <v>85</v>
      </c>
      <c r="GT70" s="323">
        <v>18000</v>
      </c>
      <c r="GU70" s="328">
        <v>1530000</v>
      </c>
      <c r="GV70" s="108">
        <f t="shared" si="917"/>
        <v>1</v>
      </c>
      <c r="GW70" s="108">
        <f t="shared" si="918"/>
        <v>1</v>
      </c>
      <c r="GX70" s="108">
        <f t="shared" si="919"/>
        <v>1</v>
      </c>
      <c r="GY70" s="108">
        <f t="shared" si="920"/>
        <v>1</v>
      </c>
      <c r="GZ70" s="108">
        <f t="shared" si="921"/>
        <v>1</v>
      </c>
      <c r="HA70" s="108">
        <f t="shared" si="922"/>
        <v>1</v>
      </c>
      <c r="HB70" s="108">
        <f t="shared" si="923"/>
        <v>1</v>
      </c>
      <c r="HC70" s="109">
        <f t="shared" si="924"/>
        <v>1530000</v>
      </c>
      <c r="HD70" s="110">
        <f t="shared" si="925"/>
        <v>0</v>
      </c>
      <c r="HF70" s="326">
        <v>7.4</v>
      </c>
      <c r="HG70" s="319" t="s">
        <v>180</v>
      </c>
      <c r="HH70" s="334" t="s">
        <v>320</v>
      </c>
      <c r="HI70" s="327" t="s">
        <v>259</v>
      </c>
      <c r="HJ70" s="322">
        <v>85</v>
      </c>
      <c r="HK70" s="323">
        <v>3000</v>
      </c>
      <c r="HL70" s="328">
        <f>HK70*HJ70</f>
        <v>255000</v>
      </c>
      <c r="HM70" s="108">
        <f t="shared" si="927"/>
        <v>1</v>
      </c>
      <c r="HN70" s="108">
        <f t="shared" si="928"/>
        <v>1</v>
      </c>
      <c r="HO70" s="108">
        <f t="shared" si="929"/>
        <v>1</v>
      </c>
      <c r="HP70" s="108">
        <f t="shared" si="930"/>
        <v>1</v>
      </c>
      <c r="HQ70" s="108">
        <f t="shared" si="931"/>
        <v>1</v>
      </c>
      <c r="HR70" s="108">
        <f t="shared" si="932"/>
        <v>1</v>
      </c>
      <c r="HS70" s="108">
        <f t="shared" si="933"/>
        <v>1</v>
      </c>
      <c r="HT70" s="109">
        <f t="shared" si="934"/>
        <v>255000</v>
      </c>
      <c r="HU70" s="110">
        <f t="shared" si="935"/>
        <v>0</v>
      </c>
      <c r="HW70" s="326">
        <v>7.4</v>
      </c>
      <c r="HX70" s="319" t="s">
        <v>180</v>
      </c>
      <c r="HY70" s="334" t="s">
        <v>320</v>
      </c>
      <c r="HZ70" s="327" t="s">
        <v>259</v>
      </c>
      <c r="IA70" s="322">
        <v>85</v>
      </c>
      <c r="IB70" s="323">
        <v>15000</v>
      </c>
      <c r="IC70" s="328">
        <f>IB70*IA70</f>
        <v>1275000</v>
      </c>
      <c r="ID70" s="108">
        <f t="shared" si="937"/>
        <v>1</v>
      </c>
      <c r="IE70" s="108">
        <f t="shared" si="938"/>
        <v>1</v>
      </c>
      <c r="IF70" s="108">
        <f t="shared" si="939"/>
        <v>1</v>
      </c>
      <c r="IG70" s="108">
        <f t="shared" si="940"/>
        <v>1</v>
      </c>
      <c r="IH70" s="108">
        <f t="shared" si="941"/>
        <v>1</v>
      </c>
      <c r="II70" s="108">
        <f t="shared" si="942"/>
        <v>1</v>
      </c>
      <c r="IJ70" s="108">
        <f t="shared" si="943"/>
        <v>1</v>
      </c>
      <c r="IK70" s="109">
        <f t="shared" si="944"/>
        <v>1275000</v>
      </c>
      <c r="IL70" s="110">
        <f t="shared" si="945"/>
        <v>0</v>
      </c>
    </row>
    <row r="71" spans="1:246" s="213" customFormat="1" ht="20.25" x14ac:dyDescent="0.25">
      <c r="A71" s="211"/>
      <c r="B71" s="319">
        <v>7.5</v>
      </c>
      <c r="C71" s="319" t="s">
        <v>178</v>
      </c>
      <c r="D71" s="334" t="s">
        <v>321</v>
      </c>
      <c r="E71" s="321" t="s">
        <v>322</v>
      </c>
      <c r="F71" s="322">
        <v>8.5</v>
      </c>
      <c r="G71" s="323">
        <v>0</v>
      </c>
      <c r="H71" s="328">
        <f>G71*F71</f>
        <v>0</v>
      </c>
      <c r="J71" s="319">
        <v>7.5</v>
      </c>
      <c r="K71" s="319" t="s">
        <v>178</v>
      </c>
      <c r="L71" s="334" t="s">
        <v>321</v>
      </c>
      <c r="M71" s="321" t="s">
        <v>322</v>
      </c>
      <c r="N71" s="322">
        <v>8.5</v>
      </c>
      <c r="O71" s="323">
        <v>387441</v>
      </c>
      <c r="P71" s="328">
        <v>3293249</v>
      </c>
      <c r="Q71" s="108">
        <f t="shared" ref="Q71" si="946">IFERROR(IF(EXACT(VLOOKUP(J71,OFERTA_0,1,FALSE),J71),1,0),0)</f>
        <v>1</v>
      </c>
      <c r="R71" s="108">
        <f t="shared" ref="R71" si="947">IFERROR(IF(EXACT(VLOOKUP(J71,OFERTA_0,3,FALSE),L71),1,0),0)</f>
        <v>1</v>
      </c>
      <c r="S71" s="108">
        <f t="shared" ref="S71" si="948">IFERROR(IF(EXACT(VLOOKUP(J71,OFERTA_0,4,FALSE),M71),1,0),0)</f>
        <v>1</v>
      </c>
      <c r="T71" s="108">
        <f t="shared" ref="T71" si="949">IFERROR(IF(EXACT(VLOOKUP(J71,OFERTA_0,5,FALSE),N71),1,0),0)</f>
        <v>1</v>
      </c>
      <c r="U71" s="108">
        <f t="shared" ref="U71" si="950">IFERROR(IF(O71&lt;=0,0,1),0)</f>
        <v>1</v>
      </c>
      <c r="V71" s="108">
        <f t="shared" ref="V71" si="951">IFERROR(IF(P71&lt;=0,0,1),0)</f>
        <v>1</v>
      </c>
      <c r="W71" s="108">
        <f t="shared" ref="W71" si="952">PRODUCT(Q71:V71)</f>
        <v>1</v>
      </c>
      <c r="X71" s="109">
        <f t="shared" ref="X71" si="953">ROUND(P71,0)</f>
        <v>3293249</v>
      </c>
      <c r="Y71" s="110">
        <f t="shared" ref="Y71" si="954">P71-X71</f>
        <v>0</v>
      </c>
      <c r="AA71" s="319">
        <v>7.5</v>
      </c>
      <c r="AB71" s="319" t="s">
        <v>178</v>
      </c>
      <c r="AC71" s="334" t="s">
        <v>321</v>
      </c>
      <c r="AD71" s="321" t="s">
        <v>322</v>
      </c>
      <c r="AE71" s="322">
        <v>8.5</v>
      </c>
      <c r="AF71" s="323">
        <v>285000</v>
      </c>
      <c r="AG71" s="328">
        <v>2422500</v>
      </c>
      <c r="AH71" s="108">
        <f t="shared" si="819"/>
        <v>1</v>
      </c>
      <c r="AI71" s="108">
        <f t="shared" si="820"/>
        <v>1</v>
      </c>
      <c r="AJ71" s="108">
        <f t="shared" si="821"/>
        <v>1</v>
      </c>
      <c r="AK71" s="108">
        <f t="shared" si="822"/>
        <v>1</v>
      </c>
      <c r="AL71" s="108">
        <f t="shared" si="823"/>
        <v>1</v>
      </c>
      <c r="AM71" s="108">
        <f t="shared" si="824"/>
        <v>1</v>
      </c>
      <c r="AN71" s="108">
        <f t="shared" si="825"/>
        <v>1</v>
      </c>
      <c r="AO71" s="109">
        <f t="shared" si="826"/>
        <v>2422500</v>
      </c>
      <c r="AP71" s="110">
        <f t="shared" si="827"/>
        <v>0</v>
      </c>
      <c r="AR71" s="319">
        <v>7.5</v>
      </c>
      <c r="AS71" s="319" t="s">
        <v>178</v>
      </c>
      <c r="AT71" s="334" t="s">
        <v>321</v>
      </c>
      <c r="AU71" s="321" t="s">
        <v>322</v>
      </c>
      <c r="AV71" s="322">
        <v>8.5</v>
      </c>
      <c r="AW71" s="323">
        <v>87300</v>
      </c>
      <c r="AX71" s="328">
        <v>742050</v>
      </c>
      <c r="AY71" s="108">
        <f t="shared" si="828"/>
        <v>1</v>
      </c>
      <c r="AZ71" s="108">
        <f t="shared" si="829"/>
        <v>1</v>
      </c>
      <c r="BA71" s="108">
        <f t="shared" si="830"/>
        <v>1</v>
      </c>
      <c r="BB71" s="108">
        <f t="shared" si="831"/>
        <v>1</v>
      </c>
      <c r="BC71" s="108">
        <f t="shared" si="832"/>
        <v>1</v>
      </c>
      <c r="BD71" s="108">
        <f t="shared" si="833"/>
        <v>1</v>
      </c>
      <c r="BE71" s="108">
        <f t="shared" si="834"/>
        <v>1</v>
      </c>
      <c r="BF71" s="109">
        <f t="shared" si="835"/>
        <v>742050</v>
      </c>
      <c r="BG71" s="110">
        <f t="shared" si="836"/>
        <v>0</v>
      </c>
      <c r="BI71" s="319">
        <v>7.5</v>
      </c>
      <c r="BJ71" s="319" t="s">
        <v>178</v>
      </c>
      <c r="BK71" s="334" t="s">
        <v>321</v>
      </c>
      <c r="BL71" s="321" t="s">
        <v>322</v>
      </c>
      <c r="BM71" s="322">
        <v>8.5</v>
      </c>
      <c r="BN71" s="323">
        <v>98000</v>
      </c>
      <c r="BO71" s="328">
        <f>BN71*BM71</f>
        <v>833000</v>
      </c>
      <c r="BP71" s="108">
        <f t="shared" si="838"/>
        <v>1</v>
      </c>
      <c r="BQ71" s="108">
        <f t="shared" si="839"/>
        <v>1</v>
      </c>
      <c r="BR71" s="108">
        <f t="shared" si="840"/>
        <v>1</v>
      </c>
      <c r="BS71" s="108">
        <f t="shared" si="841"/>
        <v>1</v>
      </c>
      <c r="BT71" s="108">
        <f t="shared" si="842"/>
        <v>1</v>
      </c>
      <c r="BU71" s="108">
        <f t="shared" si="843"/>
        <v>1</v>
      </c>
      <c r="BV71" s="108">
        <f t="shared" si="844"/>
        <v>1</v>
      </c>
      <c r="BW71" s="109">
        <f t="shared" si="845"/>
        <v>833000</v>
      </c>
      <c r="BX71" s="110">
        <f t="shared" si="846"/>
        <v>0</v>
      </c>
      <c r="BZ71" s="319">
        <v>7.5</v>
      </c>
      <c r="CA71" s="319" t="s">
        <v>178</v>
      </c>
      <c r="CB71" s="334" t="s">
        <v>321</v>
      </c>
      <c r="CC71" s="321" t="s">
        <v>322</v>
      </c>
      <c r="CD71" s="322">
        <v>8.5</v>
      </c>
      <c r="CE71" s="323">
        <v>120000</v>
      </c>
      <c r="CF71" s="328">
        <f>CE71*CD71</f>
        <v>1020000</v>
      </c>
      <c r="CG71" s="108">
        <f t="shared" si="848"/>
        <v>1</v>
      </c>
      <c r="CH71" s="108">
        <f t="shared" si="849"/>
        <v>1</v>
      </c>
      <c r="CI71" s="108">
        <f t="shared" si="850"/>
        <v>1</v>
      </c>
      <c r="CJ71" s="108">
        <f t="shared" si="851"/>
        <v>1</v>
      </c>
      <c r="CK71" s="108">
        <f t="shared" si="852"/>
        <v>1</v>
      </c>
      <c r="CL71" s="108">
        <f t="shared" si="853"/>
        <v>1</v>
      </c>
      <c r="CM71" s="108">
        <f t="shared" si="854"/>
        <v>1</v>
      </c>
      <c r="CN71" s="109">
        <f t="shared" si="855"/>
        <v>1020000</v>
      </c>
      <c r="CO71" s="110">
        <f t="shared" si="856"/>
        <v>0</v>
      </c>
      <c r="CQ71" s="319">
        <v>7.5</v>
      </c>
      <c r="CR71" s="319" t="s">
        <v>178</v>
      </c>
      <c r="CS71" s="334" t="s">
        <v>321</v>
      </c>
      <c r="CT71" s="321" t="s">
        <v>322</v>
      </c>
      <c r="CU71" s="322">
        <v>8.5</v>
      </c>
      <c r="CV71" s="323">
        <v>75000</v>
      </c>
      <c r="CW71" s="328">
        <f>CV71*CU71</f>
        <v>637500</v>
      </c>
      <c r="CX71" s="108">
        <f t="shared" si="858"/>
        <v>1</v>
      </c>
      <c r="CY71" s="108">
        <f t="shared" si="859"/>
        <v>1</v>
      </c>
      <c r="CZ71" s="108">
        <f t="shared" si="860"/>
        <v>1</v>
      </c>
      <c r="DA71" s="108">
        <f t="shared" si="861"/>
        <v>1</v>
      </c>
      <c r="DB71" s="108">
        <f t="shared" si="862"/>
        <v>1</v>
      </c>
      <c r="DC71" s="108">
        <f t="shared" si="863"/>
        <v>1</v>
      </c>
      <c r="DD71" s="108">
        <f t="shared" si="864"/>
        <v>1</v>
      </c>
      <c r="DE71" s="109">
        <f t="shared" si="865"/>
        <v>637500</v>
      </c>
      <c r="DF71" s="110">
        <f t="shared" si="866"/>
        <v>0</v>
      </c>
      <c r="DH71" s="319">
        <v>7.5</v>
      </c>
      <c r="DI71" s="319" t="s">
        <v>178</v>
      </c>
      <c r="DJ71" s="360" t="s">
        <v>321</v>
      </c>
      <c r="DK71" s="321" t="s">
        <v>322</v>
      </c>
      <c r="DL71" s="322">
        <v>8.5</v>
      </c>
      <c r="DM71" s="323">
        <v>57219</v>
      </c>
      <c r="DN71" s="328">
        <f>DM71*DL71</f>
        <v>486361.5</v>
      </c>
      <c r="DO71" s="108">
        <f t="shared" si="868"/>
        <v>1</v>
      </c>
      <c r="DP71" s="108">
        <f t="shared" si="869"/>
        <v>1</v>
      </c>
      <c r="DQ71" s="108">
        <f t="shared" si="870"/>
        <v>1</v>
      </c>
      <c r="DR71" s="108">
        <f t="shared" si="871"/>
        <v>1</v>
      </c>
      <c r="DS71" s="108">
        <f t="shared" si="872"/>
        <v>1</v>
      </c>
      <c r="DT71" s="108">
        <f t="shared" si="873"/>
        <v>1</v>
      </c>
      <c r="DU71" s="108">
        <f t="shared" si="874"/>
        <v>1</v>
      </c>
      <c r="DV71" s="109">
        <f t="shared" si="875"/>
        <v>486362</v>
      </c>
      <c r="DW71" s="110">
        <f t="shared" si="876"/>
        <v>-0.5</v>
      </c>
      <c r="DY71" s="319">
        <v>7.5</v>
      </c>
      <c r="DZ71" s="319" t="s">
        <v>178</v>
      </c>
      <c r="EA71" s="360" t="s">
        <v>321</v>
      </c>
      <c r="EB71" s="321" t="s">
        <v>322</v>
      </c>
      <c r="EC71" s="322">
        <v>8.5</v>
      </c>
      <c r="ED71" s="323">
        <v>80000</v>
      </c>
      <c r="EE71" s="328">
        <f>ED71*EC71</f>
        <v>680000</v>
      </c>
      <c r="EF71" s="108">
        <f t="shared" si="878"/>
        <v>1</v>
      </c>
      <c r="EG71" s="108">
        <f t="shared" si="879"/>
        <v>1</v>
      </c>
      <c r="EH71" s="108">
        <f t="shared" si="880"/>
        <v>1</v>
      </c>
      <c r="EI71" s="108">
        <f t="shared" si="881"/>
        <v>1</v>
      </c>
      <c r="EJ71" s="108">
        <f t="shared" si="882"/>
        <v>1</v>
      </c>
      <c r="EK71" s="108">
        <f t="shared" si="883"/>
        <v>1</v>
      </c>
      <c r="EL71" s="108">
        <f t="shared" si="884"/>
        <v>1</v>
      </c>
      <c r="EM71" s="109">
        <f t="shared" si="885"/>
        <v>680000</v>
      </c>
      <c r="EN71" s="110">
        <f t="shared" si="886"/>
        <v>0</v>
      </c>
      <c r="EP71" s="319">
        <v>7.5</v>
      </c>
      <c r="EQ71" s="319" t="s">
        <v>178</v>
      </c>
      <c r="ER71" s="334" t="s">
        <v>321</v>
      </c>
      <c r="ES71" s="321" t="s">
        <v>322</v>
      </c>
      <c r="ET71" s="322">
        <v>8.5</v>
      </c>
      <c r="EU71" s="323">
        <v>152000</v>
      </c>
      <c r="EV71" s="328">
        <f>EU71*ET71</f>
        <v>1292000</v>
      </c>
      <c r="EW71" s="108">
        <f t="shared" si="888"/>
        <v>1</v>
      </c>
      <c r="EX71" s="108">
        <f t="shared" si="889"/>
        <v>1</v>
      </c>
      <c r="EY71" s="108">
        <f t="shared" si="890"/>
        <v>1</v>
      </c>
      <c r="EZ71" s="108">
        <f t="shared" si="891"/>
        <v>1</v>
      </c>
      <c r="FA71" s="108">
        <f t="shared" si="892"/>
        <v>1</v>
      </c>
      <c r="FB71" s="108">
        <f t="shared" si="893"/>
        <v>1</v>
      </c>
      <c r="FC71" s="108">
        <f t="shared" si="894"/>
        <v>1</v>
      </c>
      <c r="FD71" s="109">
        <f t="shared" si="895"/>
        <v>1292000</v>
      </c>
      <c r="FE71" s="110">
        <f t="shared" si="896"/>
        <v>0</v>
      </c>
      <c r="FG71" s="319">
        <v>7.5</v>
      </c>
      <c r="FH71" s="319" t="s">
        <v>178</v>
      </c>
      <c r="FI71" s="360" t="s">
        <v>321</v>
      </c>
      <c r="FJ71" s="321" t="s">
        <v>322</v>
      </c>
      <c r="FK71" s="322">
        <v>8.5</v>
      </c>
      <c r="FL71" s="323">
        <v>57223</v>
      </c>
      <c r="FM71" s="328">
        <f>FL71*FK71</f>
        <v>486395.5</v>
      </c>
      <c r="FN71" s="108">
        <f t="shared" si="898"/>
        <v>1</v>
      </c>
      <c r="FO71" s="108">
        <f t="shared" si="899"/>
        <v>1</v>
      </c>
      <c r="FP71" s="108">
        <f t="shared" si="900"/>
        <v>1</v>
      </c>
      <c r="FQ71" s="108">
        <f t="shared" si="901"/>
        <v>1</v>
      </c>
      <c r="FR71" s="108">
        <f t="shared" si="902"/>
        <v>1</v>
      </c>
      <c r="FS71" s="108">
        <f t="shared" si="903"/>
        <v>1</v>
      </c>
      <c r="FT71" s="108">
        <f t="shared" si="904"/>
        <v>1</v>
      </c>
      <c r="FU71" s="109">
        <f t="shared" si="905"/>
        <v>486396</v>
      </c>
      <c r="FV71" s="110">
        <f t="shared" si="906"/>
        <v>-0.5</v>
      </c>
      <c r="FX71" s="319">
        <v>7.5</v>
      </c>
      <c r="FY71" s="319" t="s">
        <v>178</v>
      </c>
      <c r="FZ71" s="334" t="s">
        <v>321</v>
      </c>
      <c r="GA71" s="321" t="s">
        <v>322</v>
      </c>
      <c r="GB71" s="322">
        <v>8.5</v>
      </c>
      <c r="GC71" s="323">
        <v>400000</v>
      </c>
      <c r="GD71" s="328">
        <f>GC71*GB71</f>
        <v>3400000</v>
      </c>
      <c r="GE71" s="108">
        <f t="shared" si="908"/>
        <v>1</v>
      </c>
      <c r="GF71" s="108">
        <f t="shared" si="909"/>
        <v>1</v>
      </c>
      <c r="GG71" s="108">
        <f t="shared" si="910"/>
        <v>1</v>
      </c>
      <c r="GH71" s="108">
        <f t="shared" si="911"/>
        <v>1</v>
      </c>
      <c r="GI71" s="108">
        <f t="shared" si="912"/>
        <v>1</v>
      </c>
      <c r="GJ71" s="108">
        <f t="shared" si="913"/>
        <v>1</v>
      </c>
      <c r="GK71" s="108">
        <f t="shared" si="914"/>
        <v>1</v>
      </c>
      <c r="GL71" s="109">
        <f t="shared" si="915"/>
        <v>3400000</v>
      </c>
      <c r="GM71" s="110">
        <f t="shared" si="916"/>
        <v>0</v>
      </c>
      <c r="GO71" s="319">
        <v>7.5</v>
      </c>
      <c r="GP71" s="319" t="s">
        <v>178</v>
      </c>
      <c r="GQ71" s="334" t="s">
        <v>321</v>
      </c>
      <c r="GR71" s="321" t="s">
        <v>322</v>
      </c>
      <c r="GS71" s="322">
        <v>8.5</v>
      </c>
      <c r="GT71" s="323">
        <v>280000</v>
      </c>
      <c r="GU71" s="328">
        <v>2380000</v>
      </c>
      <c r="GV71" s="108">
        <f t="shared" si="917"/>
        <v>1</v>
      </c>
      <c r="GW71" s="108">
        <f t="shared" si="918"/>
        <v>1</v>
      </c>
      <c r="GX71" s="108">
        <f t="shared" si="919"/>
        <v>1</v>
      </c>
      <c r="GY71" s="108">
        <f t="shared" si="920"/>
        <v>1</v>
      </c>
      <c r="GZ71" s="108">
        <f t="shared" si="921"/>
        <v>1</v>
      </c>
      <c r="HA71" s="108">
        <f t="shared" si="922"/>
        <v>1</v>
      </c>
      <c r="HB71" s="108">
        <f t="shared" si="923"/>
        <v>1</v>
      </c>
      <c r="HC71" s="109">
        <f t="shared" si="924"/>
        <v>2380000</v>
      </c>
      <c r="HD71" s="110">
        <f t="shared" si="925"/>
        <v>0</v>
      </c>
      <c r="HF71" s="319">
        <v>7.5</v>
      </c>
      <c r="HG71" s="319" t="s">
        <v>178</v>
      </c>
      <c r="HH71" s="334" t="s">
        <v>321</v>
      </c>
      <c r="HI71" s="321" t="s">
        <v>322</v>
      </c>
      <c r="HJ71" s="322">
        <v>8.5</v>
      </c>
      <c r="HK71" s="323">
        <v>4500</v>
      </c>
      <c r="HL71" s="328">
        <f>HK71*HJ71</f>
        <v>38250</v>
      </c>
      <c r="HM71" s="108">
        <f t="shared" si="927"/>
        <v>1</v>
      </c>
      <c r="HN71" s="108">
        <f t="shared" si="928"/>
        <v>1</v>
      </c>
      <c r="HO71" s="108">
        <f t="shared" si="929"/>
        <v>1</v>
      </c>
      <c r="HP71" s="108">
        <f t="shared" si="930"/>
        <v>1</v>
      </c>
      <c r="HQ71" s="108">
        <f t="shared" si="931"/>
        <v>1</v>
      </c>
      <c r="HR71" s="108">
        <f t="shared" si="932"/>
        <v>1</v>
      </c>
      <c r="HS71" s="108">
        <f t="shared" si="933"/>
        <v>1</v>
      </c>
      <c r="HT71" s="109">
        <f t="shared" si="934"/>
        <v>38250</v>
      </c>
      <c r="HU71" s="110">
        <f t="shared" si="935"/>
        <v>0</v>
      </c>
      <c r="HW71" s="319">
        <v>7.5</v>
      </c>
      <c r="HX71" s="319" t="s">
        <v>178</v>
      </c>
      <c r="HY71" s="334" t="s">
        <v>321</v>
      </c>
      <c r="HZ71" s="321" t="s">
        <v>322</v>
      </c>
      <c r="IA71" s="322">
        <v>8.5</v>
      </c>
      <c r="IB71" s="323">
        <v>150000</v>
      </c>
      <c r="IC71" s="328">
        <f>IB71*IA71</f>
        <v>1275000</v>
      </c>
      <c r="ID71" s="108">
        <f t="shared" si="937"/>
        <v>1</v>
      </c>
      <c r="IE71" s="108">
        <f t="shared" si="938"/>
        <v>1</v>
      </c>
      <c r="IF71" s="108">
        <f t="shared" si="939"/>
        <v>1</v>
      </c>
      <c r="IG71" s="108">
        <f t="shared" si="940"/>
        <v>1</v>
      </c>
      <c r="IH71" s="108">
        <f t="shared" si="941"/>
        <v>1</v>
      </c>
      <c r="II71" s="108">
        <f t="shared" si="942"/>
        <v>1</v>
      </c>
      <c r="IJ71" s="108">
        <f t="shared" si="943"/>
        <v>1</v>
      </c>
      <c r="IK71" s="109">
        <f t="shared" si="944"/>
        <v>1275000</v>
      </c>
      <c r="IL71" s="110">
        <f t="shared" si="945"/>
        <v>0</v>
      </c>
    </row>
    <row r="72" spans="1:246" s="213" customFormat="1" ht="153" customHeight="1" x14ac:dyDescent="0.25">
      <c r="A72" s="211"/>
      <c r="B72" s="326">
        <v>7.6</v>
      </c>
      <c r="C72" s="319" t="s">
        <v>180</v>
      </c>
      <c r="D72" s="334" t="s">
        <v>193</v>
      </c>
      <c r="E72" s="321" t="s">
        <v>181</v>
      </c>
      <c r="F72" s="325">
        <v>42.5</v>
      </c>
      <c r="G72" s="323">
        <v>0</v>
      </c>
      <c r="H72" s="324">
        <f t="shared" si="818"/>
        <v>0</v>
      </c>
      <c r="J72" s="326">
        <v>7.6</v>
      </c>
      <c r="K72" s="319" t="s">
        <v>180</v>
      </c>
      <c r="L72" s="334" t="s">
        <v>193</v>
      </c>
      <c r="M72" s="321" t="s">
        <v>181</v>
      </c>
      <c r="N72" s="325">
        <v>42.5</v>
      </c>
      <c r="O72" s="323">
        <v>66493</v>
      </c>
      <c r="P72" s="324">
        <v>2825953</v>
      </c>
      <c r="Q72" s="108">
        <f t="shared" ref="Q72:Q80" si="955">IFERROR(IF(EXACT(VLOOKUP(J72,OFERTA_0,1,FALSE),J72),1,0),0)</f>
        <v>1</v>
      </c>
      <c r="R72" s="108">
        <f t="shared" ref="R72:R80" si="956">IFERROR(IF(EXACT(VLOOKUP(J72,OFERTA_0,3,FALSE),L72),1,0),0)</f>
        <v>1</v>
      </c>
      <c r="S72" s="108">
        <f t="shared" ref="S72:S80" si="957">IFERROR(IF(EXACT(VLOOKUP(J72,OFERTA_0,4,FALSE),M72),1,0),0)</f>
        <v>1</v>
      </c>
      <c r="T72" s="108">
        <f t="shared" ref="T72:T80" si="958">IFERROR(IF(EXACT(VLOOKUP(J72,OFERTA_0,5,FALSE),N72),1,0),0)</f>
        <v>1</v>
      </c>
      <c r="U72" s="108">
        <f t="shared" ref="U72:U80" si="959">IFERROR(IF(O72&lt;=0,0,1),0)</f>
        <v>1</v>
      </c>
      <c r="V72" s="108">
        <f t="shared" ref="V72:V80" si="960">IFERROR(IF(P72&lt;=0,0,1),0)</f>
        <v>1</v>
      </c>
      <c r="W72" s="108">
        <f t="shared" ref="W72:W80" si="961">PRODUCT(Q72:V72)</f>
        <v>1</v>
      </c>
      <c r="X72" s="109">
        <f t="shared" ref="X72:X80" si="962">ROUND(P72,0)</f>
        <v>2825953</v>
      </c>
      <c r="Y72" s="110">
        <f t="shared" ref="Y72:Y80" si="963">P72-X72</f>
        <v>0</v>
      </c>
      <c r="AA72" s="326">
        <v>7.6</v>
      </c>
      <c r="AB72" s="319" t="s">
        <v>180</v>
      </c>
      <c r="AC72" s="334" t="s">
        <v>193</v>
      </c>
      <c r="AD72" s="321" t="s">
        <v>181</v>
      </c>
      <c r="AE72" s="325">
        <v>42.5</v>
      </c>
      <c r="AF72" s="323">
        <v>24500</v>
      </c>
      <c r="AG72" s="324">
        <v>1041250</v>
      </c>
      <c r="AH72" s="108">
        <f t="shared" si="819"/>
        <v>1</v>
      </c>
      <c r="AI72" s="108">
        <f t="shared" si="820"/>
        <v>1</v>
      </c>
      <c r="AJ72" s="108">
        <f t="shared" si="821"/>
        <v>1</v>
      </c>
      <c r="AK72" s="108">
        <f t="shared" si="822"/>
        <v>1</v>
      </c>
      <c r="AL72" s="108">
        <f t="shared" si="823"/>
        <v>1</v>
      </c>
      <c r="AM72" s="108">
        <f t="shared" si="824"/>
        <v>1</v>
      </c>
      <c r="AN72" s="108">
        <f t="shared" si="825"/>
        <v>1</v>
      </c>
      <c r="AO72" s="109">
        <f t="shared" si="826"/>
        <v>1041250</v>
      </c>
      <c r="AP72" s="110">
        <f t="shared" si="827"/>
        <v>0</v>
      </c>
      <c r="AR72" s="326">
        <v>7.6</v>
      </c>
      <c r="AS72" s="319" t="s">
        <v>180</v>
      </c>
      <c r="AT72" s="334" t="s">
        <v>193</v>
      </c>
      <c r="AU72" s="321" t="s">
        <v>181</v>
      </c>
      <c r="AV72" s="325">
        <v>42.5</v>
      </c>
      <c r="AW72" s="323">
        <v>38800</v>
      </c>
      <c r="AX72" s="324">
        <v>1649000</v>
      </c>
      <c r="AY72" s="108">
        <f t="shared" si="828"/>
        <v>1</v>
      </c>
      <c r="AZ72" s="108">
        <f t="shared" si="829"/>
        <v>1</v>
      </c>
      <c r="BA72" s="108">
        <f t="shared" si="830"/>
        <v>1</v>
      </c>
      <c r="BB72" s="108">
        <f t="shared" si="831"/>
        <v>1</v>
      </c>
      <c r="BC72" s="108">
        <f t="shared" si="832"/>
        <v>1</v>
      </c>
      <c r="BD72" s="108">
        <f t="shared" si="833"/>
        <v>1</v>
      </c>
      <c r="BE72" s="108">
        <f t="shared" si="834"/>
        <v>1</v>
      </c>
      <c r="BF72" s="109">
        <f t="shared" si="835"/>
        <v>1649000</v>
      </c>
      <c r="BG72" s="110">
        <f t="shared" si="836"/>
        <v>0</v>
      </c>
      <c r="BI72" s="326">
        <v>7.6</v>
      </c>
      <c r="BJ72" s="319" t="s">
        <v>180</v>
      </c>
      <c r="BK72" s="334" t="s">
        <v>193</v>
      </c>
      <c r="BL72" s="321" t="s">
        <v>181</v>
      </c>
      <c r="BM72" s="325">
        <v>42.5</v>
      </c>
      <c r="BN72" s="323">
        <v>62372</v>
      </c>
      <c r="BO72" s="324">
        <f t="shared" si="837"/>
        <v>2650810</v>
      </c>
      <c r="BP72" s="108">
        <f t="shared" si="838"/>
        <v>1</v>
      </c>
      <c r="BQ72" s="108">
        <f t="shared" si="839"/>
        <v>1</v>
      </c>
      <c r="BR72" s="108">
        <f t="shared" si="840"/>
        <v>1</v>
      </c>
      <c r="BS72" s="108">
        <f t="shared" si="841"/>
        <v>1</v>
      </c>
      <c r="BT72" s="108">
        <f t="shared" si="842"/>
        <v>1</v>
      </c>
      <c r="BU72" s="108">
        <f t="shared" si="843"/>
        <v>1</v>
      </c>
      <c r="BV72" s="108">
        <f t="shared" si="844"/>
        <v>1</v>
      </c>
      <c r="BW72" s="109">
        <f t="shared" si="845"/>
        <v>2650810</v>
      </c>
      <c r="BX72" s="110">
        <f t="shared" si="846"/>
        <v>0</v>
      </c>
      <c r="BZ72" s="326">
        <v>7.6</v>
      </c>
      <c r="CA72" s="319" t="s">
        <v>180</v>
      </c>
      <c r="CB72" s="334" t="s">
        <v>193</v>
      </c>
      <c r="CC72" s="321" t="s">
        <v>181</v>
      </c>
      <c r="CD72" s="325">
        <v>42.5</v>
      </c>
      <c r="CE72" s="323">
        <v>70000</v>
      </c>
      <c r="CF72" s="324">
        <f t="shared" si="847"/>
        <v>2975000</v>
      </c>
      <c r="CG72" s="108">
        <f t="shared" si="848"/>
        <v>1</v>
      </c>
      <c r="CH72" s="108">
        <f t="shared" si="849"/>
        <v>1</v>
      </c>
      <c r="CI72" s="108">
        <f t="shared" si="850"/>
        <v>1</v>
      </c>
      <c r="CJ72" s="108">
        <f t="shared" si="851"/>
        <v>1</v>
      </c>
      <c r="CK72" s="108">
        <f t="shared" si="852"/>
        <v>1</v>
      </c>
      <c r="CL72" s="108">
        <f t="shared" si="853"/>
        <v>1</v>
      </c>
      <c r="CM72" s="108">
        <f t="shared" si="854"/>
        <v>1</v>
      </c>
      <c r="CN72" s="109">
        <f t="shared" si="855"/>
        <v>2975000</v>
      </c>
      <c r="CO72" s="110">
        <f t="shared" si="856"/>
        <v>0</v>
      </c>
      <c r="CQ72" s="326">
        <v>7.6</v>
      </c>
      <c r="CR72" s="319" t="s">
        <v>180</v>
      </c>
      <c r="CS72" s="334" t="s">
        <v>193</v>
      </c>
      <c r="CT72" s="321" t="s">
        <v>181</v>
      </c>
      <c r="CU72" s="325">
        <v>42.5</v>
      </c>
      <c r="CV72" s="323">
        <v>80000</v>
      </c>
      <c r="CW72" s="324">
        <f t="shared" si="857"/>
        <v>3400000</v>
      </c>
      <c r="CX72" s="108">
        <f t="shared" si="858"/>
        <v>1</v>
      </c>
      <c r="CY72" s="108">
        <f t="shared" si="859"/>
        <v>1</v>
      </c>
      <c r="CZ72" s="108">
        <f t="shared" si="860"/>
        <v>1</v>
      </c>
      <c r="DA72" s="108">
        <f t="shared" si="861"/>
        <v>1</v>
      </c>
      <c r="DB72" s="108">
        <f t="shared" si="862"/>
        <v>1</v>
      </c>
      <c r="DC72" s="108">
        <f t="shared" si="863"/>
        <v>1</v>
      </c>
      <c r="DD72" s="108">
        <f t="shared" si="864"/>
        <v>1</v>
      </c>
      <c r="DE72" s="109">
        <f t="shared" si="865"/>
        <v>3400000</v>
      </c>
      <c r="DF72" s="110">
        <f t="shared" si="866"/>
        <v>0</v>
      </c>
      <c r="DH72" s="326">
        <v>7.6</v>
      </c>
      <c r="DI72" s="319" t="s">
        <v>180</v>
      </c>
      <c r="DJ72" s="360" t="s">
        <v>193</v>
      </c>
      <c r="DK72" s="321" t="s">
        <v>181</v>
      </c>
      <c r="DL72" s="325">
        <v>42.5</v>
      </c>
      <c r="DM72" s="323">
        <v>17190</v>
      </c>
      <c r="DN72" s="324">
        <f t="shared" si="867"/>
        <v>730575</v>
      </c>
      <c r="DO72" s="108">
        <f t="shared" si="868"/>
        <v>1</v>
      </c>
      <c r="DP72" s="108">
        <f t="shared" si="869"/>
        <v>1</v>
      </c>
      <c r="DQ72" s="108">
        <f t="shared" si="870"/>
        <v>1</v>
      </c>
      <c r="DR72" s="108">
        <f t="shared" si="871"/>
        <v>1</v>
      </c>
      <c r="DS72" s="108">
        <f t="shared" si="872"/>
        <v>1</v>
      </c>
      <c r="DT72" s="108">
        <f t="shared" si="873"/>
        <v>1</v>
      </c>
      <c r="DU72" s="108">
        <f t="shared" si="874"/>
        <v>1</v>
      </c>
      <c r="DV72" s="109">
        <f t="shared" si="875"/>
        <v>730575</v>
      </c>
      <c r="DW72" s="110">
        <f t="shared" si="876"/>
        <v>0</v>
      </c>
      <c r="DY72" s="326">
        <v>7.6</v>
      </c>
      <c r="DZ72" s="319" t="s">
        <v>180</v>
      </c>
      <c r="EA72" s="360" t="s">
        <v>193</v>
      </c>
      <c r="EB72" s="321" t="s">
        <v>181</v>
      </c>
      <c r="EC72" s="325">
        <v>42.5</v>
      </c>
      <c r="ED72" s="323">
        <v>28500</v>
      </c>
      <c r="EE72" s="324">
        <f t="shared" si="877"/>
        <v>1211250</v>
      </c>
      <c r="EF72" s="108">
        <f t="shared" si="878"/>
        <v>1</v>
      </c>
      <c r="EG72" s="108">
        <f t="shared" si="879"/>
        <v>1</v>
      </c>
      <c r="EH72" s="108">
        <f t="shared" si="880"/>
        <v>1</v>
      </c>
      <c r="EI72" s="108">
        <f t="shared" si="881"/>
        <v>1</v>
      </c>
      <c r="EJ72" s="108">
        <f t="shared" si="882"/>
        <v>1</v>
      </c>
      <c r="EK72" s="108">
        <f t="shared" si="883"/>
        <v>1</v>
      </c>
      <c r="EL72" s="108">
        <f t="shared" si="884"/>
        <v>1</v>
      </c>
      <c r="EM72" s="109">
        <f t="shared" si="885"/>
        <v>1211250</v>
      </c>
      <c r="EN72" s="110">
        <f t="shared" si="886"/>
        <v>0</v>
      </c>
      <c r="EP72" s="326">
        <v>7.6</v>
      </c>
      <c r="EQ72" s="319" t="s">
        <v>180</v>
      </c>
      <c r="ER72" s="334" t="s">
        <v>193</v>
      </c>
      <c r="ES72" s="321" t="s">
        <v>181</v>
      </c>
      <c r="ET72" s="325">
        <v>42.5</v>
      </c>
      <c r="EU72" s="323">
        <v>39280</v>
      </c>
      <c r="EV72" s="324">
        <f t="shared" si="887"/>
        <v>1669400</v>
      </c>
      <c r="EW72" s="108">
        <f t="shared" si="888"/>
        <v>1</v>
      </c>
      <c r="EX72" s="108">
        <f t="shared" si="889"/>
        <v>1</v>
      </c>
      <c r="EY72" s="108">
        <f t="shared" si="890"/>
        <v>1</v>
      </c>
      <c r="EZ72" s="108">
        <f t="shared" si="891"/>
        <v>1</v>
      </c>
      <c r="FA72" s="108">
        <f t="shared" si="892"/>
        <v>1</v>
      </c>
      <c r="FB72" s="108">
        <f t="shared" si="893"/>
        <v>1</v>
      </c>
      <c r="FC72" s="108">
        <f t="shared" si="894"/>
        <v>1</v>
      </c>
      <c r="FD72" s="109">
        <f t="shared" si="895"/>
        <v>1669400</v>
      </c>
      <c r="FE72" s="110">
        <f t="shared" si="896"/>
        <v>0</v>
      </c>
      <c r="FG72" s="326">
        <v>7.6</v>
      </c>
      <c r="FH72" s="319" t="s">
        <v>180</v>
      </c>
      <c r="FI72" s="360" t="s">
        <v>193</v>
      </c>
      <c r="FJ72" s="321" t="s">
        <v>181</v>
      </c>
      <c r="FK72" s="325">
        <v>42.5</v>
      </c>
      <c r="FL72" s="323">
        <v>17190</v>
      </c>
      <c r="FM72" s="324">
        <f t="shared" si="897"/>
        <v>730575</v>
      </c>
      <c r="FN72" s="108">
        <f t="shared" si="898"/>
        <v>1</v>
      </c>
      <c r="FO72" s="108">
        <f t="shared" si="899"/>
        <v>1</v>
      </c>
      <c r="FP72" s="108">
        <f t="shared" si="900"/>
        <v>1</v>
      </c>
      <c r="FQ72" s="108">
        <f t="shared" si="901"/>
        <v>1</v>
      </c>
      <c r="FR72" s="108">
        <f t="shared" si="902"/>
        <v>1</v>
      </c>
      <c r="FS72" s="108">
        <f t="shared" si="903"/>
        <v>1</v>
      </c>
      <c r="FT72" s="108">
        <f t="shared" si="904"/>
        <v>1</v>
      </c>
      <c r="FU72" s="109">
        <f t="shared" si="905"/>
        <v>730575</v>
      </c>
      <c r="FV72" s="110">
        <f t="shared" si="906"/>
        <v>0</v>
      </c>
      <c r="FX72" s="326">
        <v>7.6</v>
      </c>
      <c r="FY72" s="319" t="s">
        <v>180</v>
      </c>
      <c r="FZ72" s="334" t="s">
        <v>193</v>
      </c>
      <c r="GA72" s="321" t="s">
        <v>181</v>
      </c>
      <c r="GB72" s="325">
        <v>42.5</v>
      </c>
      <c r="GC72" s="323">
        <v>35000</v>
      </c>
      <c r="GD72" s="324">
        <f t="shared" si="907"/>
        <v>1487500</v>
      </c>
      <c r="GE72" s="108">
        <f t="shared" si="908"/>
        <v>1</v>
      </c>
      <c r="GF72" s="108">
        <f t="shared" si="909"/>
        <v>1</v>
      </c>
      <c r="GG72" s="108">
        <f t="shared" si="910"/>
        <v>1</v>
      </c>
      <c r="GH72" s="108">
        <f t="shared" si="911"/>
        <v>1</v>
      </c>
      <c r="GI72" s="108">
        <f t="shared" si="912"/>
        <v>1</v>
      </c>
      <c r="GJ72" s="108">
        <f t="shared" si="913"/>
        <v>1</v>
      </c>
      <c r="GK72" s="108">
        <f t="shared" si="914"/>
        <v>1</v>
      </c>
      <c r="GL72" s="109">
        <f t="shared" si="915"/>
        <v>1487500</v>
      </c>
      <c r="GM72" s="110">
        <f t="shared" si="916"/>
        <v>0</v>
      </c>
      <c r="GO72" s="326">
        <v>7.6</v>
      </c>
      <c r="GP72" s="319" t="s">
        <v>180</v>
      </c>
      <c r="GQ72" s="334" t="s">
        <v>193</v>
      </c>
      <c r="GR72" s="321" t="s">
        <v>181</v>
      </c>
      <c r="GS72" s="325">
        <v>42.5</v>
      </c>
      <c r="GT72" s="323">
        <v>35000</v>
      </c>
      <c r="GU72" s="324">
        <v>1487500</v>
      </c>
      <c r="GV72" s="108">
        <f t="shared" si="917"/>
        <v>1</v>
      </c>
      <c r="GW72" s="108">
        <f t="shared" si="918"/>
        <v>1</v>
      </c>
      <c r="GX72" s="108">
        <f t="shared" si="919"/>
        <v>1</v>
      </c>
      <c r="GY72" s="108">
        <f t="shared" si="920"/>
        <v>1</v>
      </c>
      <c r="GZ72" s="108">
        <f t="shared" si="921"/>
        <v>1</v>
      </c>
      <c r="HA72" s="108">
        <f t="shared" si="922"/>
        <v>1</v>
      </c>
      <c r="HB72" s="108">
        <f t="shared" si="923"/>
        <v>1</v>
      </c>
      <c r="HC72" s="109">
        <f t="shared" si="924"/>
        <v>1487500</v>
      </c>
      <c r="HD72" s="110">
        <f t="shared" si="925"/>
        <v>0</v>
      </c>
      <c r="HF72" s="326">
        <v>7.6</v>
      </c>
      <c r="HG72" s="319" t="s">
        <v>180</v>
      </c>
      <c r="HH72" s="334" t="s">
        <v>193</v>
      </c>
      <c r="HI72" s="321" t="s">
        <v>181</v>
      </c>
      <c r="HJ72" s="325">
        <v>42.5</v>
      </c>
      <c r="HK72" s="323">
        <v>20000</v>
      </c>
      <c r="HL72" s="324">
        <f t="shared" si="926"/>
        <v>850000</v>
      </c>
      <c r="HM72" s="108">
        <f t="shared" si="927"/>
        <v>1</v>
      </c>
      <c r="HN72" s="108">
        <f t="shared" si="928"/>
        <v>1</v>
      </c>
      <c r="HO72" s="108">
        <f t="shared" si="929"/>
        <v>1</v>
      </c>
      <c r="HP72" s="108">
        <f t="shared" si="930"/>
        <v>1</v>
      </c>
      <c r="HQ72" s="108">
        <f t="shared" si="931"/>
        <v>1</v>
      </c>
      <c r="HR72" s="108">
        <f t="shared" si="932"/>
        <v>1</v>
      </c>
      <c r="HS72" s="108">
        <f t="shared" si="933"/>
        <v>1</v>
      </c>
      <c r="HT72" s="109">
        <f t="shared" si="934"/>
        <v>850000</v>
      </c>
      <c r="HU72" s="110">
        <f t="shared" si="935"/>
        <v>0</v>
      </c>
      <c r="HW72" s="326">
        <v>7.6</v>
      </c>
      <c r="HX72" s="319" t="s">
        <v>180</v>
      </c>
      <c r="HY72" s="334" t="s">
        <v>193</v>
      </c>
      <c r="HZ72" s="321" t="s">
        <v>181</v>
      </c>
      <c r="IA72" s="325">
        <v>42.5</v>
      </c>
      <c r="IB72" s="323">
        <v>100000</v>
      </c>
      <c r="IC72" s="324">
        <f t="shared" si="936"/>
        <v>4250000</v>
      </c>
      <c r="ID72" s="108">
        <f t="shared" si="937"/>
        <v>1</v>
      </c>
      <c r="IE72" s="108">
        <f t="shared" si="938"/>
        <v>1</v>
      </c>
      <c r="IF72" s="108">
        <f t="shared" si="939"/>
        <v>1</v>
      </c>
      <c r="IG72" s="108">
        <f t="shared" si="940"/>
        <v>1</v>
      </c>
      <c r="IH72" s="108">
        <f t="shared" si="941"/>
        <v>1</v>
      </c>
      <c r="II72" s="108">
        <f t="shared" si="942"/>
        <v>1</v>
      </c>
      <c r="IJ72" s="108">
        <f t="shared" si="943"/>
        <v>1</v>
      </c>
      <c r="IK72" s="109">
        <f t="shared" si="944"/>
        <v>4250000</v>
      </c>
      <c r="IL72" s="110">
        <f t="shared" si="945"/>
        <v>0</v>
      </c>
    </row>
    <row r="73" spans="1:246" s="213" customFormat="1" ht="144" x14ac:dyDescent="0.25">
      <c r="A73" s="211"/>
      <c r="B73" s="319">
        <v>7.7</v>
      </c>
      <c r="C73" s="319" t="s">
        <v>180</v>
      </c>
      <c r="D73" s="334" t="s">
        <v>323</v>
      </c>
      <c r="E73" s="327" t="s">
        <v>181</v>
      </c>
      <c r="F73" s="322">
        <v>42.5</v>
      </c>
      <c r="G73" s="323">
        <v>0</v>
      </c>
      <c r="H73" s="328">
        <f t="shared" si="818"/>
        <v>0</v>
      </c>
      <c r="J73" s="319">
        <v>7.7</v>
      </c>
      <c r="K73" s="319" t="s">
        <v>180</v>
      </c>
      <c r="L73" s="334" t="s">
        <v>323</v>
      </c>
      <c r="M73" s="327" t="s">
        <v>181</v>
      </c>
      <c r="N73" s="322">
        <v>42.5</v>
      </c>
      <c r="O73" s="323">
        <v>84444</v>
      </c>
      <c r="P73" s="328">
        <v>3588870</v>
      </c>
      <c r="Q73" s="108">
        <f t="shared" si="955"/>
        <v>1</v>
      </c>
      <c r="R73" s="108">
        <f t="shared" si="956"/>
        <v>1</v>
      </c>
      <c r="S73" s="108">
        <f t="shared" si="957"/>
        <v>1</v>
      </c>
      <c r="T73" s="108">
        <f t="shared" si="958"/>
        <v>1</v>
      </c>
      <c r="U73" s="108">
        <f t="shared" si="959"/>
        <v>1</v>
      </c>
      <c r="V73" s="108">
        <f t="shared" si="960"/>
        <v>1</v>
      </c>
      <c r="W73" s="108">
        <f t="shared" si="961"/>
        <v>1</v>
      </c>
      <c r="X73" s="109">
        <f t="shared" si="962"/>
        <v>3588870</v>
      </c>
      <c r="Y73" s="110">
        <f t="shared" si="963"/>
        <v>0</v>
      </c>
      <c r="AA73" s="319">
        <v>7.7</v>
      </c>
      <c r="AB73" s="319" t="s">
        <v>180</v>
      </c>
      <c r="AC73" s="334" t="s">
        <v>323</v>
      </c>
      <c r="AD73" s="327" t="s">
        <v>181</v>
      </c>
      <c r="AE73" s="322">
        <v>42.5</v>
      </c>
      <c r="AF73" s="323">
        <v>42500</v>
      </c>
      <c r="AG73" s="328">
        <v>1806250</v>
      </c>
      <c r="AH73" s="108">
        <f t="shared" si="819"/>
        <v>1</v>
      </c>
      <c r="AI73" s="108">
        <f t="shared" si="820"/>
        <v>1</v>
      </c>
      <c r="AJ73" s="108">
        <f t="shared" si="821"/>
        <v>1</v>
      </c>
      <c r="AK73" s="108">
        <f t="shared" si="822"/>
        <v>1</v>
      </c>
      <c r="AL73" s="108">
        <f t="shared" si="823"/>
        <v>1</v>
      </c>
      <c r="AM73" s="108">
        <f t="shared" si="824"/>
        <v>1</v>
      </c>
      <c r="AN73" s="108">
        <f t="shared" si="825"/>
        <v>1</v>
      </c>
      <c r="AO73" s="109">
        <f t="shared" si="826"/>
        <v>1806250</v>
      </c>
      <c r="AP73" s="110">
        <f t="shared" si="827"/>
        <v>0</v>
      </c>
      <c r="AR73" s="319">
        <v>7.7</v>
      </c>
      <c r="AS73" s="319" t="s">
        <v>180</v>
      </c>
      <c r="AT73" s="334" t="s">
        <v>323</v>
      </c>
      <c r="AU73" s="327" t="s">
        <v>181</v>
      </c>
      <c r="AV73" s="322">
        <v>42.5</v>
      </c>
      <c r="AW73" s="323">
        <v>48500</v>
      </c>
      <c r="AX73" s="328">
        <v>2061250</v>
      </c>
      <c r="AY73" s="108">
        <f t="shared" si="828"/>
        <v>1</v>
      </c>
      <c r="AZ73" s="108">
        <f t="shared" si="829"/>
        <v>1</v>
      </c>
      <c r="BA73" s="108">
        <f t="shared" si="830"/>
        <v>1</v>
      </c>
      <c r="BB73" s="108">
        <f t="shared" si="831"/>
        <v>1</v>
      </c>
      <c r="BC73" s="108">
        <f t="shared" si="832"/>
        <v>1</v>
      </c>
      <c r="BD73" s="108">
        <f t="shared" si="833"/>
        <v>1</v>
      </c>
      <c r="BE73" s="108">
        <f t="shared" si="834"/>
        <v>1</v>
      </c>
      <c r="BF73" s="109">
        <f t="shared" si="835"/>
        <v>2061250</v>
      </c>
      <c r="BG73" s="110">
        <f t="shared" si="836"/>
        <v>0</v>
      </c>
      <c r="BI73" s="319">
        <v>7.7</v>
      </c>
      <c r="BJ73" s="319" t="s">
        <v>180</v>
      </c>
      <c r="BK73" s="334" t="s">
        <v>323</v>
      </c>
      <c r="BL73" s="327" t="s">
        <v>181</v>
      </c>
      <c r="BM73" s="322">
        <v>42.5</v>
      </c>
      <c r="BN73" s="323">
        <v>74992</v>
      </c>
      <c r="BO73" s="328">
        <f t="shared" si="837"/>
        <v>3187160</v>
      </c>
      <c r="BP73" s="108">
        <f t="shared" si="838"/>
        <v>1</v>
      </c>
      <c r="BQ73" s="108">
        <f t="shared" si="839"/>
        <v>1</v>
      </c>
      <c r="BR73" s="108">
        <f t="shared" si="840"/>
        <v>1</v>
      </c>
      <c r="BS73" s="108">
        <f t="shared" si="841"/>
        <v>1</v>
      </c>
      <c r="BT73" s="108">
        <f t="shared" si="842"/>
        <v>1</v>
      </c>
      <c r="BU73" s="108">
        <f t="shared" si="843"/>
        <v>1</v>
      </c>
      <c r="BV73" s="108">
        <f t="shared" si="844"/>
        <v>1</v>
      </c>
      <c r="BW73" s="109">
        <f t="shared" si="845"/>
        <v>3187160</v>
      </c>
      <c r="BX73" s="110">
        <f t="shared" si="846"/>
        <v>0</v>
      </c>
      <c r="BZ73" s="319">
        <v>7.7</v>
      </c>
      <c r="CA73" s="319" t="s">
        <v>180</v>
      </c>
      <c r="CB73" s="334" t="s">
        <v>323</v>
      </c>
      <c r="CC73" s="327" t="s">
        <v>181</v>
      </c>
      <c r="CD73" s="322">
        <v>42.5</v>
      </c>
      <c r="CE73" s="323">
        <v>90000</v>
      </c>
      <c r="CF73" s="328">
        <f t="shared" si="847"/>
        <v>3825000</v>
      </c>
      <c r="CG73" s="108">
        <f t="shared" si="848"/>
        <v>1</v>
      </c>
      <c r="CH73" s="108">
        <f t="shared" si="849"/>
        <v>1</v>
      </c>
      <c r="CI73" s="108">
        <f t="shared" si="850"/>
        <v>1</v>
      </c>
      <c r="CJ73" s="108">
        <f t="shared" si="851"/>
        <v>1</v>
      </c>
      <c r="CK73" s="108">
        <f t="shared" si="852"/>
        <v>1</v>
      </c>
      <c r="CL73" s="108">
        <f t="shared" si="853"/>
        <v>1</v>
      </c>
      <c r="CM73" s="108">
        <f t="shared" si="854"/>
        <v>1</v>
      </c>
      <c r="CN73" s="109">
        <f t="shared" si="855"/>
        <v>3825000</v>
      </c>
      <c r="CO73" s="110">
        <f t="shared" si="856"/>
        <v>0</v>
      </c>
      <c r="CQ73" s="319">
        <v>7.7</v>
      </c>
      <c r="CR73" s="319" t="s">
        <v>180</v>
      </c>
      <c r="CS73" s="334" t="s">
        <v>323</v>
      </c>
      <c r="CT73" s="327" t="s">
        <v>181</v>
      </c>
      <c r="CU73" s="322">
        <v>42.5</v>
      </c>
      <c r="CV73" s="323">
        <v>145000</v>
      </c>
      <c r="CW73" s="328">
        <f t="shared" si="857"/>
        <v>6162500</v>
      </c>
      <c r="CX73" s="108">
        <f t="shared" si="858"/>
        <v>1</v>
      </c>
      <c r="CY73" s="108">
        <f t="shared" si="859"/>
        <v>1</v>
      </c>
      <c r="CZ73" s="108">
        <f t="shared" si="860"/>
        <v>1</v>
      </c>
      <c r="DA73" s="108">
        <f t="shared" si="861"/>
        <v>1</v>
      </c>
      <c r="DB73" s="108">
        <f t="shared" si="862"/>
        <v>1</v>
      </c>
      <c r="DC73" s="108">
        <f t="shared" si="863"/>
        <v>1</v>
      </c>
      <c r="DD73" s="108">
        <f t="shared" si="864"/>
        <v>1</v>
      </c>
      <c r="DE73" s="109">
        <f t="shared" si="865"/>
        <v>6162500</v>
      </c>
      <c r="DF73" s="110">
        <f t="shared" si="866"/>
        <v>0</v>
      </c>
      <c r="DH73" s="319">
        <v>7.7</v>
      </c>
      <c r="DI73" s="319" t="s">
        <v>180</v>
      </c>
      <c r="DJ73" s="360" t="s">
        <v>323</v>
      </c>
      <c r="DK73" s="327" t="s">
        <v>181</v>
      </c>
      <c r="DL73" s="322">
        <v>42.5</v>
      </c>
      <c r="DM73" s="323">
        <v>24635</v>
      </c>
      <c r="DN73" s="328">
        <f t="shared" si="867"/>
        <v>1046987.5</v>
      </c>
      <c r="DO73" s="108">
        <f t="shared" si="868"/>
        <v>1</v>
      </c>
      <c r="DP73" s="108">
        <f t="shared" si="869"/>
        <v>1</v>
      </c>
      <c r="DQ73" s="108">
        <f t="shared" si="870"/>
        <v>1</v>
      </c>
      <c r="DR73" s="108">
        <f t="shared" si="871"/>
        <v>1</v>
      </c>
      <c r="DS73" s="108">
        <f t="shared" si="872"/>
        <v>1</v>
      </c>
      <c r="DT73" s="108">
        <f t="shared" si="873"/>
        <v>1</v>
      </c>
      <c r="DU73" s="108">
        <f t="shared" si="874"/>
        <v>1</v>
      </c>
      <c r="DV73" s="109">
        <f t="shared" si="875"/>
        <v>1046988</v>
      </c>
      <c r="DW73" s="110">
        <f t="shared" si="876"/>
        <v>-0.5</v>
      </c>
      <c r="DY73" s="319">
        <v>7.7</v>
      </c>
      <c r="DZ73" s="319" t="s">
        <v>180</v>
      </c>
      <c r="EA73" s="360" t="s">
        <v>323</v>
      </c>
      <c r="EB73" s="327" t="s">
        <v>181</v>
      </c>
      <c r="EC73" s="322">
        <v>42.5</v>
      </c>
      <c r="ED73" s="323">
        <v>32000</v>
      </c>
      <c r="EE73" s="328">
        <f t="shared" si="877"/>
        <v>1360000</v>
      </c>
      <c r="EF73" s="108">
        <f t="shared" si="878"/>
        <v>1</v>
      </c>
      <c r="EG73" s="108">
        <f t="shared" si="879"/>
        <v>1</v>
      </c>
      <c r="EH73" s="108">
        <f t="shared" si="880"/>
        <v>1</v>
      </c>
      <c r="EI73" s="108">
        <f t="shared" si="881"/>
        <v>1</v>
      </c>
      <c r="EJ73" s="108">
        <f t="shared" si="882"/>
        <v>1</v>
      </c>
      <c r="EK73" s="108">
        <f t="shared" si="883"/>
        <v>1</v>
      </c>
      <c r="EL73" s="108">
        <f t="shared" si="884"/>
        <v>1</v>
      </c>
      <c r="EM73" s="109">
        <f t="shared" si="885"/>
        <v>1360000</v>
      </c>
      <c r="EN73" s="110">
        <f t="shared" si="886"/>
        <v>0</v>
      </c>
      <c r="EP73" s="319">
        <v>7.7</v>
      </c>
      <c r="EQ73" s="319" t="s">
        <v>180</v>
      </c>
      <c r="ER73" s="334" t="s">
        <v>323</v>
      </c>
      <c r="ES73" s="327" t="s">
        <v>181</v>
      </c>
      <c r="ET73" s="322">
        <v>42.5</v>
      </c>
      <c r="EU73" s="323">
        <v>42190</v>
      </c>
      <c r="EV73" s="328">
        <f t="shared" si="887"/>
        <v>1793075</v>
      </c>
      <c r="EW73" s="108">
        <f t="shared" si="888"/>
        <v>1</v>
      </c>
      <c r="EX73" s="108">
        <f t="shared" si="889"/>
        <v>1</v>
      </c>
      <c r="EY73" s="108">
        <f t="shared" si="890"/>
        <v>1</v>
      </c>
      <c r="EZ73" s="108">
        <f t="shared" si="891"/>
        <v>1</v>
      </c>
      <c r="FA73" s="108">
        <f t="shared" si="892"/>
        <v>1</v>
      </c>
      <c r="FB73" s="108">
        <f t="shared" si="893"/>
        <v>1</v>
      </c>
      <c r="FC73" s="108">
        <f t="shared" si="894"/>
        <v>1</v>
      </c>
      <c r="FD73" s="109">
        <f t="shared" si="895"/>
        <v>1793075</v>
      </c>
      <c r="FE73" s="110">
        <f t="shared" si="896"/>
        <v>0</v>
      </c>
      <c r="FG73" s="319">
        <v>7.7</v>
      </c>
      <c r="FH73" s="319" t="s">
        <v>180</v>
      </c>
      <c r="FI73" s="360" t="s">
        <v>323</v>
      </c>
      <c r="FJ73" s="327" t="s">
        <v>181</v>
      </c>
      <c r="FK73" s="322">
        <v>42.5</v>
      </c>
      <c r="FL73" s="323">
        <v>24647</v>
      </c>
      <c r="FM73" s="328">
        <f t="shared" si="897"/>
        <v>1047497.5</v>
      </c>
      <c r="FN73" s="108">
        <f t="shared" si="898"/>
        <v>1</v>
      </c>
      <c r="FO73" s="108">
        <f t="shared" si="899"/>
        <v>1</v>
      </c>
      <c r="FP73" s="108">
        <f t="shared" si="900"/>
        <v>1</v>
      </c>
      <c r="FQ73" s="108">
        <f t="shared" si="901"/>
        <v>1</v>
      </c>
      <c r="FR73" s="108">
        <f t="shared" si="902"/>
        <v>1</v>
      </c>
      <c r="FS73" s="108">
        <f t="shared" si="903"/>
        <v>1</v>
      </c>
      <c r="FT73" s="108">
        <f t="shared" si="904"/>
        <v>1</v>
      </c>
      <c r="FU73" s="109">
        <f t="shared" si="905"/>
        <v>1047498</v>
      </c>
      <c r="FV73" s="110">
        <f t="shared" si="906"/>
        <v>-0.5</v>
      </c>
      <c r="FX73" s="319">
        <v>7.7</v>
      </c>
      <c r="FY73" s="319" t="s">
        <v>180</v>
      </c>
      <c r="FZ73" s="334" t="s">
        <v>323</v>
      </c>
      <c r="GA73" s="327" t="s">
        <v>181</v>
      </c>
      <c r="GB73" s="322">
        <v>42.5</v>
      </c>
      <c r="GC73" s="323">
        <v>45000</v>
      </c>
      <c r="GD73" s="328">
        <f t="shared" si="907"/>
        <v>1912500</v>
      </c>
      <c r="GE73" s="108">
        <f t="shared" si="908"/>
        <v>1</v>
      </c>
      <c r="GF73" s="108">
        <f t="shared" si="909"/>
        <v>1</v>
      </c>
      <c r="GG73" s="108">
        <f t="shared" si="910"/>
        <v>1</v>
      </c>
      <c r="GH73" s="108">
        <f t="shared" si="911"/>
        <v>1</v>
      </c>
      <c r="GI73" s="108">
        <f t="shared" si="912"/>
        <v>1</v>
      </c>
      <c r="GJ73" s="108">
        <f t="shared" si="913"/>
        <v>1</v>
      </c>
      <c r="GK73" s="108">
        <f t="shared" si="914"/>
        <v>1</v>
      </c>
      <c r="GL73" s="109">
        <f t="shared" si="915"/>
        <v>1912500</v>
      </c>
      <c r="GM73" s="110">
        <f t="shared" si="916"/>
        <v>0</v>
      </c>
      <c r="GO73" s="319">
        <v>7.7</v>
      </c>
      <c r="GP73" s="319" t="s">
        <v>180</v>
      </c>
      <c r="GQ73" s="334" t="s">
        <v>323</v>
      </c>
      <c r="GR73" s="327" t="s">
        <v>181</v>
      </c>
      <c r="GS73" s="322">
        <v>42.5</v>
      </c>
      <c r="GT73" s="323">
        <v>45000</v>
      </c>
      <c r="GU73" s="328">
        <v>1912500</v>
      </c>
      <c r="GV73" s="108">
        <f t="shared" si="917"/>
        <v>1</v>
      </c>
      <c r="GW73" s="108">
        <f t="shared" si="918"/>
        <v>1</v>
      </c>
      <c r="GX73" s="108">
        <f t="shared" si="919"/>
        <v>1</v>
      </c>
      <c r="GY73" s="108">
        <f t="shared" si="920"/>
        <v>1</v>
      </c>
      <c r="GZ73" s="108">
        <f t="shared" si="921"/>
        <v>1</v>
      </c>
      <c r="HA73" s="108">
        <f t="shared" si="922"/>
        <v>1</v>
      </c>
      <c r="HB73" s="108">
        <f t="shared" si="923"/>
        <v>1</v>
      </c>
      <c r="HC73" s="109">
        <f t="shared" si="924"/>
        <v>1912500</v>
      </c>
      <c r="HD73" s="110">
        <f t="shared" si="925"/>
        <v>0</v>
      </c>
      <c r="HF73" s="319">
        <v>7.7</v>
      </c>
      <c r="HG73" s="319" t="s">
        <v>180</v>
      </c>
      <c r="HH73" s="334" t="s">
        <v>323</v>
      </c>
      <c r="HI73" s="327" t="s">
        <v>181</v>
      </c>
      <c r="HJ73" s="322">
        <v>42.5</v>
      </c>
      <c r="HK73" s="323">
        <v>20000</v>
      </c>
      <c r="HL73" s="328">
        <f t="shared" si="926"/>
        <v>850000</v>
      </c>
      <c r="HM73" s="108">
        <f t="shared" si="927"/>
        <v>1</v>
      </c>
      <c r="HN73" s="108">
        <f t="shared" si="928"/>
        <v>1</v>
      </c>
      <c r="HO73" s="108">
        <f t="shared" si="929"/>
        <v>1</v>
      </c>
      <c r="HP73" s="108">
        <f t="shared" si="930"/>
        <v>1</v>
      </c>
      <c r="HQ73" s="108">
        <f t="shared" si="931"/>
        <v>1</v>
      </c>
      <c r="HR73" s="108">
        <f t="shared" si="932"/>
        <v>1</v>
      </c>
      <c r="HS73" s="108">
        <f t="shared" si="933"/>
        <v>1</v>
      </c>
      <c r="HT73" s="109">
        <f t="shared" si="934"/>
        <v>850000</v>
      </c>
      <c r="HU73" s="110">
        <f t="shared" si="935"/>
        <v>0</v>
      </c>
      <c r="HW73" s="319">
        <v>7.7</v>
      </c>
      <c r="HX73" s="319" t="s">
        <v>180</v>
      </c>
      <c r="HY73" s="334" t="s">
        <v>323</v>
      </c>
      <c r="HZ73" s="327" t="s">
        <v>181</v>
      </c>
      <c r="IA73" s="322">
        <v>42.5</v>
      </c>
      <c r="IB73" s="323">
        <v>100000</v>
      </c>
      <c r="IC73" s="328">
        <f t="shared" si="936"/>
        <v>4250000</v>
      </c>
      <c r="ID73" s="108">
        <f t="shared" si="937"/>
        <v>1</v>
      </c>
      <c r="IE73" s="108">
        <f t="shared" si="938"/>
        <v>1</v>
      </c>
      <c r="IF73" s="108">
        <f t="shared" si="939"/>
        <v>1</v>
      </c>
      <c r="IG73" s="108">
        <f t="shared" si="940"/>
        <v>1</v>
      </c>
      <c r="IH73" s="108">
        <f t="shared" si="941"/>
        <v>1</v>
      </c>
      <c r="II73" s="108">
        <f t="shared" si="942"/>
        <v>1</v>
      </c>
      <c r="IJ73" s="108">
        <f t="shared" si="943"/>
        <v>1</v>
      </c>
      <c r="IK73" s="109">
        <f t="shared" si="944"/>
        <v>4250000</v>
      </c>
      <c r="IL73" s="110">
        <f t="shared" si="945"/>
        <v>0</v>
      </c>
    </row>
    <row r="74" spans="1:246" s="213" customFormat="1" ht="144" x14ac:dyDescent="0.25">
      <c r="A74" s="211"/>
      <c r="B74" s="326">
        <v>7.8</v>
      </c>
      <c r="C74" s="319" t="s">
        <v>180</v>
      </c>
      <c r="D74" s="334" t="s">
        <v>194</v>
      </c>
      <c r="E74" s="327" t="s">
        <v>181</v>
      </c>
      <c r="F74" s="322">
        <v>25.5</v>
      </c>
      <c r="G74" s="323">
        <v>0</v>
      </c>
      <c r="H74" s="328">
        <f t="shared" si="818"/>
        <v>0</v>
      </c>
      <c r="J74" s="326">
        <v>7.8</v>
      </c>
      <c r="K74" s="319" t="s">
        <v>180</v>
      </c>
      <c r="L74" s="334" t="s">
        <v>194</v>
      </c>
      <c r="M74" s="327" t="s">
        <v>181</v>
      </c>
      <c r="N74" s="322">
        <v>25.5</v>
      </c>
      <c r="O74" s="323">
        <v>121919</v>
      </c>
      <c r="P74" s="328">
        <v>3108935</v>
      </c>
      <c r="Q74" s="108">
        <f t="shared" si="955"/>
        <v>1</v>
      </c>
      <c r="R74" s="108">
        <f t="shared" si="956"/>
        <v>1</v>
      </c>
      <c r="S74" s="108">
        <f t="shared" si="957"/>
        <v>1</v>
      </c>
      <c r="T74" s="108">
        <f t="shared" si="958"/>
        <v>1</v>
      </c>
      <c r="U74" s="108">
        <f t="shared" si="959"/>
        <v>1</v>
      </c>
      <c r="V74" s="108">
        <f t="shared" si="960"/>
        <v>1</v>
      </c>
      <c r="W74" s="108">
        <f t="shared" si="961"/>
        <v>1</v>
      </c>
      <c r="X74" s="109">
        <f t="shared" si="962"/>
        <v>3108935</v>
      </c>
      <c r="Y74" s="110">
        <f t="shared" si="963"/>
        <v>0</v>
      </c>
      <c r="AA74" s="326">
        <v>7.8</v>
      </c>
      <c r="AB74" s="319" t="s">
        <v>180</v>
      </c>
      <c r="AC74" s="334" t="s">
        <v>194</v>
      </c>
      <c r="AD74" s="327" t="s">
        <v>181</v>
      </c>
      <c r="AE74" s="322">
        <v>25.5</v>
      </c>
      <c r="AF74" s="323">
        <v>75000</v>
      </c>
      <c r="AG74" s="328">
        <v>1912500</v>
      </c>
      <c r="AH74" s="108">
        <f t="shared" si="819"/>
        <v>1</v>
      </c>
      <c r="AI74" s="108">
        <f t="shared" si="820"/>
        <v>1</v>
      </c>
      <c r="AJ74" s="108">
        <f t="shared" si="821"/>
        <v>1</v>
      </c>
      <c r="AK74" s="108">
        <f t="shared" si="822"/>
        <v>1</v>
      </c>
      <c r="AL74" s="108">
        <f t="shared" si="823"/>
        <v>1</v>
      </c>
      <c r="AM74" s="108">
        <f t="shared" si="824"/>
        <v>1</v>
      </c>
      <c r="AN74" s="108">
        <f t="shared" si="825"/>
        <v>1</v>
      </c>
      <c r="AO74" s="109">
        <f t="shared" si="826"/>
        <v>1912500</v>
      </c>
      <c r="AP74" s="110">
        <f t="shared" si="827"/>
        <v>0</v>
      </c>
      <c r="AR74" s="326">
        <v>7.8</v>
      </c>
      <c r="AS74" s="319" t="s">
        <v>180</v>
      </c>
      <c r="AT74" s="334" t="s">
        <v>194</v>
      </c>
      <c r="AU74" s="327" t="s">
        <v>181</v>
      </c>
      <c r="AV74" s="322">
        <v>25.5</v>
      </c>
      <c r="AW74" s="323">
        <v>63050</v>
      </c>
      <c r="AX74" s="328">
        <v>1607775</v>
      </c>
      <c r="AY74" s="108">
        <f t="shared" si="828"/>
        <v>1</v>
      </c>
      <c r="AZ74" s="108">
        <f t="shared" si="829"/>
        <v>1</v>
      </c>
      <c r="BA74" s="108">
        <f t="shared" si="830"/>
        <v>1</v>
      </c>
      <c r="BB74" s="108">
        <f t="shared" si="831"/>
        <v>1</v>
      </c>
      <c r="BC74" s="108">
        <f t="shared" si="832"/>
        <v>1</v>
      </c>
      <c r="BD74" s="108">
        <f t="shared" si="833"/>
        <v>1</v>
      </c>
      <c r="BE74" s="108">
        <f t="shared" si="834"/>
        <v>1</v>
      </c>
      <c r="BF74" s="109">
        <f t="shared" si="835"/>
        <v>1607775</v>
      </c>
      <c r="BG74" s="110">
        <f t="shared" si="836"/>
        <v>0</v>
      </c>
      <c r="BI74" s="326">
        <v>7.8</v>
      </c>
      <c r="BJ74" s="319" t="s">
        <v>180</v>
      </c>
      <c r="BK74" s="334" t="s">
        <v>194</v>
      </c>
      <c r="BL74" s="327" t="s">
        <v>181</v>
      </c>
      <c r="BM74" s="322">
        <v>25.5</v>
      </c>
      <c r="BN74" s="323">
        <v>79612</v>
      </c>
      <c r="BO74" s="328">
        <f t="shared" si="837"/>
        <v>2030106</v>
      </c>
      <c r="BP74" s="108">
        <f t="shared" si="838"/>
        <v>1</v>
      </c>
      <c r="BQ74" s="108">
        <f t="shared" si="839"/>
        <v>1</v>
      </c>
      <c r="BR74" s="108">
        <f t="shared" si="840"/>
        <v>1</v>
      </c>
      <c r="BS74" s="108">
        <f t="shared" si="841"/>
        <v>1</v>
      </c>
      <c r="BT74" s="108">
        <f t="shared" si="842"/>
        <v>1</v>
      </c>
      <c r="BU74" s="108">
        <f t="shared" si="843"/>
        <v>1</v>
      </c>
      <c r="BV74" s="108">
        <f t="shared" si="844"/>
        <v>1</v>
      </c>
      <c r="BW74" s="109">
        <f t="shared" si="845"/>
        <v>2030106</v>
      </c>
      <c r="BX74" s="110">
        <f t="shared" si="846"/>
        <v>0</v>
      </c>
      <c r="BZ74" s="326">
        <v>7.8</v>
      </c>
      <c r="CA74" s="319" t="s">
        <v>180</v>
      </c>
      <c r="CB74" s="334" t="s">
        <v>194</v>
      </c>
      <c r="CC74" s="327" t="s">
        <v>181</v>
      </c>
      <c r="CD74" s="322">
        <v>25.5</v>
      </c>
      <c r="CE74" s="323">
        <v>170000</v>
      </c>
      <c r="CF74" s="328">
        <f t="shared" si="847"/>
        <v>4335000</v>
      </c>
      <c r="CG74" s="108">
        <f t="shared" si="848"/>
        <v>1</v>
      </c>
      <c r="CH74" s="108">
        <f t="shared" si="849"/>
        <v>1</v>
      </c>
      <c r="CI74" s="108">
        <f t="shared" si="850"/>
        <v>1</v>
      </c>
      <c r="CJ74" s="108">
        <f t="shared" si="851"/>
        <v>1</v>
      </c>
      <c r="CK74" s="108">
        <f t="shared" si="852"/>
        <v>1</v>
      </c>
      <c r="CL74" s="108">
        <f t="shared" si="853"/>
        <v>1</v>
      </c>
      <c r="CM74" s="108">
        <f t="shared" si="854"/>
        <v>1</v>
      </c>
      <c r="CN74" s="109">
        <f t="shared" si="855"/>
        <v>4335000</v>
      </c>
      <c r="CO74" s="110">
        <f t="shared" si="856"/>
        <v>0</v>
      </c>
      <c r="CQ74" s="326">
        <v>7.8</v>
      </c>
      <c r="CR74" s="319" t="s">
        <v>180</v>
      </c>
      <c r="CS74" s="334" t="s">
        <v>194</v>
      </c>
      <c r="CT74" s="327" t="s">
        <v>181</v>
      </c>
      <c r="CU74" s="322">
        <v>25.5</v>
      </c>
      <c r="CV74" s="323">
        <v>225000</v>
      </c>
      <c r="CW74" s="328">
        <f t="shared" si="857"/>
        <v>5737500</v>
      </c>
      <c r="CX74" s="108">
        <f t="shared" si="858"/>
        <v>1</v>
      </c>
      <c r="CY74" s="108">
        <f t="shared" si="859"/>
        <v>1</v>
      </c>
      <c r="CZ74" s="108">
        <f t="shared" si="860"/>
        <v>1</v>
      </c>
      <c r="DA74" s="108">
        <f t="shared" si="861"/>
        <v>1</v>
      </c>
      <c r="DB74" s="108">
        <f t="shared" si="862"/>
        <v>1</v>
      </c>
      <c r="DC74" s="108">
        <f t="shared" si="863"/>
        <v>1</v>
      </c>
      <c r="DD74" s="108">
        <f t="shared" si="864"/>
        <v>1</v>
      </c>
      <c r="DE74" s="109">
        <f t="shared" si="865"/>
        <v>5737500</v>
      </c>
      <c r="DF74" s="110">
        <f t="shared" si="866"/>
        <v>0</v>
      </c>
      <c r="DH74" s="326">
        <v>7.8</v>
      </c>
      <c r="DI74" s="319" t="s">
        <v>180</v>
      </c>
      <c r="DJ74" s="360" t="s">
        <v>194</v>
      </c>
      <c r="DK74" s="327" t="s">
        <v>181</v>
      </c>
      <c r="DL74" s="322">
        <v>25.5</v>
      </c>
      <c r="DM74" s="323">
        <v>40785</v>
      </c>
      <c r="DN74" s="328">
        <f t="shared" si="867"/>
        <v>1040017.5</v>
      </c>
      <c r="DO74" s="108">
        <f t="shared" si="868"/>
        <v>1</v>
      </c>
      <c r="DP74" s="108">
        <f t="shared" si="869"/>
        <v>1</v>
      </c>
      <c r="DQ74" s="108">
        <f t="shared" si="870"/>
        <v>1</v>
      </c>
      <c r="DR74" s="108">
        <f t="shared" si="871"/>
        <v>1</v>
      </c>
      <c r="DS74" s="108">
        <f t="shared" si="872"/>
        <v>1</v>
      </c>
      <c r="DT74" s="108">
        <f t="shared" si="873"/>
        <v>1</v>
      </c>
      <c r="DU74" s="108">
        <f t="shared" si="874"/>
        <v>1</v>
      </c>
      <c r="DV74" s="109">
        <f t="shared" si="875"/>
        <v>1040018</v>
      </c>
      <c r="DW74" s="110">
        <f t="shared" si="876"/>
        <v>-0.5</v>
      </c>
      <c r="DY74" s="326">
        <v>7.8</v>
      </c>
      <c r="DZ74" s="319" t="s">
        <v>180</v>
      </c>
      <c r="EA74" s="360" t="s">
        <v>194</v>
      </c>
      <c r="EB74" s="327" t="s">
        <v>181</v>
      </c>
      <c r="EC74" s="322">
        <v>25.5</v>
      </c>
      <c r="ED74" s="323">
        <v>39000</v>
      </c>
      <c r="EE74" s="328">
        <f t="shared" si="877"/>
        <v>994500</v>
      </c>
      <c r="EF74" s="108">
        <f t="shared" si="878"/>
        <v>1</v>
      </c>
      <c r="EG74" s="108">
        <f t="shared" si="879"/>
        <v>1</v>
      </c>
      <c r="EH74" s="108">
        <f t="shared" si="880"/>
        <v>1</v>
      </c>
      <c r="EI74" s="108">
        <f t="shared" si="881"/>
        <v>1</v>
      </c>
      <c r="EJ74" s="108">
        <f t="shared" si="882"/>
        <v>1</v>
      </c>
      <c r="EK74" s="108">
        <f t="shared" si="883"/>
        <v>1</v>
      </c>
      <c r="EL74" s="108">
        <f t="shared" si="884"/>
        <v>1</v>
      </c>
      <c r="EM74" s="109">
        <f t="shared" si="885"/>
        <v>994500</v>
      </c>
      <c r="EN74" s="110">
        <f t="shared" si="886"/>
        <v>0</v>
      </c>
      <c r="EP74" s="326">
        <v>7.8</v>
      </c>
      <c r="EQ74" s="319" t="s">
        <v>180</v>
      </c>
      <c r="ER74" s="334" t="s">
        <v>194</v>
      </c>
      <c r="ES74" s="327" t="s">
        <v>181</v>
      </c>
      <c r="ET74" s="322">
        <v>25.5</v>
      </c>
      <c r="EU74" s="323">
        <v>50410</v>
      </c>
      <c r="EV74" s="328">
        <f t="shared" si="887"/>
        <v>1285455</v>
      </c>
      <c r="EW74" s="108">
        <f t="shared" si="888"/>
        <v>1</v>
      </c>
      <c r="EX74" s="108">
        <f t="shared" si="889"/>
        <v>1</v>
      </c>
      <c r="EY74" s="108">
        <f t="shared" si="890"/>
        <v>1</v>
      </c>
      <c r="EZ74" s="108">
        <f t="shared" si="891"/>
        <v>1</v>
      </c>
      <c r="FA74" s="108">
        <f t="shared" si="892"/>
        <v>1</v>
      </c>
      <c r="FB74" s="108">
        <f t="shared" si="893"/>
        <v>1</v>
      </c>
      <c r="FC74" s="108">
        <f t="shared" si="894"/>
        <v>1</v>
      </c>
      <c r="FD74" s="109">
        <f t="shared" si="895"/>
        <v>1285455</v>
      </c>
      <c r="FE74" s="110">
        <f t="shared" si="896"/>
        <v>0</v>
      </c>
      <c r="FG74" s="326">
        <v>7.8</v>
      </c>
      <c r="FH74" s="319" t="s">
        <v>180</v>
      </c>
      <c r="FI74" s="360" t="s">
        <v>194</v>
      </c>
      <c r="FJ74" s="327" t="s">
        <v>181</v>
      </c>
      <c r="FK74" s="322">
        <v>25.5</v>
      </c>
      <c r="FL74" s="323">
        <v>40795</v>
      </c>
      <c r="FM74" s="328">
        <f t="shared" si="897"/>
        <v>1040272.5</v>
      </c>
      <c r="FN74" s="108">
        <f t="shared" si="898"/>
        <v>1</v>
      </c>
      <c r="FO74" s="108">
        <f t="shared" si="899"/>
        <v>1</v>
      </c>
      <c r="FP74" s="108">
        <f t="shared" si="900"/>
        <v>1</v>
      </c>
      <c r="FQ74" s="108">
        <f t="shared" si="901"/>
        <v>1</v>
      </c>
      <c r="FR74" s="108">
        <f t="shared" si="902"/>
        <v>1</v>
      </c>
      <c r="FS74" s="108">
        <f t="shared" si="903"/>
        <v>1</v>
      </c>
      <c r="FT74" s="108">
        <f t="shared" si="904"/>
        <v>1</v>
      </c>
      <c r="FU74" s="109">
        <f t="shared" si="905"/>
        <v>1040273</v>
      </c>
      <c r="FV74" s="110">
        <f t="shared" si="906"/>
        <v>-0.5</v>
      </c>
      <c r="FX74" s="326">
        <v>7.8</v>
      </c>
      <c r="FY74" s="319" t="s">
        <v>180</v>
      </c>
      <c r="FZ74" s="334" t="s">
        <v>194</v>
      </c>
      <c r="GA74" s="327" t="s">
        <v>181</v>
      </c>
      <c r="GB74" s="322">
        <v>25.5</v>
      </c>
      <c r="GC74" s="323">
        <v>58000</v>
      </c>
      <c r="GD74" s="328">
        <f t="shared" si="907"/>
        <v>1479000</v>
      </c>
      <c r="GE74" s="108">
        <f t="shared" si="908"/>
        <v>1</v>
      </c>
      <c r="GF74" s="108">
        <f t="shared" si="909"/>
        <v>1</v>
      </c>
      <c r="GG74" s="108">
        <f t="shared" si="910"/>
        <v>1</v>
      </c>
      <c r="GH74" s="108">
        <f t="shared" si="911"/>
        <v>1</v>
      </c>
      <c r="GI74" s="108">
        <f t="shared" si="912"/>
        <v>1</v>
      </c>
      <c r="GJ74" s="108">
        <f t="shared" si="913"/>
        <v>1</v>
      </c>
      <c r="GK74" s="108">
        <f t="shared" si="914"/>
        <v>1</v>
      </c>
      <c r="GL74" s="109">
        <f t="shared" si="915"/>
        <v>1479000</v>
      </c>
      <c r="GM74" s="110">
        <f t="shared" si="916"/>
        <v>0</v>
      </c>
      <c r="GO74" s="326">
        <v>7.8</v>
      </c>
      <c r="GP74" s="319" t="s">
        <v>180</v>
      </c>
      <c r="GQ74" s="334" t="s">
        <v>194</v>
      </c>
      <c r="GR74" s="327" t="s">
        <v>181</v>
      </c>
      <c r="GS74" s="322">
        <v>25.5</v>
      </c>
      <c r="GT74" s="323">
        <v>55000</v>
      </c>
      <c r="GU74" s="328">
        <v>1402500</v>
      </c>
      <c r="GV74" s="108">
        <f t="shared" si="917"/>
        <v>1</v>
      </c>
      <c r="GW74" s="108">
        <f t="shared" si="918"/>
        <v>1</v>
      </c>
      <c r="GX74" s="108">
        <f t="shared" si="919"/>
        <v>1</v>
      </c>
      <c r="GY74" s="108">
        <f t="shared" si="920"/>
        <v>1</v>
      </c>
      <c r="GZ74" s="108">
        <f t="shared" si="921"/>
        <v>1</v>
      </c>
      <c r="HA74" s="108">
        <f t="shared" si="922"/>
        <v>1</v>
      </c>
      <c r="HB74" s="108">
        <f t="shared" si="923"/>
        <v>1</v>
      </c>
      <c r="HC74" s="109">
        <f t="shared" si="924"/>
        <v>1402500</v>
      </c>
      <c r="HD74" s="110">
        <f t="shared" si="925"/>
        <v>0</v>
      </c>
      <c r="HF74" s="326">
        <v>7.8</v>
      </c>
      <c r="HG74" s="319" t="s">
        <v>180</v>
      </c>
      <c r="HH74" s="334" t="s">
        <v>194</v>
      </c>
      <c r="HI74" s="327" t="s">
        <v>181</v>
      </c>
      <c r="HJ74" s="322">
        <v>25.5</v>
      </c>
      <c r="HK74" s="323">
        <v>20000</v>
      </c>
      <c r="HL74" s="328">
        <f t="shared" si="926"/>
        <v>510000</v>
      </c>
      <c r="HM74" s="108">
        <f t="shared" si="927"/>
        <v>1</v>
      </c>
      <c r="HN74" s="108">
        <f t="shared" si="928"/>
        <v>1</v>
      </c>
      <c r="HO74" s="108">
        <f t="shared" si="929"/>
        <v>1</v>
      </c>
      <c r="HP74" s="108">
        <f t="shared" si="930"/>
        <v>1</v>
      </c>
      <c r="HQ74" s="108">
        <f t="shared" si="931"/>
        <v>1</v>
      </c>
      <c r="HR74" s="108">
        <f t="shared" si="932"/>
        <v>1</v>
      </c>
      <c r="HS74" s="108">
        <f t="shared" si="933"/>
        <v>1</v>
      </c>
      <c r="HT74" s="109">
        <f t="shared" si="934"/>
        <v>510000</v>
      </c>
      <c r="HU74" s="110">
        <f t="shared" si="935"/>
        <v>0</v>
      </c>
      <c r="HW74" s="326">
        <v>7.8</v>
      </c>
      <c r="HX74" s="319" t="s">
        <v>180</v>
      </c>
      <c r="HY74" s="334" t="s">
        <v>194</v>
      </c>
      <c r="HZ74" s="327" t="s">
        <v>181</v>
      </c>
      <c r="IA74" s="322">
        <v>25.5</v>
      </c>
      <c r="IB74" s="323">
        <v>100000</v>
      </c>
      <c r="IC74" s="328">
        <f t="shared" si="936"/>
        <v>2550000</v>
      </c>
      <c r="ID74" s="108">
        <f t="shared" si="937"/>
        <v>1</v>
      </c>
      <c r="IE74" s="108">
        <f t="shared" si="938"/>
        <v>1</v>
      </c>
      <c r="IF74" s="108">
        <f t="shared" si="939"/>
        <v>1</v>
      </c>
      <c r="IG74" s="108">
        <f t="shared" si="940"/>
        <v>1</v>
      </c>
      <c r="IH74" s="108">
        <f t="shared" si="941"/>
        <v>1</v>
      </c>
      <c r="II74" s="108">
        <f t="shared" si="942"/>
        <v>1</v>
      </c>
      <c r="IJ74" s="108">
        <f t="shared" si="943"/>
        <v>1</v>
      </c>
      <c r="IK74" s="109">
        <f t="shared" si="944"/>
        <v>2550000</v>
      </c>
      <c r="IL74" s="110">
        <f t="shared" si="945"/>
        <v>0</v>
      </c>
    </row>
    <row r="75" spans="1:246" s="213" customFormat="1" ht="144" x14ac:dyDescent="0.25">
      <c r="A75" s="211"/>
      <c r="B75" s="319">
        <v>7.9</v>
      </c>
      <c r="C75" s="319" t="s">
        <v>180</v>
      </c>
      <c r="D75" s="334" t="s">
        <v>324</v>
      </c>
      <c r="E75" s="327" t="s">
        <v>181</v>
      </c>
      <c r="F75" s="322">
        <v>8.5</v>
      </c>
      <c r="G75" s="323">
        <v>0</v>
      </c>
      <c r="H75" s="328">
        <f t="shared" si="818"/>
        <v>0</v>
      </c>
      <c r="J75" s="319">
        <v>7.9</v>
      </c>
      <c r="K75" s="319" t="s">
        <v>180</v>
      </c>
      <c r="L75" s="334" t="s">
        <v>324</v>
      </c>
      <c r="M75" s="327" t="s">
        <v>181</v>
      </c>
      <c r="N75" s="322">
        <v>8.5</v>
      </c>
      <c r="O75" s="323">
        <v>261752</v>
      </c>
      <c r="P75" s="328">
        <v>2224892</v>
      </c>
      <c r="Q75" s="108">
        <f t="shared" si="955"/>
        <v>1</v>
      </c>
      <c r="R75" s="108">
        <f t="shared" si="956"/>
        <v>1</v>
      </c>
      <c r="S75" s="108">
        <f t="shared" si="957"/>
        <v>1</v>
      </c>
      <c r="T75" s="108">
        <f t="shared" si="958"/>
        <v>1</v>
      </c>
      <c r="U75" s="108">
        <f t="shared" si="959"/>
        <v>1</v>
      </c>
      <c r="V75" s="108">
        <f t="shared" si="960"/>
        <v>1</v>
      </c>
      <c r="W75" s="108">
        <f t="shared" si="961"/>
        <v>1</v>
      </c>
      <c r="X75" s="109">
        <f t="shared" si="962"/>
        <v>2224892</v>
      </c>
      <c r="Y75" s="110">
        <f t="shared" si="963"/>
        <v>0</v>
      </c>
      <c r="AA75" s="319">
        <v>7.9</v>
      </c>
      <c r="AB75" s="319" t="s">
        <v>180</v>
      </c>
      <c r="AC75" s="334" t="s">
        <v>324</v>
      </c>
      <c r="AD75" s="327" t="s">
        <v>181</v>
      </c>
      <c r="AE75" s="322">
        <v>8.5</v>
      </c>
      <c r="AF75" s="323">
        <v>80000</v>
      </c>
      <c r="AG75" s="328">
        <v>680000</v>
      </c>
      <c r="AH75" s="108">
        <f t="shared" si="819"/>
        <v>1</v>
      </c>
      <c r="AI75" s="108">
        <f t="shared" si="820"/>
        <v>1</v>
      </c>
      <c r="AJ75" s="108">
        <f t="shared" si="821"/>
        <v>1</v>
      </c>
      <c r="AK75" s="108">
        <f t="shared" si="822"/>
        <v>1</v>
      </c>
      <c r="AL75" s="108">
        <f t="shared" si="823"/>
        <v>1</v>
      </c>
      <c r="AM75" s="108">
        <f t="shared" si="824"/>
        <v>1</v>
      </c>
      <c r="AN75" s="108">
        <f t="shared" si="825"/>
        <v>1</v>
      </c>
      <c r="AO75" s="109">
        <f t="shared" si="826"/>
        <v>680000</v>
      </c>
      <c r="AP75" s="110">
        <f t="shared" si="827"/>
        <v>0</v>
      </c>
      <c r="AR75" s="319">
        <v>7.9</v>
      </c>
      <c r="AS75" s="319" t="s">
        <v>180</v>
      </c>
      <c r="AT75" s="334" t="s">
        <v>324</v>
      </c>
      <c r="AU75" s="327" t="s">
        <v>181</v>
      </c>
      <c r="AV75" s="322">
        <v>8.5</v>
      </c>
      <c r="AW75" s="323">
        <v>67900</v>
      </c>
      <c r="AX75" s="328">
        <v>577150</v>
      </c>
      <c r="AY75" s="108">
        <f t="shared" si="828"/>
        <v>1</v>
      </c>
      <c r="AZ75" s="108">
        <f t="shared" si="829"/>
        <v>1</v>
      </c>
      <c r="BA75" s="108">
        <f t="shared" si="830"/>
        <v>1</v>
      </c>
      <c r="BB75" s="108">
        <f t="shared" si="831"/>
        <v>1</v>
      </c>
      <c r="BC75" s="108">
        <f t="shared" si="832"/>
        <v>1</v>
      </c>
      <c r="BD75" s="108">
        <f t="shared" si="833"/>
        <v>1</v>
      </c>
      <c r="BE75" s="108">
        <f t="shared" si="834"/>
        <v>1</v>
      </c>
      <c r="BF75" s="109">
        <f t="shared" si="835"/>
        <v>577150</v>
      </c>
      <c r="BG75" s="110">
        <f t="shared" si="836"/>
        <v>0</v>
      </c>
      <c r="BI75" s="319">
        <v>7.9</v>
      </c>
      <c r="BJ75" s="319" t="s">
        <v>180</v>
      </c>
      <c r="BK75" s="334" t="s">
        <v>324</v>
      </c>
      <c r="BL75" s="327" t="s">
        <v>181</v>
      </c>
      <c r="BM75" s="322">
        <v>8.5</v>
      </c>
      <c r="BN75" s="323">
        <v>92232</v>
      </c>
      <c r="BO75" s="328">
        <f t="shared" si="837"/>
        <v>783972</v>
      </c>
      <c r="BP75" s="108">
        <f t="shared" si="838"/>
        <v>1</v>
      </c>
      <c r="BQ75" s="108">
        <f t="shared" si="839"/>
        <v>1</v>
      </c>
      <c r="BR75" s="108">
        <f t="shared" si="840"/>
        <v>1</v>
      </c>
      <c r="BS75" s="108">
        <f t="shared" si="841"/>
        <v>1</v>
      </c>
      <c r="BT75" s="108">
        <f t="shared" si="842"/>
        <v>1</v>
      </c>
      <c r="BU75" s="108">
        <f t="shared" si="843"/>
        <v>1</v>
      </c>
      <c r="BV75" s="108">
        <f t="shared" si="844"/>
        <v>1</v>
      </c>
      <c r="BW75" s="109">
        <f t="shared" si="845"/>
        <v>783972</v>
      </c>
      <c r="BX75" s="110">
        <f t="shared" si="846"/>
        <v>0</v>
      </c>
      <c r="BZ75" s="319">
        <v>7.9</v>
      </c>
      <c r="CA75" s="319" t="s">
        <v>180</v>
      </c>
      <c r="CB75" s="334" t="s">
        <v>324</v>
      </c>
      <c r="CC75" s="327" t="s">
        <v>181</v>
      </c>
      <c r="CD75" s="322">
        <v>8.5</v>
      </c>
      <c r="CE75" s="323">
        <v>248000</v>
      </c>
      <c r="CF75" s="328">
        <f t="shared" si="847"/>
        <v>2108000</v>
      </c>
      <c r="CG75" s="108">
        <f t="shared" si="848"/>
        <v>1</v>
      </c>
      <c r="CH75" s="108">
        <f t="shared" si="849"/>
        <v>1</v>
      </c>
      <c r="CI75" s="108">
        <f t="shared" si="850"/>
        <v>1</v>
      </c>
      <c r="CJ75" s="108">
        <f t="shared" si="851"/>
        <v>1</v>
      </c>
      <c r="CK75" s="108">
        <f t="shared" si="852"/>
        <v>1</v>
      </c>
      <c r="CL75" s="108">
        <f t="shared" si="853"/>
        <v>1</v>
      </c>
      <c r="CM75" s="108">
        <f t="shared" si="854"/>
        <v>1</v>
      </c>
      <c r="CN75" s="109">
        <f t="shared" si="855"/>
        <v>2108000</v>
      </c>
      <c r="CO75" s="110">
        <f t="shared" si="856"/>
        <v>0</v>
      </c>
      <c r="CQ75" s="319">
        <v>7.9</v>
      </c>
      <c r="CR75" s="319" t="s">
        <v>180</v>
      </c>
      <c r="CS75" s="334" t="s">
        <v>324</v>
      </c>
      <c r="CT75" s="327" t="s">
        <v>181</v>
      </c>
      <c r="CU75" s="322">
        <v>8.5</v>
      </c>
      <c r="CV75" s="323">
        <v>285000</v>
      </c>
      <c r="CW75" s="328">
        <f t="shared" si="857"/>
        <v>2422500</v>
      </c>
      <c r="CX75" s="108">
        <f t="shared" si="858"/>
        <v>1</v>
      </c>
      <c r="CY75" s="108">
        <f t="shared" si="859"/>
        <v>1</v>
      </c>
      <c r="CZ75" s="108">
        <f t="shared" si="860"/>
        <v>1</v>
      </c>
      <c r="DA75" s="108">
        <f t="shared" si="861"/>
        <v>1</v>
      </c>
      <c r="DB75" s="108">
        <f t="shared" si="862"/>
        <v>1</v>
      </c>
      <c r="DC75" s="108">
        <f t="shared" si="863"/>
        <v>1</v>
      </c>
      <c r="DD75" s="108">
        <f t="shared" si="864"/>
        <v>1</v>
      </c>
      <c r="DE75" s="109">
        <f t="shared" si="865"/>
        <v>2422500</v>
      </c>
      <c r="DF75" s="110">
        <f t="shared" si="866"/>
        <v>0</v>
      </c>
      <c r="DH75" s="319">
        <v>7.9</v>
      </c>
      <c r="DI75" s="319" t="s">
        <v>180</v>
      </c>
      <c r="DJ75" s="360" t="s">
        <v>324</v>
      </c>
      <c r="DK75" s="327" t="s">
        <v>181</v>
      </c>
      <c r="DL75" s="322">
        <v>8.5</v>
      </c>
      <c r="DM75" s="323">
        <v>59022</v>
      </c>
      <c r="DN75" s="328">
        <f t="shared" si="867"/>
        <v>501687</v>
      </c>
      <c r="DO75" s="108">
        <f t="shared" si="868"/>
        <v>1</v>
      </c>
      <c r="DP75" s="108">
        <f t="shared" si="869"/>
        <v>1</v>
      </c>
      <c r="DQ75" s="108">
        <f t="shared" si="870"/>
        <v>1</v>
      </c>
      <c r="DR75" s="108">
        <f t="shared" si="871"/>
        <v>1</v>
      </c>
      <c r="DS75" s="108">
        <f t="shared" si="872"/>
        <v>1</v>
      </c>
      <c r="DT75" s="108">
        <f t="shared" si="873"/>
        <v>1</v>
      </c>
      <c r="DU75" s="108">
        <f t="shared" si="874"/>
        <v>1</v>
      </c>
      <c r="DV75" s="109">
        <f t="shared" si="875"/>
        <v>501687</v>
      </c>
      <c r="DW75" s="110">
        <f t="shared" si="876"/>
        <v>0</v>
      </c>
      <c r="DY75" s="319">
        <v>7.9</v>
      </c>
      <c r="DZ75" s="319" t="s">
        <v>180</v>
      </c>
      <c r="EA75" s="360" t="s">
        <v>324</v>
      </c>
      <c r="EB75" s="327" t="s">
        <v>181</v>
      </c>
      <c r="EC75" s="322">
        <v>8.5</v>
      </c>
      <c r="ED75" s="323">
        <v>41000</v>
      </c>
      <c r="EE75" s="328">
        <f t="shared" si="877"/>
        <v>348500</v>
      </c>
      <c r="EF75" s="108">
        <f t="shared" si="878"/>
        <v>1</v>
      </c>
      <c r="EG75" s="108">
        <f t="shared" si="879"/>
        <v>1</v>
      </c>
      <c r="EH75" s="108">
        <f t="shared" si="880"/>
        <v>1</v>
      </c>
      <c r="EI75" s="108">
        <f t="shared" si="881"/>
        <v>1</v>
      </c>
      <c r="EJ75" s="108">
        <f t="shared" si="882"/>
        <v>1</v>
      </c>
      <c r="EK75" s="108">
        <f t="shared" si="883"/>
        <v>1</v>
      </c>
      <c r="EL75" s="108">
        <f t="shared" si="884"/>
        <v>1</v>
      </c>
      <c r="EM75" s="109">
        <f t="shared" si="885"/>
        <v>348500</v>
      </c>
      <c r="EN75" s="110">
        <f t="shared" si="886"/>
        <v>0</v>
      </c>
      <c r="EP75" s="319">
        <v>7.9</v>
      </c>
      <c r="EQ75" s="319" t="s">
        <v>180</v>
      </c>
      <c r="ER75" s="334" t="s">
        <v>324</v>
      </c>
      <c r="ES75" s="327" t="s">
        <v>181</v>
      </c>
      <c r="ET75" s="322">
        <v>8.5</v>
      </c>
      <c r="EU75" s="323">
        <v>55400</v>
      </c>
      <c r="EV75" s="328">
        <f t="shared" si="887"/>
        <v>470900</v>
      </c>
      <c r="EW75" s="108">
        <f t="shared" si="888"/>
        <v>1</v>
      </c>
      <c r="EX75" s="108">
        <f t="shared" si="889"/>
        <v>1</v>
      </c>
      <c r="EY75" s="108">
        <f t="shared" si="890"/>
        <v>1</v>
      </c>
      <c r="EZ75" s="108">
        <f t="shared" si="891"/>
        <v>1</v>
      </c>
      <c r="FA75" s="108">
        <f t="shared" si="892"/>
        <v>1</v>
      </c>
      <c r="FB75" s="108">
        <f t="shared" si="893"/>
        <v>1</v>
      </c>
      <c r="FC75" s="108">
        <f t="shared" si="894"/>
        <v>1</v>
      </c>
      <c r="FD75" s="109">
        <f t="shared" si="895"/>
        <v>470900</v>
      </c>
      <c r="FE75" s="110">
        <f t="shared" si="896"/>
        <v>0</v>
      </c>
      <c r="FG75" s="319">
        <v>7.9</v>
      </c>
      <c r="FH75" s="319" t="s">
        <v>180</v>
      </c>
      <c r="FI75" s="360" t="s">
        <v>324</v>
      </c>
      <c r="FJ75" s="327" t="s">
        <v>181</v>
      </c>
      <c r="FK75" s="322">
        <v>8.5</v>
      </c>
      <c r="FL75" s="323">
        <v>59045</v>
      </c>
      <c r="FM75" s="328">
        <f t="shared" si="897"/>
        <v>501882.5</v>
      </c>
      <c r="FN75" s="108">
        <f t="shared" si="898"/>
        <v>1</v>
      </c>
      <c r="FO75" s="108">
        <f t="shared" si="899"/>
        <v>1</v>
      </c>
      <c r="FP75" s="108">
        <f t="shared" si="900"/>
        <v>1</v>
      </c>
      <c r="FQ75" s="108">
        <f t="shared" si="901"/>
        <v>1</v>
      </c>
      <c r="FR75" s="108">
        <f t="shared" si="902"/>
        <v>1</v>
      </c>
      <c r="FS75" s="108">
        <f t="shared" si="903"/>
        <v>1</v>
      </c>
      <c r="FT75" s="108">
        <f t="shared" si="904"/>
        <v>1</v>
      </c>
      <c r="FU75" s="109">
        <f t="shared" si="905"/>
        <v>501883</v>
      </c>
      <c r="FV75" s="110">
        <f t="shared" si="906"/>
        <v>-0.5</v>
      </c>
      <c r="FX75" s="319">
        <v>7.9</v>
      </c>
      <c r="FY75" s="319" t="s">
        <v>180</v>
      </c>
      <c r="FZ75" s="334" t="s">
        <v>324</v>
      </c>
      <c r="GA75" s="327" t="s">
        <v>181</v>
      </c>
      <c r="GB75" s="322">
        <v>8.5</v>
      </c>
      <c r="GC75" s="323">
        <v>75000</v>
      </c>
      <c r="GD75" s="328">
        <f t="shared" si="907"/>
        <v>637500</v>
      </c>
      <c r="GE75" s="108">
        <f t="shared" si="908"/>
        <v>1</v>
      </c>
      <c r="GF75" s="108">
        <f t="shared" si="909"/>
        <v>1</v>
      </c>
      <c r="GG75" s="108">
        <f t="shared" si="910"/>
        <v>1</v>
      </c>
      <c r="GH75" s="108">
        <f t="shared" si="911"/>
        <v>1</v>
      </c>
      <c r="GI75" s="108">
        <f t="shared" si="912"/>
        <v>1</v>
      </c>
      <c r="GJ75" s="108">
        <f t="shared" si="913"/>
        <v>1</v>
      </c>
      <c r="GK75" s="108">
        <f t="shared" si="914"/>
        <v>1</v>
      </c>
      <c r="GL75" s="109">
        <f t="shared" si="915"/>
        <v>637500</v>
      </c>
      <c r="GM75" s="110">
        <f t="shared" si="916"/>
        <v>0</v>
      </c>
      <c r="GO75" s="319">
        <v>7.9</v>
      </c>
      <c r="GP75" s="319" t="s">
        <v>180</v>
      </c>
      <c r="GQ75" s="334" t="s">
        <v>324</v>
      </c>
      <c r="GR75" s="327" t="s">
        <v>181</v>
      </c>
      <c r="GS75" s="322">
        <v>8.5</v>
      </c>
      <c r="GT75" s="323">
        <v>75000</v>
      </c>
      <c r="GU75" s="328">
        <v>637500</v>
      </c>
      <c r="GV75" s="108">
        <f t="shared" si="917"/>
        <v>1</v>
      </c>
      <c r="GW75" s="108">
        <f t="shared" si="918"/>
        <v>1</v>
      </c>
      <c r="GX75" s="108">
        <f t="shared" si="919"/>
        <v>1</v>
      </c>
      <c r="GY75" s="108">
        <f t="shared" si="920"/>
        <v>1</v>
      </c>
      <c r="GZ75" s="108">
        <f t="shared" si="921"/>
        <v>1</v>
      </c>
      <c r="HA75" s="108">
        <f t="shared" si="922"/>
        <v>1</v>
      </c>
      <c r="HB75" s="108">
        <f t="shared" si="923"/>
        <v>1</v>
      </c>
      <c r="HC75" s="109">
        <f t="shared" si="924"/>
        <v>637500</v>
      </c>
      <c r="HD75" s="110">
        <f t="shared" si="925"/>
        <v>0</v>
      </c>
      <c r="HF75" s="319">
        <v>7.9</v>
      </c>
      <c r="HG75" s="319" t="s">
        <v>180</v>
      </c>
      <c r="HH75" s="334" t="s">
        <v>324</v>
      </c>
      <c r="HI75" s="327" t="s">
        <v>181</v>
      </c>
      <c r="HJ75" s="322">
        <v>8.5</v>
      </c>
      <c r="HK75" s="323">
        <v>20000</v>
      </c>
      <c r="HL75" s="328">
        <f t="shared" si="926"/>
        <v>170000</v>
      </c>
      <c r="HM75" s="108">
        <f t="shared" si="927"/>
        <v>1</v>
      </c>
      <c r="HN75" s="108">
        <f t="shared" si="928"/>
        <v>1</v>
      </c>
      <c r="HO75" s="108">
        <f t="shared" si="929"/>
        <v>1</v>
      </c>
      <c r="HP75" s="108">
        <f t="shared" si="930"/>
        <v>1</v>
      </c>
      <c r="HQ75" s="108">
        <f t="shared" si="931"/>
        <v>1</v>
      </c>
      <c r="HR75" s="108">
        <f t="shared" si="932"/>
        <v>1</v>
      </c>
      <c r="HS75" s="108">
        <f t="shared" si="933"/>
        <v>1</v>
      </c>
      <c r="HT75" s="109">
        <f t="shared" si="934"/>
        <v>170000</v>
      </c>
      <c r="HU75" s="110">
        <f t="shared" si="935"/>
        <v>0</v>
      </c>
      <c r="HW75" s="319">
        <v>7.9</v>
      </c>
      <c r="HX75" s="319" t="s">
        <v>180</v>
      </c>
      <c r="HY75" s="334" t="s">
        <v>324</v>
      </c>
      <c r="HZ75" s="327" t="s">
        <v>181</v>
      </c>
      <c r="IA75" s="322">
        <v>8.5</v>
      </c>
      <c r="IB75" s="323">
        <v>100000</v>
      </c>
      <c r="IC75" s="328">
        <f t="shared" si="936"/>
        <v>850000</v>
      </c>
      <c r="ID75" s="108">
        <f t="shared" si="937"/>
        <v>1</v>
      </c>
      <c r="IE75" s="108">
        <f t="shared" si="938"/>
        <v>1</v>
      </c>
      <c r="IF75" s="108">
        <f t="shared" si="939"/>
        <v>1</v>
      </c>
      <c r="IG75" s="108">
        <f t="shared" si="940"/>
        <v>1</v>
      </c>
      <c r="IH75" s="108">
        <f t="shared" si="941"/>
        <v>1</v>
      </c>
      <c r="II75" s="108">
        <f t="shared" si="942"/>
        <v>1</v>
      </c>
      <c r="IJ75" s="108">
        <f t="shared" si="943"/>
        <v>1</v>
      </c>
      <c r="IK75" s="109">
        <f t="shared" si="944"/>
        <v>850000</v>
      </c>
      <c r="IL75" s="110">
        <f t="shared" si="945"/>
        <v>0</v>
      </c>
    </row>
    <row r="76" spans="1:246" s="213" customFormat="1" ht="144" x14ac:dyDescent="0.25">
      <c r="A76" s="211"/>
      <c r="B76" s="326" t="s">
        <v>325</v>
      </c>
      <c r="C76" s="319" t="s">
        <v>180</v>
      </c>
      <c r="D76" s="334" t="s">
        <v>326</v>
      </c>
      <c r="E76" s="327" t="s">
        <v>181</v>
      </c>
      <c r="F76" s="322">
        <v>8.5</v>
      </c>
      <c r="G76" s="323">
        <v>0</v>
      </c>
      <c r="H76" s="328">
        <f t="shared" si="818"/>
        <v>0</v>
      </c>
      <c r="J76" s="326" t="s">
        <v>325</v>
      </c>
      <c r="K76" s="319" t="s">
        <v>180</v>
      </c>
      <c r="L76" s="334" t="s">
        <v>326</v>
      </c>
      <c r="M76" s="327" t="s">
        <v>181</v>
      </c>
      <c r="N76" s="322">
        <v>8.5</v>
      </c>
      <c r="O76" s="323">
        <v>277368</v>
      </c>
      <c r="P76" s="328">
        <v>2357628</v>
      </c>
      <c r="Q76" s="108">
        <f t="shared" si="955"/>
        <v>1</v>
      </c>
      <c r="R76" s="108">
        <f t="shared" si="956"/>
        <v>1</v>
      </c>
      <c r="S76" s="108">
        <f t="shared" si="957"/>
        <v>1</v>
      </c>
      <c r="T76" s="108">
        <f t="shared" si="958"/>
        <v>1</v>
      </c>
      <c r="U76" s="108">
        <f t="shared" si="959"/>
        <v>1</v>
      </c>
      <c r="V76" s="108">
        <f t="shared" si="960"/>
        <v>1</v>
      </c>
      <c r="W76" s="108">
        <f t="shared" si="961"/>
        <v>1</v>
      </c>
      <c r="X76" s="109">
        <f t="shared" si="962"/>
        <v>2357628</v>
      </c>
      <c r="Y76" s="110">
        <f t="shared" si="963"/>
        <v>0</v>
      </c>
      <c r="AA76" s="326" t="s">
        <v>325</v>
      </c>
      <c r="AB76" s="319" t="s">
        <v>180</v>
      </c>
      <c r="AC76" s="334" t="s">
        <v>326</v>
      </c>
      <c r="AD76" s="327" t="s">
        <v>181</v>
      </c>
      <c r="AE76" s="322">
        <v>8.5</v>
      </c>
      <c r="AF76" s="323">
        <v>92000</v>
      </c>
      <c r="AG76" s="328">
        <v>782000</v>
      </c>
      <c r="AH76" s="108">
        <f t="shared" si="819"/>
        <v>1</v>
      </c>
      <c r="AI76" s="108">
        <f t="shared" si="820"/>
        <v>1</v>
      </c>
      <c r="AJ76" s="108">
        <f t="shared" si="821"/>
        <v>1</v>
      </c>
      <c r="AK76" s="108">
        <f t="shared" si="822"/>
        <v>1</v>
      </c>
      <c r="AL76" s="108">
        <f t="shared" si="823"/>
        <v>1</v>
      </c>
      <c r="AM76" s="108">
        <f t="shared" si="824"/>
        <v>1</v>
      </c>
      <c r="AN76" s="108">
        <f t="shared" si="825"/>
        <v>1</v>
      </c>
      <c r="AO76" s="109">
        <f t="shared" si="826"/>
        <v>782000</v>
      </c>
      <c r="AP76" s="110">
        <f t="shared" si="827"/>
        <v>0</v>
      </c>
      <c r="AR76" s="326" t="s">
        <v>325</v>
      </c>
      <c r="AS76" s="319" t="s">
        <v>180</v>
      </c>
      <c r="AT76" s="334" t="s">
        <v>326</v>
      </c>
      <c r="AU76" s="327" t="s">
        <v>181</v>
      </c>
      <c r="AV76" s="322">
        <v>8.5</v>
      </c>
      <c r="AW76" s="323">
        <v>97000</v>
      </c>
      <c r="AX76" s="328">
        <v>824500</v>
      </c>
      <c r="AY76" s="108">
        <f t="shared" si="828"/>
        <v>1</v>
      </c>
      <c r="AZ76" s="108">
        <f t="shared" si="829"/>
        <v>1</v>
      </c>
      <c r="BA76" s="108">
        <f t="shared" si="830"/>
        <v>1</v>
      </c>
      <c r="BB76" s="108">
        <f t="shared" si="831"/>
        <v>1</v>
      </c>
      <c r="BC76" s="108">
        <f t="shared" si="832"/>
        <v>1</v>
      </c>
      <c r="BD76" s="108">
        <f t="shared" si="833"/>
        <v>1</v>
      </c>
      <c r="BE76" s="108">
        <f t="shared" si="834"/>
        <v>1</v>
      </c>
      <c r="BF76" s="109">
        <f t="shared" si="835"/>
        <v>824500</v>
      </c>
      <c r="BG76" s="110">
        <f t="shared" si="836"/>
        <v>0</v>
      </c>
      <c r="BI76" s="326" t="s">
        <v>325</v>
      </c>
      <c r="BJ76" s="319" t="s">
        <v>180</v>
      </c>
      <c r="BK76" s="334" t="s">
        <v>326</v>
      </c>
      <c r="BL76" s="327" t="s">
        <v>181</v>
      </c>
      <c r="BM76" s="322">
        <v>8.5</v>
      </c>
      <c r="BN76" s="323">
        <v>101652</v>
      </c>
      <c r="BO76" s="328">
        <f t="shared" si="837"/>
        <v>864042</v>
      </c>
      <c r="BP76" s="108">
        <f t="shared" si="838"/>
        <v>1</v>
      </c>
      <c r="BQ76" s="108">
        <f t="shared" si="839"/>
        <v>1</v>
      </c>
      <c r="BR76" s="108">
        <f t="shared" si="840"/>
        <v>1</v>
      </c>
      <c r="BS76" s="108">
        <f t="shared" si="841"/>
        <v>1</v>
      </c>
      <c r="BT76" s="108">
        <f t="shared" si="842"/>
        <v>1</v>
      </c>
      <c r="BU76" s="108">
        <f t="shared" si="843"/>
        <v>1</v>
      </c>
      <c r="BV76" s="108">
        <f t="shared" si="844"/>
        <v>1</v>
      </c>
      <c r="BW76" s="109">
        <f t="shared" si="845"/>
        <v>864042</v>
      </c>
      <c r="BX76" s="110">
        <f t="shared" si="846"/>
        <v>0</v>
      </c>
      <c r="BZ76" s="326" t="s">
        <v>325</v>
      </c>
      <c r="CA76" s="319" t="s">
        <v>180</v>
      </c>
      <c r="CB76" s="334" t="s">
        <v>326</v>
      </c>
      <c r="CC76" s="327" t="s">
        <v>181</v>
      </c>
      <c r="CD76" s="322">
        <v>8.5</v>
      </c>
      <c r="CE76" s="323">
        <v>250000</v>
      </c>
      <c r="CF76" s="328">
        <f t="shared" si="847"/>
        <v>2125000</v>
      </c>
      <c r="CG76" s="108">
        <f t="shared" si="848"/>
        <v>1</v>
      </c>
      <c r="CH76" s="108">
        <f t="shared" si="849"/>
        <v>1</v>
      </c>
      <c r="CI76" s="108">
        <f t="shared" si="850"/>
        <v>1</v>
      </c>
      <c r="CJ76" s="108">
        <f t="shared" si="851"/>
        <v>1</v>
      </c>
      <c r="CK76" s="108">
        <f t="shared" si="852"/>
        <v>1</v>
      </c>
      <c r="CL76" s="108">
        <f t="shared" si="853"/>
        <v>1</v>
      </c>
      <c r="CM76" s="108">
        <f t="shared" si="854"/>
        <v>1</v>
      </c>
      <c r="CN76" s="109">
        <f t="shared" si="855"/>
        <v>2125000</v>
      </c>
      <c r="CO76" s="110">
        <f t="shared" si="856"/>
        <v>0</v>
      </c>
      <c r="CQ76" s="326" t="s">
        <v>325</v>
      </c>
      <c r="CR76" s="319" t="s">
        <v>180</v>
      </c>
      <c r="CS76" s="334" t="s">
        <v>326</v>
      </c>
      <c r="CT76" s="327" t="s">
        <v>181</v>
      </c>
      <c r="CU76" s="322">
        <v>8.5</v>
      </c>
      <c r="CV76" s="323">
        <v>360000</v>
      </c>
      <c r="CW76" s="328">
        <f t="shared" si="857"/>
        <v>3060000</v>
      </c>
      <c r="CX76" s="108">
        <f t="shared" si="858"/>
        <v>1</v>
      </c>
      <c r="CY76" s="108">
        <f t="shared" si="859"/>
        <v>1</v>
      </c>
      <c r="CZ76" s="108">
        <f t="shared" si="860"/>
        <v>1</v>
      </c>
      <c r="DA76" s="108">
        <f t="shared" si="861"/>
        <v>1</v>
      </c>
      <c r="DB76" s="108">
        <f t="shared" si="862"/>
        <v>1</v>
      </c>
      <c r="DC76" s="108">
        <f t="shared" si="863"/>
        <v>1</v>
      </c>
      <c r="DD76" s="108">
        <f t="shared" si="864"/>
        <v>1</v>
      </c>
      <c r="DE76" s="109">
        <f t="shared" si="865"/>
        <v>3060000</v>
      </c>
      <c r="DF76" s="110">
        <f t="shared" si="866"/>
        <v>0</v>
      </c>
      <c r="DH76" s="326" t="s">
        <v>325</v>
      </c>
      <c r="DI76" s="319" t="s">
        <v>180</v>
      </c>
      <c r="DJ76" s="360" t="s">
        <v>326</v>
      </c>
      <c r="DK76" s="327" t="s">
        <v>181</v>
      </c>
      <c r="DL76" s="322">
        <v>8.5</v>
      </c>
      <c r="DM76" s="323">
        <v>76232</v>
      </c>
      <c r="DN76" s="328">
        <f t="shared" si="867"/>
        <v>647972</v>
      </c>
      <c r="DO76" s="108">
        <f t="shared" si="868"/>
        <v>1</v>
      </c>
      <c r="DP76" s="108">
        <f t="shared" si="869"/>
        <v>1</v>
      </c>
      <c r="DQ76" s="108">
        <f t="shared" si="870"/>
        <v>1</v>
      </c>
      <c r="DR76" s="108">
        <f t="shared" si="871"/>
        <v>1</v>
      </c>
      <c r="DS76" s="108">
        <f t="shared" si="872"/>
        <v>1</v>
      </c>
      <c r="DT76" s="108">
        <f t="shared" si="873"/>
        <v>1</v>
      </c>
      <c r="DU76" s="108">
        <f t="shared" si="874"/>
        <v>1</v>
      </c>
      <c r="DV76" s="109">
        <f t="shared" si="875"/>
        <v>647972</v>
      </c>
      <c r="DW76" s="110">
        <f t="shared" si="876"/>
        <v>0</v>
      </c>
      <c r="DY76" s="326" t="s">
        <v>325</v>
      </c>
      <c r="DZ76" s="319" t="s">
        <v>180</v>
      </c>
      <c r="EA76" s="360" t="s">
        <v>326</v>
      </c>
      <c r="EB76" s="327" t="s">
        <v>181</v>
      </c>
      <c r="EC76" s="322">
        <v>8.5</v>
      </c>
      <c r="ED76" s="323">
        <v>61000</v>
      </c>
      <c r="EE76" s="328">
        <f t="shared" si="877"/>
        <v>518500</v>
      </c>
      <c r="EF76" s="108">
        <f t="shared" si="878"/>
        <v>1</v>
      </c>
      <c r="EG76" s="108">
        <f t="shared" si="879"/>
        <v>1</v>
      </c>
      <c r="EH76" s="108">
        <f t="shared" si="880"/>
        <v>1</v>
      </c>
      <c r="EI76" s="108">
        <f t="shared" si="881"/>
        <v>1</v>
      </c>
      <c r="EJ76" s="108">
        <f t="shared" si="882"/>
        <v>1</v>
      </c>
      <c r="EK76" s="108">
        <f t="shared" si="883"/>
        <v>1</v>
      </c>
      <c r="EL76" s="108">
        <f t="shared" si="884"/>
        <v>1</v>
      </c>
      <c r="EM76" s="109">
        <f t="shared" si="885"/>
        <v>518500</v>
      </c>
      <c r="EN76" s="110">
        <f t="shared" si="886"/>
        <v>0</v>
      </c>
      <c r="EP76" s="326" t="s">
        <v>325</v>
      </c>
      <c r="EQ76" s="319" t="s">
        <v>180</v>
      </c>
      <c r="ER76" s="334" t="s">
        <v>326</v>
      </c>
      <c r="ES76" s="327" t="s">
        <v>181</v>
      </c>
      <c r="ET76" s="322">
        <v>8.5</v>
      </c>
      <c r="EU76" s="323">
        <v>62641</v>
      </c>
      <c r="EV76" s="328">
        <f t="shared" si="887"/>
        <v>532448.5</v>
      </c>
      <c r="EW76" s="108">
        <f t="shared" si="888"/>
        <v>1</v>
      </c>
      <c r="EX76" s="108">
        <f t="shared" si="889"/>
        <v>1</v>
      </c>
      <c r="EY76" s="108">
        <f t="shared" si="890"/>
        <v>1</v>
      </c>
      <c r="EZ76" s="108">
        <f t="shared" si="891"/>
        <v>1</v>
      </c>
      <c r="FA76" s="108">
        <f t="shared" si="892"/>
        <v>1</v>
      </c>
      <c r="FB76" s="108">
        <f t="shared" si="893"/>
        <v>1</v>
      </c>
      <c r="FC76" s="108">
        <f t="shared" si="894"/>
        <v>1</v>
      </c>
      <c r="FD76" s="109">
        <f t="shared" si="895"/>
        <v>532449</v>
      </c>
      <c r="FE76" s="110">
        <f t="shared" si="896"/>
        <v>-0.5</v>
      </c>
      <c r="FG76" s="326" t="s">
        <v>325</v>
      </c>
      <c r="FH76" s="319" t="s">
        <v>180</v>
      </c>
      <c r="FI76" s="360" t="s">
        <v>326</v>
      </c>
      <c r="FJ76" s="327" t="s">
        <v>181</v>
      </c>
      <c r="FK76" s="322">
        <v>8.5</v>
      </c>
      <c r="FL76" s="323">
        <v>76240</v>
      </c>
      <c r="FM76" s="328">
        <f t="shared" si="897"/>
        <v>648040</v>
      </c>
      <c r="FN76" s="108">
        <f t="shared" si="898"/>
        <v>1</v>
      </c>
      <c r="FO76" s="108">
        <f t="shared" si="899"/>
        <v>1</v>
      </c>
      <c r="FP76" s="108">
        <f t="shared" si="900"/>
        <v>1</v>
      </c>
      <c r="FQ76" s="108">
        <f t="shared" si="901"/>
        <v>1</v>
      </c>
      <c r="FR76" s="108">
        <f t="shared" si="902"/>
        <v>1</v>
      </c>
      <c r="FS76" s="108">
        <f t="shared" si="903"/>
        <v>1</v>
      </c>
      <c r="FT76" s="108">
        <f t="shared" si="904"/>
        <v>1</v>
      </c>
      <c r="FU76" s="109">
        <f t="shared" si="905"/>
        <v>648040</v>
      </c>
      <c r="FV76" s="110">
        <f t="shared" si="906"/>
        <v>0</v>
      </c>
      <c r="FX76" s="326" t="s">
        <v>325</v>
      </c>
      <c r="FY76" s="319" t="s">
        <v>180</v>
      </c>
      <c r="FZ76" s="334" t="s">
        <v>326</v>
      </c>
      <c r="GA76" s="327" t="s">
        <v>181</v>
      </c>
      <c r="GB76" s="322">
        <v>8.5</v>
      </c>
      <c r="GC76" s="323">
        <v>85000</v>
      </c>
      <c r="GD76" s="328">
        <f t="shared" si="907"/>
        <v>722500</v>
      </c>
      <c r="GE76" s="108">
        <f t="shared" si="908"/>
        <v>1</v>
      </c>
      <c r="GF76" s="108">
        <f t="shared" si="909"/>
        <v>1</v>
      </c>
      <c r="GG76" s="108">
        <f t="shared" si="910"/>
        <v>1</v>
      </c>
      <c r="GH76" s="108">
        <f t="shared" si="911"/>
        <v>1</v>
      </c>
      <c r="GI76" s="108">
        <f t="shared" si="912"/>
        <v>1</v>
      </c>
      <c r="GJ76" s="108">
        <f t="shared" si="913"/>
        <v>1</v>
      </c>
      <c r="GK76" s="108">
        <f t="shared" si="914"/>
        <v>1</v>
      </c>
      <c r="GL76" s="109">
        <f t="shared" si="915"/>
        <v>722500</v>
      </c>
      <c r="GM76" s="110">
        <f t="shared" si="916"/>
        <v>0</v>
      </c>
      <c r="GO76" s="326" t="s">
        <v>325</v>
      </c>
      <c r="GP76" s="319" t="s">
        <v>180</v>
      </c>
      <c r="GQ76" s="334" t="s">
        <v>326</v>
      </c>
      <c r="GR76" s="327" t="s">
        <v>181</v>
      </c>
      <c r="GS76" s="322">
        <v>8.5</v>
      </c>
      <c r="GT76" s="323">
        <v>85000</v>
      </c>
      <c r="GU76" s="328">
        <v>722500</v>
      </c>
      <c r="GV76" s="108">
        <f t="shared" si="917"/>
        <v>1</v>
      </c>
      <c r="GW76" s="108">
        <f t="shared" si="918"/>
        <v>1</v>
      </c>
      <c r="GX76" s="108">
        <f t="shared" si="919"/>
        <v>1</v>
      </c>
      <c r="GY76" s="108">
        <f t="shared" si="920"/>
        <v>1</v>
      </c>
      <c r="GZ76" s="108">
        <f t="shared" si="921"/>
        <v>1</v>
      </c>
      <c r="HA76" s="108">
        <f t="shared" si="922"/>
        <v>1</v>
      </c>
      <c r="HB76" s="108">
        <f t="shared" si="923"/>
        <v>1</v>
      </c>
      <c r="HC76" s="109">
        <f t="shared" si="924"/>
        <v>722500</v>
      </c>
      <c r="HD76" s="110">
        <f t="shared" si="925"/>
        <v>0</v>
      </c>
      <c r="HF76" s="326" t="s">
        <v>325</v>
      </c>
      <c r="HG76" s="319" t="s">
        <v>180</v>
      </c>
      <c r="HH76" s="334" t="s">
        <v>326</v>
      </c>
      <c r="HI76" s="327" t="s">
        <v>181</v>
      </c>
      <c r="HJ76" s="322">
        <v>8.5</v>
      </c>
      <c r="HK76" s="323">
        <v>20000</v>
      </c>
      <c r="HL76" s="328">
        <f t="shared" si="926"/>
        <v>170000</v>
      </c>
      <c r="HM76" s="108">
        <f t="shared" si="927"/>
        <v>1</v>
      </c>
      <c r="HN76" s="108">
        <f t="shared" si="928"/>
        <v>1</v>
      </c>
      <c r="HO76" s="108">
        <f t="shared" si="929"/>
        <v>1</v>
      </c>
      <c r="HP76" s="108">
        <f t="shared" si="930"/>
        <v>1</v>
      </c>
      <c r="HQ76" s="108">
        <f t="shared" si="931"/>
        <v>1</v>
      </c>
      <c r="HR76" s="108">
        <f t="shared" si="932"/>
        <v>1</v>
      </c>
      <c r="HS76" s="108">
        <f t="shared" si="933"/>
        <v>1</v>
      </c>
      <c r="HT76" s="109">
        <f t="shared" si="934"/>
        <v>170000</v>
      </c>
      <c r="HU76" s="110">
        <f t="shared" si="935"/>
        <v>0</v>
      </c>
      <c r="HW76" s="326" t="s">
        <v>325</v>
      </c>
      <c r="HX76" s="319" t="s">
        <v>180</v>
      </c>
      <c r="HY76" s="334" t="s">
        <v>326</v>
      </c>
      <c r="HZ76" s="327" t="s">
        <v>181</v>
      </c>
      <c r="IA76" s="322">
        <v>8.5</v>
      </c>
      <c r="IB76" s="323">
        <v>100000</v>
      </c>
      <c r="IC76" s="328">
        <f t="shared" si="936"/>
        <v>850000</v>
      </c>
      <c r="ID76" s="108">
        <f t="shared" si="937"/>
        <v>1</v>
      </c>
      <c r="IE76" s="108">
        <f t="shared" si="938"/>
        <v>1</v>
      </c>
      <c r="IF76" s="108">
        <f t="shared" si="939"/>
        <v>1</v>
      </c>
      <c r="IG76" s="108">
        <f t="shared" si="940"/>
        <v>1</v>
      </c>
      <c r="IH76" s="108">
        <f t="shared" si="941"/>
        <v>1</v>
      </c>
      <c r="II76" s="108">
        <f t="shared" si="942"/>
        <v>1</v>
      </c>
      <c r="IJ76" s="108">
        <f t="shared" si="943"/>
        <v>1</v>
      </c>
      <c r="IK76" s="109">
        <f t="shared" si="944"/>
        <v>850000</v>
      </c>
      <c r="IL76" s="110">
        <f t="shared" si="945"/>
        <v>0</v>
      </c>
    </row>
    <row r="77" spans="1:246" s="213" customFormat="1" ht="144" x14ac:dyDescent="0.25">
      <c r="A77" s="211"/>
      <c r="B77" s="319" t="s">
        <v>327</v>
      </c>
      <c r="C77" s="319" t="s">
        <v>180</v>
      </c>
      <c r="D77" s="334" t="s">
        <v>328</v>
      </c>
      <c r="E77" s="327" t="s">
        <v>181</v>
      </c>
      <c r="F77" s="322">
        <v>8.5</v>
      </c>
      <c r="G77" s="323">
        <v>0</v>
      </c>
      <c r="H77" s="328">
        <f t="shared" si="818"/>
        <v>0</v>
      </c>
      <c r="J77" s="319" t="s">
        <v>327</v>
      </c>
      <c r="K77" s="319" t="s">
        <v>180</v>
      </c>
      <c r="L77" s="334" t="s">
        <v>328</v>
      </c>
      <c r="M77" s="327" t="s">
        <v>181</v>
      </c>
      <c r="N77" s="322">
        <v>8.5</v>
      </c>
      <c r="O77" s="323">
        <v>316335</v>
      </c>
      <c r="P77" s="328">
        <v>2688848</v>
      </c>
      <c r="Q77" s="108">
        <f t="shared" si="955"/>
        <v>1</v>
      </c>
      <c r="R77" s="108">
        <f t="shared" si="956"/>
        <v>1</v>
      </c>
      <c r="S77" s="108">
        <f t="shared" si="957"/>
        <v>1</v>
      </c>
      <c r="T77" s="108">
        <f t="shared" si="958"/>
        <v>1</v>
      </c>
      <c r="U77" s="108">
        <f t="shared" si="959"/>
        <v>1</v>
      </c>
      <c r="V77" s="108">
        <f t="shared" si="960"/>
        <v>1</v>
      </c>
      <c r="W77" s="108">
        <f t="shared" si="961"/>
        <v>1</v>
      </c>
      <c r="X77" s="109">
        <f t="shared" si="962"/>
        <v>2688848</v>
      </c>
      <c r="Y77" s="110">
        <f t="shared" si="963"/>
        <v>0</v>
      </c>
      <c r="AA77" s="319" t="s">
        <v>327</v>
      </c>
      <c r="AB77" s="319" t="s">
        <v>180</v>
      </c>
      <c r="AC77" s="334" t="s">
        <v>328</v>
      </c>
      <c r="AD77" s="327" t="s">
        <v>181</v>
      </c>
      <c r="AE77" s="322">
        <v>8.5</v>
      </c>
      <c r="AF77" s="323">
        <v>115000</v>
      </c>
      <c r="AG77" s="328">
        <v>977500</v>
      </c>
      <c r="AH77" s="108">
        <f t="shared" si="819"/>
        <v>1</v>
      </c>
      <c r="AI77" s="108">
        <f t="shared" si="820"/>
        <v>1</v>
      </c>
      <c r="AJ77" s="108">
        <f t="shared" si="821"/>
        <v>1</v>
      </c>
      <c r="AK77" s="108">
        <f t="shared" si="822"/>
        <v>1</v>
      </c>
      <c r="AL77" s="108">
        <f t="shared" si="823"/>
        <v>1</v>
      </c>
      <c r="AM77" s="108">
        <f t="shared" si="824"/>
        <v>1</v>
      </c>
      <c r="AN77" s="108">
        <f t="shared" si="825"/>
        <v>1</v>
      </c>
      <c r="AO77" s="109">
        <f t="shared" si="826"/>
        <v>977500</v>
      </c>
      <c r="AP77" s="110">
        <f t="shared" si="827"/>
        <v>0</v>
      </c>
      <c r="AR77" s="319" t="s">
        <v>327</v>
      </c>
      <c r="AS77" s="319" t="s">
        <v>180</v>
      </c>
      <c r="AT77" s="334" t="s">
        <v>328</v>
      </c>
      <c r="AU77" s="327" t="s">
        <v>181</v>
      </c>
      <c r="AV77" s="322">
        <v>8.5</v>
      </c>
      <c r="AW77" s="323">
        <v>97000</v>
      </c>
      <c r="AX77" s="328">
        <v>824500</v>
      </c>
      <c r="AY77" s="108">
        <f t="shared" si="828"/>
        <v>1</v>
      </c>
      <c r="AZ77" s="108">
        <f t="shared" si="829"/>
        <v>1</v>
      </c>
      <c r="BA77" s="108">
        <f t="shared" si="830"/>
        <v>1</v>
      </c>
      <c r="BB77" s="108">
        <f t="shared" si="831"/>
        <v>1</v>
      </c>
      <c r="BC77" s="108">
        <f t="shared" si="832"/>
        <v>1</v>
      </c>
      <c r="BD77" s="108">
        <f t="shared" si="833"/>
        <v>1</v>
      </c>
      <c r="BE77" s="108">
        <f t="shared" si="834"/>
        <v>1</v>
      </c>
      <c r="BF77" s="109">
        <f t="shared" si="835"/>
        <v>824500</v>
      </c>
      <c r="BG77" s="110">
        <f t="shared" si="836"/>
        <v>0</v>
      </c>
      <c r="BI77" s="319" t="s">
        <v>327</v>
      </c>
      <c r="BJ77" s="319" t="s">
        <v>180</v>
      </c>
      <c r="BK77" s="334" t="s">
        <v>328</v>
      </c>
      <c r="BL77" s="327" t="s">
        <v>181</v>
      </c>
      <c r="BM77" s="322">
        <v>8.5</v>
      </c>
      <c r="BN77" s="323">
        <v>113472</v>
      </c>
      <c r="BO77" s="328">
        <f t="shared" si="837"/>
        <v>964512</v>
      </c>
      <c r="BP77" s="108">
        <f t="shared" si="838"/>
        <v>1</v>
      </c>
      <c r="BQ77" s="108">
        <f t="shared" si="839"/>
        <v>1</v>
      </c>
      <c r="BR77" s="108">
        <f t="shared" si="840"/>
        <v>1</v>
      </c>
      <c r="BS77" s="108">
        <f t="shared" si="841"/>
        <v>1</v>
      </c>
      <c r="BT77" s="108">
        <f t="shared" si="842"/>
        <v>1</v>
      </c>
      <c r="BU77" s="108">
        <f t="shared" si="843"/>
        <v>1</v>
      </c>
      <c r="BV77" s="108">
        <f t="shared" si="844"/>
        <v>1</v>
      </c>
      <c r="BW77" s="109">
        <f t="shared" si="845"/>
        <v>964512</v>
      </c>
      <c r="BX77" s="110">
        <f t="shared" si="846"/>
        <v>0</v>
      </c>
      <c r="BZ77" s="319" t="s">
        <v>327</v>
      </c>
      <c r="CA77" s="319" t="s">
        <v>180</v>
      </c>
      <c r="CB77" s="334" t="s">
        <v>328</v>
      </c>
      <c r="CC77" s="327" t="s">
        <v>181</v>
      </c>
      <c r="CD77" s="322">
        <v>8.5</v>
      </c>
      <c r="CE77" s="323">
        <v>300000</v>
      </c>
      <c r="CF77" s="328">
        <f t="shared" si="847"/>
        <v>2550000</v>
      </c>
      <c r="CG77" s="108">
        <f t="shared" si="848"/>
        <v>1</v>
      </c>
      <c r="CH77" s="108">
        <f t="shared" si="849"/>
        <v>1</v>
      </c>
      <c r="CI77" s="108">
        <f t="shared" si="850"/>
        <v>1</v>
      </c>
      <c r="CJ77" s="108">
        <f t="shared" si="851"/>
        <v>1</v>
      </c>
      <c r="CK77" s="108">
        <f t="shared" si="852"/>
        <v>1</v>
      </c>
      <c r="CL77" s="108">
        <f t="shared" si="853"/>
        <v>1</v>
      </c>
      <c r="CM77" s="108">
        <f t="shared" si="854"/>
        <v>1</v>
      </c>
      <c r="CN77" s="109">
        <f t="shared" si="855"/>
        <v>2550000</v>
      </c>
      <c r="CO77" s="110">
        <f t="shared" si="856"/>
        <v>0</v>
      </c>
      <c r="CQ77" s="319" t="s">
        <v>327</v>
      </c>
      <c r="CR77" s="319" t="s">
        <v>180</v>
      </c>
      <c r="CS77" s="334" t="s">
        <v>328</v>
      </c>
      <c r="CT77" s="327" t="s">
        <v>181</v>
      </c>
      <c r="CU77" s="322">
        <v>8.5</v>
      </c>
      <c r="CV77" s="323">
        <v>430000</v>
      </c>
      <c r="CW77" s="328">
        <f t="shared" si="857"/>
        <v>3655000</v>
      </c>
      <c r="CX77" s="108">
        <f t="shared" si="858"/>
        <v>1</v>
      </c>
      <c r="CY77" s="108">
        <f t="shared" si="859"/>
        <v>1</v>
      </c>
      <c r="CZ77" s="108">
        <f t="shared" si="860"/>
        <v>1</v>
      </c>
      <c r="DA77" s="108">
        <f t="shared" si="861"/>
        <v>1</v>
      </c>
      <c r="DB77" s="108">
        <f t="shared" si="862"/>
        <v>1</v>
      </c>
      <c r="DC77" s="108">
        <f t="shared" si="863"/>
        <v>1</v>
      </c>
      <c r="DD77" s="108">
        <f t="shared" si="864"/>
        <v>1</v>
      </c>
      <c r="DE77" s="109">
        <f t="shared" si="865"/>
        <v>3655000</v>
      </c>
      <c r="DF77" s="110">
        <f t="shared" si="866"/>
        <v>0</v>
      </c>
      <c r="DH77" s="319" t="s">
        <v>327</v>
      </c>
      <c r="DI77" s="319" t="s">
        <v>180</v>
      </c>
      <c r="DJ77" s="360" t="s">
        <v>328</v>
      </c>
      <c r="DK77" s="327" t="s">
        <v>181</v>
      </c>
      <c r="DL77" s="322">
        <v>8.5</v>
      </c>
      <c r="DM77" s="323">
        <v>102020</v>
      </c>
      <c r="DN77" s="328">
        <f t="shared" si="867"/>
        <v>867170</v>
      </c>
      <c r="DO77" s="108">
        <f t="shared" si="868"/>
        <v>1</v>
      </c>
      <c r="DP77" s="108">
        <f t="shared" si="869"/>
        <v>1</v>
      </c>
      <c r="DQ77" s="108">
        <f t="shared" si="870"/>
        <v>1</v>
      </c>
      <c r="DR77" s="108">
        <f t="shared" si="871"/>
        <v>1</v>
      </c>
      <c r="DS77" s="108">
        <f t="shared" si="872"/>
        <v>1</v>
      </c>
      <c r="DT77" s="108">
        <f t="shared" si="873"/>
        <v>1</v>
      </c>
      <c r="DU77" s="108">
        <f t="shared" si="874"/>
        <v>1</v>
      </c>
      <c r="DV77" s="109">
        <f t="shared" si="875"/>
        <v>867170</v>
      </c>
      <c r="DW77" s="110">
        <f t="shared" si="876"/>
        <v>0</v>
      </c>
      <c r="DY77" s="319" t="s">
        <v>327</v>
      </c>
      <c r="DZ77" s="319" t="s">
        <v>180</v>
      </c>
      <c r="EA77" s="360" t="s">
        <v>328</v>
      </c>
      <c r="EB77" s="327" t="s">
        <v>181</v>
      </c>
      <c r="EC77" s="322">
        <v>8.5</v>
      </c>
      <c r="ED77" s="323">
        <v>68500</v>
      </c>
      <c r="EE77" s="328">
        <f t="shared" si="877"/>
        <v>582250</v>
      </c>
      <c r="EF77" s="108">
        <f t="shared" si="878"/>
        <v>1</v>
      </c>
      <c r="EG77" s="108">
        <f t="shared" si="879"/>
        <v>1</v>
      </c>
      <c r="EH77" s="108">
        <f t="shared" si="880"/>
        <v>1</v>
      </c>
      <c r="EI77" s="108">
        <f t="shared" si="881"/>
        <v>1</v>
      </c>
      <c r="EJ77" s="108">
        <f t="shared" si="882"/>
        <v>1</v>
      </c>
      <c r="EK77" s="108">
        <f t="shared" si="883"/>
        <v>1</v>
      </c>
      <c r="EL77" s="108">
        <f t="shared" si="884"/>
        <v>1</v>
      </c>
      <c r="EM77" s="109">
        <f t="shared" si="885"/>
        <v>582250</v>
      </c>
      <c r="EN77" s="110">
        <f t="shared" si="886"/>
        <v>0</v>
      </c>
      <c r="EP77" s="319" t="s">
        <v>327</v>
      </c>
      <c r="EQ77" s="319" t="s">
        <v>180</v>
      </c>
      <c r="ER77" s="334" t="s">
        <v>328</v>
      </c>
      <c r="ES77" s="327" t="s">
        <v>181</v>
      </c>
      <c r="ET77" s="322">
        <v>8.5</v>
      </c>
      <c r="EU77" s="323">
        <v>65300</v>
      </c>
      <c r="EV77" s="328">
        <f t="shared" si="887"/>
        <v>555050</v>
      </c>
      <c r="EW77" s="108">
        <f t="shared" si="888"/>
        <v>1</v>
      </c>
      <c r="EX77" s="108">
        <f t="shared" si="889"/>
        <v>1</v>
      </c>
      <c r="EY77" s="108">
        <f t="shared" si="890"/>
        <v>1</v>
      </c>
      <c r="EZ77" s="108">
        <f t="shared" si="891"/>
        <v>1</v>
      </c>
      <c r="FA77" s="108">
        <f t="shared" si="892"/>
        <v>1</v>
      </c>
      <c r="FB77" s="108">
        <f t="shared" si="893"/>
        <v>1</v>
      </c>
      <c r="FC77" s="108">
        <f t="shared" si="894"/>
        <v>1</v>
      </c>
      <c r="FD77" s="109">
        <f t="shared" si="895"/>
        <v>555050</v>
      </c>
      <c r="FE77" s="110">
        <f t="shared" si="896"/>
        <v>0</v>
      </c>
      <c r="FG77" s="319" t="s">
        <v>327</v>
      </c>
      <c r="FH77" s="319" t="s">
        <v>180</v>
      </c>
      <c r="FI77" s="360" t="s">
        <v>328</v>
      </c>
      <c r="FJ77" s="327" t="s">
        <v>181</v>
      </c>
      <c r="FK77" s="322">
        <v>8.5</v>
      </c>
      <c r="FL77" s="323">
        <v>102040</v>
      </c>
      <c r="FM77" s="328">
        <f t="shared" si="897"/>
        <v>867340</v>
      </c>
      <c r="FN77" s="108">
        <f t="shared" si="898"/>
        <v>1</v>
      </c>
      <c r="FO77" s="108">
        <f t="shared" si="899"/>
        <v>1</v>
      </c>
      <c r="FP77" s="108">
        <f t="shared" si="900"/>
        <v>1</v>
      </c>
      <c r="FQ77" s="108">
        <f t="shared" si="901"/>
        <v>1</v>
      </c>
      <c r="FR77" s="108">
        <f t="shared" si="902"/>
        <v>1</v>
      </c>
      <c r="FS77" s="108">
        <f t="shared" si="903"/>
        <v>1</v>
      </c>
      <c r="FT77" s="108">
        <f t="shared" si="904"/>
        <v>1</v>
      </c>
      <c r="FU77" s="109">
        <f t="shared" si="905"/>
        <v>867340</v>
      </c>
      <c r="FV77" s="110">
        <f t="shared" si="906"/>
        <v>0</v>
      </c>
      <c r="FX77" s="319" t="s">
        <v>327</v>
      </c>
      <c r="FY77" s="319" t="s">
        <v>180</v>
      </c>
      <c r="FZ77" s="334" t="s">
        <v>328</v>
      </c>
      <c r="GA77" s="327" t="s">
        <v>181</v>
      </c>
      <c r="GB77" s="322">
        <v>8.5</v>
      </c>
      <c r="GC77" s="323">
        <v>98000</v>
      </c>
      <c r="GD77" s="328">
        <f t="shared" si="907"/>
        <v>833000</v>
      </c>
      <c r="GE77" s="108">
        <f t="shared" si="908"/>
        <v>1</v>
      </c>
      <c r="GF77" s="108">
        <f t="shared" si="909"/>
        <v>1</v>
      </c>
      <c r="GG77" s="108">
        <f t="shared" si="910"/>
        <v>1</v>
      </c>
      <c r="GH77" s="108">
        <f t="shared" si="911"/>
        <v>1</v>
      </c>
      <c r="GI77" s="108">
        <f t="shared" si="912"/>
        <v>1</v>
      </c>
      <c r="GJ77" s="108">
        <f t="shared" si="913"/>
        <v>1</v>
      </c>
      <c r="GK77" s="108">
        <f t="shared" si="914"/>
        <v>1</v>
      </c>
      <c r="GL77" s="109">
        <f t="shared" si="915"/>
        <v>833000</v>
      </c>
      <c r="GM77" s="110">
        <f t="shared" si="916"/>
        <v>0</v>
      </c>
      <c r="GO77" s="319" t="s">
        <v>327</v>
      </c>
      <c r="GP77" s="319" t="s">
        <v>180</v>
      </c>
      <c r="GQ77" s="334" t="s">
        <v>328</v>
      </c>
      <c r="GR77" s="327" t="s">
        <v>181</v>
      </c>
      <c r="GS77" s="322">
        <v>8.5</v>
      </c>
      <c r="GT77" s="323">
        <v>95000</v>
      </c>
      <c r="GU77" s="328">
        <v>807500</v>
      </c>
      <c r="GV77" s="108">
        <f t="shared" si="917"/>
        <v>1</v>
      </c>
      <c r="GW77" s="108">
        <f t="shared" si="918"/>
        <v>1</v>
      </c>
      <c r="GX77" s="108">
        <f t="shared" si="919"/>
        <v>1</v>
      </c>
      <c r="GY77" s="108">
        <f t="shared" si="920"/>
        <v>1</v>
      </c>
      <c r="GZ77" s="108">
        <f t="shared" si="921"/>
        <v>1</v>
      </c>
      <c r="HA77" s="108">
        <f t="shared" si="922"/>
        <v>1</v>
      </c>
      <c r="HB77" s="108">
        <f t="shared" si="923"/>
        <v>1</v>
      </c>
      <c r="HC77" s="109">
        <f t="shared" si="924"/>
        <v>807500</v>
      </c>
      <c r="HD77" s="110">
        <f t="shared" si="925"/>
        <v>0</v>
      </c>
      <c r="HF77" s="319" t="s">
        <v>327</v>
      </c>
      <c r="HG77" s="319" t="s">
        <v>180</v>
      </c>
      <c r="HH77" s="334" t="s">
        <v>328</v>
      </c>
      <c r="HI77" s="327" t="s">
        <v>181</v>
      </c>
      <c r="HJ77" s="322">
        <v>8.5</v>
      </c>
      <c r="HK77" s="323">
        <v>20000</v>
      </c>
      <c r="HL77" s="328">
        <f t="shared" si="926"/>
        <v>170000</v>
      </c>
      <c r="HM77" s="108">
        <f t="shared" si="927"/>
        <v>1</v>
      </c>
      <c r="HN77" s="108">
        <f t="shared" si="928"/>
        <v>1</v>
      </c>
      <c r="HO77" s="108">
        <f t="shared" si="929"/>
        <v>1</v>
      </c>
      <c r="HP77" s="108">
        <f t="shared" si="930"/>
        <v>1</v>
      </c>
      <c r="HQ77" s="108">
        <f t="shared" si="931"/>
        <v>1</v>
      </c>
      <c r="HR77" s="108">
        <f t="shared" si="932"/>
        <v>1</v>
      </c>
      <c r="HS77" s="108">
        <f t="shared" si="933"/>
        <v>1</v>
      </c>
      <c r="HT77" s="109">
        <f t="shared" si="934"/>
        <v>170000</v>
      </c>
      <c r="HU77" s="110">
        <f t="shared" si="935"/>
        <v>0</v>
      </c>
      <c r="HW77" s="319" t="s">
        <v>327</v>
      </c>
      <c r="HX77" s="319" t="s">
        <v>180</v>
      </c>
      <c r="HY77" s="334" t="s">
        <v>328</v>
      </c>
      <c r="HZ77" s="327" t="s">
        <v>181</v>
      </c>
      <c r="IA77" s="322">
        <v>8.5</v>
      </c>
      <c r="IB77" s="323">
        <v>100000</v>
      </c>
      <c r="IC77" s="328">
        <f t="shared" si="936"/>
        <v>850000</v>
      </c>
      <c r="ID77" s="108">
        <f t="shared" si="937"/>
        <v>1</v>
      </c>
      <c r="IE77" s="108">
        <f t="shared" si="938"/>
        <v>1</v>
      </c>
      <c r="IF77" s="108">
        <f t="shared" si="939"/>
        <v>1</v>
      </c>
      <c r="IG77" s="108">
        <f t="shared" si="940"/>
        <v>1</v>
      </c>
      <c r="IH77" s="108">
        <f t="shared" si="941"/>
        <v>1</v>
      </c>
      <c r="II77" s="108">
        <f t="shared" si="942"/>
        <v>1</v>
      </c>
      <c r="IJ77" s="108">
        <f t="shared" si="943"/>
        <v>1</v>
      </c>
      <c r="IK77" s="109">
        <f t="shared" si="944"/>
        <v>850000</v>
      </c>
      <c r="IL77" s="110">
        <f t="shared" si="945"/>
        <v>0</v>
      </c>
    </row>
    <row r="78" spans="1:246" s="213" customFormat="1" ht="144" x14ac:dyDescent="0.25">
      <c r="A78" s="211"/>
      <c r="B78" s="319" t="s">
        <v>329</v>
      </c>
      <c r="C78" s="319" t="s">
        <v>180</v>
      </c>
      <c r="D78" s="334" t="s">
        <v>330</v>
      </c>
      <c r="E78" s="327" t="s">
        <v>181</v>
      </c>
      <c r="F78" s="322">
        <v>8.5</v>
      </c>
      <c r="G78" s="323">
        <v>0</v>
      </c>
      <c r="H78" s="324">
        <f t="shared" si="818"/>
        <v>0</v>
      </c>
      <c r="J78" s="319" t="s">
        <v>329</v>
      </c>
      <c r="K78" s="319" t="s">
        <v>180</v>
      </c>
      <c r="L78" s="334" t="s">
        <v>330</v>
      </c>
      <c r="M78" s="327" t="s">
        <v>181</v>
      </c>
      <c r="N78" s="322">
        <v>8.5</v>
      </c>
      <c r="O78" s="323">
        <v>340429</v>
      </c>
      <c r="P78" s="324">
        <v>2893647</v>
      </c>
      <c r="Q78" s="108">
        <f t="shared" si="955"/>
        <v>1</v>
      </c>
      <c r="R78" s="108">
        <f t="shared" si="956"/>
        <v>1</v>
      </c>
      <c r="S78" s="108">
        <f t="shared" si="957"/>
        <v>1</v>
      </c>
      <c r="T78" s="108">
        <f t="shared" si="958"/>
        <v>1</v>
      </c>
      <c r="U78" s="108">
        <f t="shared" si="959"/>
        <v>1</v>
      </c>
      <c r="V78" s="108">
        <f t="shared" si="960"/>
        <v>1</v>
      </c>
      <c r="W78" s="108">
        <f t="shared" si="961"/>
        <v>1</v>
      </c>
      <c r="X78" s="109">
        <f t="shared" si="962"/>
        <v>2893647</v>
      </c>
      <c r="Y78" s="110">
        <f t="shared" si="963"/>
        <v>0</v>
      </c>
      <c r="AA78" s="319" t="s">
        <v>329</v>
      </c>
      <c r="AB78" s="319" t="s">
        <v>180</v>
      </c>
      <c r="AC78" s="334" t="s">
        <v>330</v>
      </c>
      <c r="AD78" s="327" t="s">
        <v>181</v>
      </c>
      <c r="AE78" s="322">
        <v>8.5</v>
      </c>
      <c r="AF78" s="323">
        <v>145000</v>
      </c>
      <c r="AG78" s="324">
        <v>1232500</v>
      </c>
      <c r="AH78" s="108">
        <f t="shared" si="819"/>
        <v>1</v>
      </c>
      <c r="AI78" s="108">
        <f t="shared" si="820"/>
        <v>1</v>
      </c>
      <c r="AJ78" s="108">
        <f t="shared" si="821"/>
        <v>1</v>
      </c>
      <c r="AK78" s="108">
        <f t="shared" si="822"/>
        <v>1</v>
      </c>
      <c r="AL78" s="108">
        <f t="shared" si="823"/>
        <v>1</v>
      </c>
      <c r="AM78" s="108">
        <f t="shared" si="824"/>
        <v>1</v>
      </c>
      <c r="AN78" s="108">
        <f t="shared" si="825"/>
        <v>1</v>
      </c>
      <c r="AO78" s="109">
        <f t="shared" si="826"/>
        <v>1232500</v>
      </c>
      <c r="AP78" s="110">
        <f t="shared" si="827"/>
        <v>0</v>
      </c>
      <c r="AR78" s="319" t="s">
        <v>329</v>
      </c>
      <c r="AS78" s="319" t="s">
        <v>180</v>
      </c>
      <c r="AT78" s="334" t="s">
        <v>330</v>
      </c>
      <c r="AU78" s="327" t="s">
        <v>181</v>
      </c>
      <c r="AV78" s="322">
        <v>8.5</v>
      </c>
      <c r="AW78" s="323">
        <v>97000</v>
      </c>
      <c r="AX78" s="324">
        <v>824500</v>
      </c>
      <c r="AY78" s="108">
        <f t="shared" si="828"/>
        <v>1</v>
      </c>
      <c r="AZ78" s="108">
        <f t="shared" si="829"/>
        <v>1</v>
      </c>
      <c r="BA78" s="108">
        <f t="shared" si="830"/>
        <v>1</v>
      </c>
      <c r="BB78" s="108">
        <f t="shared" si="831"/>
        <v>1</v>
      </c>
      <c r="BC78" s="108">
        <f t="shared" si="832"/>
        <v>1</v>
      </c>
      <c r="BD78" s="108">
        <f t="shared" si="833"/>
        <v>1</v>
      </c>
      <c r="BE78" s="108">
        <f t="shared" si="834"/>
        <v>1</v>
      </c>
      <c r="BF78" s="109">
        <f t="shared" si="835"/>
        <v>824500</v>
      </c>
      <c r="BG78" s="110">
        <f t="shared" si="836"/>
        <v>0</v>
      </c>
      <c r="BI78" s="319" t="s">
        <v>329</v>
      </c>
      <c r="BJ78" s="319" t="s">
        <v>180</v>
      </c>
      <c r="BK78" s="334" t="s">
        <v>330</v>
      </c>
      <c r="BL78" s="327" t="s">
        <v>181</v>
      </c>
      <c r="BM78" s="322">
        <v>8.5</v>
      </c>
      <c r="BN78" s="323">
        <v>124504</v>
      </c>
      <c r="BO78" s="324">
        <f t="shared" si="837"/>
        <v>1058284</v>
      </c>
      <c r="BP78" s="108">
        <f t="shared" si="838"/>
        <v>1</v>
      </c>
      <c r="BQ78" s="108">
        <f t="shared" si="839"/>
        <v>1</v>
      </c>
      <c r="BR78" s="108">
        <f t="shared" si="840"/>
        <v>1</v>
      </c>
      <c r="BS78" s="108">
        <f t="shared" si="841"/>
        <v>1</v>
      </c>
      <c r="BT78" s="108">
        <f t="shared" si="842"/>
        <v>1</v>
      </c>
      <c r="BU78" s="108">
        <f t="shared" si="843"/>
        <v>1</v>
      </c>
      <c r="BV78" s="108">
        <f t="shared" si="844"/>
        <v>1</v>
      </c>
      <c r="BW78" s="109">
        <f t="shared" si="845"/>
        <v>1058284</v>
      </c>
      <c r="BX78" s="110">
        <f t="shared" si="846"/>
        <v>0</v>
      </c>
      <c r="BZ78" s="319" t="s">
        <v>329</v>
      </c>
      <c r="CA78" s="319" t="s">
        <v>180</v>
      </c>
      <c r="CB78" s="334" t="s">
        <v>330</v>
      </c>
      <c r="CC78" s="327" t="s">
        <v>181</v>
      </c>
      <c r="CD78" s="322">
        <v>8.5</v>
      </c>
      <c r="CE78" s="323">
        <v>350000</v>
      </c>
      <c r="CF78" s="324">
        <f t="shared" si="847"/>
        <v>2975000</v>
      </c>
      <c r="CG78" s="108">
        <f t="shared" si="848"/>
        <v>1</v>
      </c>
      <c r="CH78" s="108">
        <f t="shared" si="849"/>
        <v>1</v>
      </c>
      <c r="CI78" s="108">
        <f t="shared" si="850"/>
        <v>1</v>
      </c>
      <c r="CJ78" s="108">
        <f t="shared" si="851"/>
        <v>1</v>
      </c>
      <c r="CK78" s="108">
        <f t="shared" si="852"/>
        <v>1</v>
      </c>
      <c r="CL78" s="108">
        <f t="shared" si="853"/>
        <v>1</v>
      </c>
      <c r="CM78" s="108">
        <f t="shared" si="854"/>
        <v>1</v>
      </c>
      <c r="CN78" s="109">
        <f t="shared" si="855"/>
        <v>2975000</v>
      </c>
      <c r="CO78" s="110">
        <f t="shared" si="856"/>
        <v>0</v>
      </c>
      <c r="CQ78" s="319" t="s">
        <v>329</v>
      </c>
      <c r="CR78" s="319" t="s">
        <v>180</v>
      </c>
      <c r="CS78" s="334" t="s">
        <v>330</v>
      </c>
      <c r="CT78" s="327" t="s">
        <v>181</v>
      </c>
      <c r="CU78" s="322">
        <v>8.5</v>
      </c>
      <c r="CV78" s="323">
        <v>525000</v>
      </c>
      <c r="CW78" s="324">
        <f t="shared" si="857"/>
        <v>4462500</v>
      </c>
      <c r="CX78" s="108">
        <f t="shared" si="858"/>
        <v>1</v>
      </c>
      <c r="CY78" s="108">
        <f t="shared" si="859"/>
        <v>1</v>
      </c>
      <c r="CZ78" s="108">
        <f t="shared" si="860"/>
        <v>1</v>
      </c>
      <c r="DA78" s="108">
        <f t="shared" si="861"/>
        <v>1</v>
      </c>
      <c r="DB78" s="108">
        <f t="shared" si="862"/>
        <v>1</v>
      </c>
      <c r="DC78" s="108">
        <f t="shared" si="863"/>
        <v>1</v>
      </c>
      <c r="DD78" s="108">
        <f t="shared" si="864"/>
        <v>1</v>
      </c>
      <c r="DE78" s="109">
        <f t="shared" si="865"/>
        <v>4462500</v>
      </c>
      <c r="DF78" s="110">
        <f t="shared" si="866"/>
        <v>0</v>
      </c>
      <c r="DH78" s="319" t="s">
        <v>329</v>
      </c>
      <c r="DI78" s="319" t="s">
        <v>180</v>
      </c>
      <c r="DJ78" s="360" t="s">
        <v>330</v>
      </c>
      <c r="DK78" s="327" t="s">
        <v>181</v>
      </c>
      <c r="DL78" s="322">
        <v>8.5</v>
      </c>
      <c r="DM78" s="323">
        <v>112299</v>
      </c>
      <c r="DN78" s="324">
        <f>DM78*DL78</f>
        <v>954541.5</v>
      </c>
      <c r="DO78" s="108">
        <f t="shared" si="868"/>
        <v>1</v>
      </c>
      <c r="DP78" s="108">
        <f t="shared" si="869"/>
        <v>1</v>
      </c>
      <c r="DQ78" s="108">
        <f t="shared" si="870"/>
        <v>1</v>
      </c>
      <c r="DR78" s="108">
        <f t="shared" si="871"/>
        <v>1</v>
      </c>
      <c r="DS78" s="108">
        <f t="shared" si="872"/>
        <v>1</v>
      </c>
      <c r="DT78" s="108">
        <f t="shared" si="873"/>
        <v>1</v>
      </c>
      <c r="DU78" s="108">
        <f t="shared" si="874"/>
        <v>1</v>
      </c>
      <c r="DV78" s="109">
        <f t="shared" si="875"/>
        <v>954542</v>
      </c>
      <c r="DW78" s="110">
        <f t="shared" si="876"/>
        <v>-0.5</v>
      </c>
      <c r="DY78" s="319" t="s">
        <v>329</v>
      </c>
      <c r="DZ78" s="319" t="s">
        <v>180</v>
      </c>
      <c r="EA78" s="360" t="s">
        <v>330</v>
      </c>
      <c r="EB78" s="327" t="s">
        <v>181</v>
      </c>
      <c r="EC78" s="322">
        <v>8.5</v>
      </c>
      <c r="ED78" s="323">
        <v>81000</v>
      </c>
      <c r="EE78" s="324">
        <f t="shared" si="877"/>
        <v>688500</v>
      </c>
      <c r="EF78" s="108">
        <f t="shared" si="878"/>
        <v>1</v>
      </c>
      <c r="EG78" s="108">
        <f t="shared" si="879"/>
        <v>1</v>
      </c>
      <c r="EH78" s="108">
        <f t="shared" si="880"/>
        <v>1</v>
      </c>
      <c r="EI78" s="108">
        <f t="shared" si="881"/>
        <v>1</v>
      </c>
      <c r="EJ78" s="108">
        <f t="shared" si="882"/>
        <v>1</v>
      </c>
      <c r="EK78" s="108">
        <f t="shared" si="883"/>
        <v>1</v>
      </c>
      <c r="EL78" s="108">
        <f t="shared" si="884"/>
        <v>1</v>
      </c>
      <c r="EM78" s="109">
        <f t="shared" si="885"/>
        <v>688500</v>
      </c>
      <c r="EN78" s="110">
        <f t="shared" si="886"/>
        <v>0</v>
      </c>
      <c r="EP78" s="319" t="s">
        <v>329</v>
      </c>
      <c r="EQ78" s="319" t="s">
        <v>180</v>
      </c>
      <c r="ER78" s="334" t="s">
        <v>330</v>
      </c>
      <c r="ES78" s="327" t="s">
        <v>181</v>
      </c>
      <c r="ET78" s="322">
        <v>8.5</v>
      </c>
      <c r="EU78" s="323">
        <v>68800</v>
      </c>
      <c r="EV78" s="324">
        <f t="shared" si="887"/>
        <v>584800</v>
      </c>
      <c r="EW78" s="108">
        <f t="shared" si="888"/>
        <v>1</v>
      </c>
      <c r="EX78" s="108">
        <f t="shared" si="889"/>
        <v>1</v>
      </c>
      <c r="EY78" s="108">
        <f t="shared" si="890"/>
        <v>1</v>
      </c>
      <c r="EZ78" s="108">
        <f t="shared" si="891"/>
        <v>1</v>
      </c>
      <c r="FA78" s="108">
        <f t="shared" si="892"/>
        <v>1</v>
      </c>
      <c r="FB78" s="108">
        <f t="shared" si="893"/>
        <v>1</v>
      </c>
      <c r="FC78" s="108">
        <f t="shared" si="894"/>
        <v>1</v>
      </c>
      <c r="FD78" s="109">
        <f t="shared" si="895"/>
        <v>584800</v>
      </c>
      <c r="FE78" s="110">
        <f t="shared" si="896"/>
        <v>0</v>
      </c>
      <c r="FG78" s="319" t="s">
        <v>329</v>
      </c>
      <c r="FH78" s="319" t="s">
        <v>180</v>
      </c>
      <c r="FI78" s="360" t="s">
        <v>330</v>
      </c>
      <c r="FJ78" s="327" t="s">
        <v>181</v>
      </c>
      <c r="FK78" s="322">
        <v>8.5</v>
      </c>
      <c r="FL78" s="323">
        <v>112312</v>
      </c>
      <c r="FM78" s="324">
        <f t="shared" si="897"/>
        <v>954652</v>
      </c>
      <c r="FN78" s="108">
        <f t="shared" si="898"/>
        <v>1</v>
      </c>
      <c r="FO78" s="108">
        <f t="shared" si="899"/>
        <v>1</v>
      </c>
      <c r="FP78" s="108">
        <f t="shared" si="900"/>
        <v>1</v>
      </c>
      <c r="FQ78" s="108">
        <f t="shared" si="901"/>
        <v>1</v>
      </c>
      <c r="FR78" s="108">
        <f t="shared" si="902"/>
        <v>1</v>
      </c>
      <c r="FS78" s="108">
        <f t="shared" si="903"/>
        <v>1</v>
      </c>
      <c r="FT78" s="108">
        <f t="shared" si="904"/>
        <v>1</v>
      </c>
      <c r="FU78" s="109">
        <f t="shared" si="905"/>
        <v>954652</v>
      </c>
      <c r="FV78" s="110">
        <f t="shared" si="906"/>
        <v>0</v>
      </c>
      <c r="FX78" s="319" t="s">
        <v>329</v>
      </c>
      <c r="FY78" s="319" t="s">
        <v>180</v>
      </c>
      <c r="FZ78" s="334" t="s">
        <v>330</v>
      </c>
      <c r="GA78" s="327" t="s">
        <v>181</v>
      </c>
      <c r="GB78" s="322">
        <v>8.5</v>
      </c>
      <c r="GC78" s="323">
        <v>110000</v>
      </c>
      <c r="GD78" s="324">
        <f t="shared" si="907"/>
        <v>935000</v>
      </c>
      <c r="GE78" s="108">
        <f t="shared" si="908"/>
        <v>1</v>
      </c>
      <c r="GF78" s="108">
        <f t="shared" si="909"/>
        <v>1</v>
      </c>
      <c r="GG78" s="108">
        <f t="shared" si="910"/>
        <v>1</v>
      </c>
      <c r="GH78" s="108">
        <f t="shared" si="911"/>
        <v>1</v>
      </c>
      <c r="GI78" s="108">
        <f t="shared" si="912"/>
        <v>1</v>
      </c>
      <c r="GJ78" s="108">
        <f t="shared" si="913"/>
        <v>1</v>
      </c>
      <c r="GK78" s="108">
        <f t="shared" si="914"/>
        <v>1</v>
      </c>
      <c r="GL78" s="109">
        <f t="shared" si="915"/>
        <v>935000</v>
      </c>
      <c r="GM78" s="110">
        <f t="shared" si="916"/>
        <v>0</v>
      </c>
      <c r="GO78" s="319" t="s">
        <v>329</v>
      </c>
      <c r="GP78" s="319" t="s">
        <v>180</v>
      </c>
      <c r="GQ78" s="334" t="s">
        <v>330</v>
      </c>
      <c r="GR78" s="327" t="s">
        <v>181</v>
      </c>
      <c r="GS78" s="322">
        <v>8.5</v>
      </c>
      <c r="GT78" s="323">
        <v>110000</v>
      </c>
      <c r="GU78" s="324">
        <v>935000</v>
      </c>
      <c r="GV78" s="108">
        <f t="shared" si="917"/>
        <v>1</v>
      </c>
      <c r="GW78" s="108">
        <f t="shared" si="918"/>
        <v>1</v>
      </c>
      <c r="GX78" s="108">
        <f t="shared" si="919"/>
        <v>1</v>
      </c>
      <c r="GY78" s="108">
        <f t="shared" si="920"/>
        <v>1</v>
      </c>
      <c r="GZ78" s="108">
        <f t="shared" si="921"/>
        <v>1</v>
      </c>
      <c r="HA78" s="108">
        <f t="shared" si="922"/>
        <v>1</v>
      </c>
      <c r="HB78" s="108">
        <f t="shared" si="923"/>
        <v>1</v>
      </c>
      <c r="HC78" s="109">
        <f t="shared" si="924"/>
        <v>935000</v>
      </c>
      <c r="HD78" s="110">
        <f t="shared" si="925"/>
        <v>0</v>
      </c>
      <c r="HF78" s="319" t="s">
        <v>329</v>
      </c>
      <c r="HG78" s="319" t="s">
        <v>180</v>
      </c>
      <c r="HH78" s="334" t="s">
        <v>330</v>
      </c>
      <c r="HI78" s="327" t="s">
        <v>181</v>
      </c>
      <c r="HJ78" s="322">
        <v>8.5</v>
      </c>
      <c r="HK78" s="323">
        <v>20000</v>
      </c>
      <c r="HL78" s="324">
        <f t="shared" si="926"/>
        <v>170000</v>
      </c>
      <c r="HM78" s="108">
        <f t="shared" si="927"/>
        <v>1</v>
      </c>
      <c r="HN78" s="108">
        <f t="shared" si="928"/>
        <v>1</v>
      </c>
      <c r="HO78" s="108">
        <f t="shared" si="929"/>
        <v>1</v>
      </c>
      <c r="HP78" s="108">
        <f t="shared" si="930"/>
        <v>1</v>
      </c>
      <c r="HQ78" s="108">
        <f t="shared" si="931"/>
        <v>1</v>
      </c>
      <c r="HR78" s="108">
        <f t="shared" si="932"/>
        <v>1</v>
      </c>
      <c r="HS78" s="108">
        <f t="shared" si="933"/>
        <v>1</v>
      </c>
      <c r="HT78" s="109">
        <f t="shared" si="934"/>
        <v>170000</v>
      </c>
      <c r="HU78" s="110">
        <f t="shared" si="935"/>
        <v>0</v>
      </c>
      <c r="HW78" s="319" t="s">
        <v>329</v>
      </c>
      <c r="HX78" s="319" t="s">
        <v>180</v>
      </c>
      <c r="HY78" s="334" t="s">
        <v>330</v>
      </c>
      <c r="HZ78" s="327" t="s">
        <v>181</v>
      </c>
      <c r="IA78" s="322">
        <v>8.5</v>
      </c>
      <c r="IB78" s="323">
        <v>100000</v>
      </c>
      <c r="IC78" s="324">
        <f t="shared" si="936"/>
        <v>850000</v>
      </c>
      <c r="ID78" s="108">
        <f t="shared" si="937"/>
        <v>1</v>
      </c>
      <c r="IE78" s="108">
        <f t="shared" si="938"/>
        <v>1</v>
      </c>
      <c r="IF78" s="108">
        <f t="shared" si="939"/>
        <v>1</v>
      </c>
      <c r="IG78" s="108">
        <f t="shared" si="940"/>
        <v>1</v>
      </c>
      <c r="IH78" s="108">
        <f t="shared" si="941"/>
        <v>1</v>
      </c>
      <c r="II78" s="108">
        <f t="shared" si="942"/>
        <v>1</v>
      </c>
      <c r="IJ78" s="108">
        <f t="shared" si="943"/>
        <v>1</v>
      </c>
      <c r="IK78" s="109">
        <f t="shared" si="944"/>
        <v>850000</v>
      </c>
      <c r="IL78" s="110">
        <f t="shared" si="945"/>
        <v>0</v>
      </c>
    </row>
    <row r="79" spans="1:246" s="213" customFormat="1" ht="144" x14ac:dyDescent="0.25">
      <c r="A79" s="211"/>
      <c r="B79" s="319" t="s">
        <v>331</v>
      </c>
      <c r="C79" s="319" t="s">
        <v>180</v>
      </c>
      <c r="D79" s="334" t="s">
        <v>272</v>
      </c>
      <c r="E79" s="321" t="s">
        <v>181</v>
      </c>
      <c r="F79" s="342">
        <v>42.5</v>
      </c>
      <c r="G79" s="323">
        <v>0</v>
      </c>
      <c r="H79" s="324">
        <f t="shared" si="818"/>
        <v>0</v>
      </c>
      <c r="J79" s="319" t="s">
        <v>331</v>
      </c>
      <c r="K79" s="319" t="s">
        <v>180</v>
      </c>
      <c r="L79" s="334" t="s">
        <v>272</v>
      </c>
      <c r="M79" s="321" t="s">
        <v>181</v>
      </c>
      <c r="N79" s="342">
        <v>42.5</v>
      </c>
      <c r="O79" s="323">
        <v>12922</v>
      </c>
      <c r="P79" s="324">
        <v>549185</v>
      </c>
      <c r="Q79" s="108">
        <f t="shared" si="955"/>
        <v>1</v>
      </c>
      <c r="R79" s="108">
        <f t="shared" si="956"/>
        <v>1</v>
      </c>
      <c r="S79" s="108">
        <f t="shared" si="957"/>
        <v>1</v>
      </c>
      <c r="T79" s="108">
        <f t="shared" si="958"/>
        <v>1</v>
      </c>
      <c r="U79" s="108">
        <f t="shared" si="959"/>
        <v>1</v>
      </c>
      <c r="V79" s="108">
        <f t="shared" si="960"/>
        <v>1</v>
      </c>
      <c r="W79" s="108">
        <f t="shared" si="961"/>
        <v>1</v>
      </c>
      <c r="X79" s="109">
        <f t="shared" si="962"/>
        <v>549185</v>
      </c>
      <c r="Y79" s="110">
        <f t="shared" si="963"/>
        <v>0</v>
      </c>
      <c r="AA79" s="319" t="s">
        <v>331</v>
      </c>
      <c r="AB79" s="319" t="s">
        <v>180</v>
      </c>
      <c r="AC79" s="334" t="s">
        <v>272</v>
      </c>
      <c r="AD79" s="321" t="s">
        <v>181</v>
      </c>
      <c r="AE79" s="342">
        <v>42.5</v>
      </c>
      <c r="AF79" s="323">
        <v>7763.05</v>
      </c>
      <c r="AG79" s="324">
        <v>329929.625</v>
      </c>
      <c r="AH79" s="108">
        <f t="shared" si="819"/>
        <v>1</v>
      </c>
      <c r="AI79" s="108">
        <f t="shared" si="820"/>
        <v>1</v>
      </c>
      <c r="AJ79" s="108">
        <f t="shared" si="821"/>
        <v>1</v>
      </c>
      <c r="AK79" s="108">
        <f t="shared" si="822"/>
        <v>1</v>
      </c>
      <c r="AL79" s="108">
        <f t="shared" si="823"/>
        <v>1</v>
      </c>
      <c r="AM79" s="108">
        <f t="shared" si="824"/>
        <v>1</v>
      </c>
      <c r="AN79" s="108">
        <f t="shared" si="825"/>
        <v>1</v>
      </c>
      <c r="AO79" s="109">
        <f t="shared" si="826"/>
        <v>329930</v>
      </c>
      <c r="AP79" s="110">
        <f t="shared" si="827"/>
        <v>-0.375</v>
      </c>
      <c r="AR79" s="319" t="s">
        <v>331</v>
      </c>
      <c r="AS79" s="319" t="s">
        <v>180</v>
      </c>
      <c r="AT79" s="334" t="s">
        <v>272</v>
      </c>
      <c r="AU79" s="321" t="s">
        <v>181</v>
      </c>
      <c r="AV79" s="342">
        <v>42.5</v>
      </c>
      <c r="AW79" s="323">
        <v>6790</v>
      </c>
      <c r="AX79" s="324">
        <v>288575</v>
      </c>
      <c r="AY79" s="108">
        <f t="shared" si="828"/>
        <v>1</v>
      </c>
      <c r="AZ79" s="108">
        <f t="shared" si="829"/>
        <v>1</v>
      </c>
      <c r="BA79" s="108">
        <f t="shared" si="830"/>
        <v>1</v>
      </c>
      <c r="BB79" s="108">
        <f t="shared" si="831"/>
        <v>1</v>
      </c>
      <c r="BC79" s="108">
        <f t="shared" si="832"/>
        <v>1</v>
      </c>
      <c r="BD79" s="108">
        <f t="shared" si="833"/>
        <v>1</v>
      </c>
      <c r="BE79" s="108">
        <f t="shared" si="834"/>
        <v>1</v>
      </c>
      <c r="BF79" s="109">
        <f t="shared" si="835"/>
        <v>288575</v>
      </c>
      <c r="BG79" s="110">
        <f t="shared" si="836"/>
        <v>0</v>
      </c>
      <c r="BI79" s="319" t="s">
        <v>331</v>
      </c>
      <c r="BJ79" s="319" t="s">
        <v>180</v>
      </c>
      <c r="BK79" s="334" t="s">
        <v>272</v>
      </c>
      <c r="BL79" s="321" t="s">
        <v>181</v>
      </c>
      <c r="BM79" s="342">
        <v>42.5</v>
      </c>
      <c r="BN79" s="323">
        <v>6500</v>
      </c>
      <c r="BO79" s="324">
        <f t="shared" si="837"/>
        <v>276250</v>
      </c>
      <c r="BP79" s="108">
        <f t="shared" si="838"/>
        <v>1</v>
      </c>
      <c r="BQ79" s="108">
        <f t="shared" si="839"/>
        <v>1</v>
      </c>
      <c r="BR79" s="108">
        <f t="shared" si="840"/>
        <v>1</v>
      </c>
      <c r="BS79" s="108">
        <f t="shared" si="841"/>
        <v>1</v>
      </c>
      <c r="BT79" s="108">
        <f t="shared" si="842"/>
        <v>1</v>
      </c>
      <c r="BU79" s="108">
        <f t="shared" si="843"/>
        <v>1</v>
      </c>
      <c r="BV79" s="108">
        <f t="shared" si="844"/>
        <v>1</v>
      </c>
      <c r="BW79" s="109">
        <f t="shared" si="845"/>
        <v>276250</v>
      </c>
      <c r="BX79" s="110">
        <f t="shared" si="846"/>
        <v>0</v>
      </c>
      <c r="BZ79" s="319" t="s">
        <v>331</v>
      </c>
      <c r="CA79" s="319" t="s">
        <v>180</v>
      </c>
      <c r="CB79" s="334" t="s">
        <v>272</v>
      </c>
      <c r="CC79" s="321" t="s">
        <v>181</v>
      </c>
      <c r="CD79" s="342">
        <v>42.5</v>
      </c>
      <c r="CE79" s="323">
        <v>120000</v>
      </c>
      <c r="CF79" s="324">
        <f t="shared" si="847"/>
        <v>5100000</v>
      </c>
      <c r="CG79" s="108">
        <f t="shared" si="848"/>
        <v>1</v>
      </c>
      <c r="CH79" s="108">
        <f t="shared" si="849"/>
        <v>1</v>
      </c>
      <c r="CI79" s="108">
        <f t="shared" si="850"/>
        <v>1</v>
      </c>
      <c r="CJ79" s="108">
        <f t="shared" si="851"/>
        <v>1</v>
      </c>
      <c r="CK79" s="108">
        <f t="shared" si="852"/>
        <v>1</v>
      </c>
      <c r="CL79" s="108">
        <f t="shared" si="853"/>
        <v>1</v>
      </c>
      <c r="CM79" s="108">
        <f t="shared" si="854"/>
        <v>1</v>
      </c>
      <c r="CN79" s="109">
        <f t="shared" si="855"/>
        <v>5100000</v>
      </c>
      <c r="CO79" s="110">
        <f t="shared" si="856"/>
        <v>0</v>
      </c>
      <c r="CQ79" s="319" t="s">
        <v>331</v>
      </c>
      <c r="CR79" s="319" t="s">
        <v>180</v>
      </c>
      <c r="CS79" s="334" t="s">
        <v>272</v>
      </c>
      <c r="CT79" s="321" t="s">
        <v>181</v>
      </c>
      <c r="CU79" s="342">
        <v>42.5</v>
      </c>
      <c r="CV79" s="323">
        <v>100500</v>
      </c>
      <c r="CW79" s="324">
        <f t="shared" si="857"/>
        <v>4271250</v>
      </c>
      <c r="CX79" s="108">
        <f t="shared" si="858"/>
        <v>1</v>
      </c>
      <c r="CY79" s="108">
        <f t="shared" si="859"/>
        <v>1</v>
      </c>
      <c r="CZ79" s="108">
        <f t="shared" si="860"/>
        <v>1</v>
      </c>
      <c r="DA79" s="108">
        <f t="shared" si="861"/>
        <v>1</v>
      </c>
      <c r="DB79" s="108">
        <f t="shared" si="862"/>
        <v>1</v>
      </c>
      <c r="DC79" s="108">
        <f t="shared" si="863"/>
        <v>1</v>
      </c>
      <c r="DD79" s="108">
        <f t="shared" si="864"/>
        <v>1</v>
      </c>
      <c r="DE79" s="109">
        <f t="shared" si="865"/>
        <v>4271250</v>
      </c>
      <c r="DF79" s="110">
        <f t="shared" si="866"/>
        <v>0</v>
      </c>
      <c r="DH79" s="319" t="s">
        <v>331</v>
      </c>
      <c r="DI79" s="319" t="s">
        <v>180</v>
      </c>
      <c r="DJ79" s="360" t="s">
        <v>272</v>
      </c>
      <c r="DK79" s="321" t="s">
        <v>181</v>
      </c>
      <c r="DL79" s="342">
        <v>42.5</v>
      </c>
      <c r="DM79" s="323">
        <v>6324</v>
      </c>
      <c r="DN79" s="324">
        <f t="shared" si="867"/>
        <v>268770</v>
      </c>
      <c r="DO79" s="108">
        <f t="shared" si="868"/>
        <v>1</v>
      </c>
      <c r="DP79" s="108">
        <f t="shared" si="869"/>
        <v>1</v>
      </c>
      <c r="DQ79" s="108">
        <f t="shared" si="870"/>
        <v>1</v>
      </c>
      <c r="DR79" s="108">
        <f t="shared" si="871"/>
        <v>1</v>
      </c>
      <c r="DS79" s="108">
        <f t="shared" si="872"/>
        <v>1</v>
      </c>
      <c r="DT79" s="108">
        <f t="shared" si="873"/>
        <v>1</v>
      </c>
      <c r="DU79" s="108">
        <f t="shared" si="874"/>
        <v>1</v>
      </c>
      <c r="DV79" s="109">
        <f t="shared" si="875"/>
        <v>268770</v>
      </c>
      <c r="DW79" s="110">
        <f t="shared" si="876"/>
        <v>0</v>
      </c>
      <c r="DY79" s="319" t="s">
        <v>331</v>
      </c>
      <c r="DZ79" s="319" t="s">
        <v>180</v>
      </c>
      <c r="EA79" s="360" t="s">
        <v>272</v>
      </c>
      <c r="EB79" s="321" t="s">
        <v>181</v>
      </c>
      <c r="EC79" s="342">
        <v>42.5</v>
      </c>
      <c r="ED79" s="323">
        <v>176000</v>
      </c>
      <c r="EE79" s="324">
        <f t="shared" si="877"/>
        <v>7480000</v>
      </c>
      <c r="EF79" s="108">
        <f t="shared" si="878"/>
        <v>1</v>
      </c>
      <c r="EG79" s="108">
        <f t="shared" si="879"/>
        <v>1</v>
      </c>
      <c r="EH79" s="108">
        <f t="shared" si="880"/>
        <v>1</v>
      </c>
      <c r="EI79" s="108">
        <f t="shared" si="881"/>
        <v>1</v>
      </c>
      <c r="EJ79" s="108">
        <f t="shared" si="882"/>
        <v>1</v>
      </c>
      <c r="EK79" s="108">
        <f t="shared" si="883"/>
        <v>1</v>
      </c>
      <c r="EL79" s="108">
        <f t="shared" si="884"/>
        <v>1</v>
      </c>
      <c r="EM79" s="109">
        <f t="shared" si="885"/>
        <v>7480000</v>
      </c>
      <c r="EN79" s="110">
        <f t="shared" si="886"/>
        <v>0</v>
      </c>
      <c r="EP79" s="319" t="s">
        <v>331</v>
      </c>
      <c r="EQ79" s="319" t="s">
        <v>180</v>
      </c>
      <c r="ER79" s="334" t="s">
        <v>272</v>
      </c>
      <c r="ES79" s="321" t="s">
        <v>181</v>
      </c>
      <c r="ET79" s="342">
        <v>42.5</v>
      </c>
      <c r="EU79" s="323">
        <v>13200</v>
      </c>
      <c r="EV79" s="324">
        <f t="shared" si="887"/>
        <v>561000</v>
      </c>
      <c r="EW79" s="108">
        <f t="shared" si="888"/>
        <v>1</v>
      </c>
      <c r="EX79" s="108">
        <f t="shared" si="889"/>
        <v>1</v>
      </c>
      <c r="EY79" s="108">
        <f t="shared" si="890"/>
        <v>1</v>
      </c>
      <c r="EZ79" s="108">
        <f t="shared" si="891"/>
        <v>1</v>
      </c>
      <c r="FA79" s="108">
        <f t="shared" si="892"/>
        <v>1</v>
      </c>
      <c r="FB79" s="108">
        <f t="shared" si="893"/>
        <v>1</v>
      </c>
      <c r="FC79" s="108">
        <f t="shared" si="894"/>
        <v>1</v>
      </c>
      <c r="FD79" s="109">
        <f t="shared" si="895"/>
        <v>561000</v>
      </c>
      <c r="FE79" s="110">
        <f t="shared" si="896"/>
        <v>0</v>
      </c>
      <c r="FG79" s="319" t="s">
        <v>331</v>
      </c>
      <c r="FH79" s="319" t="s">
        <v>180</v>
      </c>
      <c r="FI79" s="360" t="s">
        <v>272</v>
      </c>
      <c r="FJ79" s="321" t="s">
        <v>181</v>
      </c>
      <c r="FK79" s="342">
        <v>42.5</v>
      </c>
      <c r="FL79" s="323">
        <v>6334</v>
      </c>
      <c r="FM79" s="324">
        <f t="shared" si="897"/>
        <v>269195</v>
      </c>
      <c r="FN79" s="108">
        <f t="shared" si="898"/>
        <v>1</v>
      </c>
      <c r="FO79" s="108">
        <f t="shared" si="899"/>
        <v>1</v>
      </c>
      <c r="FP79" s="108">
        <f t="shared" si="900"/>
        <v>1</v>
      </c>
      <c r="FQ79" s="108">
        <f t="shared" si="901"/>
        <v>1</v>
      </c>
      <c r="FR79" s="108">
        <f t="shared" si="902"/>
        <v>1</v>
      </c>
      <c r="FS79" s="108">
        <f t="shared" si="903"/>
        <v>1</v>
      </c>
      <c r="FT79" s="108">
        <f t="shared" si="904"/>
        <v>1</v>
      </c>
      <c r="FU79" s="109">
        <f t="shared" si="905"/>
        <v>269195</v>
      </c>
      <c r="FV79" s="110">
        <f t="shared" si="906"/>
        <v>0</v>
      </c>
      <c r="FX79" s="319" t="s">
        <v>331</v>
      </c>
      <c r="FY79" s="319" t="s">
        <v>180</v>
      </c>
      <c r="FZ79" s="334" t="s">
        <v>272</v>
      </c>
      <c r="GA79" s="321" t="s">
        <v>181</v>
      </c>
      <c r="GB79" s="342">
        <v>42.5</v>
      </c>
      <c r="GC79" s="323">
        <v>7000</v>
      </c>
      <c r="GD79" s="324">
        <f t="shared" si="907"/>
        <v>297500</v>
      </c>
      <c r="GE79" s="108">
        <f t="shared" si="908"/>
        <v>1</v>
      </c>
      <c r="GF79" s="108">
        <f t="shared" si="909"/>
        <v>1</v>
      </c>
      <c r="GG79" s="108">
        <f t="shared" si="910"/>
        <v>1</v>
      </c>
      <c r="GH79" s="108">
        <f t="shared" si="911"/>
        <v>1</v>
      </c>
      <c r="GI79" s="108">
        <f t="shared" si="912"/>
        <v>1</v>
      </c>
      <c r="GJ79" s="108">
        <f t="shared" si="913"/>
        <v>1</v>
      </c>
      <c r="GK79" s="108">
        <f t="shared" si="914"/>
        <v>1</v>
      </c>
      <c r="GL79" s="109">
        <f t="shared" si="915"/>
        <v>297500</v>
      </c>
      <c r="GM79" s="110">
        <f t="shared" si="916"/>
        <v>0</v>
      </c>
      <c r="GO79" s="319" t="s">
        <v>331</v>
      </c>
      <c r="GP79" s="319" t="s">
        <v>180</v>
      </c>
      <c r="GQ79" s="334" t="s">
        <v>272</v>
      </c>
      <c r="GR79" s="321" t="s">
        <v>181</v>
      </c>
      <c r="GS79" s="342">
        <v>42.5</v>
      </c>
      <c r="GT79" s="323">
        <v>7000</v>
      </c>
      <c r="GU79" s="324">
        <v>297500</v>
      </c>
      <c r="GV79" s="108">
        <f t="shared" si="917"/>
        <v>1</v>
      </c>
      <c r="GW79" s="108">
        <f t="shared" si="918"/>
        <v>1</v>
      </c>
      <c r="GX79" s="108">
        <f t="shared" si="919"/>
        <v>1</v>
      </c>
      <c r="GY79" s="108">
        <f t="shared" si="920"/>
        <v>1</v>
      </c>
      <c r="GZ79" s="108">
        <f t="shared" si="921"/>
        <v>1</v>
      </c>
      <c r="HA79" s="108">
        <f t="shared" si="922"/>
        <v>1</v>
      </c>
      <c r="HB79" s="108">
        <f t="shared" si="923"/>
        <v>1</v>
      </c>
      <c r="HC79" s="109">
        <f t="shared" si="924"/>
        <v>297500</v>
      </c>
      <c r="HD79" s="110">
        <f t="shared" si="925"/>
        <v>0</v>
      </c>
      <c r="HF79" s="319" t="s">
        <v>331</v>
      </c>
      <c r="HG79" s="319" t="s">
        <v>180</v>
      </c>
      <c r="HH79" s="334" t="s">
        <v>272</v>
      </c>
      <c r="HI79" s="321" t="s">
        <v>181</v>
      </c>
      <c r="HJ79" s="342">
        <v>42.5</v>
      </c>
      <c r="HK79" s="323">
        <v>6000</v>
      </c>
      <c r="HL79" s="324">
        <f t="shared" si="926"/>
        <v>255000</v>
      </c>
      <c r="HM79" s="108">
        <f t="shared" si="927"/>
        <v>1</v>
      </c>
      <c r="HN79" s="108">
        <f t="shared" si="928"/>
        <v>1</v>
      </c>
      <c r="HO79" s="108">
        <f t="shared" si="929"/>
        <v>1</v>
      </c>
      <c r="HP79" s="108">
        <f t="shared" si="930"/>
        <v>1</v>
      </c>
      <c r="HQ79" s="108">
        <f t="shared" si="931"/>
        <v>1</v>
      </c>
      <c r="HR79" s="108">
        <f t="shared" si="932"/>
        <v>1</v>
      </c>
      <c r="HS79" s="108">
        <f t="shared" si="933"/>
        <v>1</v>
      </c>
      <c r="HT79" s="109">
        <f t="shared" si="934"/>
        <v>255000</v>
      </c>
      <c r="HU79" s="110">
        <f t="shared" si="935"/>
        <v>0</v>
      </c>
      <c r="HW79" s="319" t="s">
        <v>331</v>
      </c>
      <c r="HX79" s="319" t="s">
        <v>180</v>
      </c>
      <c r="HY79" s="334" t="s">
        <v>272</v>
      </c>
      <c r="HZ79" s="321" t="s">
        <v>181</v>
      </c>
      <c r="IA79" s="342">
        <v>42.5</v>
      </c>
      <c r="IB79" s="323">
        <v>100000</v>
      </c>
      <c r="IC79" s="324">
        <f t="shared" si="936"/>
        <v>4250000</v>
      </c>
      <c r="ID79" s="108">
        <f t="shared" si="937"/>
        <v>1</v>
      </c>
      <c r="IE79" s="108">
        <f t="shared" si="938"/>
        <v>1</v>
      </c>
      <c r="IF79" s="108">
        <f t="shared" si="939"/>
        <v>1</v>
      </c>
      <c r="IG79" s="108">
        <f t="shared" si="940"/>
        <v>1</v>
      </c>
      <c r="IH79" s="108">
        <f t="shared" si="941"/>
        <v>1</v>
      </c>
      <c r="II79" s="108">
        <f t="shared" si="942"/>
        <v>1</v>
      </c>
      <c r="IJ79" s="108">
        <f t="shared" si="943"/>
        <v>1</v>
      </c>
      <c r="IK79" s="109">
        <f t="shared" si="944"/>
        <v>4250000</v>
      </c>
      <c r="IL79" s="110">
        <f t="shared" si="945"/>
        <v>0</v>
      </c>
    </row>
    <row r="80" spans="1:246" s="213" customFormat="1" ht="86.25" customHeight="1" thickBot="1" x14ac:dyDescent="0.3">
      <c r="A80" s="211"/>
      <c r="B80" s="319" t="s">
        <v>332</v>
      </c>
      <c r="C80" s="319" t="s">
        <v>178</v>
      </c>
      <c r="D80" s="334" t="s">
        <v>333</v>
      </c>
      <c r="E80" s="327" t="s">
        <v>184</v>
      </c>
      <c r="F80" s="343">
        <v>65.215441435102363</v>
      </c>
      <c r="G80" s="323">
        <v>0</v>
      </c>
      <c r="H80" s="324">
        <f t="shared" si="818"/>
        <v>0</v>
      </c>
      <c r="J80" s="319" t="s">
        <v>332</v>
      </c>
      <c r="K80" s="319" t="s">
        <v>178</v>
      </c>
      <c r="L80" s="334" t="s">
        <v>333</v>
      </c>
      <c r="M80" s="327" t="s">
        <v>184</v>
      </c>
      <c r="N80" s="343">
        <v>65.215441435102363</v>
      </c>
      <c r="O80" s="323">
        <v>15588</v>
      </c>
      <c r="P80" s="324">
        <v>1016578</v>
      </c>
      <c r="Q80" s="108">
        <f t="shared" si="955"/>
        <v>1</v>
      </c>
      <c r="R80" s="108">
        <f t="shared" si="956"/>
        <v>1</v>
      </c>
      <c r="S80" s="108">
        <f t="shared" si="957"/>
        <v>1</v>
      </c>
      <c r="T80" s="108">
        <f t="shared" si="958"/>
        <v>1</v>
      </c>
      <c r="U80" s="108">
        <f t="shared" si="959"/>
        <v>1</v>
      </c>
      <c r="V80" s="108">
        <f t="shared" si="960"/>
        <v>1</v>
      </c>
      <c r="W80" s="108">
        <f t="shared" si="961"/>
        <v>1</v>
      </c>
      <c r="X80" s="109">
        <f t="shared" si="962"/>
        <v>1016578</v>
      </c>
      <c r="Y80" s="110">
        <f t="shared" si="963"/>
        <v>0</v>
      </c>
      <c r="AA80" s="319" t="s">
        <v>332</v>
      </c>
      <c r="AB80" s="319" t="s">
        <v>178</v>
      </c>
      <c r="AC80" s="334" t="s">
        <v>333</v>
      </c>
      <c r="AD80" s="327" t="s">
        <v>184</v>
      </c>
      <c r="AE80" s="343">
        <v>65.215441435102363</v>
      </c>
      <c r="AF80" s="323">
        <v>19100</v>
      </c>
      <c r="AG80" s="324">
        <v>1245614.9314104551</v>
      </c>
      <c r="AH80" s="108">
        <f t="shared" si="819"/>
        <v>1</v>
      </c>
      <c r="AI80" s="108">
        <f t="shared" si="820"/>
        <v>1</v>
      </c>
      <c r="AJ80" s="108">
        <f t="shared" si="821"/>
        <v>1</v>
      </c>
      <c r="AK80" s="108">
        <f t="shared" si="822"/>
        <v>1</v>
      </c>
      <c r="AL80" s="108">
        <f t="shared" si="823"/>
        <v>1</v>
      </c>
      <c r="AM80" s="108">
        <f t="shared" si="824"/>
        <v>1</v>
      </c>
      <c r="AN80" s="108">
        <f t="shared" si="825"/>
        <v>1</v>
      </c>
      <c r="AO80" s="109">
        <f t="shared" si="826"/>
        <v>1245615</v>
      </c>
      <c r="AP80" s="110">
        <f t="shared" si="827"/>
        <v>-6.8589544855058193E-2</v>
      </c>
      <c r="AR80" s="319" t="s">
        <v>332</v>
      </c>
      <c r="AS80" s="319" t="s">
        <v>178</v>
      </c>
      <c r="AT80" s="334" t="s">
        <v>333</v>
      </c>
      <c r="AU80" s="327" t="s">
        <v>184</v>
      </c>
      <c r="AV80" s="343">
        <v>65.215441435102363</v>
      </c>
      <c r="AW80" s="323">
        <v>19400</v>
      </c>
      <c r="AX80" s="324">
        <v>1265179.5638409858</v>
      </c>
      <c r="AY80" s="108">
        <f t="shared" si="828"/>
        <v>1</v>
      </c>
      <c r="AZ80" s="108">
        <f t="shared" si="829"/>
        <v>1</v>
      </c>
      <c r="BA80" s="108">
        <f t="shared" si="830"/>
        <v>1</v>
      </c>
      <c r="BB80" s="108">
        <f t="shared" si="831"/>
        <v>1</v>
      </c>
      <c r="BC80" s="108">
        <f t="shared" si="832"/>
        <v>1</v>
      </c>
      <c r="BD80" s="108">
        <f t="shared" si="833"/>
        <v>1</v>
      </c>
      <c r="BE80" s="108">
        <f t="shared" si="834"/>
        <v>1</v>
      </c>
      <c r="BF80" s="109">
        <f t="shared" si="835"/>
        <v>1265180</v>
      </c>
      <c r="BG80" s="110">
        <f t="shared" si="836"/>
        <v>-0.43615901423618197</v>
      </c>
      <c r="BI80" s="319" t="s">
        <v>332</v>
      </c>
      <c r="BJ80" s="319" t="s">
        <v>178</v>
      </c>
      <c r="BK80" s="334" t="s">
        <v>333</v>
      </c>
      <c r="BL80" s="327" t="s">
        <v>184</v>
      </c>
      <c r="BM80" s="343">
        <v>65.215441435102363</v>
      </c>
      <c r="BN80" s="323">
        <v>16000</v>
      </c>
      <c r="BO80" s="324">
        <f t="shared" si="837"/>
        <v>1043447.0629616379</v>
      </c>
      <c r="BP80" s="108">
        <f t="shared" si="838"/>
        <v>1</v>
      </c>
      <c r="BQ80" s="108">
        <f t="shared" si="839"/>
        <v>1</v>
      </c>
      <c r="BR80" s="108">
        <f t="shared" si="840"/>
        <v>1</v>
      </c>
      <c r="BS80" s="108">
        <f t="shared" si="841"/>
        <v>1</v>
      </c>
      <c r="BT80" s="108">
        <f t="shared" si="842"/>
        <v>1</v>
      </c>
      <c r="BU80" s="108">
        <f t="shared" si="843"/>
        <v>1</v>
      </c>
      <c r="BV80" s="108">
        <f t="shared" si="844"/>
        <v>1</v>
      </c>
      <c r="BW80" s="109">
        <f t="shared" si="845"/>
        <v>1043447</v>
      </c>
      <c r="BX80" s="110">
        <f t="shared" si="846"/>
        <v>6.2961637857370079E-2</v>
      </c>
      <c r="BZ80" s="319" t="s">
        <v>332</v>
      </c>
      <c r="CA80" s="319" t="s">
        <v>178</v>
      </c>
      <c r="CB80" s="334" t="s">
        <v>333</v>
      </c>
      <c r="CC80" s="327" t="s">
        <v>184</v>
      </c>
      <c r="CD80" s="343">
        <v>65.215441435102363</v>
      </c>
      <c r="CE80" s="323">
        <v>65000</v>
      </c>
      <c r="CF80" s="324">
        <f t="shared" si="847"/>
        <v>4239003.6932816533</v>
      </c>
      <c r="CG80" s="108">
        <f t="shared" si="848"/>
        <v>1</v>
      </c>
      <c r="CH80" s="108">
        <f t="shared" si="849"/>
        <v>1</v>
      </c>
      <c r="CI80" s="108">
        <f t="shared" si="850"/>
        <v>1</v>
      </c>
      <c r="CJ80" s="108">
        <f t="shared" si="851"/>
        <v>1</v>
      </c>
      <c r="CK80" s="108">
        <f t="shared" si="852"/>
        <v>1</v>
      </c>
      <c r="CL80" s="108">
        <f t="shared" si="853"/>
        <v>1</v>
      </c>
      <c r="CM80" s="108">
        <f t="shared" si="854"/>
        <v>1</v>
      </c>
      <c r="CN80" s="109">
        <f t="shared" si="855"/>
        <v>4239004</v>
      </c>
      <c r="CO80" s="110">
        <f t="shared" si="856"/>
        <v>-0.30671834666281939</v>
      </c>
      <c r="CQ80" s="319" t="s">
        <v>332</v>
      </c>
      <c r="CR80" s="319" t="s">
        <v>178</v>
      </c>
      <c r="CS80" s="334" t="s">
        <v>333</v>
      </c>
      <c r="CT80" s="327" t="s">
        <v>184</v>
      </c>
      <c r="CU80" s="343">
        <v>65.215441435102363</v>
      </c>
      <c r="CV80" s="323">
        <v>13000</v>
      </c>
      <c r="CW80" s="324">
        <f t="shared" si="857"/>
        <v>847800.73865633074</v>
      </c>
      <c r="CX80" s="108">
        <f t="shared" si="858"/>
        <v>1</v>
      </c>
      <c r="CY80" s="108">
        <f t="shared" si="859"/>
        <v>1</v>
      </c>
      <c r="CZ80" s="108">
        <f t="shared" si="860"/>
        <v>1</v>
      </c>
      <c r="DA80" s="108">
        <f t="shared" si="861"/>
        <v>1</v>
      </c>
      <c r="DB80" s="108">
        <f t="shared" si="862"/>
        <v>1</v>
      </c>
      <c r="DC80" s="108">
        <f t="shared" si="863"/>
        <v>1</v>
      </c>
      <c r="DD80" s="108">
        <f t="shared" si="864"/>
        <v>1</v>
      </c>
      <c r="DE80" s="109">
        <f t="shared" si="865"/>
        <v>847801</v>
      </c>
      <c r="DF80" s="110">
        <f t="shared" si="866"/>
        <v>-0.26134366926271468</v>
      </c>
      <c r="DH80" s="319" t="s">
        <v>332</v>
      </c>
      <c r="DI80" s="319" t="s">
        <v>178</v>
      </c>
      <c r="DJ80" s="360" t="s">
        <v>333</v>
      </c>
      <c r="DK80" s="327" t="s">
        <v>184</v>
      </c>
      <c r="DL80" s="343">
        <v>65.215441435102363</v>
      </c>
      <c r="DM80" s="323">
        <v>19232</v>
      </c>
      <c r="DN80" s="324">
        <f t="shared" si="867"/>
        <v>1254223.3696798887</v>
      </c>
      <c r="DO80" s="108">
        <f t="shared" si="868"/>
        <v>1</v>
      </c>
      <c r="DP80" s="108">
        <f t="shared" si="869"/>
        <v>1</v>
      </c>
      <c r="DQ80" s="108">
        <f t="shared" si="870"/>
        <v>1</v>
      </c>
      <c r="DR80" s="108">
        <f t="shared" si="871"/>
        <v>1</v>
      </c>
      <c r="DS80" s="108">
        <f t="shared" si="872"/>
        <v>1</v>
      </c>
      <c r="DT80" s="108">
        <f t="shared" si="873"/>
        <v>1</v>
      </c>
      <c r="DU80" s="108">
        <f t="shared" si="874"/>
        <v>1</v>
      </c>
      <c r="DV80" s="109">
        <f t="shared" si="875"/>
        <v>1254223</v>
      </c>
      <c r="DW80" s="110">
        <f t="shared" si="876"/>
        <v>0.3696798887103796</v>
      </c>
      <c r="DY80" s="319" t="s">
        <v>332</v>
      </c>
      <c r="DZ80" s="319" t="s">
        <v>178</v>
      </c>
      <c r="EA80" s="360" t="s">
        <v>333</v>
      </c>
      <c r="EB80" s="327" t="s">
        <v>184</v>
      </c>
      <c r="EC80" s="343">
        <v>65.215441435102363</v>
      </c>
      <c r="ED80" s="323">
        <v>13000</v>
      </c>
      <c r="EE80" s="324">
        <f t="shared" si="877"/>
        <v>847800.73865633074</v>
      </c>
      <c r="EF80" s="108">
        <f t="shared" si="878"/>
        <v>1</v>
      </c>
      <c r="EG80" s="108">
        <f t="shared" si="879"/>
        <v>1</v>
      </c>
      <c r="EH80" s="108">
        <f t="shared" si="880"/>
        <v>1</v>
      </c>
      <c r="EI80" s="108">
        <f t="shared" si="881"/>
        <v>1</v>
      </c>
      <c r="EJ80" s="108">
        <f t="shared" si="882"/>
        <v>1</v>
      </c>
      <c r="EK80" s="108">
        <f t="shared" si="883"/>
        <v>1</v>
      </c>
      <c r="EL80" s="108">
        <f t="shared" si="884"/>
        <v>1</v>
      </c>
      <c r="EM80" s="109">
        <f t="shared" si="885"/>
        <v>847801</v>
      </c>
      <c r="EN80" s="110">
        <f t="shared" si="886"/>
        <v>-0.26134366926271468</v>
      </c>
      <c r="EP80" s="319" t="s">
        <v>332</v>
      </c>
      <c r="EQ80" s="319" t="s">
        <v>178</v>
      </c>
      <c r="ER80" s="334" t="s">
        <v>333</v>
      </c>
      <c r="ES80" s="327" t="s">
        <v>184</v>
      </c>
      <c r="ET80" s="343">
        <v>65.215441435102363</v>
      </c>
      <c r="EU80" s="323">
        <v>15300</v>
      </c>
      <c r="EV80" s="324">
        <f t="shared" si="887"/>
        <v>997796.2539570661</v>
      </c>
      <c r="EW80" s="108">
        <f t="shared" si="888"/>
        <v>1</v>
      </c>
      <c r="EX80" s="108">
        <f t="shared" si="889"/>
        <v>1</v>
      </c>
      <c r="EY80" s="108">
        <f t="shared" si="890"/>
        <v>1</v>
      </c>
      <c r="EZ80" s="108">
        <f t="shared" si="891"/>
        <v>1</v>
      </c>
      <c r="FA80" s="108">
        <f t="shared" si="892"/>
        <v>1</v>
      </c>
      <c r="FB80" s="108">
        <f t="shared" si="893"/>
        <v>1</v>
      </c>
      <c r="FC80" s="108">
        <f t="shared" si="894"/>
        <v>1</v>
      </c>
      <c r="FD80" s="109">
        <f t="shared" si="895"/>
        <v>997796</v>
      </c>
      <c r="FE80" s="110">
        <f t="shared" si="896"/>
        <v>0.25395706610288471</v>
      </c>
      <c r="FG80" s="319" t="s">
        <v>332</v>
      </c>
      <c r="FH80" s="319" t="s">
        <v>178</v>
      </c>
      <c r="FI80" s="360" t="s">
        <v>333</v>
      </c>
      <c r="FJ80" s="327" t="s">
        <v>184</v>
      </c>
      <c r="FK80" s="343">
        <v>65.215441435102363</v>
      </c>
      <c r="FL80" s="323">
        <v>19260</v>
      </c>
      <c r="FM80" s="324">
        <f t="shared" si="897"/>
        <v>1256049.4020400716</v>
      </c>
      <c r="FN80" s="108">
        <f t="shared" si="898"/>
        <v>1</v>
      </c>
      <c r="FO80" s="108">
        <f t="shared" si="899"/>
        <v>1</v>
      </c>
      <c r="FP80" s="108">
        <f t="shared" si="900"/>
        <v>1</v>
      </c>
      <c r="FQ80" s="108">
        <f t="shared" si="901"/>
        <v>1</v>
      </c>
      <c r="FR80" s="108">
        <f t="shared" si="902"/>
        <v>1</v>
      </c>
      <c r="FS80" s="108">
        <f t="shared" si="903"/>
        <v>1</v>
      </c>
      <c r="FT80" s="108">
        <f t="shared" si="904"/>
        <v>1</v>
      </c>
      <c r="FU80" s="109">
        <f t="shared" si="905"/>
        <v>1256049</v>
      </c>
      <c r="FV80" s="110">
        <f t="shared" si="906"/>
        <v>0.40204007155261934</v>
      </c>
      <c r="FX80" s="319" t="s">
        <v>332</v>
      </c>
      <c r="FY80" s="319" t="s">
        <v>178</v>
      </c>
      <c r="FZ80" s="334" t="s">
        <v>333</v>
      </c>
      <c r="GA80" s="327" t="s">
        <v>184</v>
      </c>
      <c r="GB80" s="343">
        <v>65.215441435102363</v>
      </c>
      <c r="GC80" s="323">
        <v>9000</v>
      </c>
      <c r="GD80" s="324">
        <f t="shared" si="907"/>
        <v>586938.97291592124</v>
      </c>
      <c r="GE80" s="108">
        <f t="shared" si="908"/>
        <v>1</v>
      </c>
      <c r="GF80" s="108">
        <f t="shared" si="909"/>
        <v>1</v>
      </c>
      <c r="GG80" s="108">
        <f t="shared" si="910"/>
        <v>1</v>
      </c>
      <c r="GH80" s="108">
        <f t="shared" si="911"/>
        <v>1</v>
      </c>
      <c r="GI80" s="108">
        <f t="shared" si="912"/>
        <v>1</v>
      </c>
      <c r="GJ80" s="108">
        <f t="shared" si="913"/>
        <v>1</v>
      </c>
      <c r="GK80" s="108">
        <f t="shared" si="914"/>
        <v>1</v>
      </c>
      <c r="GL80" s="109">
        <f t="shared" si="915"/>
        <v>586939</v>
      </c>
      <c r="GM80" s="110">
        <f t="shared" si="916"/>
        <v>-2.7084078756161034E-2</v>
      </c>
      <c r="GO80" s="319" t="s">
        <v>332</v>
      </c>
      <c r="GP80" s="319" t="s">
        <v>178</v>
      </c>
      <c r="GQ80" s="334" t="s">
        <v>333</v>
      </c>
      <c r="GR80" s="327" t="s">
        <v>184</v>
      </c>
      <c r="GS80" s="343">
        <v>65.215441435102363</v>
      </c>
      <c r="GT80" s="323">
        <v>21000</v>
      </c>
      <c r="GU80" s="324">
        <v>1369524.2701371496</v>
      </c>
      <c r="GV80" s="108">
        <f t="shared" si="917"/>
        <v>1</v>
      </c>
      <c r="GW80" s="108">
        <f t="shared" si="918"/>
        <v>1</v>
      </c>
      <c r="GX80" s="108">
        <f t="shared" si="919"/>
        <v>1</v>
      </c>
      <c r="GY80" s="108">
        <f t="shared" si="920"/>
        <v>1</v>
      </c>
      <c r="GZ80" s="108">
        <f t="shared" si="921"/>
        <v>1</v>
      </c>
      <c r="HA80" s="108">
        <f t="shared" si="922"/>
        <v>1</v>
      </c>
      <c r="HB80" s="108">
        <f t="shared" si="923"/>
        <v>1</v>
      </c>
      <c r="HC80" s="109">
        <f t="shared" si="924"/>
        <v>1369524</v>
      </c>
      <c r="HD80" s="110">
        <f t="shared" si="925"/>
        <v>0.27013714960776269</v>
      </c>
      <c r="HF80" s="319" t="s">
        <v>332</v>
      </c>
      <c r="HG80" s="319" t="s">
        <v>178</v>
      </c>
      <c r="HH80" s="334" t="s">
        <v>333</v>
      </c>
      <c r="HI80" s="327" t="s">
        <v>184</v>
      </c>
      <c r="HJ80" s="343">
        <v>65.215441435102363</v>
      </c>
      <c r="HK80" s="323">
        <v>28000</v>
      </c>
      <c r="HL80" s="324">
        <f t="shared" si="926"/>
        <v>1826032.3601828662</v>
      </c>
      <c r="HM80" s="108">
        <f t="shared" si="927"/>
        <v>1</v>
      </c>
      <c r="HN80" s="108">
        <f t="shared" si="928"/>
        <v>1</v>
      </c>
      <c r="HO80" s="108">
        <f t="shared" si="929"/>
        <v>1</v>
      </c>
      <c r="HP80" s="108">
        <f t="shared" si="930"/>
        <v>1</v>
      </c>
      <c r="HQ80" s="108">
        <f t="shared" si="931"/>
        <v>1</v>
      </c>
      <c r="HR80" s="108">
        <f t="shared" si="932"/>
        <v>1</v>
      </c>
      <c r="HS80" s="108">
        <f t="shared" si="933"/>
        <v>1</v>
      </c>
      <c r="HT80" s="109">
        <f t="shared" si="934"/>
        <v>1826032</v>
      </c>
      <c r="HU80" s="110">
        <f t="shared" si="935"/>
        <v>0.36018286622129381</v>
      </c>
      <c r="HW80" s="319" t="s">
        <v>332</v>
      </c>
      <c r="HX80" s="319" t="s">
        <v>178</v>
      </c>
      <c r="HY80" s="334" t="s">
        <v>333</v>
      </c>
      <c r="HZ80" s="327" t="s">
        <v>184</v>
      </c>
      <c r="IA80" s="343">
        <v>65.215441435102363</v>
      </c>
      <c r="IB80" s="323">
        <v>12000</v>
      </c>
      <c r="IC80" s="324">
        <f t="shared" si="936"/>
        <v>782585.29722122836</v>
      </c>
      <c r="ID80" s="108">
        <f t="shared" si="937"/>
        <v>1</v>
      </c>
      <c r="IE80" s="108">
        <f t="shared" si="938"/>
        <v>1</v>
      </c>
      <c r="IF80" s="108">
        <f t="shared" si="939"/>
        <v>1</v>
      </c>
      <c r="IG80" s="108">
        <f t="shared" si="940"/>
        <v>1</v>
      </c>
      <c r="IH80" s="108">
        <f t="shared" si="941"/>
        <v>1</v>
      </c>
      <c r="II80" s="108">
        <f t="shared" si="942"/>
        <v>1</v>
      </c>
      <c r="IJ80" s="108">
        <f t="shared" si="943"/>
        <v>1</v>
      </c>
      <c r="IK80" s="109">
        <f t="shared" si="944"/>
        <v>782585</v>
      </c>
      <c r="IL80" s="110">
        <f t="shared" si="945"/>
        <v>0.29722122836392373</v>
      </c>
    </row>
    <row r="81" spans="1:16039" ht="39" customHeight="1" thickTop="1" thickBot="1" x14ac:dyDescent="0.25">
      <c r="B81" s="256"/>
      <c r="C81" s="214"/>
      <c r="I81" s="214"/>
      <c r="J81" s="216"/>
      <c r="K81" s="214"/>
      <c r="Q81" s="78"/>
      <c r="R81" s="78"/>
      <c r="S81" s="78"/>
      <c r="T81" s="78"/>
      <c r="U81" s="78"/>
      <c r="V81" s="78"/>
      <c r="W81" s="78"/>
      <c r="X81" s="111" t="s">
        <v>117</v>
      </c>
      <c r="Y81" s="112">
        <f>SUM(Y11:Y80)</f>
        <v>0</v>
      </c>
      <c r="AA81" s="216"/>
      <c r="AB81" s="214"/>
      <c r="AH81" s="78"/>
      <c r="AI81" s="78"/>
      <c r="AJ81" s="78"/>
      <c r="AK81" s="78"/>
      <c r="AL81" s="78"/>
      <c r="AM81" s="78"/>
      <c r="AN81" s="78"/>
      <c r="AO81" s="111" t="s">
        <v>117</v>
      </c>
      <c r="AP81" s="112">
        <f>SUM(AP11:AP80)</f>
        <v>-1.3187654158100486</v>
      </c>
      <c r="AR81" s="216"/>
      <c r="AS81" s="214"/>
      <c r="AY81" s="78"/>
      <c r="AZ81" s="78"/>
      <c r="BA81" s="78"/>
      <c r="BB81" s="78"/>
      <c r="BC81" s="78"/>
      <c r="BD81" s="78"/>
      <c r="BE81" s="78"/>
      <c r="BF81" s="111" t="s">
        <v>117</v>
      </c>
      <c r="BG81" s="112">
        <f>SUM(BG11:BG80)</f>
        <v>-0.89933672873303294</v>
      </c>
      <c r="BI81" s="216"/>
      <c r="BJ81" s="214"/>
      <c r="BP81" s="78"/>
      <c r="BQ81" s="78"/>
      <c r="BR81" s="78"/>
      <c r="BS81" s="78"/>
      <c r="BT81" s="78"/>
      <c r="BU81" s="78"/>
      <c r="BV81" s="78"/>
      <c r="BW81" s="111" t="s">
        <v>117</v>
      </c>
      <c r="BX81" s="112">
        <f>SUM(BX11:BX80)</f>
        <v>-2.1409769051970216</v>
      </c>
      <c r="BZ81" s="216"/>
      <c r="CA81" s="214"/>
      <c r="CG81" s="78"/>
      <c r="CH81" s="78"/>
      <c r="CI81" s="78"/>
      <c r="CJ81" s="78"/>
      <c r="CK81" s="78"/>
      <c r="CL81" s="78"/>
      <c r="CM81" s="78"/>
      <c r="CN81" s="111" t="s">
        <v>117</v>
      </c>
      <c r="CO81" s="112">
        <f>SUM(CO11:CO80)</f>
        <v>2.6258109137415886E-3</v>
      </c>
      <c r="CQ81" s="216"/>
      <c r="CR81" s="214"/>
      <c r="CX81" s="78"/>
      <c r="CY81" s="78"/>
      <c r="CZ81" s="78"/>
      <c r="DA81" s="78"/>
      <c r="DB81" s="78"/>
      <c r="DC81" s="78"/>
      <c r="DD81" s="78"/>
      <c r="DE81" s="111" t="s">
        <v>117</v>
      </c>
      <c r="DF81" s="112">
        <f>SUM(DF11:DF80)</f>
        <v>-0.2022073381813243</v>
      </c>
      <c r="DH81" s="216"/>
      <c r="DI81" s="214"/>
      <c r="DO81" s="78"/>
      <c r="DP81" s="78"/>
      <c r="DQ81" s="78"/>
      <c r="DR81" s="78"/>
      <c r="DS81" s="78"/>
      <c r="DT81" s="78"/>
      <c r="DU81" s="78"/>
      <c r="DV81" s="111" t="s">
        <v>117</v>
      </c>
      <c r="DW81" s="112">
        <f>SUM(DW11:DW80)</f>
        <v>-9.0627777109621093</v>
      </c>
      <c r="DY81" s="216"/>
      <c r="DZ81" s="214"/>
      <c r="EF81" s="78"/>
      <c r="EG81" s="78"/>
      <c r="EH81" s="78"/>
      <c r="EI81" s="78"/>
      <c r="EJ81" s="78"/>
      <c r="EK81" s="78"/>
      <c r="EL81" s="78"/>
      <c r="EM81" s="111" t="s">
        <v>117</v>
      </c>
      <c r="EN81" s="112">
        <f>SUM(EN11:EN80)</f>
        <v>0.19648391369264573</v>
      </c>
      <c r="EP81" s="216"/>
      <c r="EQ81" s="214"/>
      <c r="EW81" s="78"/>
      <c r="EX81" s="78"/>
      <c r="EY81" s="78"/>
      <c r="EZ81" s="78"/>
      <c r="FA81" s="78"/>
      <c r="FB81" s="78"/>
      <c r="FC81" s="78"/>
      <c r="FD81" s="111" t="s">
        <v>117</v>
      </c>
      <c r="FE81" s="112">
        <f>SUM(FE11:FE80)</f>
        <v>-1.8564936355687678E-2</v>
      </c>
      <c r="FG81" s="216"/>
      <c r="FH81" s="214"/>
      <c r="FN81" s="78"/>
      <c r="FO81" s="78"/>
      <c r="FP81" s="78"/>
      <c r="FQ81" s="78"/>
      <c r="FR81" s="78"/>
      <c r="FS81" s="78"/>
      <c r="FT81" s="78"/>
      <c r="FU81" s="111" t="s">
        <v>117</v>
      </c>
      <c r="FV81" s="112">
        <f>SUM(FV11:FV80)</f>
        <v>-6.8897926334757358</v>
      </c>
      <c r="FX81" s="216"/>
      <c r="FY81" s="214"/>
      <c r="GE81" s="78"/>
      <c r="GF81" s="78"/>
      <c r="GG81" s="78"/>
      <c r="GH81" s="78"/>
      <c r="GI81" s="78"/>
      <c r="GJ81" s="78"/>
      <c r="GK81" s="78"/>
      <c r="GL81" s="111" t="s">
        <v>117</v>
      </c>
      <c r="GM81" s="112">
        <f>SUM(GM11:GM80)</f>
        <v>0.54688547167461365</v>
      </c>
      <c r="GO81" s="216"/>
      <c r="GP81" s="214"/>
      <c r="GV81" s="78"/>
      <c r="GW81" s="78"/>
      <c r="GX81" s="78"/>
      <c r="GY81" s="78"/>
      <c r="GZ81" s="78"/>
      <c r="HA81" s="78"/>
      <c r="HB81" s="78"/>
      <c r="HC81" s="111" t="s">
        <v>117</v>
      </c>
      <c r="HD81" s="112">
        <f>SUM(HD11:HD80)</f>
        <v>0.26702375314198434</v>
      </c>
      <c r="HF81" s="216"/>
      <c r="HG81" s="214"/>
      <c r="HM81" s="78"/>
      <c r="HN81" s="78"/>
      <c r="HO81" s="78"/>
      <c r="HP81" s="78"/>
      <c r="HQ81" s="78"/>
      <c r="HR81" s="78"/>
      <c r="HS81" s="78"/>
      <c r="HT81" s="111" t="s">
        <v>117</v>
      </c>
      <c r="HU81" s="112">
        <f>SUM(HU11:HU80)</f>
        <v>0.72681966400705278</v>
      </c>
      <c r="HW81" s="216"/>
      <c r="HX81" s="214"/>
      <c r="ID81" s="78"/>
      <c r="IE81" s="78"/>
      <c r="IF81" s="78"/>
      <c r="IG81" s="78"/>
      <c r="IH81" s="78"/>
      <c r="II81" s="78"/>
      <c r="IJ81" s="78"/>
      <c r="IK81" s="111" t="s">
        <v>117</v>
      </c>
      <c r="IL81" s="112">
        <f>SUM(IL11:IL80)</f>
        <v>0.69775617111008614</v>
      </c>
    </row>
    <row r="82" spans="1:16039" ht="36.75" customHeight="1" thickBot="1" x14ac:dyDescent="0.25">
      <c r="B82" s="550" t="s">
        <v>110</v>
      </c>
      <c r="C82" s="551"/>
      <c r="D82" s="551"/>
      <c r="E82" s="551"/>
      <c r="F82" s="552"/>
      <c r="G82" s="217"/>
      <c r="H82" s="218">
        <f>SUM(H11:H80)</f>
        <v>0</v>
      </c>
      <c r="J82" s="550" t="s">
        <v>110</v>
      </c>
      <c r="K82" s="551"/>
      <c r="L82" s="551"/>
      <c r="M82" s="551"/>
      <c r="N82" s="552"/>
      <c r="O82" s="217"/>
      <c r="P82" s="247">
        <f>ROUND(SUM(P11:P80),0)</f>
        <v>470423856</v>
      </c>
      <c r="Q82" s="78"/>
      <c r="R82" s="78"/>
      <c r="S82" s="553">
        <f>SUM(X11:X80)</f>
        <v>470423856</v>
      </c>
      <c r="T82" s="554"/>
      <c r="U82" s="554"/>
      <c r="V82" s="555"/>
      <c r="W82" s="78"/>
      <c r="X82" s="113" t="s">
        <v>75</v>
      </c>
      <c r="Y82" s="114">
        <f>Y81/P82</f>
        <v>0</v>
      </c>
      <c r="AA82" s="550" t="s">
        <v>110</v>
      </c>
      <c r="AB82" s="551"/>
      <c r="AC82" s="551"/>
      <c r="AD82" s="551"/>
      <c r="AE82" s="552"/>
      <c r="AF82" s="217"/>
      <c r="AG82" s="247">
        <f>ROUND(SUM(AG11:AG80),0)</f>
        <v>491373559</v>
      </c>
      <c r="AH82" s="78"/>
      <c r="AI82" s="78"/>
      <c r="AJ82" s="553">
        <f>SUM(AO11:AO80)</f>
        <v>491373560</v>
      </c>
      <c r="AK82" s="554"/>
      <c r="AL82" s="554"/>
      <c r="AM82" s="555"/>
      <c r="AN82" s="78"/>
      <c r="AO82" s="113" t="s">
        <v>75</v>
      </c>
      <c r="AP82" s="114">
        <f>AP81/AG82</f>
        <v>-2.6838347152701566E-9</v>
      </c>
      <c r="AR82" s="550" t="s">
        <v>110</v>
      </c>
      <c r="AS82" s="551"/>
      <c r="AT82" s="551"/>
      <c r="AU82" s="551"/>
      <c r="AV82" s="552"/>
      <c r="AW82" s="217"/>
      <c r="AX82" s="247">
        <f>ROUND(SUM(AX11:AX80),0)</f>
        <v>489082150</v>
      </c>
      <c r="AY82" s="78"/>
      <c r="AZ82" s="78"/>
      <c r="BA82" s="553">
        <f>SUM(BF11:BF80)</f>
        <v>489082151</v>
      </c>
      <c r="BB82" s="554"/>
      <c r="BC82" s="554"/>
      <c r="BD82" s="555"/>
      <c r="BE82" s="78"/>
      <c r="BF82" s="113" t="s">
        <v>75</v>
      </c>
      <c r="BG82" s="114">
        <f>BG81/AX82</f>
        <v>-1.838825499423835E-9</v>
      </c>
      <c r="BI82" s="550" t="s">
        <v>110</v>
      </c>
      <c r="BJ82" s="551"/>
      <c r="BK82" s="551"/>
      <c r="BL82" s="551"/>
      <c r="BM82" s="552"/>
      <c r="BN82" s="217"/>
      <c r="BO82" s="247">
        <f>ROUND(SUM(BO11:BO80),0)</f>
        <v>496892200</v>
      </c>
      <c r="BP82" s="78"/>
      <c r="BQ82" s="78"/>
      <c r="BR82" s="553">
        <f>SUM(BW11:BW80)</f>
        <v>496892202</v>
      </c>
      <c r="BS82" s="554"/>
      <c r="BT82" s="554"/>
      <c r="BU82" s="555"/>
      <c r="BV82" s="78"/>
      <c r="BW82" s="113" t="s">
        <v>75</v>
      </c>
      <c r="BX82" s="114">
        <f>BX81/BO82</f>
        <v>-4.3087351848087402E-9</v>
      </c>
      <c r="BZ82" s="550" t="s">
        <v>110</v>
      </c>
      <c r="CA82" s="551"/>
      <c r="CB82" s="551"/>
      <c r="CC82" s="551"/>
      <c r="CD82" s="552"/>
      <c r="CE82" s="217"/>
      <c r="CF82" s="247">
        <f>ROUND(SUM(CF11:CF80),0)</f>
        <v>492533698</v>
      </c>
      <c r="CG82" s="78"/>
      <c r="CH82" s="78"/>
      <c r="CI82" s="553">
        <f>SUM(CN11:CN80)</f>
        <v>492533698</v>
      </c>
      <c r="CJ82" s="554"/>
      <c r="CK82" s="554"/>
      <c r="CL82" s="555"/>
      <c r="CM82" s="78"/>
      <c r="CN82" s="113" t="s">
        <v>75</v>
      </c>
      <c r="CO82" s="114">
        <f>CO81/CF82</f>
        <v>5.3312309886695076E-12</v>
      </c>
      <c r="CQ82" s="550" t="s">
        <v>110</v>
      </c>
      <c r="CR82" s="551"/>
      <c r="CS82" s="551"/>
      <c r="CT82" s="551"/>
      <c r="CU82" s="552"/>
      <c r="CV82" s="217"/>
      <c r="CW82" s="247">
        <f>ROUND(SUM(CW11:CW80),0)</f>
        <v>493698540</v>
      </c>
      <c r="CX82" s="78"/>
      <c r="CY82" s="78"/>
      <c r="CZ82" s="553">
        <f>SUM(DE11:DE80)</f>
        <v>493698540</v>
      </c>
      <c r="DA82" s="554"/>
      <c r="DB82" s="554"/>
      <c r="DC82" s="555"/>
      <c r="DD82" s="78"/>
      <c r="DE82" s="113" t="s">
        <v>75</v>
      </c>
      <c r="DF82" s="114">
        <f>DF81/CW82</f>
        <v>-4.095765366884097E-10</v>
      </c>
      <c r="DH82" s="550" t="s">
        <v>110</v>
      </c>
      <c r="DI82" s="551"/>
      <c r="DJ82" s="551"/>
      <c r="DK82" s="551"/>
      <c r="DL82" s="552"/>
      <c r="DM82" s="217"/>
      <c r="DN82" s="247">
        <f>ROUND(SUM(DN11:DN80),0)</f>
        <v>499520972</v>
      </c>
      <c r="DO82" s="78"/>
      <c r="DP82" s="78"/>
      <c r="DQ82" s="553">
        <f>SUM(DV11:DV80)</f>
        <v>499520981</v>
      </c>
      <c r="DR82" s="554"/>
      <c r="DS82" s="554"/>
      <c r="DT82" s="555"/>
      <c r="DU82" s="78"/>
      <c r="DV82" s="113" t="s">
        <v>75</v>
      </c>
      <c r="DW82" s="114">
        <f>DW81/DN82</f>
        <v>-1.8142937371931021E-8</v>
      </c>
      <c r="DY82" s="550" t="s">
        <v>110</v>
      </c>
      <c r="DZ82" s="551"/>
      <c r="EA82" s="551"/>
      <c r="EB82" s="551"/>
      <c r="EC82" s="552"/>
      <c r="ED82" s="217"/>
      <c r="EE82" s="247">
        <f>ROUND(SUM(EE11:EE80),0)</f>
        <v>484238930</v>
      </c>
      <c r="EF82" s="78"/>
      <c r="EG82" s="78"/>
      <c r="EH82" s="553">
        <f>SUM(EM11:EM80)</f>
        <v>484238930</v>
      </c>
      <c r="EI82" s="554"/>
      <c r="EJ82" s="554"/>
      <c r="EK82" s="555"/>
      <c r="EL82" s="78"/>
      <c r="EM82" s="113" t="s">
        <v>75</v>
      </c>
      <c r="EN82" s="114">
        <f>EN81/EE82</f>
        <v>4.0575819398214374E-10</v>
      </c>
      <c r="EP82" s="550" t="s">
        <v>110</v>
      </c>
      <c r="EQ82" s="551"/>
      <c r="ER82" s="551"/>
      <c r="ES82" s="551"/>
      <c r="ET82" s="552"/>
      <c r="EU82" s="217"/>
      <c r="EV82" s="247">
        <f>ROUND(SUM(EV11:EV80),0)</f>
        <v>490529016</v>
      </c>
      <c r="EW82" s="78"/>
      <c r="EX82" s="78"/>
      <c r="EY82" s="553">
        <f>SUM(FD11:FD80)</f>
        <v>490529016</v>
      </c>
      <c r="EZ82" s="554"/>
      <c r="FA82" s="554"/>
      <c r="FB82" s="555"/>
      <c r="FC82" s="78"/>
      <c r="FD82" s="113" t="s">
        <v>75</v>
      </c>
      <c r="FE82" s="114">
        <f>FE81/EV82</f>
        <v>-3.7846764921420424E-11</v>
      </c>
      <c r="FG82" s="550" t="s">
        <v>110</v>
      </c>
      <c r="FH82" s="551"/>
      <c r="FI82" s="551"/>
      <c r="FJ82" s="551"/>
      <c r="FK82" s="552"/>
      <c r="FL82" s="217"/>
      <c r="FM82" s="247">
        <f>ROUND(SUM(FM11:FM80),0)</f>
        <v>499810262</v>
      </c>
      <c r="FN82" s="78"/>
      <c r="FO82" s="78"/>
      <c r="FP82" s="553">
        <f>SUM(FU11:FU80)</f>
        <v>499810269</v>
      </c>
      <c r="FQ82" s="554"/>
      <c r="FR82" s="554"/>
      <c r="FS82" s="555"/>
      <c r="FT82" s="78"/>
      <c r="FU82" s="113" t="s">
        <v>75</v>
      </c>
      <c r="FV82" s="114">
        <f>FV81/FM82</f>
        <v>-1.3784816273891822E-8</v>
      </c>
      <c r="FX82" s="550" t="s">
        <v>110</v>
      </c>
      <c r="FY82" s="551"/>
      <c r="FZ82" s="551"/>
      <c r="GA82" s="551"/>
      <c r="GB82" s="552"/>
      <c r="GC82" s="217"/>
      <c r="GD82" s="247">
        <f>ROUND(SUM(GD11:GD80),0)</f>
        <v>497389629</v>
      </c>
      <c r="GE82" s="78"/>
      <c r="GF82" s="78"/>
      <c r="GG82" s="553">
        <f>SUM(GL11:GL80)</f>
        <v>497389628</v>
      </c>
      <c r="GH82" s="554"/>
      <c r="GI82" s="554"/>
      <c r="GJ82" s="555"/>
      <c r="GK82" s="78"/>
      <c r="GL82" s="113" t="s">
        <v>75</v>
      </c>
      <c r="GM82" s="114">
        <f>GM81/GD82</f>
        <v>1.0995112076906888E-9</v>
      </c>
      <c r="GO82" s="550" t="s">
        <v>110</v>
      </c>
      <c r="GP82" s="551"/>
      <c r="GQ82" s="551"/>
      <c r="GR82" s="551"/>
      <c r="GS82" s="552"/>
      <c r="GT82" s="217"/>
      <c r="GU82" s="247">
        <f>ROUND(SUM(GU11:GU80),0)</f>
        <v>477981348</v>
      </c>
      <c r="GV82" s="78"/>
      <c r="GW82" s="78"/>
      <c r="GX82" s="553">
        <f>SUM(HC11:HC80)</f>
        <v>477981348</v>
      </c>
      <c r="GY82" s="554"/>
      <c r="GZ82" s="554"/>
      <c r="HA82" s="555"/>
      <c r="HB82" s="78"/>
      <c r="HC82" s="113" t="s">
        <v>75</v>
      </c>
      <c r="HD82" s="114">
        <f>HD81/GU82</f>
        <v>5.5864889761762077E-10</v>
      </c>
      <c r="HF82" s="550" t="s">
        <v>110</v>
      </c>
      <c r="HG82" s="551"/>
      <c r="HH82" s="551"/>
      <c r="HI82" s="551"/>
      <c r="HJ82" s="552"/>
      <c r="HK82" s="217"/>
      <c r="HL82" s="247">
        <f>ROUND(SUM(HL11:HL80),0)</f>
        <v>545352963</v>
      </c>
      <c r="HM82" s="78"/>
      <c r="HN82" s="78"/>
      <c r="HO82" s="553">
        <f>SUM(HT11:HT80)</f>
        <v>545352962</v>
      </c>
      <c r="HP82" s="554"/>
      <c r="HQ82" s="554"/>
      <c r="HR82" s="555"/>
      <c r="HS82" s="78"/>
      <c r="HT82" s="113" t="s">
        <v>75</v>
      </c>
      <c r="HU82" s="114">
        <f>HU81/HL82</f>
        <v>1.3327509215477624E-9</v>
      </c>
      <c r="HW82" s="550" t="s">
        <v>110</v>
      </c>
      <c r="HX82" s="551"/>
      <c r="HY82" s="551"/>
      <c r="HZ82" s="551"/>
      <c r="IA82" s="552"/>
      <c r="IB82" s="217"/>
      <c r="IC82" s="247">
        <f>ROUND(SUM(IC11:IC80),0)</f>
        <v>490294479</v>
      </c>
      <c r="ID82" s="78"/>
      <c r="IE82" s="78"/>
      <c r="IF82" s="553">
        <f>SUM(IK11:IK80)</f>
        <v>490294478</v>
      </c>
      <c r="IG82" s="554"/>
      <c r="IH82" s="554"/>
      <c r="II82" s="555"/>
      <c r="IJ82" s="78"/>
      <c r="IK82" s="113" t="s">
        <v>75</v>
      </c>
      <c r="IL82" s="114">
        <f>IL81/IC82</f>
        <v>1.4231369126024488E-9</v>
      </c>
    </row>
    <row r="83" spans="1:16039" ht="15.75" customHeight="1" thickBot="1" x14ac:dyDescent="0.25">
      <c r="Q83" s="78"/>
      <c r="R83" s="78"/>
      <c r="S83" s="556"/>
      <c r="T83" s="557"/>
      <c r="U83" s="557"/>
      <c r="V83" s="558"/>
      <c r="W83" s="78"/>
      <c r="X83" s="244"/>
      <c r="Y83" s="78"/>
      <c r="AH83" s="78"/>
      <c r="AI83" s="78"/>
      <c r="AJ83" s="556"/>
      <c r="AK83" s="557"/>
      <c r="AL83" s="557"/>
      <c r="AM83" s="558"/>
      <c r="AN83" s="78"/>
      <c r="AO83" s="244"/>
      <c r="AP83" s="78"/>
      <c r="AY83" s="78"/>
      <c r="AZ83" s="78"/>
      <c r="BA83" s="556"/>
      <c r="BB83" s="557"/>
      <c r="BC83" s="557"/>
      <c r="BD83" s="558"/>
      <c r="BE83" s="78"/>
      <c r="BF83" s="244"/>
      <c r="BG83" s="78"/>
      <c r="BP83" s="78"/>
      <c r="BQ83" s="78"/>
      <c r="BR83" s="556"/>
      <c r="BS83" s="557"/>
      <c r="BT83" s="557"/>
      <c r="BU83" s="558"/>
      <c r="BV83" s="78"/>
      <c r="BW83" s="244"/>
      <c r="BX83" s="78"/>
      <c r="CG83" s="78"/>
      <c r="CH83" s="78"/>
      <c r="CI83" s="556"/>
      <c r="CJ83" s="557"/>
      <c r="CK83" s="557"/>
      <c r="CL83" s="558"/>
      <c r="CM83" s="78"/>
      <c r="CN83" s="244"/>
      <c r="CO83" s="78"/>
      <c r="CX83" s="78"/>
      <c r="CY83" s="78"/>
      <c r="CZ83" s="556"/>
      <c r="DA83" s="557"/>
      <c r="DB83" s="557"/>
      <c r="DC83" s="558"/>
      <c r="DD83" s="78"/>
      <c r="DE83" s="244"/>
      <c r="DF83" s="78"/>
      <c r="DO83" s="78"/>
      <c r="DP83" s="78"/>
      <c r="DQ83" s="556"/>
      <c r="DR83" s="557"/>
      <c r="DS83" s="557"/>
      <c r="DT83" s="558"/>
      <c r="DU83" s="78"/>
      <c r="DV83" s="244"/>
      <c r="DW83" s="78"/>
      <c r="EF83" s="78"/>
      <c r="EG83" s="78"/>
      <c r="EH83" s="556"/>
      <c r="EI83" s="557"/>
      <c r="EJ83" s="557"/>
      <c r="EK83" s="558"/>
      <c r="EL83" s="78"/>
      <c r="EM83" s="244"/>
      <c r="EN83" s="78"/>
      <c r="EW83" s="78"/>
      <c r="EX83" s="78"/>
      <c r="EY83" s="556"/>
      <c r="EZ83" s="557"/>
      <c r="FA83" s="557"/>
      <c r="FB83" s="558"/>
      <c r="FC83" s="78"/>
      <c r="FD83" s="244"/>
      <c r="FE83" s="78"/>
      <c r="FN83" s="78"/>
      <c r="FO83" s="78"/>
      <c r="FP83" s="556"/>
      <c r="FQ83" s="557"/>
      <c r="FR83" s="557"/>
      <c r="FS83" s="558"/>
      <c r="FT83" s="78"/>
      <c r="FU83" s="244"/>
      <c r="FV83" s="78"/>
      <c r="GE83" s="78"/>
      <c r="GF83" s="78"/>
      <c r="GG83" s="556"/>
      <c r="GH83" s="557"/>
      <c r="GI83" s="557"/>
      <c r="GJ83" s="558"/>
      <c r="GK83" s="78"/>
      <c r="GL83" s="244"/>
      <c r="GM83" s="78"/>
      <c r="GV83" s="78"/>
      <c r="GW83" s="78"/>
      <c r="GX83" s="556"/>
      <c r="GY83" s="557"/>
      <c r="GZ83" s="557"/>
      <c r="HA83" s="558"/>
      <c r="HB83" s="78"/>
      <c r="HC83" s="244"/>
      <c r="HD83" s="78"/>
      <c r="HM83" s="78"/>
      <c r="HN83" s="78"/>
      <c r="HO83" s="556"/>
      <c r="HP83" s="557"/>
      <c r="HQ83" s="557"/>
      <c r="HR83" s="558"/>
      <c r="HS83" s="78"/>
      <c r="HT83" s="244"/>
      <c r="HU83" s="78"/>
      <c r="ID83" s="78"/>
      <c r="IE83" s="78"/>
      <c r="IF83" s="556"/>
      <c r="IG83" s="557"/>
      <c r="IH83" s="557"/>
      <c r="II83" s="558"/>
      <c r="IJ83" s="78"/>
      <c r="IK83" s="244"/>
      <c r="IL83" s="78"/>
    </row>
    <row r="84" spans="1:16039" ht="15.75" customHeight="1" thickBot="1" x14ac:dyDescent="0.25">
      <c r="N84" s="240" t="s">
        <v>338</v>
      </c>
      <c r="O84" s="242">
        <v>0.16589999999999999</v>
      </c>
      <c r="P84" s="248">
        <f>+P82*O84</f>
        <v>78043317.7104</v>
      </c>
      <c r="Q84" s="78"/>
      <c r="R84" s="78"/>
      <c r="S84" s="559"/>
      <c r="T84" s="560"/>
      <c r="U84" s="560"/>
      <c r="V84" s="561"/>
      <c r="W84" s="78"/>
      <c r="X84" s="244"/>
      <c r="Y84" s="78"/>
      <c r="AE84" s="240" t="s">
        <v>338</v>
      </c>
      <c r="AF84" s="257">
        <v>0.13</v>
      </c>
      <c r="AG84" s="248">
        <f>+AG82*AF84</f>
        <v>63878562.670000002</v>
      </c>
      <c r="AH84" s="78"/>
      <c r="AI84" s="78"/>
      <c r="AJ84" s="559"/>
      <c r="AK84" s="560"/>
      <c r="AL84" s="560"/>
      <c r="AM84" s="561"/>
      <c r="AN84" s="78"/>
      <c r="AO84" s="244"/>
      <c r="AP84" s="78"/>
      <c r="AV84" s="240" t="s">
        <v>338</v>
      </c>
      <c r="AW84" s="356">
        <v>0.18</v>
      </c>
      <c r="AX84" s="248">
        <f>+AX82*AW84</f>
        <v>88034787</v>
      </c>
      <c r="AY84" s="78"/>
      <c r="AZ84" s="78"/>
      <c r="BA84" s="559"/>
      <c r="BB84" s="560"/>
      <c r="BC84" s="560"/>
      <c r="BD84" s="561"/>
      <c r="BE84" s="78"/>
      <c r="BF84" s="244"/>
      <c r="BG84" s="78"/>
      <c r="BM84" s="240" t="s">
        <v>338</v>
      </c>
      <c r="BN84" s="356">
        <v>0.19500000000000001</v>
      </c>
      <c r="BO84" s="248">
        <f>+BO82*BN84</f>
        <v>96893979</v>
      </c>
      <c r="BP84" s="78"/>
      <c r="BQ84" s="78"/>
      <c r="BR84" s="559"/>
      <c r="BS84" s="560"/>
      <c r="BT84" s="560"/>
      <c r="BU84" s="561"/>
      <c r="BV84" s="78"/>
      <c r="BW84" s="244"/>
      <c r="BX84" s="78"/>
      <c r="CD84" s="240" t="s">
        <v>338</v>
      </c>
      <c r="CE84" s="356">
        <v>0.184</v>
      </c>
      <c r="CF84" s="248">
        <f>+CF82*CE84</f>
        <v>90626200.431999996</v>
      </c>
      <c r="CG84" s="78"/>
      <c r="CH84" s="78"/>
      <c r="CI84" s="559"/>
      <c r="CJ84" s="560"/>
      <c r="CK84" s="560"/>
      <c r="CL84" s="561"/>
      <c r="CM84" s="78"/>
      <c r="CN84" s="244"/>
      <c r="CO84" s="78"/>
      <c r="CU84" s="240" t="s">
        <v>338</v>
      </c>
      <c r="CV84" s="356">
        <v>0.183</v>
      </c>
      <c r="CW84" s="248">
        <f>+CW82*CV84</f>
        <v>90346832.819999993</v>
      </c>
      <c r="CX84" s="78"/>
      <c r="CY84" s="78"/>
      <c r="CZ84" s="559"/>
      <c r="DA84" s="560"/>
      <c r="DB84" s="560"/>
      <c r="DC84" s="561"/>
      <c r="DD84" s="78"/>
      <c r="DE84" s="244"/>
      <c r="DF84" s="78"/>
      <c r="DL84" s="240" t="s">
        <v>338</v>
      </c>
      <c r="DM84" s="356">
        <v>0.125</v>
      </c>
      <c r="DN84" s="248">
        <f>+DN82*DM84</f>
        <v>62440121.5</v>
      </c>
      <c r="DO84" s="78"/>
      <c r="DP84" s="78"/>
      <c r="DQ84" s="559"/>
      <c r="DR84" s="560"/>
      <c r="DS84" s="560"/>
      <c r="DT84" s="561"/>
      <c r="DU84" s="78"/>
      <c r="DV84" s="244"/>
      <c r="DW84" s="78"/>
      <c r="EC84" s="240" t="s">
        <v>338</v>
      </c>
      <c r="ED84" s="356">
        <v>0.12</v>
      </c>
      <c r="EE84" s="248">
        <f>+EE82*ED84</f>
        <v>58108671.600000001</v>
      </c>
      <c r="EF84" s="78"/>
      <c r="EG84" s="78"/>
      <c r="EH84" s="559"/>
      <c r="EI84" s="560"/>
      <c r="EJ84" s="560"/>
      <c r="EK84" s="561"/>
      <c r="EL84" s="78"/>
      <c r="EM84" s="244"/>
      <c r="EN84" s="78"/>
      <c r="ET84" s="240" t="s">
        <v>338</v>
      </c>
      <c r="EU84" s="356">
        <v>0.16600000000000001</v>
      </c>
      <c r="EV84" s="248">
        <f>+EV82*EU84</f>
        <v>81427816.656000003</v>
      </c>
      <c r="EW84" s="78"/>
      <c r="EX84" s="78"/>
      <c r="EY84" s="559"/>
      <c r="EZ84" s="560"/>
      <c r="FA84" s="560"/>
      <c r="FB84" s="561"/>
      <c r="FC84" s="78"/>
      <c r="FD84" s="244"/>
      <c r="FE84" s="78"/>
      <c r="FK84" s="240" t="s">
        <v>338</v>
      </c>
      <c r="FL84" s="356">
        <v>0.13</v>
      </c>
      <c r="FM84" s="248">
        <f>+FM82*FL84</f>
        <v>64975334.060000002</v>
      </c>
      <c r="FN84" s="78"/>
      <c r="FO84" s="78"/>
      <c r="FP84" s="559"/>
      <c r="FQ84" s="560"/>
      <c r="FR84" s="560"/>
      <c r="FS84" s="561"/>
      <c r="FT84" s="78"/>
      <c r="FU84" s="244"/>
      <c r="FV84" s="78"/>
      <c r="GB84" s="240" t="s">
        <v>338</v>
      </c>
      <c r="GC84" s="356">
        <v>0.183</v>
      </c>
      <c r="GD84" s="248">
        <f>+GD82*GC84</f>
        <v>91022302.106999993</v>
      </c>
      <c r="GE84" s="78"/>
      <c r="GF84" s="78"/>
      <c r="GG84" s="559"/>
      <c r="GH84" s="560"/>
      <c r="GI84" s="560"/>
      <c r="GJ84" s="561"/>
      <c r="GK84" s="78"/>
      <c r="GL84" s="244"/>
      <c r="GM84" s="78"/>
      <c r="GS84" s="240" t="s">
        <v>338</v>
      </c>
      <c r="GT84" s="361">
        <v>0.184</v>
      </c>
      <c r="GU84" s="248">
        <f>+GU82*GT84</f>
        <v>87948568.032000005</v>
      </c>
      <c r="GV84" s="78"/>
      <c r="GW84" s="78"/>
      <c r="GX84" s="559"/>
      <c r="GY84" s="560"/>
      <c r="GZ84" s="560"/>
      <c r="HA84" s="561"/>
      <c r="HB84" s="78"/>
      <c r="HC84" s="244"/>
      <c r="HD84" s="78"/>
      <c r="HJ84" s="240" t="s">
        <v>338</v>
      </c>
      <c r="HK84" s="356">
        <v>0.16</v>
      </c>
      <c r="HL84" s="248">
        <f>+HL82*HK84</f>
        <v>87256474.079999998</v>
      </c>
      <c r="HM84" s="78"/>
      <c r="HN84" s="78"/>
      <c r="HO84" s="559"/>
      <c r="HP84" s="560"/>
      <c r="HQ84" s="560"/>
      <c r="HR84" s="561"/>
      <c r="HS84" s="78"/>
      <c r="HT84" s="244"/>
      <c r="HU84" s="78"/>
      <c r="IA84" s="240" t="s">
        <v>338</v>
      </c>
      <c r="IB84" s="356">
        <v>0.125</v>
      </c>
      <c r="IC84" s="248">
        <f>+IC82*IB84</f>
        <v>61286809.875</v>
      </c>
      <c r="ID84" s="78"/>
      <c r="IE84" s="78"/>
      <c r="IF84" s="559"/>
      <c r="IG84" s="560"/>
      <c r="IH84" s="560"/>
      <c r="II84" s="561"/>
      <c r="IJ84" s="78"/>
      <c r="IK84" s="244"/>
      <c r="IL84" s="78"/>
    </row>
    <row r="85" spans="1:16039" ht="15.75" customHeight="1" x14ac:dyDescent="0.2">
      <c r="N85" s="241" t="s">
        <v>158</v>
      </c>
      <c r="O85" s="243">
        <v>0.05</v>
      </c>
      <c r="P85" s="248">
        <f>+P82*O85</f>
        <v>23521192.800000001</v>
      </c>
      <c r="Q85" s="78"/>
      <c r="R85" s="78"/>
      <c r="S85" s="78"/>
      <c r="T85" s="78"/>
      <c r="U85" s="78"/>
      <c r="V85" s="78"/>
      <c r="W85" s="78"/>
      <c r="X85" s="78"/>
      <c r="Y85" s="78"/>
      <c r="AE85" s="241" t="s">
        <v>158</v>
      </c>
      <c r="AF85" s="258">
        <v>0.02</v>
      </c>
      <c r="AG85" s="248">
        <f>+AG82*AF85</f>
        <v>9827471.1799999997</v>
      </c>
      <c r="AH85" s="78"/>
      <c r="AI85" s="78"/>
      <c r="AJ85" s="78"/>
      <c r="AK85" s="78"/>
      <c r="AL85" s="78"/>
      <c r="AM85" s="78"/>
      <c r="AN85" s="78"/>
      <c r="AO85" s="78"/>
      <c r="AP85" s="78"/>
      <c r="AV85" s="241" t="s">
        <v>158</v>
      </c>
      <c r="AW85" s="356">
        <v>0.04</v>
      </c>
      <c r="AX85" s="248">
        <f>+AX82*AW85</f>
        <v>19563286</v>
      </c>
      <c r="AY85" s="78"/>
      <c r="AZ85" s="78"/>
      <c r="BA85" s="78"/>
      <c r="BB85" s="78"/>
      <c r="BC85" s="78"/>
      <c r="BD85" s="78"/>
      <c r="BE85" s="78"/>
      <c r="BF85" s="78"/>
      <c r="BG85" s="78"/>
      <c r="BM85" s="241" t="s">
        <v>158</v>
      </c>
      <c r="BN85" s="356">
        <v>0.01</v>
      </c>
      <c r="BO85" s="248">
        <f>+BO82*BN85</f>
        <v>4968922</v>
      </c>
      <c r="BP85" s="78"/>
      <c r="BQ85" s="78"/>
      <c r="BR85" s="78"/>
      <c r="BS85" s="78"/>
      <c r="BT85" s="78"/>
      <c r="BU85" s="78"/>
      <c r="BV85" s="78"/>
      <c r="BW85" s="78"/>
      <c r="BX85" s="78"/>
      <c r="CD85" s="241" t="s">
        <v>158</v>
      </c>
      <c r="CE85" s="356">
        <v>0.05</v>
      </c>
      <c r="CF85" s="248">
        <f>+CF82*CE85</f>
        <v>24626684.900000002</v>
      </c>
      <c r="CG85" s="78"/>
      <c r="CH85" s="78"/>
      <c r="CI85" s="78"/>
      <c r="CJ85" s="78"/>
      <c r="CK85" s="78"/>
      <c r="CL85" s="78"/>
      <c r="CM85" s="78"/>
      <c r="CN85" s="78"/>
      <c r="CO85" s="78"/>
      <c r="CU85" s="241" t="s">
        <v>158</v>
      </c>
      <c r="CV85" s="356">
        <v>0.05</v>
      </c>
      <c r="CW85" s="248">
        <f>+CW82*CV85</f>
        <v>24684927</v>
      </c>
      <c r="CX85" s="78"/>
      <c r="CY85" s="78"/>
      <c r="CZ85" s="78"/>
      <c r="DA85" s="78"/>
      <c r="DB85" s="78"/>
      <c r="DC85" s="78"/>
      <c r="DD85" s="78"/>
      <c r="DE85" s="78"/>
      <c r="DF85" s="78"/>
      <c r="DL85" s="241" t="s">
        <v>158</v>
      </c>
      <c r="DM85" s="356">
        <v>0.03</v>
      </c>
      <c r="DN85" s="248">
        <f>+DN82*DM85</f>
        <v>14985629.16</v>
      </c>
      <c r="DO85" s="78"/>
      <c r="DP85" s="78"/>
      <c r="DQ85" s="78"/>
      <c r="DR85" s="78"/>
      <c r="DS85" s="78"/>
      <c r="DT85" s="78"/>
      <c r="DU85" s="78"/>
      <c r="DV85" s="78"/>
      <c r="DW85" s="78"/>
      <c r="EC85" s="241" t="s">
        <v>158</v>
      </c>
      <c r="ED85" s="356">
        <v>0.03</v>
      </c>
      <c r="EE85" s="248">
        <f>+EE82*ED85</f>
        <v>14527167.9</v>
      </c>
      <c r="EF85" s="78"/>
      <c r="EG85" s="78"/>
      <c r="EH85" s="78"/>
      <c r="EI85" s="78"/>
      <c r="EJ85" s="78"/>
      <c r="EK85" s="78"/>
      <c r="EL85" s="78"/>
      <c r="EM85" s="78"/>
      <c r="EN85" s="78"/>
      <c r="ET85" s="241" t="s">
        <v>158</v>
      </c>
      <c r="EU85" s="356">
        <v>0.05</v>
      </c>
      <c r="EV85" s="248">
        <f>+EV82*EU85</f>
        <v>24526450.800000001</v>
      </c>
      <c r="EW85" s="78"/>
      <c r="EX85" s="78"/>
      <c r="EY85" s="78"/>
      <c r="EZ85" s="78"/>
      <c r="FA85" s="78"/>
      <c r="FB85" s="78"/>
      <c r="FC85" s="78"/>
      <c r="FD85" s="78"/>
      <c r="FE85" s="78"/>
      <c r="FK85" s="241" t="s">
        <v>158</v>
      </c>
      <c r="FL85" s="356">
        <v>0.03</v>
      </c>
      <c r="FM85" s="248">
        <f>+FM82*FL85</f>
        <v>14994307.859999999</v>
      </c>
      <c r="FN85" s="78"/>
      <c r="FO85" s="78"/>
      <c r="FP85" s="78"/>
      <c r="FQ85" s="78"/>
      <c r="FR85" s="78"/>
      <c r="FS85" s="78"/>
      <c r="FT85" s="78"/>
      <c r="FU85" s="78"/>
      <c r="FV85" s="78"/>
      <c r="GB85" s="241" t="s">
        <v>158</v>
      </c>
      <c r="GC85" s="356">
        <v>0.05</v>
      </c>
      <c r="GD85" s="248">
        <f>+GD82*GC85</f>
        <v>24869481.450000003</v>
      </c>
      <c r="GE85" s="78"/>
      <c r="GF85" s="78"/>
      <c r="GG85" s="78"/>
      <c r="GH85" s="78"/>
      <c r="GI85" s="78"/>
      <c r="GJ85" s="78"/>
      <c r="GK85" s="78"/>
      <c r="GL85" s="78"/>
      <c r="GM85" s="78"/>
      <c r="GS85" s="241" t="s">
        <v>158</v>
      </c>
      <c r="GT85" s="361">
        <v>0.05</v>
      </c>
      <c r="GU85" s="248">
        <f>+GU82*GT85</f>
        <v>23899067.400000002</v>
      </c>
      <c r="GV85" s="78"/>
      <c r="GW85" s="78"/>
      <c r="GX85" s="78"/>
      <c r="GY85" s="78"/>
      <c r="GZ85" s="78"/>
      <c r="HA85" s="78"/>
      <c r="HB85" s="78"/>
      <c r="HC85" s="78"/>
      <c r="HD85" s="78"/>
      <c r="HJ85" s="241" t="s">
        <v>158</v>
      </c>
      <c r="HK85" s="356">
        <v>0.05</v>
      </c>
      <c r="HL85" s="248">
        <f>+HL82*HK85</f>
        <v>27267648.150000002</v>
      </c>
      <c r="HM85" s="78"/>
      <c r="HN85" s="78"/>
      <c r="HO85" s="78"/>
      <c r="HP85" s="78"/>
      <c r="HQ85" s="78"/>
      <c r="HR85" s="78"/>
      <c r="HS85" s="78"/>
      <c r="HT85" s="78"/>
      <c r="HU85" s="78"/>
      <c r="IA85" s="241" t="s">
        <v>158</v>
      </c>
      <c r="IB85" s="356">
        <v>0.01</v>
      </c>
      <c r="IC85" s="248">
        <f>+IC82*IB85</f>
        <v>4902944.79</v>
      </c>
      <c r="ID85" s="78"/>
      <c r="IE85" s="78"/>
      <c r="IF85" s="78"/>
      <c r="IG85" s="78"/>
      <c r="IH85" s="78"/>
      <c r="II85" s="78"/>
      <c r="IJ85" s="78"/>
      <c r="IK85" s="78"/>
      <c r="IL85" s="78"/>
    </row>
    <row r="86" spans="1:16039" ht="15.75" customHeight="1" x14ac:dyDescent="0.2">
      <c r="N86" s="245" t="s">
        <v>339</v>
      </c>
      <c r="O86" s="355"/>
      <c r="P86" s="249">
        <f>+P82+P84+P85</f>
        <v>571988366.51039994</v>
      </c>
      <c r="Q86" s="78"/>
      <c r="R86" s="78"/>
      <c r="S86" s="78"/>
      <c r="T86" s="78"/>
      <c r="U86" s="78"/>
      <c r="V86" s="78"/>
      <c r="W86" s="78"/>
      <c r="X86" s="78"/>
      <c r="Y86" s="78"/>
      <c r="AE86" s="245" t="s">
        <v>339</v>
      </c>
      <c r="AF86" s="355"/>
      <c r="AG86" s="249">
        <f>+AG82+AG84+AG85</f>
        <v>565079592.8499999</v>
      </c>
      <c r="AH86" s="78"/>
      <c r="AI86" s="78"/>
      <c r="AJ86" s="78"/>
      <c r="AK86" s="78"/>
      <c r="AL86" s="78"/>
      <c r="AM86" s="78"/>
      <c r="AN86" s="78"/>
      <c r="AO86" s="78"/>
      <c r="AP86" s="78"/>
      <c r="AV86" s="245" t="s">
        <v>339</v>
      </c>
      <c r="AW86" s="355"/>
      <c r="AX86" s="249">
        <f>+AX82+AX84+AX85</f>
        <v>596680223</v>
      </c>
      <c r="AY86" s="78"/>
      <c r="AZ86" s="78"/>
      <c r="BA86" s="78"/>
      <c r="BB86" s="78"/>
      <c r="BC86" s="78"/>
      <c r="BD86" s="78"/>
      <c r="BE86" s="78"/>
      <c r="BF86" s="78"/>
      <c r="BG86" s="78"/>
      <c r="BM86" s="245" t="s">
        <v>339</v>
      </c>
      <c r="BN86" s="355"/>
      <c r="BO86" s="249">
        <f>+BO82+BO84+BO85</f>
        <v>598755101</v>
      </c>
      <c r="BP86" s="78"/>
      <c r="BQ86" s="78"/>
      <c r="BR86" s="78"/>
      <c r="BS86" s="78"/>
      <c r="BT86" s="78"/>
      <c r="BU86" s="78"/>
      <c r="BV86" s="78"/>
      <c r="BW86" s="78"/>
      <c r="BX86" s="78"/>
      <c r="CD86" s="245" t="s">
        <v>339</v>
      </c>
      <c r="CE86" s="355"/>
      <c r="CF86" s="249">
        <f>+CF82+CF84+CF85</f>
        <v>607786583.33200002</v>
      </c>
      <c r="CG86" s="78"/>
      <c r="CH86" s="78"/>
      <c r="CI86" s="78"/>
      <c r="CJ86" s="78"/>
      <c r="CK86" s="78"/>
      <c r="CL86" s="78"/>
      <c r="CM86" s="78"/>
      <c r="CN86" s="78"/>
      <c r="CO86" s="78"/>
      <c r="CU86" s="245" t="s">
        <v>339</v>
      </c>
      <c r="CV86" s="355"/>
      <c r="CW86" s="249">
        <f>+CW82+CW84+CW85</f>
        <v>608730299.81999993</v>
      </c>
      <c r="CX86" s="78"/>
      <c r="CY86" s="78"/>
      <c r="CZ86" s="78"/>
      <c r="DA86" s="78"/>
      <c r="DB86" s="78"/>
      <c r="DC86" s="78"/>
      <c r="DD86" s="78"/>
      <c r="DE86" s="78"/>
      <c r="DF86" s="78"/>
      <c r="DL86" s="245" t="s">
        <v>339</v>
      </c>
      <c r="DM86" s="355"/>
      <c r="DN86" s="249">
        <f>+DN82+DN84+DN85</f>
        <v>576946722.65999997</v>
      </c>
      <c r="DO86" s="78"/>
      <c r="DP86" s="78"/>
      <c r="DQ86" s="78"/>
      <c r="DR86" s="78"/>
      <c r="DS86" s="78"/>
      <c r="DT86" s="78"/>
      <c r="DU86" s="78"/>
      <c r="DV86" s="78"/>
      <c r="DW86" s="78"/>
      <c r="EC86" s="245" t="s">
        <v>339</v>
      </c>
      <c r="ED86" s="355"/>
      <c r="EE86" s="249">
        <f>+EE82+EE84+EE85</f>
        <v>556874769.5</v>
      </c>
      <c r="EF86" s="78"/>
      <c r="EG86" s="78"/>
      <c r="EH86" s="78"/>
      <c r="EI86" s="78"/>
      <c r="EJ86" s="78"/>
      <c r="EK86" s="78"/>
      <c r="EL86" s="78"/>
      <c r="EM86" s="78"/>
      <c r="EN86" s="78"/>
      <c r="ET86" s="245" t="s">
        <v>339</v>
      </c>
      <c r="EU86" s="355"/>
      <c r="EV86" s="249">
        <f>+EV82+EV84+EV85</f>
        <v>596483283.45599997</v>
      </c>
      <c r="EW86" s="78"/>
      <c r="EX86" s="78"/>
      <c r="EY86" s="78"/>
      <c r="EZ86" s="78"/>
      <c r="FA86" s="78"/>
      <c r="FB86" s="78"/>
      <c r="FC86" s="78"/>
      <c r="FD86" s="78"/>
      <c r="FE86" s="78"/>
      <c r="FK86" s="245" t="s">
        <v>339</v>
      </c>
      <c r="FL86" s="355"/>
      <c r="FM86" s="249">
        <f>+FM82+FM84+FM85</f>
        <v>579779903.91999996</v>
      </c>
      <c r="FN86" s="78"/>
      <c r="FO86" s="78"/>
      <c r="FP86" s="78"/>
      <c r="FQ86" s="78"/>
      <c r="FR86" s="78"/>
      <c r="FS86" s="78"/>
      <c r="FT86" s="78"/>
      <c r="FU86" s="78"/>
      <c r="FV86" s="78"/>
      <c r="GB86" s="245" t="s">
        <v>339</v>
      </c>
      <c r="GC86" s="355"/>
      <c r="GD86" s="249">
        <f>+GD82+GD84+GD85</f>
        <v>613281412.55700004</v>
      </c>
      <c r="GE86" s="78"/>
      <c r="GF86" s="78"/>
      <c r="GG86" s="78"/>
      <c r="GH86" s="78"/>
      <c r="GI86" s="78"/>
      <c r="GJ86" s="78"/>
      <c r="GK86" s="78"/>
      <c r="GL86" s="78"/>
      <c r="GM86" s="78"/>
      <c r="GS86" s="245" t="s">
        <v>339</v>
      </c>
      <c r="GT86" s="355"/>
      <c r="GU86" s="249">
        <f>+GU82+GU84+GU85</f>
        <v>589828983.43200004</v>
      </c>
      <c r="GV86" s="78"/>
      <c r="GW86" s="78"/>
      <c r="GX86" s="78"/>
      <c r="GY86" s="78"/>
      <c r="GZ86" s="78"/>
      <c r="HA86" s="78"/>
      <c r="HB86" s="78"/>
      <c r="HC86" s="78"/>
      <c r="HD86" s="78"/>
      <c r="HJ86" s="245" t="s">
        <v>339</v>
      </c>
      <c r="HK86" s="355"/>
      <c r="HL86" s="249">
        <f>+HL82+HL84+HL85</f>
        <v>659877085.23000002</v>
      </c>
      <c r="HM86" s="78"/>
      <c r="HN86" s="78"/>
      <c r="HO86" s="78"/>
      <c r="HP86" s="78"/>
      <c r="HQ86" s="78"/>
      <c r="HR86" s="78"/>
      <c r="HS86" s="78"/>
      <c r="HT86" s="78"/>
      <c r="HU86" s="78"/>
      <c r="IA86" s="245" t="s">
        <v>339</v>
      </c>
      <c r="IB86" s="355"/>
      <c r="IC86" s="249">
        <f>+IC82+IC84+IC85</f>
        <v>556484233.66499996</v>
      </c>
      <c r="ID86" s="78"/>
      <c r="IE86" s="78"/>
      <c r="IF86" s="78"/>
      <c r="IG86" s="78"/>
      <c r="IH86" s="78"/>
      <c r="II86" s="78"/>
      <c r="IJ86" s="78"/>
      <c r="IK86" s="78"/>
      <c r="IL86" s="78"/>
    </row>
    <row r="87" spans="1:16039" ht="15.75" customHeight="1" x14ac:dyDescent="0.2">
      <c r="N87" s="245" t="s">
        <v>159</v>
      </c>
      <c r="O87" s="246">
        <v>0.19</v>
      </c>
      <c r="P87" s="249">
        <f>+P86*O87</f>
        <v>108677789.63697599</v>
      </c>
      <c r="Q87" s="78"/>
      <c r="R87" s="78"/>
      <c r="S87" s="78"/>
      <c r="T87" s="78"/>
      <c r="U87" s="78"/>
      <c r="V87" s="78"/>
      <c r="W87" s="78"/>
      <c r="X87" s="78"/>
      <c r="Y87" s="78"/>
      <c r="AE87" s="245" t="s">
        <v>159</v>
      </c>
      <c r="AF87" s="246">
        <v>0.19</v>
      </c>
      <c r="AG87" s="249">
        <f>+AG86*AF87</f>
        <v>107365122.64149998</v>
      </c>
      <c r="AH87" s="78"/>
      <c r="AI87" s="78"/>
      <c r="AJ87" s="78"/>
      <c r="AK87" s="78"/>
      <c r="AL87" s="78"/>
      <c r="AM87" s="78"/>
      <c r="AN87" s="78"/>
      <c r="AO87" s="78"/>
      <c r="AP87" s="78"/>
      <c r="AV87" s="245" t="s">
        <v>159</v>
      </c>
      <c r="AW87" s="246">
        <v>0.19</v>
      </c>
      <c r="AX87" s="249">
        <f>+AX86*AW87</f>
        <v>113369242.37</v>
      </c>
      <c r="AY87" s="78"/>
      <c r="AZ87" s="78"/>
      <c r="BA87" s="78"/>
      <c r="BB87" s="78"/>
      <c r="BC87" s="78"/>
      <c r="BD87" s="78"/>
      <c r="BE87" s="78"/>
      <c r="BF87" s="78"/>
      <c r="BG87" s="78"/>
      <c r="BM87" s="245" t="s">
        <v>159</v>
      </c>
      <c r="BN87" s="246">
        <v>0.19</v>
      </c>
      <c r="BO87" s="249">
        <f>+BO86*BN87</f>
        <v>113763469.19</v>
      </c>
      <c r="BP87" s="78"/>
      <c r="BQ87" s="78"/>
      <c r="BR87" s="78"/>
      <c r="BS87" s="78"/>
      <c r="BT87" s="78"/>
      <c r="BU87" s="78"/>
      <c r="BV87" s="78"/>
      <c r="BW87" s="78"/>
      <c r="BX87" s="78"/>
      <c r="CD87" s="245" t="s">
        <v>159</v>
      </c>
      <c r="CE87" s="246">
        <v>0.19</v>
      </c>
      <c r="CF87" s="249">
        <f>+CF86*CE87</f>
        <v>115479450.83308001</v>
      </c>
      <c r="CG87" s="78"/>
      <c r="CH87" s="78"/>
      <c r="CI87" s="78"/>
      <c r="CJ87" s="78"/>
      <c r="CK87" s="78"/>
      <c r="CL87" s="78"/>
      <c r="CM87" s="78"/>
      <c r="CN87" s="78"/>
      <c r="CO87" s="78"/>
      <c r="CU87" s="245" t="s">
        <v>159</v>
      </c>
      <c r="CV87" s="246">
        <v>0.19</v>
      </c>
      <c r="CW87" s="249">
        <f>+CW86*CV87</f>
        <v>115658756.96579999</v>
      </c>
      <c r="CX87" s="78"/>
      <c r="CY87" s="78"/>
      <c r="CZ87" s="78"/>
      <c r="DA87" s="78"/>
      <c r="DB87" s="78"/>
      <c r="DC87" s="78"/>
      <c r="DD87" s="78"/>
      <c r="DE87" s="78"/>
      <c r="DF87" s="78"/>
      <c r="DL87" s="245" t="s">
        <v>159</v>
      </c>
      <c r="DM87" s="246">
        <v>0.19</v>
      </c>
      <c r="DN87" s="249">
        <f>+DN86*DM87</f>
        <v>109619877.3054</v>
      </c>
      <c r="DO87" s="78"/>
      <c r="DP87" s="78"/>
      <c r="DQ87" s="78"/>
      <c r="DR87" s="78"/>
      <c r="DS87" s="78"/>
      <c r="DT87" s="78"/>
      <c r="DU87" s="78"/>
      <c r="DV87" s="78"/>
      <c r="DW87" s="78"/>
      <c r="EC87" s="245" t="s">
        <v>159</v>
      </c>
      <c r="ED87" s="246">
        <v>0.19</v>
      </c>
      <c r="EE87" s="249">
        <f>+EE86*ED87</f>
        <v>105806206.205</v>
      </c>
      <c r="EF87" s="78"/>
      <c r="EG87" s="78"/>
      <c r="EH87" s="78"/>
      <c r="EI87" s="78"/>
      <c r="EJ87" s="78"/>
      <c r="EK87" s="78"/>
      <c r="EL87" s="78"/>
      <c r="EM87" s="78"/>
      <c r="EN87" s="78"/>
      <c r="ET87" s="245" t="s">
        <v>159</v>
      </c>
      <c r="EU87" s="246">
        <v>0.19</v>
      </c>
      <c r="EV87" s="249">
        <f>+EV86*EU87</f>
        <v>113331823.85664</v>
      </c>
      <c r="EW87" s="78"/>
      <c r="EX87" s="78"/>
      <c r="EY87" s="78"/>
      <c r="EZ87" s="78"/>
      <c r="FA87" s="78"/>
      <c r="FB87" s="78"/>
      <c r="FC87" s="78"/>
      <c r="FD87" s="78"/>
      <c r="FE87" s="78"/>
      <c r="FK87" s="245" t="s">
        <v>159</v>
      </c>
      <c r="FL87" s="246">
        <v>0.19</v>
      </c>
      <c r="FM87" s="249">
        <f>+FM86*FL87</f>
        <v>110158181.74479999</v>
      </c>
      <c r="FN87" s="78"/>
      <c r="FO87" s="78"/>
      <c r="FP87" s="78"/>
      <c r="FQ87" s="78"/>
      <c r="FR87" s="78"/>
      <c r="FS87" s="78"/>
      <c r="FT87" s="78"/>
      <c r="FU87" s="78"/>
      <c r="FV87" s="78"/>
      <c r="GB87" s="245" t="s">
        <v>159</v>
      </c>
      <c r="GC87" s="246">
        <v>0.19</v>
      </c>
      <c r="GD87" s="249">
        <f>+GD86*GC87</f>
        <v>116523468.38583001</v>
      </c>
      <c r="GE87" s="78"/>
      <c r="GF87" s="78"/>
      <c r="GG87" s="78"/>
      <c r="GH87" s="78"/>
      <c r="GI87" s="78"/>
      <c r="GJ87" s="78"/>
      <c r="GK87" s="78"/>
      <c r="GL87" s="78"/>
      <c r="GM87" s="78"/>
      <c r="GS87" s="245" t="s">
        <v>159</v>
      </c>
      <c r="GT87" s="246">
        <v>0.19</v>
      </c>
      <c r="GU87" s="249">
        <f>+GU86*GT87</f>
        <v>112067506.85208</v>
      </c>
      <c r="GV87" s="78"/>
      <c r="GW87" s="78"/>
      <c r="GX87" s="78"/>
      <c r="GY87" s="78"/>
      <c r="GZ87" s="78"/>
      <c r="HA87" s="78"/>
      <c r="HB87" s="78"/>
      <c r="HC87" s="78"/>
      <c r="HD87" s="78"/>
      <c r="HJ87" s="245" t="s">
        <v>159</v>
      </c>
      <c r="HK87" s="246">
        <v>0.19</v>
      </c>
      <c r="HL87" s="249">
        <f>+HL86*HK87</f>
        <v>125376646.1937</v>
      </c>
      <c r="HM87" s="78"/>
      <c r="HN87" s="78"/>
      <c r="HO87" s="78"/>
      <c r="HP87" s="78"/>
      <c r="HQ87" s="78"/>
      <c r="HR87" s="78"/>
      <c r="HS87" s="78"/>
      <c r="HT87" s="78"/>
      <c r="HU87" s="78"/>
      <c r="IA87" s="245" t="s">
        <v>159</v>
      </c>
      <c r="IB87" s="246">
        <v>0.19</v>
      </c>
      <c r="IC87" s="249">
        <f>+IC86*IB87</f>
        <v>105732004.39635</v>
      </c>
      <c r="ID87" s="78"/>
      <c r="IE87" s="78"/>
      <c r="IF87" s="78"/>
      <c r="IG87" s="78"/>
      <c r="IH87" s="78"/>
      <c r="II87" s="78"/>
      <c r="IJ87" s="78"/>
      <c r="IK87" s="78"/>
      <c r="IL87" s="78"/>
    </row>
    <row r="88" spans="1:16039" ht="15.75" customHeight="1" thickBot="1" x14ac:dyDescent="0.25">
      <c r="N88" s="245" t="s">
        <v>160</v>
      </c>
      <c r="O88" s="252">
        <f>SUM(O84:O85)</f>
        <v>0.21589999999999998</v>
      </c>
      <c r="P88" s="250"/>
      <c r="Q88" s="78"/>
      <c r="R88" s="78"/>
      <c r="S88" s="78"/>
      <c r="T88" s="78"/>
      <c r="U88" s="78"/>
      <c r="V88" s="78"/>
      <c r="W88" s="78"/>
      <c r="X88" s="244"/>
      <c r="Y88" s="78"/>
      <c r="AE88" s="245" t="s">
        <v>160</v>
      </c>
      <c r="AF88" s="252">
        <f>SUM(AF84:AF85)</f>
        <v>0.15</v>
      </c>
      <c r="AG88" s="250"/>
      <c r="AH88" s="78"/>
      <c r="AI88" s="78"/>
      <c r="AJ88" s="78"/>
      <c r="AK88" s="78"/>
      <c r="AL88" s="78"/>
      <c r="AM88" s="78"/>
      <c r="AN88" s="78"/>
      <c r="AO88" s="244"/>
      <c r="AP88" s="78"/>
      <c r="AV88" s="245" t="s">
        <v>160</v>
      </c>
      <c r="AW88" s="252">
        <f>SUM(AW84:AW85)</f>
        <v>0.22</v>
      </c>
      <c r="AX88" s="250"/>
      <c r="AY88" s="78"/>
      <c r="AZ88" s="78"/>
      <c r="BA88" s="78"/>
      <c r="BB88" s="78"/>
      <c r="BC88" s="78"/>
      <c r="BD88" s="78"/>
      <c r="BE88" s="78"/>
      <c r="BF88" s="244"/>
      <c r="BG88" s="78"/>
      <c r="BM88" s="245" t="s">
        <v>160</v>
      </c>
      <c r="BN88" s="252">
        <f>SUM(BN84:BN85)</f>
        <v>0.20500000000000002</v>
      </c>
      <c r="BO88" s="250"/>
      <c r="BP88" s="78"/>
      <c r="BQ88" s="78"/>
      <c r="BR88" s="78"/>
      <c r="BS88" s="78"/>
      <c r="BT88" s="78"/>
      <c r="BU88" s="78"/>
      <c r="BV88" s="78"/>
      <c r="BW88" s="244"/>
      <c r="BX88" s="78"/>
      <c r="CD88" s="245" t="s">
        <v>160</v>
      </c>
      <c r="CE88" s="252">
        <f>SUM(CE84:CE85)</f>
        <v>0.23399999999999999</v>
      </c>
      <c r="CF88" s="250"/>
      <c r="CG88" s="78"/>
      <c r="CH88" s="78"/>
      <c r="CI88" s="78"/>
      <c r="CJ88" s="78"/>
      <c r="CK88" s="78"/>
      <c r="CL88" s="78"/>
      <c r="CM88" s="78"/>
      <c r="CN88" s="244"/>
      <c r="CO88" s="78"/>
      <c r="CU88" s="245" t="s">
        <v>160</v>
      </c>
      <c r="CV88" s="252">
        <f>SUM(CV84:CV85)</f>
        <v>0.23299999999999998</v>
      </c>
      <c r="CW88" s="250"/>
      <c r="CX88" s="78"/>
      <c r="CY88" s="78"/>
      <c r="CZ88" s="78"/>
      <c r="DA88" s="78"/>
      <c r="DB88" s="78"/>
      <c r="DC88" s="78"/>
      <c r="DD88" s="78"/>
      <c r="DE88" s="244"/>
      <c r="DF88" s="78"/>
      <c r="DL88" s="245" t="s">
        <v>160</v>
      </c>
      <c r="DM88" s="252">
        <f>SUM(DM84:DM85)</f>
        <v>0.155</v>
      </c>
      <c r="DN88" s="250"/>
      <c r="DO88" s="78"/>
      <c r="DP88" s="78"/>
      <c r="DQ88" s="78"/>
      <c r="DR88" s="78"/>
      <c r="DS88" s="78"/>
      <c r="DT88" s="78"/>
      <c r="DU88" s="78"/>
      <c r="DV88" s="244"/>
      <c r="DW88" s="78"/>
      <c r="EC88" s="245" t="s">
        <v>160</v>
      </c>
      <c r="ED88" s="252">
        <f>SUM(ED84:ED85)</f>
        <v>0.15</v>
      </c>
      <c r="EE88" s="250"/>
      <c r="EF88" s="78"/>
      <c r="EG88" s="78"/>
      <c r="EH88" s="78"/>
      <c r="EI88" s="78"/>
      <c r="EJ88" s="78"/>
      <c r="EK88" s="78"/>
      <c r="EL88" s="78"/>
      <c r="EM88" s="244"/>
      <c r="EN88" s="78"/>
      <c r="ET88" s="245" t="s">
        <v>160</v>
      </c>
      <c r="EU88" s="252">
        <f>SUM(EU84:EU85)</f>
        <v>0.21600000000000003</v>
      </c>
      <c r="EV88" s="250"/>
      <c r="EW88" s="78"/>
      <c r="EX88" s="78"/>
      <c r="EY88" s="78"/>
      <c r="EZ88" s="78"/>
      <c r="FA88" s="78"/>
      <c r="FB88" s="78"/>
      <c r="FC88" s="78"/>
      <c r="FD88" s="244"/>
      <c r="FE88" s="78"/>
      <c r="FK88" s="245" t="s">
        <v>160</v>
      </c>
      <c r="FL88" s="252">
        <f>SUM(FL84:FL85)</f>
        <v>0.16</v>
      </c>
      <c r="FM88" s="250"/>
      <c r="FN88" s="78"/>
      <c r="FO88" s="78"/>
      <c r="FP88" s="78"/>
      <c r="FQ88" s="78"/>
      <c r="FR88" s="78"/>
      <c r="FS88" s="78"/>
      <c r="FT88" s="78"/>
      <c r="FU88" s="244"/>
      <c r="FV88" s="78"/>
      <c r="GB88" s="245" t="s">
        <v>160</v>
      </c>
      <c r="GC88" s="252">
        <f>SUM(GC84:GC85)</f>
        <v>0.23299999999999998</v>
      </c>
      <c r="GD88" s="250"/>
      <c r="GE88" s="78"/>
      <c r="GF88" s="78"/>
      <c r="GG88" s="78"/>
      <c r="GH88" s="78"/>
      <c r="GI88" s="78"/>
      <c r="GJ88" s="78"/>
      <c r="GK88" s="78"/>
      <c r="GL88" s="244"/>
      <c r="GM88" s="78"/>
      <c r="GS88" s="245" t="s">
        <v>160</v>
      </c>
      <c r="GT88" s="252">
        <f>SUM(GT84:GT85)</f>
        <v>0.23399999999999999</v>
      </c>
      <c r="GU88" s="250"/>
      <c r="GV88" s="78"/>
      <c r="GW88" s="78"/>
      <c r="GX88" s="78"/>
      <c r="GY88" s="78"/>
      <c r="GZ88" s="78"/>
      <c r="HA88" s="78"/>
      <c r="HB88" s="78"/>
      <c r="HC88" s="244"/>
      <c r="HD88" s="78"/>
      <c r="HJ88" s="245" t="s">
        <v>160</v>
      </c>
      <c r="HK88" s="252">
        <f>SUM(HK84:HK85)</f>
        <v>0.21000000000000002</v>
      </c>
      <c r="HL88" s="250"/>
      <c r="HM88" s="78"/>
      <c r="HN88" s="78"/>
      <c r="HO88" s="78"/>
      <c r="HP88" s="78"/>
      <c r="HQ88" s="78"/>
      <c r="HR88" s="78"/>
      <c r="HS88" s="78"/>
      <c r="HT88" s="244"/>
      <c r="HU88" s="78"/>
      <c r="IA88" s="245" t="s">
        <v>160</v>
      </c>
      <c r="IB88" s="252">
        <f>SUM(IB84:IB85)</f>
        <v>0.13500000000000001</v>
      </c>
      <c r="IC88" s="250"/>
      <c r="ID88" s="78"/>
      <c r="IE88" s="78"/>
      <c r="IF88" s="78"/>
      <c r="IG88" s="78"/>
      <c r="IH88" s="78"/>
      <c r="II88" s="78"/>
      <c r="IJ88" s="78"/>
      <c r="IK88" s="244"/>
      <c r="IL88" s="78"/>
    </row>
    <row r="89" spans="1:16039" ht="30.75" customHeight="1" thickBot="1" x14ac:dyDescent="0.25">
      <c r="N89" s="562" t="s">
        <v>161</v>
      </c>
      <c r="O89" s="563"/>
      <c r="P89" s="251">
        <f>+P82+P84+P85+P87</f>
        <v>680666156.14737594</v>
      </c>
      <c r="Q89" s="78"/>
      <c r="R89" s="78"/>
      <c r="S89" s="78"/>
      <c r="T89" s="78"/>
      <c r="U89" s="78"/>
      <c r="V89" s="78"/>
      <c r="W89" s="78"/>
      <c r="X89" s="78"/>
      <c r="Y89" s="78"/>
      <c r="AE89" s="562" t="s">
        <v>161</v>
      </c>
      <c r="AF89" s="563"/>
      <c r="AG89" s="251">
        <f>+AG82+AG84+AG85+AG87</f>
        <v>672444715.4914999</v>
      </c>
      <c r="AH89" s="78"/>
      <c r="AI89" s="78"/>
      <c r="AJ89" s="78"/>
      <c r="AK89" s="78"/>
      <c r="AL89" s="78"/>
      <c r="AM89" s="78"/>
      <c r="AN89" s="78"/>
      <c r="AO89" s="78"/>
      <c r="AP89" s="78"/>
      <c r="AV89" s="562" t="s">
        <v>161</v>
      </c>
      <c r="AW89" s="563"/>
      <c r="AX89" s="251">
        <f>+AX82+AX84+AX85+AX87</f>
        <v>710049465.37</v>
      </c>
      <c r="AY89" s="78"/>
      <c r="AZ89" s="78"/>
      <c r="BA89" s="78"/>
      <c r="BB89" s="78"/>
      <c r="BC89" s="78"/>
      <c r="BD89" s="78"/>
      <c r="BE89" s="78"/>
      <c r="BF89" s="78"/>
      <c r="BG89" s="78"/>
      <c r="BM89" s="562" t="s">
        <v>161</v>
      </c>
      <c r="BN89" s="563"/>
      <c r="BO89" s="251">
        <f>+BO82+BO84+BO85+BO87</f>
        <v>712518570.19000006</v>
      </c>
      <c r="BP89" s="78"/>
      <c r="BQ89" s="78"/>
      <c r="BR89" s="78"/>
      <c r="BS89" s="78"/>
      <c r="BT89" s="78"/>
      <c r="BU89" s="78"/>
      <c r="BV89" s="78"/>
      <c r="BW89" s="78"/>
      <c r="BX89" s="78"/>
      <c r="CD89" s="562" t="s">
        <v>161</v>
      </c>
      <c r="CE89" s="563"/>
      <c r="CF89" s="251">
        <f>+CF82+CF84+CF85+CF87</f>
        <v>723266034.16508007</v>
      </c>
      <c r="CG89" s="78"/>
      <c r="CH89" s="78"/>
      <c r="CI89" s="78"/>
      <c r="CJ89" s="78"/>
      <c r="CK89" s="78"/>
      <c r="CL89" s="78"/>
      <c r="CM89" s="78"/>
      <c r="CN89" s="78"/>
      <c r="CO89" s="78"/>
      <c r="CU89" s="562" t="s">
        <v>161</v>
      </c>
      <c r="CV89" s="563"/>
      <c r="CW89" s="251">
        <f>+CW82+CW84+CW85+CW87</f>
        <v>724389056.78579998</v>
      </c>
      <c r="CX89" s="78"/>
      <c r="CY89" s="78"/>
      <c r="CZ89" s="78"/>
      <c r="DA89" s="78"/>
      <c r="DB89" s="78"/>
      <c r="DC89" s="78"/>
      <c r="DD89" s="78"/>
      <c r="DE89" s="78"/>
      <c r="DF89" s="78"/>
      <c r="DL89" s="562" t="s">
        <v>161</v>
      </c>
      <c r="DM89" s="563"/>
      <c r="DN89" s="251">
        <f>+DN82+DN84+DN85+DN87</f>
        <v>686566599.96539998</v>
      </c>
      <c r="DO89" s="78"/>
      <c r="DP89" s="78"/>
      <c r="DQ89" s="78"/>
      <c r="DR89" s="78"/>
      <c r="DS89" s="78"/>
      <c r="DT89" s="78"/>
      <c r="DU89" s="78"/>
      <c r="DV89" s="78"/>
      <c r="DW89" s="78"/>
      <c r="EC89" s="562" t="s">
        <v>161</v>
      </c>
      <c r="ED89" s="563"/>
      <c r="EE89" s="251">
        <f>+EE82+EE84+EE85+EE87</f>
        <v>662680975.70500004</v>
      </c>
      <c r="EF89" s="78"/>
      <c r="EG89" s="78"/>
      <c r="EH89" s="78"/>
      <c r="EI89" s="78"/>
      <c r="EJ89" s="78"/>
      <c r="EK89" s="78"/>
      <c r="EL89" s="78"/>
      <c r="EM89" s="78"/>
      <c r="EN89" s="78"/>
      <c r="ET89" s="562" t="s">
        <v>161</v>
      </c>
      <c r="EU89" s="563"/>
      <c r="EV89" s="251">
        <f>+EV82+EV84+EV85+EV87</f>
        <v>709815107.31263995</v>
      </c>
      <c r="EW89" s="78"/>
      <c r="EX89" s="78"/>
      <c r="EY89" s="78"/>
      <c r="EZ89" s="78"/>
      <c r="FA89" s="78"/>
      <c r="FB89" s="78"/>
      <c r="FC89" s="78"/>
      <c r="FD89" s="78"/>
      <c r="FE89" s="78"/>
      <c r="FK89" s="562" t="s">
        <v>161</v>
      </c>
      <c r="FL89" s="563"/>
      <c r="FM89" s="251">
        <f>+FM82+FM84+FM85+FM87</f>
        <v>689938085.66479993</v>
      </c>
      <c r="FN89" s="78"/>
      <c r="FO89" s="78"/>
      <c r="FP89" s="78"/>
      <c r="FQ89" s="78"/>
      <c r="FR89" s="78"/>
      <c r="FS89" s="78"/>
      <c r="FT89" s="78"/>
      <c r="FU89" s="78"/>
      <c r="FV89" s="78"/>
      <c r="GB89" s="562" t="s">
        <v>161</v>
      </c>
      <c r="GC89" s="563"/>
      <c r="GD89" s="251">
        <f>+GD82+GD84+GD85+GD87</f>
        <v>729804880.94283009</v>
      </c>
      <c r="GE89" s="78"/>
      <c r="GF89" s="78"/>
      <c r="GG89" s="78"/>
      <c r="GH89" s="78"/>
      <c r="GI89" s="78"/>
      <c r="GJ89" s="78"/>
      <c r="GK89" s="78"/>
      <c r="GL89" s="78"/>
      <c r="GM89" s="78"/>
      <c r="GS89" s="562" t="s">
        <v>161</v>
      </c>
      <c r="GT89" s="563"/>
      <c r="GU89" s="251">
        <f>+GU82+GU84+GU85+GU87</f>
        <v>701896490.28408003</v>
      </c>
      <c r="GV89" s="78"/>
      <c r="GW89" s="78"/>
      <c r="GX89" s="78"/>
      <c r="GY89" s="78"/>
      <c r="GZ89" s="78"/>
      <c r="HA89" s="78"/>
      <c r="HB89" s="78"/>
      <c r="HC89" s="78"/>
      <c r="HD89" s="78"/>
      <c r="HJ89" s="562" t="s">
        <v>161</v>
      </c>
      <c r="HK89" s="563"/>
      <c r="HL89" s="251">
        <f>+HL82+HL84+HL85+HL87</f>
        <v>785253731.42369998</v>
      </c>
      <c r="HM89" s="78"/>
      <c r="HN89" s="78"/>
      <c r="HO89" s="78"/>
      <c r="HP89" s="78"/>
      <c r="HQ89" s="78"/>
      <c r="HR89" s="78"/>
      <c r="HS89" s="78"/>
      <c r="HT89" s="78"/>
      <c r="HU89" s="78"/>
      <c r="IA89" s="562" t="s">
        <v>161</v>
      </c>
      <c r="IB89" s="563"/>
      <c r="IC89" s="251">
        <f>+IC82+IC84+IC85+IC87</f>
        <v>662216238.06134999</v>
      </c>
      <c r="ID89" s="78"/>
      <c r="IE89" s="78"/>
      <c r="IF89" s="78"/>
      <c r="IG89" s="78"/>
      <c r="IH89" s="78"/>
      <c r="II89" s="78"/>
      <c r="IJ89" s="78"/>
      <c r="IK89" s="78"/>
      <c r="IL89" s="78"/>
    </row>
    <row r="90" spans="1:16039" ht="16.5" thickBot="1" x14ac:dyDescent="0.25">
      <c r="P90" s="219"/>
      <c r="Q90" s="253"/>
      <c r="R90" s="253"/>
      <c r="S90" s="253"/>
      <c r="T90" s="253"/>
      <c r="U90" s="253"/>
      <c r="V90" s="253"/>
      <c r="W90" s="253"/>
      <c r="X90" s="253"/>
      <c r="Y90" s="253"/>
      <c r="Z90" s="253"/>
      <c r="AG90" s="219"/>
      <c r="AH90" s="253"/>
      <c r="AI90" s="253"/>
      <c r="AJ90" s="253"/>
      <c r="AK90" s="253"/>
      <c r="AL90" s="253"/>
      <c r="AM90" s="253"/>
      <c r="AN90" s="253"/>
      <c r="AO90" s="253"/>
      <c r="AP90" s="253"/>
      <c r="AX90" s="219"/>
      <c r="AY90" s="253"/>
      <c r="AZ90" s="253"/>
      <c r="BA90" s="253"/>
      <c r="BB90" s="253"/>
      <c r="BC90" s="253"/>
      <c r="BD90" s="253"/>
      <c r="BE90" s="253"/>
      <c r="BF90" s="253"/>
      <c r="BG90" s="253"/>
      <c r="BO90" s="219"/>
      <c r="BP90" s="253"/>
      <c r="BQ90" s="253"/>
      <c r="BR90" s="253"/>
      <c r="BS90" s="253"/>
      <c r="BT90" s="253"/>
      <c r="BU90" s="253"/>
      <c r="BV90" s="253"/>
      <c r="BW90" s="253"/>
      <c r="BX90" s="253"/>
      <c r="CF90" s="219"/>
      <c r="CG90" s="253"/>
      <c r="CH90" s="253"/>
      <c r="CI90" s="253"/>
      <c r="CJ90" s="253"/>
      <c r="CK90" s="253"/>
      <c r="CL90" s="253"/>
      <c r="CM90" s="253"/>
      <c r="CN90" s="253"/>
      <c r="CO90" s="253"/>
      <c r="CW90" s="219"/>
      <c r="CX90" s="253"/>
      <c r="CY90" s="253"/>
      <c r="CZ90" s="253"/>
      <c r="DA90" s="253"/>
      <c r="DB90" s="253"/>
      <c r="DC90" s="253"/>
      <c r="DD90" s="253"/>
      <c r="DE90" s="253"/>
      <c r="DF90" s="253"/>
      <c r="DN90" s="219"/>
      <c r="DO90" s="253"/>
      <c r="DP90" s="253"/>
      <c r="DQ90" s="253"/>
      <c r="DR90" s="253"/>
      <c r="DS90" s="253"/>
      <c r="DT90" s="253"/>
      <c r="DU90" s="253"/>
      <c r="DV90" s="253"/>
      <c r="DW90" s="253"/>
      <c r="EE90" s="219"/>
      <c r="EF90" s="253"/>
      <c r="EG90" s="253"/>
      <c r="EH90" s="253"/>
      <c r="EI90" s="253"/>
      <c r="EJ90" s="253"/>
      <c r="EK90" s="253"/>
      <c r="EL90" s="253"/>
      <c r="EM90" s="253"/>
      <c r="EN90" s="253"/>
      <c r="EV90" s="219"/>
      <c r="EW90" s="253"/>
      <c r="EX90" s="253"/>
      <c r="EY90" s="253"/>
      <c r="EZ90" s="253"/>
      <c r="FA90" s="253"/>
      <c r="FB90" s="253"/>
      <c r="FC90" s="253"/>
      <c r="FD90" s="253"/>
      <c r="FE90" s="253"/>
      <c r="FM90" s="219"/>
      <c r="FN90" s="253"/>
      <c r="FO90" s="253"/>
      <c r="FP90" s="253"/>
      <c r="FQ90" s="253"/>
      <c r="FR90" s="253"/>
      <c r="FS90" s="253"/>
      <c r="FT90" s="253"/>
      <c r="FU90" s="253"/>
      <c r="FV90" s="253"/>
      <c r="GD90" s="219"/>
      <c r="GE90" s="253"/>
      <c r="GF90" s="253"/>
      <c r="GG90" s="253"/>
      <c r="GH90" s="253"/>
      <c r="GI90" s="253"/>
      <c r="GJ90" s="253"/>
      <c r="GK90" s="253"/>
      <c r="GL90" s="253"/>
      <c r="GM90" s="253"/>
      <c r="GU90" s="219"/>
      <c r="GV90" s="253"/>
      <c r="GW90" s="253"/>
      <c r="GX90" s="253"/>
      <c r="GY90" s="253"/>
      <c r="GZ90" s="253"/>
      <c r="HA90" s="253"/>
      <c r="HB90" s="253"/>
      <c r="HC90" s="253"/>
      <c r="HD90" s="253"/>
      <c r="HL90" s="219"/>
      <c r="HM90" s="253"/>
      <c r="HN90" s="253"/>
      <c r="HO90" s="253"/>
      <c r="HP90" s="253"/>
      <c r="HQ90" s="253"/>
      <c r="HR90" s="253"/>
      <c r="HS90" s="253"/>
      <c r="HT90" s="253"/>
      <c r="HU90" s="253"/>
      <c r="IC90" s="219"/>
      <c r="ID90" s="253"/>
      <c r="IE90" s="253"/>
      <c r="IF90" s="253"/>
      <c r="IG90" s="253"/>
      <c r="IH90" s="253"/>
      <c r="II90" s="253"/>
      <c r="IJ90" s="253"/>
      <c r="IK90" s="253"/>
      <c r="IL90" s="253"/>
    </row>
    <row r="91" spans="1:16039" ht="27.75" thickTop="1" thickBot="1" x14ac:dyDescent="0.25">
      <c r="J91" s="162">
        <f>J2</f>
        <v>1</v>
      </c>
      <c r="K91" s="541" t="str">
        <f>M2</f>
        <v>CONCRETOS Y MEZCLAS S.A</v>
      </c>
      <c r="L91" s="542"/>
      <c r="M91" s="542"/>
      <c r="N91" s="542"/>
      <c r="O91" s="542"/>
      <c r="P91" s="543"/>
      <c r="Q91" s="78"/>
      <c r="R91" s="78"/>
      <c r="S91" s="78"/>
      <c r="T91" s="78"/>
      <c r="U91" s="78"/>
      <c r="V91" s="78"/>
      <c r="W91" s="78"/>
      <c r="X91" s="78"/>
      <c r="Y91" s="78"/>
      <c r="AA91" s="231">
        <f>AA2</f>
        <v>2</v>
      </c>
      <c r="AB91" s="541" t="str">
        <f>AD2</f>
        <v>INGAP S.A.S</v>
      </c>
      <c r="AC91" s="542"/>
      <c r="AD91" s="542"/>
      <c r="AE91" s="542"/>
      <c r="AF91" s="542"/>
      <c r="AG91" s="543"/>
      <c r="AH91" s="78"/>
      <c r="AI91" s="78"/>
      <c r="AJ91" s="78"/>
      <c r="AK91" s="78"/>
      <c r="AL91" s="78"/>
      <c r="AM91" s="78"/>
      <c r="AN91" s="78"/>
      <c r="AO91" s="78"/>
      <c r="AP91" s="78"/>
      <c r="AR91" s="231">
        <f>AR2</f>
        <v>3</v>
      </c>
      <c r="AS91" s="541" t="str">
        <f>AU2</f>
        <v xml:space="preserve">VIACOL INGENIEROS CONTRATISTAS </v>
      </c>
      <c r="AT91" s="542"/>
      <c r="AU91" s="542"/>
      <c r="AV91" s="542"/>
      <c r="AW91" s="542"/>
      <c r="AX91" s="543"/>
      <c r="AY91" s="78"/>
      <c r="AZ91" s="78"/>
      <c r="BA91" s="78"/>
      <c r="BB91" s="78"/>
      <c r="BC91" s="78"/>
      <c r="BD91" s="78"/>
      <c r="BE91" s="78"/>
      <c r="BF91" s="78"/>
      <c r="BG91" s="78"/>
      <c r="BI91" s="231">
        <f>BI2</f>
        <v>4</v>
      </c>
      <c r="BJ91" s="541" t="str">
        <f>BL2</f>
        <v>CÉSAR AUGUSTO GIRALDO ATEHORTÚA</v>
      </c>
      <c r="BK91" s="542"/>
      <c r="BL91" s="542"/>
      <c r="BM91" s="542"/>
      <c r="BN91" s="542"/>
      <c r="BO91" s="543"/>
      <c r="BP91" s="78"/>
      <c r="BQ91" s="78"/>
      <c r="BR91" s="78"/>
      <c r="BS91" s="78"/>
      <c r="BT91" s="78"/>
      <c r="BU91" s="78"/>
      <c r="BV91" s="78"/>
      <c r="BW91" s="78"/>
      <c r="BX91" s="78"/>
      <c r="BZ91" s="231">
        <f>BZ2</f>
        <v>5</v>
      </c>
      <c r="CA91" s="541" t="str">
        <f>CC2</f>
        <v>JUAN CARLOS RESTREPO GUTIERREZ</v>
      </c>
      <c r="CB91" s="542"/>
      <c r="CC91" s="542"/>
      <c r="CD91" s="542"/>
      <c r="CE91" s="542"/>
      <c r="CF91" s="543"/>
      <c r="CG91" s="78"/>
      <c r="CH91" s="78"/>
      <c r="CI91" s="78"/>
      <c r="CJ91" s="78"/>
      <c r="CK91" s="78"/>
      <c r="CL91" s="78"/>
      <c r="CM91" s="78"/>
      <c r="CN91" s="78"/>
      <c r="CO91" s="78"/>
      <c r="CQ91" s="231">
        <f>CQ2</f>
        <v>6</v>
      </c>
      <c r="CR91" s="541" t="str">
        <f>CT2</f>
        <v>ANGELA MARÍA CÁRDENAS ZAPATA</v>
      </c>
      <c r="CS91" s="542"/>
      <c r="CT91" s="542"/>
      <c r="CU91" s="542"/>
      <c r="CV91" s="542"/>
      <c r="CW91" s="543"/>
      <c r="CX91" s="78"/>
      <c r="CY91" s="78"/>
      <c r="CZ91" s="78"/>
      <c r="DA91" s="78"/>
      <c r="DB91" s="78"/>
      <c r="DC91" s="78"/>
      <c r="DD91" s="78"/>
      <c r="DE91" s="78"/>
      <c r="DF91" s="78"/>
      <c r="DH91" s="231">
        <f>DH2</f>
        <v>7</v>
      </c>
      <c r="DI91" s="541" t="str">
        <f>DK2</f>
        <v>ASEM S.A.S</v>
      </c>
      <c r="DJ91" s="542"/>
      <c r="DK91" s="542"/>
      <c r="DL91" s="542"/>
      <c r="DM91" s="542"/>
      <c r="DN91" s="543"/>
      <c r="DO91" s="78"/>
      <c r="DP91" s="78"/>
      <c r="DQ91" s="78"/>
      <c r="DR91" s="78"/>
      <c r="DS91" s="78"/>
      <c r="DT91" s="78"/>
      <c r="DU91" s="78"/>
      <c r="DV91" s="78"/>
      <c r="DW91" s="78"/>
      <c r="DY91" s="231">
        <f>DY2</f>
        <v>8</v>
      </c>
      <c r="DZ91" s="541" t="str">
        <f>EB2</f>
        <v>LUIS CARLOS PARRA VELASQUEZ</v>
      </c>
      <c r="EA91" s="542"/>
      <c r="EB91" s="542"/>
      <c r="EC91" s="542"/>
      <c r="ED91" s="542"/>
      <c r="EE91" s="543"/>
      <c r="EF91" s="78"/>
      <c r="EG91" s="78"/>
      <c r="EH91" s="78"/>
      <c r="EI91" s="78"/>
      <c r="EJ91" s="78"/>
      <c r="EK91" s="78"/>
      <c r="EL91" s="78"/>
      <c r="EM91" s="78"/>
      <c r="EN91" s="78"/>
      <c r="EP91" s="231">
        <f>EP2</f>
        <v>9</v>
      </c>
      <c r="EQ91" s="541" t="str">
        <f>ES2</f>
        <v>KA S.A.</v>
      </c>
      <c r="ER91" s="542"/>
      <c r="ES91" s="542"/>
      <c r="ET91" s="542"/>
      <c r="EU91" s="542"/>
      <c r="EV91" s="543"/>
      <c r="EW91" s="78"/>
      <c r="EX91" s="78"/>
      <c r="EY91" s="78"/>
      <c r="EZ91" s="78"/>
      <c r="FA91" s="78"/>
      <c r="FB91" s="78"/>
      <c r="FC91" s="78"/>
      <c r="FD91" s="78"/>
      <c r="FE91" s="78"/>
      <c r="FG91" s="231">
        <f>FG2</f>
        <v>10</v>
      </c>
      <c r="FH91" s="541" t="str">
        <f>FJ2</f>
        <v xml:space="preserve">DANIEL JOSE NIEVES VERGARA </v>
      </c>
      <c r="FI91" s="542"/>
      <c r="FJ91" s="542"/>
      <c r="FK91" s="542"/>
      <c r="FL91" s="542"/>
      <c r="FM91" s="543"/>
      <c r="FN91" s="78"/>
      <c r="FO91" s="78"/>
      <c r="FP91" s="78"/>
      <c r="FQ91" s="78"/>
      <c r="FR91" s="78"/>
      <c r="FS91" s="78"/>
      <c r="FT91" s="78"/>
      <c r="FU91" s="78"/>
      <c r="FV91" s="78"/>
      <c r="FX91" s="231">
        <f>FX2</f>
        <v>11</v>
      </c>
      <c r="FY91" s="541" t="str">
        <f>GA2</f>
        <v xml:space="preserve">CARLOS ANDRES ACEBEDO ESCOBAR </v>
      </c>
      <c r="FZ91" s="542"/>
      <c r="GA91" s="542"/>
      <c r="GB91" s="542"/>
      <c r="GC91" s="542"/>
      <c r="GD91" s="543"/>
      <c r="GE91" s="78"/>
      <c r="GF91" s="78"/>
      <c r="GG91" s="78"/>
      <c r="GH91" s="78"/>
      <c r="GI91" s="78"/>
      <c r="GJ91" s="78"/>
      <c r="GK91" s="78"/>
      <c r="GL91" s="78"/>
      <c r="GM91" s="78"/>
      <c r="GO91" s="231">
        <f>GO2</f>
        <v>12</v>
      </c>
      <c r="GP91" s="541" t="str">
        <f>GR2</f>
        <v>CONDEIN S.A.S</v>
      </c>
      <c r="GQ91" s="542"/>
      <c r="GR91" s="542"/>
      <c r="GS91" s="542"/>
      <c r="GT91" s="542"/>
      <c r="GU91" s="543"/>
      <c r="GV91" s="78"/>
      <c r="GW91" s="78"/>
      <c r="GX91" s="78"/>
      <c r="GY91" s="78"/>
      <c r="GZ91" s="78"/>
      <c r="HA91" s="78"/>
      <c r="HB91" s="78"/>
      <c r="HC91" s="78"/>
      <c r="HD91" s="78"/>
      <c r="HF91" s="231">
        <f>HF2</f>
        <v>13</v>
      </c>
      <c r="HG91" s="541" t="str">
        <f>HI2</f>
        <v>CONSTRUVALORES S.A.S</v>
      </c>
      <c r="HH91" s="542"/>
      <c r="HI91" s="542"/>
      <c r="HJ91" s="542"/>
      <c r="HK91" s="542"/>
      <c r="HL91" s="543"/>
      <c r="HM91" s="78"/>
      <c r="HN91" s="78"/>
      <c r="HO91" s="78"/>
      <c r="HP91" s="78"/>
      <c r="HQ91" s="78"/>
      <c r="HR91" s="78"/>
      <c r="HS91" s="78"/>
      <c r="HT91" s="78"/>
      <c r="HU91" s="78"/>
      <c r="HW91" s="231">
        <f>HW2</f>
        <v>14</v>
      </c>
      <c r="HX91" s="541" t="str">
        <f>HZ2</f>
        <v>WILLIAMS.CO S.A.S</v>
      </c>
      <c r="HY91" s="542"/>
      <c r="HZ91" s="542"/>
      <c r="IA91" s="542"/>
      <c r="IB91" s="542"/>
      <c r="IC91" s="543"/>
      <c r="ID91" s="78"/>
      <c r="IE91" s="78"/>
      <c r="IF91" s="78"/>
      <c r="IG91" s="78"/>
      <c r="IH91" s="78"/>
      <c r="II91" s="78"/>
      <c r="IJ91" s="78"/>
      <c r="IK91" s="78"/>
      <c r="IL91" s="78"/>
    </row>
    <row r="92" spans="1:16039" ht="92.25" thickTop="1" thickBot="1" x14ac:dyDescent="0.3">
      <c r="J92" s="544" t="str">
        <f>+IF(T92*W92*Y92*R92=1,"OK","NO HABILITADO")</f>
        <v>OK</v>
      </c>
      <c r="K92" s="545"/>
      <c r="L92" s="545"/>
      <c r="M92" s="545"/>
      <c r="N92" s="545"/>
      <c r="O92" s="545"/>
      <c r="P92" s="546"/>
      <c r="Q92" s="78"/>
      <c r="R92" s="72">
        <f>IF(O88&lt;='10. EVALUACIÓN'!$D$10,1,0)</f>
        <v>1</v>
      </c>
      <c r="S92" s="78"/>
      <c r="T92" s="72">
        <f>IF(P82&lt;='10. EVALUACIÓN'!$D$9,1,0)</f>
        <v>1</v>
      </c>
      <c r="U92" s="115"/>
      <c r="V92" s="70"/>
      <c r="W92" s="72">
        <f>PRODUCT(W11:W80)</f>
        <v>1</v>
      </c>
      <c r="X92" s="70"/>
      <c r="Y92" s="72">
        <f>IFERROR(IF(Y82&gt;=0.5,0,1),0)</f>
        <v>1</v>
      </c>
      <c r="Z92" s="215"/>
      <c r="AA92" s="544" t="str">
        <f>+IF(AK92*AN92*AP92*AI92=1,"OK","NO HABILITADO")</f>
        <v>OK</v>
      </c>
      <c r="AB92" s="545"/>
      <c r="AC92" s="545"/>
      <c r="AD92" s="545"/>
      <c r="AE92" s="545"/>
      <c r="AF92" s="545"/>
      <c r="AG92" s="546"/>
      <c r="AH92" s="78"/>
      <c r="AI92" s="72">
        <f>IF(AF88&lt;='10. EVALUACIÓN'!$D$10,1,0)</f>
        <v>1</v>
      </c>
      <c r="AJ92" s="78"/>
      <c r="AK92" s="72">
        <f>IF(AG82&lt;='10. EVALUACIÓN'!$D$9,1,0)</f>
        <v>1</v>
      </c>
      <c r="AL92" s="115"/>
      <c r="AM92" s="70"/>
      <c r="AN92" s="72">
        <f>PRODUCT(AN11:AN80)</f>
        <v>1</v>
      </c>
      <c r="AO92" s="70"/>
      <c r="AP92" s="72">
        <f>IFERROR(IF(AP82&gt;=0.5,0,1),0)</f>
        <v>1</v>
      </c>
      <c r="AR92" s="544" t="str">
        <f>+IF(BB92*BE92*BG92*AZ92=1,"OK","NO HABILITADO")</f>
        <v>OK</v>
      </c>
      <c r="AS92" s="545"/>
      <c r="AT92" s="545"/>
      <c r="AU92" s="545"/>
      <c r="AV92" s="545"/>
      <c r="AW92" s="545"/>
      <c r="AX92" s="546"/>
      <c r="AY92" s="78"/>
      <c r="AZ92" s="72">
        <f>IF(AW88&lt;='10. EVALUACIÓN'!$D$10,1,0)</f>
        <v>1</v>
      </c>
      <c r="BA92" s="78"/>
      <c r="BB92" s="72">
        <f>IF(AX82&lt;='10. EVALUACIÓN'!$D$9,1,0)</f>
        <v>1</v>
      </c>
      <c r="BC92" s="115"/>
      <c r="BD92" s="70"/>
      <c r="BE92" s="72">
        <f>PRODUCT(BE11:BE80)</f>
        <v>1</v>
      </c>
      <c r="BF92" s="70"/>
      <c r="BG92" s="72">
        <f>IFERROR(IF(BG82&gt;=0.5,0,1),0)</f>
        <v>1</v>
      </c>
      <c r="BI92" s="544" t="str">
        <f>+IF(BS92*BV92*BX92*BQ92=1,"OK","NO HABILITADO")</f>
        <v>OK</v>
      </c>
      <c r="BJ92" s="545"/>
      <c r="BK92" s="545"/>
      <c r="BL92" s="545"/>
      <c r="BM92" s="545"/>
      <c r="BN92" s="545"/>
      <c r="BO92" s="546"/>
      <c r="BP92" s="78"/>
      <c r="BQ92" s="72">
        <f>IF(BN88&lt;='10. EVALUACIÓN'!$D$10,1,0)</f>
        <v>1</v>
      </c>
      <c r="BR92" s="78"/>
      <c r="BS92" s="72">
        <f>IF(BO82&lt;='10. EVALUACIÓN'!$D$9,1,0)</f>
        <v>1</v>
      </c>
      <c r="BT92" s="115"/>
      <c r="BU92" s="70"/>
      <c r="BV92" s="72">
        <f>PRODUCT(BV11:BV80)</f>
        <v>1</v>
      </c>
      <c r="BW92" s="70"/>
      <c r="BX92" s="72">
        <f>IFERROR(IF(BX82&gt;=0.5,0,1),0)</f>
        <v>1</v>
      </c>
      <c r="BZ92" s="544" t="str">
        <f>+IF(CJ92*CM92*CO92*CH92=1,"OK","NO HABILITADO")</f>
        <v>OK</v>
      </c>
      <c r="CA92" s="545"/>
      <c r="CB92" s="545"/>
      <c r="CC92" s="545"/>
      <c r="CD92" s="545"/>
      <c r="CE92" s="545"/>
      <c r="CF92" s="546"/>
      <c r="CG92" s="78"/>
      <c r="CH92" s="72">
        <f>IF(CE88&lt;='10. EVALUACIÓN'!$D$10,1,0)</f>
        <v>1</v>
      </c>
      <c r="CI92" s="78"/>
      <c r="CJ92" s="72">
        <f>IF(CF82&lt;='10. EVALUACIÓN'!$D$9,1,0)</f>
        <v>1</v>
      </c>
      <c r="CK92" s="115"/>
      <c r="CL92" s="70"/>
      <c r="CM92" s="72">
        <f>PRODUCT(CM11:CM80)</f>
        <v>1</v>
      </c>
      <c r="CN92" s="70"/>
      <c r="CO92" s="72">
        <f>IFERROR(IF(CO82&gt;=0.5,0,1),0)</f>
        <v>1</v>
      </c>
      <c r="CQ92" s="544" t="str">
        <f>+IF(DA92*DD92*DF92*CY92=1,"OK","NO HABILITADO")</f>
        <v>OK</v>
      </c>
      <c r="CR92" s="545"/>
      <c r="CS92" s="545"/>
      <c r="CT92" s="545"/>
      <c r="CU92" s="545"/>
      <c r="CV92" s="545"/>
      <c r="CW92" s="546"/>
      <c r="CX92" s="78"/>
      <c r="CY92" s="72">
        <f>IF(CV88&lt;='10. EVALUACIÓN'!$D$10,1,0)</f>
        <v>1</v>
      </c>
      <c r="CZ92" s="78"/>
      <c r="DA92" s="72">
        <f>IF(CW82&lt;='10. EVALUACIÓN'!$D$9,1,0)</f>
        <v>1</v>
      </c>
      <c r="DB92" s="115"/>
      <c r="DC92" s="70"/>
      <c r="DD92" s="72">
        <f>PRODUCT(DD11:DD80)</f>
        <v>1</v>
      </c>
      <c r="DE92" s="70"/>
      <c r="DF92" s="72">
        <f>IFERROR(IF(DF82&gt;=0.5,0,1),0)</f>
        <v>1</v>
      </c>
      <c r="DH92" s="544" t="str">
        <f>+IF(DR92*DU92*DW92*DP92=1,"OK","NO HABILITADO")</f>
        <v>OK</v>
      </c>
      <c r="DI92" s="545"/>
      <c r="DJ92" s="545"/>
      <c r="DK92" s="545"/>
      <c r="DL92" s="545"/>
      <c r="DM92" s="545"/>
      <c r="DN92" s="546"/>
      <c r="DO92" s="78"/>
      <c r="DP92" s="72">
        <f>IF(DM88&lt;='10. EVALUACIÓN'!$D$10,1,0)</f>
        <v>1</v>
      </c>
      <c r="DQ92" s="78"/>
      <c r="DR92" s="72">
        <f>IF(DN82&lt;='10. EVALUACIÓN'!$D$9,1,0)</f>
        <v>1</v>
      </c>
      <c r="DS92" s="115"/>
      <c r="DT92" s="70"/>
      <c r="DU92" s="72">
        <f>PRODUCT(DU11:DU80)</f>
        <v>1</v>
      </c>
      <c r="DV92" s="70"/>
      <c r="DW92" s="72">
        <f>IFERROR(IF(DW82&gt;=0.5,0,1),0)</f>
        <v>1</v>
      </c>
      <c r="DY92" s="544" t="str">
        <f>+IF(EI92*EL92*EN92*EG92=1,"OK","NO HABILITADO")</f>
        <v>OK</v>
      </c>
      <c r="DZ92" s="545"/>
      <c r="EA92" s="545"/>
      <c r="EB92" s="545"/>
      <c r="EC92" s="545"/>
      <c r="ED92" s="545"/>
      <c r="EE92" s="546"/>
      <c r="EF92" s="78"/>
      <c r="EG92" s="72">
        <f>IF(ED88&lt;='10. EVALUACIÓN'!$D$10,1,0)</f>
        <v>1</v>
      </c>
      <c r="EH92" s="78"/>
      <c r="EI92" s="72">
        <f>IF(EE82&lt;='10. EVALUACIÓN'!$D$9,1,0)</f>
        <v>1</v>
      </c>
      <c r="EJ92" s="115"/>
      <c r="EK92" s="70"/>
      <c r="EL92" s="72">
        <f>PRODUCT(EL11:EL80)</f>
        <v>1</v>
      </c>
      <c r="EM92" s="70"/>
      <c r="EN92" s="72">
        <f>IFERROR(IF(EN82&gt;=0.5,0,1),0)</f>
        <v>1</v>
      </c>
      <c r="EP92" s="544" t="str">
        <f>+IF(EZ92*FC92*FE92*EX92=1,"OK","NO HABILITADO")</f>
        <v>OK</v>
      </c>
      <c r="EQ92" s="545"/>
      <c r="ER92" s="545"/>
      <c r="ES92" s="545"/>
      <c r="ET92" s="545"/>
      <c r="EU92" s="545"/>
      <c r="EV92" s="546"/>
      <c r="EW92" s="78"/>
      <c r="EX92" s="72">
        <f>IF(EU88&lt;='10. EVALUACIÓN'!$D$10,1,0)</f>
        <v>1</v>
      </c>
      <c r="EY92" s="78"/>
      <c r="EZ92" s="72">
        <f>IF(EV82&lt;='10. EVALUACIÓN'!$D$9,1,0)</f>
        <v>1</v>
      </c>
      <c r="FA92" s="115"/>
      <c r="FB92" s="70"/>
      <c r="FC92" s="72">
        <f>PRODUCT(FC11:FC80)</f>
        <v>1</v>
      </c>
      <c r="FD92" s="70"/>
      <c r="FE92" s="72">
        <f>IFERROR(IF(FE82&gt;=0.5,0,1),0)</f>
        <v>1</v>
      </c>
      <c r="FG92" s="544" t="str">
        <f>+IF(FQ92*FT92*FV92*FO92=1,"OK","NO HABILITADO")</f>
        <v>OK</v>
      </c>
      <c r="FH92" s="545"/>
      <c r="FI92" s="545"/>
      <c r="FJ92" s="545"/>
      <c r="FK92" s="545"/>
      <c r="FL92" s="545"/>
      <c r="FM92" s="546"/>
      <c r="FN92" s="78"/>
      <c r="FO92" s="72">
        <f>IF(FL88&lt;='10. EVALUACIÓN'!$D$10,1,0)</f>
        <v>1</v>
      </c>
      <c r="FP92" s="78"/>
      <c r="FQ92" s="72">
        <f>IF(FM82&lt;='10. EVALUACIÓN'!$D$9,1,0)</f>
        <v>1</v>
      </c>
      <c r="FR92" s="115"/>
      <c r="FS92" s="70"/>
      <c r="FT92" s="72">
        <f>PRODUCT(FT11:FT80)</f>
        <v>1</v>
      </c>
      <c r="FU92" s="70"/>
      <c r="FV92" s="72">
        <f>IFERROR(IF(FV82&gt;=0.5,0,1),0)</f>
        <v>1</v>
      </c>
      <c r="FX92" s="544" t="str">
        <f>+IF(GH92*GK92*GM92*GF92=1,"OK","NO HABILITADO")</f>
        <v>OK</v>
      </c>
      <c r="FY92" s="545"/>
      <c r="FZ92" s="545"/>
      <c r="GA92" s="545"/>
      <c r="GB92" s="545"/>
      <c r="GC92" s="545"/>
      <c r="GD92" s="546"/>
      <c r="GE92" s="78"/>
      <c r="GF92" s="72">
        <f>IF(GC88&lt;='10. EVALUACIÓN'!$D$10,1,0)</f>
        <v>1</v>
      </c>
      <c r="GG92" s="78"/>
      <c r="GH92" s="72">
        <f>IF(GD82&lt;='10. EVALUACIÓN'!$D$9,1,0)</f>
        <v>1</v>
      </c>
      <c r="GI92" s="115"/>
      <c r="GJ92" s="70"/>
      <c r="GK92" s="72">
        <f>PRODUCT(GK11:GK80)</f>
        <v>1</v>
      </c>
      <c r="GL92" s="70"/>
      <c r="GM92" s="72">
        <f>IFERROR(IF(GM82&gt;=0.5,0,1),0)</f>
        <v>1</v>
      </c>
      <c r="GO92" s="544" t="str">
        <f>+IF(GY92*HB92*HD92*GW92=1,"OK","NO HABILITADO")</f>
        <v>OK</v>
      </c>
      <c r="GP92" s="545"/>
      <c r="GQ92" s="545"/>
      <c r="GR92" s="545"/>
      <c r="GS92" s="545"/>
      <c r="GT92" s="545"/>
      <c r="GU92" s="546"/>
      <c r="GV92" s="78"/>
      <c r="GW92" s="72">
        <f>IF(GT88&lt;='10. EVALUACIÓN'!$D$10,1,0)</f>
        <v>1</v>
      </c>
      <c r="GX92" s="78"/>
      <c r="GY92" s="72">
        <f>IF(GU82&lt;='10. EVALUACIÓN'!$D$9,1,0)</f>
        <v>1</v>
      </c>
      <c r="GZ92" s="115"/>
      <c r="HA92" s="70"/>
      <c r="HB92" s="72">
        <f>PRODUCT(HB11:HB80)</f>
        <v>1</v>
      </c>
      <c r="HC92" s="70"/>
      <c r="HD92" s="72">
        <f>IFERROR(IF(HD82&gt;=0.5,0,1),0)</f>
        <v>1</v>
      </c>
      <c r="HF92" s="544" t="str">
        <f>+IF(HP92*HS92*HU92*HN92=1,"OK","NO HABILITADO")</f>
        <v>NO HABILITADO</v>
      </c>
      <c r="HG92" s="545"/>
      <c r="HH92" s="545"/>
      <c r="HI92" s="545"/>
      <c r="HJ92" s="545"/>
      <c r="HK92" s="545"/>
      <c r="HL92" s="546"/>
      <c r="HM92" s="78"/>
      <c r="HN92" s="72">
        <f>IF(HK88&lt;='10. EVALUACIÓN'!$D$10,1,0)</f>
        <v>1</v>
      </c>
      <c r="HO92" s="78"/>
      <c r="HP92" s="72">
        <f>IF(HL82&lt;='10. EVALUACIÓN'!$D$9,1,0)</f>
        <v>0</v>
      </c>
      <c r="HQ92" s="115"/>
      <c r="HR92" s="70"/>
      <c r="HS92" s="72">
        <f>PRODUCT(HS11:HS80)</f>
        <v>1</v>
      </c>
      <c r="HT92" s="70"/>
      <c r="HU92" s="72">
        <f>IFERROR(IF(HU82&gt;=0.5,0,1),0)</f>
        <v>1</v>
      </c>
      <c r="HW92" s="544" t="str">
        <f>+IF(IG92*IJ92*IL92*IE92=1,"OK","NO HABILITADO")</f>
        <v>OK</v>
      </c>
      <c r="HX92" s="545"/>
      <c r="HY92" s="545"/>
      <c r="HZ92" s="545"/>
      <c r="IA92" s="545"/>
      <c r="IB92" s="545"/>
      <c r="IC92" s="546"/>
      <c r="ID92" s="78"/>
      <c r="IE92" s="72">
        <f>IF(IB88&lt;='10. EVALUACIÓN'!$D$10,1,0)</f>
        <v>1</v>
      </c>
      <c r="IF92" s="78"/>
      <c r="IG92" s="72">
        <f>IF(IC82&lt;='10. EVALUACIÓN'!$D$9,1,0)</f>
        <v>1</v>
      </c>
      <c r="IH92" s="115"/>
      <c r="II92" s="70"/>
      <c r="IJ92" s="72">
        <f>PRODUCT(IJ11:IJ80)</f>
        <v>1</v>
      </c>
      <c r="IK92" s="70"/>
      <c r="IL92" s="72">
        <f>IFERROR(IF(IL82&gt;=0.5,0,1),0)</f>
        <v>1</v>
      </c>
    </row>
    <row r="93" spans="1:16039" ht="169.5" customHeight="1" thickTop="1" x14ac:dyDescent="0.25">
      <c r="Q93" s="78"/>
      <c r="R93" s="73" t="s">
        <v>466</v>
      </c>
      <c r="S93" s="78"/>
      <c r="T93" s="73" t="s">
        <v>118</v>
      </c>
      <c r="U93" s="116"/>
      <c r="V93" s="70"/>
      <c r="W93" s="73" t="s">
        <v>119</v>
      </c>
      <c r="X93" s="70"/>
      <c r="Y93" s="73" t="s">
        <v>74</v>
      </c>
      <c r="Z93" s="215"/>
      <c r="AH93" s="78"/>
      <c r="AI93" s="73" t="s">
        <v>466</v>
      </c>
      <c r="AJ93" s="78"/>
      <c r="AK93" s="73" t="s">
        <v>118</v>
      </c>
      <c r="AL93" s="116"/>
      <c r="AM93" s="70"/>
      <c r="AN93" s="73" t="s">
        <v>119</v>
      </c>
      <c r="AO93" s="70"/>
      <c r="AP93" s="73" t="s">
        <v>74</v>
      </c>
      <c r="AY93" s="78"/>
      <c r="AZ93" s="73" t="s">
        <v>466</v>
      </c>
      <c r="BA93" s="78"/>
      <c r="BB93" s="73" t="s">
        <v>118</v>
      </c>
      <c r="BC93" s="116"/>
      <c r="BD93" s="70"/>
      <c r="BE93" s="73" t="s">
        <v>119</v>
      </c>
      <c r="BF93" s="70"/>
      <c r="BG93" s="73" t="s">
        <v>74</v>
      </c>
      <c r="BP93" s="78"/>
      <c r="BQ93" s="73" t="s">
        <v>466</v>
      </c>
      <c r="BR93" s="78"/>
      <c r="BS93" s="73" t="s">
        <v>118</v>
      </c>
      <c r="BT93" s="116"/>
      <c r="BU93" s="70"/>
      <c r="BV93" s="73" t="s">
        <v>119</v>
      </c>
      <c r="BW93" s="70"/>
      <c r="BX93" s="73" t="s">
        <v>74</v>
      </c>
      <c r="CG93" s="78"/>
      <c r="CH93" s="73" t="s">
        <v>466</v>
      </c>
      <c r="CI93" s="78"/>
      <c r="CJ93" s="73" t="s">
        <v>118</v>
      </c>
      <c r="CK93" s="116"/>
      <c r="CL93" s="70"/>
      <c r="CM93" s="73" t="s">
        <v>119</v>
      </c>
      <c r="CN93" s="70"/>
      <c r="CO93" s="73" t="s">
        <v>74</v>
      </c>
      <c r="CX93" s="78"/>
      <c r="CY93" s="73" t="s">
        <v>466</v>
      </c>
      <c r="CZ93" s="78"/>
      <c r="DA93" s="73" t="s">
        <v>118</v>
      </c>
      <c r="DB93" s="116"/>
      <c r="DC93" s="70"/>
      <c r="DD93" s="73" t="s">
        <v>119</v>
      </c>
      <c r="DE93" s="70"/>
      <c r="DF93" s="73" t="s">
        <v>74</v>
      </c>
      <c r="DO93" s="78"/>
      <c r="DP93" s="73" t="s">
        <v>466</v>
      </c>
      <c r="DQ93" s="78"/>
      <c r="DR93" s="73" t="s">
        <v>118</v>
      </c>
      <c r="DS93" s="116"/>
      <c r="DT93" s="70"/>
      <c r="DU93" s="73" t="s">
        <v>119</v>
      </c>
      <c r="DV93" s="70"/>
      <c r="DW93" s="73" t="s">
        <v>74</v>
      </c>
      <c r="EF93" s="78"/>
      <c r="EG93" s="73" t="s">
        <v>466</v>
      </c>
      <c r="EH93" s="78"/>
      <c r="EI93" s="73" t="s">
        <v>118</v>
      </c>
      <c r="EJ93" s="116"/>
      <c r="EK93" s="70"/>
      <c r="EL93" s="73" t="s">
        <v>119</v>
      </c>
      <c r="EM93" s="70"/>
      <c r="EN93" s="73" t="s">
        <v>74</v>
      </c>
      <c r="EW93" s="78"/>
      <c r="EX93" s="73" t="s">
        <v>466</v>
      </c>
      <c r="EY93" s="78"/>
      <c r="EZ93" s="73" t="s">
        <v>118</v>
      </c>
      <c r="FA93" s="116"/>
      <c r="FB93" s="70"/>
      <c r="FC93" s="73" t="s">
        <v>119</v>
      </c>
      <c r="FD93" s="70"/>
      <c r="FE93" s="73" t="s">
        <v>74</v>
      </c>
      <c r="FN93" s="78"/>
      <c r="FO93" s="73" t="s">
        <v>466</v>
      </c>
      <c r="FP93" s="78"/>
      <c r="FQ93" s="73" t="s">
        <v>118</v>
      </c>
      <c r="FR93" s="116"/>
      <c r="FS93" s="70"/>
      <c r="FT93" s="73" t="s">
        <v>119</v>
      </c>
      <c r="FU93" s="70"/>
      <c r="FV93" s="73" t="s">
        <v>74</v>
      </c>
      <c r="GE93" s="78"/>
      <c r="GF93" s="73" t="s">
        <v>466</v>
      </c>
      <c r="GG93" s="78"/>
      <c r="GH93" s="73" t="s">
        <v>118</v>
      </c>
      <c r="GI93" s="116"/>
      <c r="GJ93" s="70"/>
      <c r="GK93" s="73" t="s">
        <v>119</v>
      </c>
      <c r="GL93" s="70"/>
      <c r="GM93" s="73" t="s">
        <v>74</v>
      </c>
      <c r="GV93" s="78"/>
      <c r="GW93" s="73" t="s">
        <v>466</v>
      </c>
      <c r="GX93" s="78"/>
      <c r="GY93" s="73" t="s">
        <v>118</v>
      </c>
      <c r="GZ93" s="116"/>
      <c r="HA93" s="70"/>
      <c r="HB93" s="73" t="s">
        <v>119</v>
      </c>
      <c r="HC93" s="70"/>
      <c r="HD93" s="73" t="s">
        <v>74</v>
      </c>
      <c r="HM93" s="78"/>
      <c r="HN93" s="73" t="s">
        <v>466</v>
      </c>
      <c r="HO93" s="78"/>
      <c r="HP93" s="73" t="s">
        <v>118</v>
      </c>
      <c r="HQ93" s="116"/>
      <c r="HR93" s="70"/>
      <c r="HS93" s="73" t="s">
        <v>119</v>
      </c>
      <c r="HT93" s="70"/>
      <c r="HU93" s="73" t="s">
        <v>74</v>
      </c>
      <c r="ID93" s="78"/>
      <c r="IE93" s="73" t="s">
        <v>466</v>
      </c>
      <c r="IF93" s="78"/>
      <c r="IG93" s="73" t="s">
        <v>118</v>
      </c>
      <c r="IH93" s="116"/>
      <c r="II93" s="70"/>
      <c r="IJ93" s="73" t="s">
        <v>119</v>
      </c>
      <c r="IK93" s="70"/>
      <c r="IL93" s="73" t="s">
        <v>74</v>
      </c>
    </row>
    <row r="94" spans="1:16039" s="75" customFormat="1" ht="30" customHeight="1" x14ac:dyDescent="0.25">
      <c r="A94" s="77"/>
      <c r="B94" s="79"/>
      <c r="C94" s="79"/>
      <c r="E94" s="74"/>
      <c r="G94" s="78"/>
      <c r="H94" s="79"/>
      <c r="K94" s="74"/>
      <c r="L94" s="74"/>
      <c r="M94" s="74"/>
      <c r="N94" s="74"/>
      <c r="O94" s="74"/>
      <c r="P94" s="74"/>
      <c r="V94" s="74"/>
      <c r="W94" s="74"/>
      <c r="X94" s="74"/>
      <c r="Y94" s="74"/>
      <c r="Z94" s="74"/>
      <c r="AB94" s="74"/>
      <c r="AC94" s="74"/>
      <c r="AD94" s="74"/>
      <c r="AE94" s="74"/>
      <c r="AF94" s="74"/>
      <c r="AG94" s="74"/>
      <c r="AM94" s="74"/>
      <c r="AN94" s="74"/>
      <c r="AO94" s="74"/>
      <c r="AP94" s="74"/>
      <c r="AS94" s="74"/>
      <c r="AT94" s="74"/>
      <c r="AU94" s="74"/>
      <c r="AV94" s="74"/>
      <c r="AW94" s="74"/>
      <c r="AX94" s="74"/>
      <c r="BD94" s="74"/>
      <c r="BE94" s="74"/>
      <c r="BF94" s="74"/>
      <c r="BG94" s="74"/>
      <c r="BJ94" s="74"/>
      <c r="BK94" s="74"/>
      <c r="BL94" s="74"/>
      <c r="BM94" s="74"/>
      <c r="BN94" s="74"/>
      <c r="BO94" s="74"/>
      <c r="BU94" s="74"/>
      <c r="BV94" s="74"/>
      <c r="BW94" s="74"/>
      <c r="BX94" s="74"/>
      <c r="CA94" s="74"/>
      <c r="CB94" s="74"/>
      <c r="CC94" s="74"/>
      <c r="CD94" s="74"/>
      <c r="CE94" s="74"/>
      <c r="CF94" s="74"/>
      <c r="CL94" s="74"/>
      <c r="CM94" s="74"/>
      <c r="CN94" s="74"/>
      <c r="CO94" s="74"/>
      <c r="CR94" s="74"/>
      <c r="CS94" s="74"/>
      <c r="CT94" s="74"/>
      <c r="CU94" s="74"/>
      <c r="CV94" s="74"/>
      <c r="CW94" s="74"/>
      <c r="DC94" s="74"/>
      <c r="DD94" s="74"/>
      <c r="DE94" s="74"/>
      <c r="DF94" s="74"/>
      <c r="DI94" s="74"/>
      <c r="DJ94" s="74"/>
      <c r="DK94" s="74"/>
      <c r="DL94" s="74"/>
      <c r="DM94" s="74"/>
      <c r="DN94" s="74"/>
      <c r="DT94" s="74"/>
      <c r="DU94" s="74"/>
      <c r="DV94" s="74"/>
      <c r="DW94" s="74"/>
      <c r="DZ94" s="74"/>
      <c r="EA94" s="74"/>
      <c r="EB94" s="74"/>
      <c r="EC94" s="74"/>
      <c r="ED94" s="74"/>
      <c r="EE94" s="74"/>
      <c r="EK94" s="74"/>
      <c r="EL94" s="74"/>
      <c r="EM94" s="74"/>
      <c r="EN94" s="74"/>
      <c r="EQ94" s="74"/>
      <c r="ER94" s="74"/>
      <c r="ES94" s="74"/>
      <c r="ET94" s="74"/>
      <c r="EU94" s="74"/>
      <c r="EV94" s="74"/>
      <c r="FB94" s="74"/>
      <c r="FC94" s="74"/>
      <c r="FD94" s="74"/>
      <c r="FE94" s="74"/>
      <c r="FH94" s="74"/>
      <c r="FI94" s="74"/>
      <c r="FJ94" s="74"/>
      <c r="FK94" s="74"/>
      <c r="FL94" s="74"/>
      <c r="FM94" s="74"/>
      <c r="FS94" s="74"/>
      <c r="FT94" s="74"/>
      <c r="FU94" s="74"/>
      <c r="FV94" s="74"/>
      <c r="FY94" s="74"/>
      <c r="FZ94" s="74"/>
      <c r="GA94" s="74"/>
      <c r="GB94" s="74"/>
      <c r="GC94" s="74"/>
      <c r="GD94" s="74"/>
      <c r="GJ94" s="74"/>
      <c r="GK94" s="74"/>
      <c r="GL94" s="74"/>
      <c r="GM94" s="74"/>
      <c r="GP94" s="74"/>
      <c r="GQ94" s="74"/>
      <c r="GR94" s="74"/>
      <c r="GS94" s="74"/>
      <c r="GT94" s="74"/>
      <c r="GU94" s="74"/>
      <c r="HA94" s="74"/>
      <c r="HB94" s="74"/>
      <c r="HC94" s="74"/>
      <c r="HD94" s="74"/>
      <c r="HG94" s="74"/>
      <c r="HH94" s="74"/>
      <c r="HI94" s="74"/>
      <c r="HJ94" s="74"/>
      <c r="HK94" s="74"/>
      <c r="HL94" s="74"/>
      <c r="HR94" s="74"/>
      <c r="HS94" s="74"/>
      <c r="HT94" s="74"/>
      <c r="HU94" s="74"/>
      <c r="HX94" s="74"/>
      <c r="HY94" s="74"/>
      <c r="HZ94" s="74"/>
      <c r="IA94" s="74"/>
      <c r="IB94" s="74"/>
      <c r="IC94" s="74"/>
      <c r="II94" s="74"/>
      <c r="IJ94" s="74"/>
      <c r="IK94" s="74"/>
      <c r="IL94" s="74"/>
    </row>
    <row r="95" spans="1:16039" s="75" customFormat="1" ht="30" hidden="1" customHeight="1" x14ac:dyDescent="0.25">
      <c r="A95" s="77"/>
      <c r="B95" s="117"/>
      <c r="C95" s="79"/>
      <c r="E95" s="76"/>
      <c r="H95" s="79"/>
      <c r="K95" s="76"/>
      <c r="L95" s="76"/>
      <c r="M95" s="76"/>
      <c r="N95" s="76"/>
      <c r="O95" s="76"/>
      <c r="P95" s="76"/>
      <c r="S95" s="77"/>
      <c r="T95" s="77"/>
      <c r="V95" s="76"/>
      <c r="W95" s="76"/>
      <c r="X95" s="76"/>
      <c r="Y95" s="76"/>
      <c r="Z95" s="76"/>
      <c r="AB95" s="76"/>
      <c r="AC95" s="76"/>
      <c r="AD95" s="76"/>
      <c r="AE95" s="76"/>
      <c r="AF95" s="76"/>
      <c r="AG95" s="76"/>
      <c r="AJ95" s="77"/>
      <c r="AK95" s="77"/>
      <c r="AM95" s="76"/>
      <c r="AN95" s="76"/>
      <c r="AO95" s="76"/>
      <c r="AP95" s="76"/>
      <c r="AQ95" s="77"/>
      <c r="AS95" s="76"/>
      <c r="AT95" s="76"/>
      <c r="AU95" s="76"/>
      <c r="AV95" s="76"/>
      <c r="AW95" s="76"/>
      <c r="AX95" s="76"/>
      <c r="BA95" s="77"/>
      <c r="BB95" s="77"/>
      <c r="BD95" s="76"/>
      <c r="BE95" s="76"/>
      <c r="BF95" s="76"/>
      <c r="BG95" s="76"/>
      <c r="BH95" s="78"/>
      <c r="BJ95" s="76"/>
      <c r="BK95" s="76"/>
      <c r="BL95" s="76"/>
      <c r="BM95" s="76"/>
      <c r="BN95" s="76"/>
      <c r="BO95" s="76"/>
      <c r="BR95" s="77"/>
      <c r="BS95" s="77"/>
      <c r="BU95" s="76"/>
      <c r="BV95" s="76"/>
      <c r="BW95" s="76"/>
      <c r="BX95" s="76"/>
      <c r="BY95" s="78"/>
      <c r="CA95" s="76"/>
      <c r="CB95" s="76"/>
      <c r="CC95" s="76"/>
      <c r="CD95" s="76"/>
      <c r="CE95" s="76"/>
      <c r="CF95" s="76"/>
      <c r="CI95" s="77"/>
      <c r="CJ95" s="77"/>
      <c r="CL95" s="76"/>
      <c r="CM95" s="76"/>
      <c r="CN95" s="76"/>
      <c r="CO95" s="76"/>
      <c r="CP95" s="78"/>
      <c r="CR95" s="76"/>
      <c r="CS95" s="76"/>
      <c r="CT95" s="76"/>
      <c r="CU95" s="76"/>
      <c r="CV95" s="76"/>
      <c r="CW95" s="76"/>
      <c r="CZ95" s="77"/>
      <c r="DA95" s="77"/>
      <c r="DC95" s="76"/>
      <c r="DD95" s="76"/>
      <c r="DE95" s="76"/>
      <c r="DF95" s="76"/>
      <c r="DG95" s="78"/>
      <c r="DI95" s="76"/>
      <c r="DJ95" s="76"/>
      <c r="DK95" s="76"/>
      <c r="DL95" s="76"/>
      <c r="DM95" s="76"/>
      <c r="DN95" s="76"/>
      <c r="DQ95" s="77"/>
      <c r="DR95" s="77"/>
      <c r="DT95" s="76"/>
      <c r="DU95" s="76"/>
      <c r="DV95" s="76"/>
      <c r="DW95" s="76"/>
      <c r="DX95" s="78"/>
      <c r="DZ95" s="76"/>
      <c r="EA95" s="76"/>
      <c r="EB95" s="76"/>
      <c r="EC95" s="76"/>
      <c r="ED95" s="76"/>
      <c r="EE95" s="76"/>
      <c r="EH95" s="77"/>
      <c r="EI95" s="77"/>
      <c r="EK95" s="76"/>
      <c r="EL95" s="76"/>
      <c r="EM95" s="76"/>
      <c r="EN95" s="76"/>
      <c r="EO95" s="78"/>
      <c r="EQ95" s="76"/>
      <c r="ER95" s="76"/>
      <c r="ES95" s="76"/>
      <c r="ET95" s="76"/>
      <c r="EU95" s="76"/>
      <c r="EV95" s="76"/>
      <c r="EY95" s="77"/>
      <c r="EZ95" s="77"/>
      <c r="FB95" s="76"/>
      <c r="FC95" s="76"/>
      <c r="FD95" s="76"/>
      <c r="FE95" s="76"/>
      <c r="FF95" s="78"/>
      <c r="FH95" s="76"/>
      <c r="FI95" s="76"/>
      <c r="FJ95" s="76"/>
      <c r="FK95" s="76"/>
      <c r="FL95" s="76"/>
      <c r="FM95" s="76"/>
      <c r="FP95" s="77"/>
      <c r="FQ95" s="77"/>
      <c r="FS95" s="76"/>
      <c r="FT95" s="76"/>
      <c r="FU95" s="76"/>
      <c r="FV95" s="76"/>
      <c r="FW95" s="78"/>
      <c r="FY95" s="76"/>
      <c r="FZ95" s="76"/>
      <c r="GA95" s="76"/>
      <c r="GB95" s="76"/>
      <c r="GC95" s="76"/>
      <c r="GD95" s="76"/>
      <c r="GG95" s="77"/>
      <c r="GH95" s="77"/>
      <c r="GJ95" s="76"/>
      <c r="GK95" s="76"/>
      <c r="GL95" s="76"/>
      <c r="GM95" s="76"/>
      <c r="GN95" s="78"/>
      <c r="GP95" s="76"/>
      <c r="GQ95" s="76"/>
      <c r="GR95" s="76"/>
      <c r="GS95" s="76"/>
      <c r="GT95" s="76"/>
      <c r="GU95" s="76"/>
      <c r="GX95" s="77"/>
      <c r="GY95" s="77"/>
      <c r="HA95" s="76"/>
      <c r="HB95" s="76"/>
      <c r="HC95" s="76"/>
      <c r="HD95" s="76"/>
      <c r="HE95" s="78"/>
      <c r="HG95" s="76"/>
      <c r="HH95" s="76"/>
      <c r="HI95" s="76"/>
      <c r="HJ95" s="76"/>
      <c r="HK95" s="76"/>
      <c r="HL95" s="76"/>
      <c r="HO95" s="77"/>
      <c r="HP95" s="77"/>
      <c r="HR95" s="76"/>
      <c r="HS95" s="76"/>
      <c r="HT95" s="76"/>
      <c r="HU95" s="76"/>
      <c r="HV95" s="78"/>
      <c r="HX95" s="76"/>
      <c r="HY95" s="76"/>
      <c r="HZ95" s="76"/>
      <c r="IA95" s="76"/>
      <c r="IB95" s="76"/>
      <c r="IC95" s="76"/>
      <c r="IF95" s="77"/>
      <c r="IG95" s="77"/>
      <c r="II95" s="76"/>
      <c r="IJ95" s="76"/>
      <c r="IK95" s="76"/>
      <c r="IL95" s="76"/>
      <c r="IM95" s="78"/>
      <c r="IN95" s="78"/>
      <c r="IO95" s="78"/>
      <c r="IP95" s="78"/>
      <c r="IQ95" s="78"/>
      <c r="IR95" s="78"/>
      <c r="IS95" s="78"/>
      <c r="IT95" s="78"/>
      <c r="IU95" s="78"/>
      <c r="IV95" s="78"/>
      <c r="IW95" s="78"/>
      <c r="IX95" s="78"/>
      <c r="IY95" s="78"/>
      <c r="IZ95" s="78"/>
      <c r="JA95" s="78"/>
      <c r="JB95" s="78"/>
      <c r="JC95" s="78"/>
      <c r="JD95" s="78"/>
      <c r="JE95" s="78"/>
      <c r="JF95" s="78"/>
      <c r="JG95" s="78"/>
      <c r="JH95" s="78"/>
      <c r="JI95" s="78"/>
      <c r="JJ95" s="78"/>
      <c r="JK95" s="78"/>
      <c r="JL95" s="78"/>
      <c r="JM95" s="78"/>
      <c r="JN95" s="78"/>
      <c r="JO95" s="78"/>
      <c r="JP95" s="78"/>
      <c r="JQ95" s="78"/>
      <c r="JR95" s="78"/>
      <c r="JS95" s="78"/>
      <c r="JT95" s="78"/>
      <c r="JU95" s="78"/>
      <c r="JV95" s="78"/>
      <c r="JW95" s="78"/>
      <c r="JX95" s="78"/>
      <c r="JY95" s="78"/>
      <c r="JZ95" s="78"/>
      <c r="KA95" s="78"/>
      <c r="KB95" s="78"/>
      <c r="KC95" s="78"/>
      <c r="KD95" s="78"/>
      <c r="KE95" s="78"/>
      <c r="KF95" s="78"/>
      <c r="KG95" s="78"/>
      <c r="KH95" s="78"/>
      <c r="KI95" s="78"/>
      <c r="KJ95" s="78"/>
      <c r="KK95" s="78"/>
      <c r="KL95" s="78"/>
      <c r="KM95" s="78"/>
      <c r="KN95" s="78"/>
      <c r="KO95" s="78"/>
      <c r="KP95" s="78"/>
      <c r="KQ95" s="78"/>
      <c r="KR95" s="78"/>
      <c r="KS95" s="78"/>
      <c r="KT95" s="78"/>
      <c r="KU95" s="78"/>
      <c r="KV95" s="78"/>
      <c r="KW95" s="78"/>
      <c r="KX95" s="78"/>
      <c r="KY95" s="78"/>
      <c r="KZ95" s="78"/>
      <c r="LA95" s="78"/>
      <c r="LB95" s="78"/>
      <c r="LC95" s="78"/>
      <c r="LD95" s="78"/>
      <c r="LE95" s="78"/>
      <c r="LF95" s="78"/>
      <c r="LG95" s="78"/>
      <c r="LH95" s="78"/>
      <c r="LI95" s="78"/>
      <c r="LJ95" s="78"/>
      <c r="LK95" s="78"/>
      <c r="LL95" s="78"/>
      <c r="LM95" s="78"/>
      <c r="LN95" s="78"/>
      <c r="LO95" s="78"/>
      <c r="LP95" s="78"/>
      <c r="LQ95" s="78"/>
      <c r="LR95" s="78"/>
      <c r="LS95" s="78"/>
      <c r="LT95" s="78"/>
      <c r="LU95" s="78"/>
      <c r="LV95" s="78"/>
      <c r="LW95" s="78"/>
      <c r="LX95" s="78"/>
      <c r="LY95" s="78"/>
      <c r="LZ95" s="78"/>
      <c r="MA95" s="78"/>
      <c r="MB95" s="78"/>
      <c r="MC95" s="78"/>
      <c r="MD95" s="78"/>
      <c r="ME95" s="78"/>
      <c r="MF95" s="78"/>
      <c r="MG95" s="78"/>
      <c r="MH95" s="78"/>
      <c r="MI95" s="78"/>
      <c r="MJ95" s="78"/>
      <c r="MK95" s="78"/>
      <c r="ML95" s="78"/>
      <c r="MM95" s="78"/>
      <c r="MN95" s="78"/>
      <c r="MO95" s="78"/>
      <c r="MP95" s="78"/>
      <c r="MQ95" s="78"/>
      <c r="MR95" s="78"/>
      <c r="MS95" s="78"/>
      <c r="MT95" s="78"/>
      <c r="MU95" s="78"/>
      <c r="MV95" s="78"/>
      <c r="MW95" s="78"/>
      <c r="MX95" s="78"/>
      <c r="MY95" s="78"/>
      <c r="MZ95" s="78"/>
      <c r="NA95" s="78"/>
      <c r="NB95" s="78"/>
      <c r="NC95" s="78"/>
      <c r="ND95" s="78"/>
      <c r="NE95" s="78"/>
      <c r="NF95" s="78"/>
      <c r="NG95" s="78"/>
      <c r="NH95" s="78"/>
      <c r="NI95" s="78"/>
      <c r="NJ95" s="78"/>
      <c r="NK95" s="78"/>
      <c r="NL95" s="78"/>
      <c r="NM95" s="78"/>
      <c r="NN95" s="78"/>
      <c r="NO95" s="78"/>
      <c r="NP95" s="78"/>
      <c r="NQ95" s="78"/>
      <c r="NR95" s="78"/>
      <c r="NS95" s="78"/>
      <c r="NT95" s="78"/>
      <c r="NU95" s="78"/>
      <c r="NV95" s="78"/>
      <c r="NW95" s="78"/>
      <c r="NX95" s="78"/>
      <c r="NY95" s="78"/>
      <c r="NZ95" s="78"/>
      <c r="OA95" s="78"/>
      <c r="OB95" s="78"/>
      <c r="OC95" s="78"/>
      <c r="OD95" s="78"/>
      <c r="OE95" s="78"/>
      <c r="OF95" s="78"/>
      <c r="OG95" s="78"/>
      <c r="OH95" s="78"/>
      <c r="OI95" s="78"/>
      <c r="OJ95" s="78"/>
      <c r="OK95" s="78"/>
      <c r="OL95" s="78"/>
      <c r="OM95" s="78"/>
      <c r="ON95" s="78"/>
      <c r="OO95" s="78"/>
      <c r="OP95" s="78"/>
      <c r="OQ95" s="78"/>
      <c r="OR95" s="78"/>
      <c r="OS95" s="78"/>
      <c r="OT95" s="78"/>
      <c r="OU95" s="78"/>
      <c r="OV95" s="78"/>
      <c r="OW95" s="78"/>
      <c r="OX95" s="78"/>
      <c r="OY95" s="78"/>
      <c r="OZ95" s="78"/>
      <c r="PA95" s="78"/>
      <c r="PB95" s="78"/>
      <c r="PC95" s="78"/>
      <c r="PD95" s="78"/>
      <c r="PE95" s="78"/>
      <c r="PF95" s="78"/>
      <c r="PG95" s="78"/>
      <c r="PH95" s="78"/>
      <c r="PI95" s="78"/>
      <c r="PJ95" s="78"/>
      <c r="PK95" s="78"/>
      <c r="PL95" s="78"/>
      <c r="PM95" s="78"/>
      <c r="PN95" s="78"/>
      <c r="PO95" s="78"/>
      <c r="PP95" s="78"/>
      <c r="PQ95" s="78"/>
      <c r="PR95" s="78"/>
      <c r="PS95" s="78"/>
      <c r="PT95" s="78"/>
      <c r="PU95" s="78"/>
      <c r="PV95" s="78"/>
      <c r="PW95" s="78"/>
      <c r="PX95" s="78"/>
      <c r="PY95" s="78"/>
      <c r="PZ95" s="78"/>
      <c r="QA95" s="78"/>
      <c r="QB95" s="78"/>
      <c r="QC95" s="78"/>
      <c r="QD95" s="78"/>
      <c r="QE95" s="78"/>
      <c r="QF95" s="78"/>
      <c r="QG95" s="78"/>
      <c r="QH95" s="78"/>
      <c r="QI95" s="78"/>
      <c r="QJ95" s="78"/>
      <c r="QK95" s="78"/>
      <c r="QL95" s="78"/>
      <c r="QM95" s="78"/>
      <c r="QN95" s="78"/>
      <c r="QO95" s="78"/>
      <c r="QP95" s="78"/>
      <c r="QQ95" s="78"/>
      <c r="QR95" s="78"/>
      <c r="QS95" s="78"/>
      <c r="QT95" s="78"/>
      <c r="QU95" s="78"/>
      <c r="QV95" s="78"/>
      <c r="QW95" s="78"/>
      <c r="QX95" s="78"/>
      <c r="QY95" s="78"/>
      <c r="QZ95" s="78"/>
      <c r="RA95" s="78"/>
      <c r="RB95" s="78"/>
      <c r="RC95" s="78"/>
      <c r="RD95" s="78"/>
      <c r="RE95" s="78"/>
      <c r="RF95" s="78"/>
      <c r="RG95" s="78"/>
      <c r="RH95" s="78"/>
      <c r="RI95" s="78"/>
      <c r="RJ95" s="78"/>
      <c r="RK95" s="78"/>
      <c r="RL95" s="78"/>
      <c r="RM95" s="78"/>
      <c r="RN95" s="78"/>
      <c r="RO95" s="78"/>
      <c r="RP95" s="78"/>
      <c r="RQ95" s="78"/>
      <c r="RR95" s="78"/>
      <c r="RS95" s="78"/>
      <c r="RT95" s="78"/>
      <c r="RU95" s="78"/>
      <c r="RV95" s="78"/>
      <c r="RW95" s="78"/>
      <c r="RX95" s="78"/>
      <c r="RY95" s="78"/>
      <c r="RZ95" s="78"/>
      <c r="SA95" s="78"/>
      <c r="SB95" s="78"/>
      <c r="SC95" s="78"/>
      <c r="SD95" s="78"/>
      <c r="SE95" s="78"/>
      <c r="SF95" s="78"/>
      <c r="SG95" s="78"/>
      <c r="SH95" s="78"/>
      <c r="SI95" s="78"/>
      <c r="SJ95" s="78"/>
      <c r="SK95" s="78"/>
      <c r="SL95" s="78"/>
      <c r="SM95" s="78"/>
      <c r="SN95" s="78"/>
      <c r="SO95" s="78"/>
      <c r="SP95" s="78"/>
      <c r="SQ95" s="78"/>
      <c r="SR95" s="78"/>
      <c r="SS95" s="78"/>
      <c r="ST95" s="78"/>
      <c r="SU95" s="78"/>
      <c r="SV95" s="78"/>
      <c r="SW95" s="78"/>
      <c r="SX95" s="78"/>
      <c r="SY95" s="78"/>
      <c r="SZ95" s="78"/>
      <c r="TA95" s="78"/>
      <c r="TB95" s="78"/>
      <c r="TC95" s="78"/>
      <c r="TD95" s="78"/>
      <c r="TE95" s="78"/>
      <c r="TF95" s="78"/>
      <c r="TG95" s="78"/>
      <c r="TH95" s="78"/>
      <c r="TI95" s="78"/>
      <c r="TJ95" s="78"/>
      <c r="TK95" s="78"/>
      <c r="TL95" s="78"/>
      <c r="TM95" s="78"/>
      <c r="TN95" s="78"/>
      <c r="TO95" s="78"/>
      <c r="TP95" s="78"/>
      <c r="TQ95" s="78"/>
      <c r="TR95" s="78"/>
      <c r="TS95" s="78"/>
      <c r="TT95" s="78"/>
      <c r="TU95" s="78"/>
      <c r="TV95" s="78"/>
      <c r="TW95" s="78"/>
      <c r="TX95" s="78"/>
      <c r="TY95" s="78"/>
      <c r="TZ95" s="78"/>
      <c r="UA95" s="78"/>
      <c r="UB95" s="78"/>
      <c r="UC95" s="78"/>
      <c r="UD95" s="78"/>
      <c r="UE95" s="78"/>
      <c r="UF95" s="78"/>
      <c r="UG95" s="78"/>
      <c r="UH95" s="78"/>
      <c r="UI95" s="78"/>
      <c r="UJ95" s="78"/>
      <c r="UK95" s="78"/>
      <c r="UL95" s="78"/>
      <c r="UM95" s="78"/>
      <c r="UN95" s="78"/>
      <c r="UO95" s="78"/>
      <c r="UP95" s="78"/>
      <c r="UQ95" s="78"/>
      <c r="UR95" s="78"/>
      <c r="US95" s="78"/>
      <c r="UT95" s="78"/>
      <c r="UU95" s="78"/>
      <c r="UV95" s="78"/>
      <c r="UW95" s="78"/>
      <c r="UX95" s="78"/>
      <c r="UY95" s="78"/>
      <c r="UZ95" s="78"/>
      <c r="VA95" s="78"/>
      <c r="VB95" s="78"/>
      <c r="VC95" s="78"/>
      <c r="VD95" s="78"/>
      <c r="VE95" s="78"/>
      <c r="VF95" s="78"/>
      <c r="VG95" s="78"/>
      <c r="VH95" s="78"/>
      <c r="VI95" s="78"/>
      <c r="VJ95" s="78"/>
      <c r="VK95" s="78"/>
      <c r="VL95" s="78"/>
      <c r="VM95" s="78"/>
      <c r="VN95" s="78"/>
      <c r="VO95" s="78"/>
      <c r="VP95" s="78"/>
      <c r="VQ95" s="78"/>
      <c r="VR95" s="78"/>
      <c r="VS95" s="78"/>
      <c r="VT95" s="78"/>
      <c r="VU95" s="78"/>
      <c r="VV95" s="78"/>
      <c r="VW95" s="78"/>
      <c r="VX95" s="78"/>
      <c r="VY95" s="78"/>
      <c r="VZ95" s="78"/>
      <c r="WA95" s="78"/>
      <c r="WB95" s="78"/>
      <c r="WC95" s="78"/>
      <c r="WD95" s="78"/>
      <c r="WE95" s="78"/>
      <c r="WF95" s="78"/>
      <c r="WG95" s="78"/>
      <c r="WH95" s="78"/>
      <c r="WI95" s="78"/>
      <c r="WJ95" s="78"/>
      <c r="WK95" s="78"/>
      <c r="WL95" s="78"/>
      <c r="WM95" s="78"/>
      <c r="WN95" s="78"/>
      <c r="WO95" s="78"/>
      <c r="WP95" s="78"/>
      <c r="WQ95" s="78"/>
      <c r="WR95" s="78"/>
      <c r="WS95" s="78"/>
      <c r="WT95" s="78"/>
      <c r="WU95" s="78"/>
      <c r="WV95" s="78"/>
      <c r="WW95" s="78"/>
      <c r="WX95" s="78"/>
      <c r="WY95" s="78"/>
      <c r="WZ95" s="78"/>
      <c r="XA95" s="78"/>
      <c r="XB95" s="78"/>
      <c r="XC95" s="78"/>
      <c r="XD95" s="78"/>
      <c r="XE95" s="78"/>
      <c r="XF95" s="78"/>
      <c r="XG95" s="78"/>
      <c r="XH95" s="78"/>
      <c r="XI95" s="78"/>
      <c r="XJ95" s="78"/>
      <c r="XK95" s="78"/>
      <c r="XL95" s="78"/>
      <c r="XM95" s="78"/>
      <c r="XN95" s="78"/>
      <c r="XO95" s="78"/>
      <c r="XP95" s="78"/>
      <c r="XQ95" s="78"/>
      <c r="XR95" s="78"/>
      <c r="XS95" s="78"/>
      <c r="XT95" s="78"/>
      <c r="XU95" s="78"/>
      <c r="XV95" s="78"/>
      <c r="XW95" s="78"/>
      <c r="XX95" s="78"/>
      <c r="XY95" s="78"/>
      <c r="XZ95" s="78"/>
      <c r="YA95" s="78"/>
      <c r="YB95" s="78"/>
      <c r="YC95" s="78"/>
      <c r="YD95" s="78"/>
      <c r="YE95" s="78"/>
      <c r="YF95" s="78"/>
      <c r="YG95" s="78"/>
      <c r="YH95" s="78"/>
      <c r="YI95" s="78"/>
      <c r="YJ95" s="78"/>
      <c r="YK95" s="78"/>
      <c r="YL95" s="78"/>
      <c r="YM95" s="78"/>
      <c r="YN95" s="78"/>
      <c r="YO95" s="78"/>
      <c r="YP95" s="78"/>
      <c r="YQ95" s="78"/>
      <c r="YR95" s="78"/>
      <c r="YS95" s="78"/>
      <c r="YT95" s="78"/>
      <c r="YU95" s="78"/>
      <c r="YV95" s="78"/>
      <c r="YW95" s="78"/>
      <c r="YX95" s="78"/>
      <c r="YY95" s="78"/>
      <c r="YZ95" s="78"/>
      <c r="ZA95" s="78"/>
      <c r="ZB95" s="78"/>
      <c r="ZC95" s="78"/>
      <c r="ZD95" s="78"/>
      <c r="ZE95" s="78"/>
      <c r="ZF95" s="78"/>
      <c r="ZG95" s="78"/>
      <c r="ZH95" s="78"/>
      <c r="ZI95" s="78"/>
      <c r="ZJ95" s="78"/>
      <c r="ZK95" s="78"/>
      <c r="ZL95" s="78"/>
      <c r="ZM95" s="78"/>
      <c r="ZN95" s="78"/>
      <c r="ZO95" s="78"/>
      <c r="ZP95" s="78"/>
      <c r="ZQ95" s="78"/>
      <c r="ZR95" s="78"/>
      <c r="ZS95" s="78"/>
      <c r="ZT95" s="78"/>
      <c r="ZU95" s="78"/>
      <c r="ZV95" s="78"/>
      <c r="ZW95" s="78"/>
      <c r="ZX95" s="78"/>
      <c r="ZY95" s="78"/>
      <c r="ZZ95" s="78"/>
      <c r="AAA95" s="78"/>
      <c r="AAB95" s="78"/>
      <c r="AAC95" s="78"/>
      <c r="AAD95" s="78"/>
      <c r="AAE95" s="78"/>
      <c r="AAF95" s="78"/>
      <c r="AAG95" s="78"/>
      <c r="AAH95" s="78"/>
      <c r="AAI95" s="78"/>
      <c r="AAJ95" s="78"/>
      <c r="AAK95" s="78"/>
      <c r="AAL95" s="78"/>
      <c r="AAM95" s="78"/>
      <c r="AAN95" s="78"/>
      <c r="AAO95" s="78"/>
      <c r="AAP95" s="78"/>
      <c r="AAQ95" s="78"/>
      <c r="AAR95" s="78"/>
      <c r="AAS95" s="78"/>
      <c r="AAT95" s="78"/>
      <c r="AAU95" s="78"/>
      <c r="AAV95" s="78"/>
      <c r="AAW95" s="78"/>
      <c r="AAX95" s="78"/>
      <c r="AAY95" s="78"/>
      <c r="AAZ95" s="78"/>
      <c r="ABA95" s="78"/>
      <c r="ABB95" s="78"/>
      <c r="ABC95" s="78"/>
      <c r="ABD95" s="78"/>
      <c r="ABE95" s="78"/>
      <c r="ABF95" s="78"/>
      <c r="ABG95" s="78"/>
      <c r="ABH95" s="78"/>
      <c r="ABI95" s="78"/>
      <c r="ABJ95" s="78"/>
      <c r="ABK95" s="78"/>
      <c r="ABL95" s="78"/>
      <c r="ABM95" s="78"/>
      <c r="ABN95" s="78"/>
      <c r="ABO95" s="78"/>
      <c r="ABP95" s="78"/>
      <c r="ABQ95" s="78"/>
      <c r="ABR95" s="78"/>
      <c r="ABS95" s="78"/>
      <c r="ABT95" s="78"/>
      <c r="ABU95" s="78"/>
      <c r="ABV95" s="78"/>
      <c r="ABW95" s="78"/>
      <c r="ABX95" s="78"/>
      <c r="ABY95" s="78"/>
      <c r="ABZ95" s="78"/>
      <c r="ACA95" s="78"/>
      <c r="ACB95" s="78"/>
      <c r="ACC95" s="78"/>
      <c r="ACD95" s="78"/>
      <c r="ACE95" s="78"/>
      <c r="ACF95" s="78"/>
      <c r="ACG95" s="78"/>
      <c r="ACH95" s="78"/>
      <c r="ACI95" s="78"/>
      <c r="ACJ95" s="78"/>
      <c r="ACK95" s="78"/>
      <c r="ACL95" s="78"/>
      <c r="ACM95" s="78"/>
      <c r="ACN95" s="78"/>
      <c r="ACO95" s="78"/>
      <c r="ACP95" s="78"/>
      <c r="ACQ95" s="78"/>
      <c r="ACR95" s="78"/>
      <c r="ACS95" s="78"/>
      <c r="ACT95" s="78"/>
      <c r="ACU95" s="78"/>
      <c r="ACV95" s="78"/>
      <c r="ACW95" s="78"/>
      <c r="ACX95" s="78"/>
      <c r="ACY95" s="78"/>
      <c r="ACZ95" s="78"/>
      <c r="ADA95" s="78"/>
      <c r="ADB95" s="78"/>
      <c r="ADC95" s="78"/>
      <c r="ADD95" s="78"/>
      <c r="ADE95" s="78"/>
      <c r="ADF95" s="78"/>
      <c r="ADG95" s="78"/>
      <c r="ADH95" s="78"/>
      <c r="ADI95" s="78"/>
      <c r="ADJ95" s="78"/>
      <c r="ADK95" s="78"/>
      <c r="ADL95" s="78"/>
      <c r="ADM95" s="78"/>
      <c r="ADN95" s="78"/>
      <c r="ADO95" s="78"/>
      <c r="ADP95" s="78"/>
      <c r="ADQ95" s="78"/>
      <c r="ADR95" s="78"/>
      <c r="ADS95" s="78"/>
      <c r="ADT95" s="78"/>
      <c r="ADU95" s="78"/>
      <c r="ADV95" s="78"/>
      <c r="ADW95" s="78"/>
      <c r="ADX95" s="78"/>
      <c r="ADY95" s="78"/>
      <c r="ADZ95" s="78"/>
      <c r="AEA95" s="78"/>
      <c r="AEB95" s="78"/>
      <c r="AEC95" s="78"/>
      <c r="AED95" s="78"/>
      <c r="AEE95" s="78"/>
      <c r="AEF95" s="78"/>
      <c r="AEG95" s="78"/>
      <c r="AEH95" s="78"/>
      <c r="AEI95" s="78"/>
      <c r="AEJ95" s="78"/>
      <c r="AEK95" s="78"/>
      <c r="AEL95" s="78"/>
      <c r="AEM95" s="78"/>
      <c r="AEN95" s="78"/>
      <c r="AEO95" s="78"/>
      <c r="AEP95" s="78"/>
      <c r="AEQ95" s="78"/>
      <c r="AER95" s="78"/>
      <c r="AES95" s="78"/>
      <c r="AET95" s="78"/>
      <c r="AEU95" s="78"/>
      <c r="AEV95" s="78"/>
      <c r="AEW95" s="78"/>
      <c r="AEX95" s="78"/>
      <c r="AEY95" s="78"/>
      <c r="AEZ95" s="78"/>
      <c r="AFA95" s="78"/>
      <c r="AFB95" s="78"/>
      <c r="AFC95" s="78"/>
      <c r="AFD95" s="78"/>
      <c r="AFE95" s="78"/>
      <c r="AFF95" s="78"/>
      <c r="AFG95" s="78"/>
      <c r="AFH95" s="78"/>
      <c r="AFI95" s="78"/>
      <c r="AFJ95" s="78"/>
      <c r="AFK95" s="78"/>
      <c r="AFL95" s="78"/>
      <c r="AFM95" s="78"/>
      <c r="AFN95" s="78"/>
      <c r="AFO95" s="78"/>
      <c r="AFP95" s="78"/>
      <c r="AFQ95" s="78"/>
      <c r="AFR95" s="78"/>
      <c r="AFS95" s="78"/>
      <c r="AFT95" s="78"/>
      <c r="AFU95" s="78"/>
      <c r="AFV95" s="78"/>
      <c r="AFW95" s="78"/>
      <c r="AFX95" s="78"/>
      <c r="AFY95" s="78"/>
      <c r="AFZ95" s="78"/>
      <c r="AGA95" s="78"/>
      <c r="AGB95" s="78"/>
      <c r="AGC95" s="78"/>
      <c r="AGD95" s="78"/>
      <c r="AGE95" s="78"/>
      <c r="AGF95" s="78"/>
      <c r="AGG95" s="78"/>
      <c r="AGH95" s="78"/>
      <c r="AGI95" s="78"/>
      <c r="AGJ95" s="78"/>
      <c r="AGK95" s="78"/>
      <c r="AGL95" s="78"/>
      <c r="AGM95" s="78"/>
      <c r="AGN95" s="78"/>
      <c r="AGO95" s="78"/>
      <c r="AGP95" s="78"/>
      <c r="AGQ95" s="78"/>
      <c r="AGR95" s="78"/>
      <c r="AGS95" s="78"/>
      <c r="AGT95" s="78"/>
      <c r="AGU95" s="78"/>
      <c r="AGV95" s="78"/>
      <c r="AGW95" s="78"/>
      <c r="AGX95" s="78"/>
      <c r="AGY95" s="78"/>
      <c r="AGZ95" s="78"/>
      <c r="AHA95" s="78"/>
      <c r="AHB95" s="78"/>
      <c r="AHC95" s="78"/>
      <c r="AHD95" s="78"/>
      <c r="AHE95" s="78"/>
      <c r="AHF95" s="78"/>
      <c r="AHG95" s="78"/>
      <c r="AHH95" s="78"/>
      <c r="AHI95" s="78"/>
      <c r="AHJ95" s="78"/>
      <c r="AHK95" s="78"/>
      <c r="AHL95" s="78"/>
      <c r="AHM95" s="78"/>
      <c r="AHN95" s="78"/>
      <c r="AHO95" s="78"/>
      <c r="AHP95" s="78"/>
      <c r="AHQ95" s="78"/>
      <c r="AHR95" s="78"/>
      <c r="AHS95" s="78"/>
      <c r="AHT95" s="78"/>
      <c r="AHU95" s="78"/>
      <c r="AHV95" s="78"/>
      <c r="AHW95" s="78"/>
      <c r="AHX95" s="78"/>
      <c r="AHY95" s="78"/>
      <c r="AHZ95" s="78"/>
      <c r="AIA95" s="78"/>
      <c r="AIB95" s="78"/>
      <c r="AIC95" s="78"/>
      <c r="AID95" s="78"/>
      <c r="AIE95" s="78"/>
      <c r="AIF95" s="78"/>
      <c r="AIG95" s="78"/>
      <c r="AIH95" s="78"/>
      <c r="AII95" s="78"/>
      <c r="AIJ95" s="78"/>
      <c r="AIK95" s="78"/>
      <c r="AIL95" s="78"/>
      <c r="AIM95" s="78"/>
      <c r="AIN95" s="78"/>
      <c r="AIO95" s="78"/>
      <c r="AIP95" s="78"/>
      <c r="AIQ95" s="78"/>
      <c r="AIR95" s="78"/>
      <c r="AIS95" s="78"/>
      <c r="AIT95" s="78"/>
      <c r="AIU95" s="78"/>
      <c r="AIV95" s="78"/>
      <c r="AIW95" s="78"/>
      <c r="AIX95" s="78"/>
      <c r="AIY95" s="78"/>
      <c r="AIZ95" s="78"/>
      <c r="AJA95" s="78"/>
      <c r="AJB95" s="78"/>
      <c r="AJC95" s="78"/>
      <c r="AJD95" s="78"/>
      <c r="AJE95" s="78"/>
      <c r="AJF95" s="78"/>
      <c r="AJG95" s="78"/>
      <c r="AJH95" s="78"/>
      <c r="AJI95" s="78"/>
      <c r="AJJ95" s="78"/>
      <c r="AJK95" s="78"/>
      <c r="AJL95" s="78"/>
      <c r="AJM95" s="78"/>
      <c r="AJN95" s="78"/>
      <c r="AJO95" s="78"/>
      <c r="AJP95" s="78"/>
      <c r="AJQ95" s="78"/>
      <c r="AJR95" s="78"/>
      <c r="AJS95" s="78"/>
      <c r="AJT95" s="78"/>
      <c r="AJU95" s="78"/>
      <c r="AJV95" s="78"/>
      <c r="AJW95" s="78"/>
      <c r="AJX95" s="78"/>
      <c r="AJY95" s="78"/>
      <c r="AJZ95" s="78"/>
      <c r="AKA95" s="78"/>
      <c r="AKB95" s="78"/>
      <c r="AKC95" s="78"/>
      <c r="AKD95" s="78"/>
      <c r="AKE95" s="78"/>
      <c r="AKF95" s="78"/>
      <c r="AKG95" s="78"/>
      <c r="AKH95" s="78"/>
      <c r="AKI95" s="78"/>
      <c r="AKJ95" s="78"/>
      <c r="AKK95" s="78"/>
      <c r="AKL95" s="78"/>
      <c r="AKM95" s="78"/>
      <c r="AKN95" s="78"/>
      <c r="AKO95" s="78"/>
      <c r="AKP95" s="78"/>
      <c r="AKQ95" s="78"/>
      <c r="AKR95" s="78"/>
      <c r="AKS95" s="78"/>
      <c r="AKT95" s="78"/>
      <c r="AKU95" s="78"/>
      <c r="AKV95" s="78"/>
      <c r="AKW95" s="78"/>
      <c r="AKX95" s="78"/>
      <c r="AKY95" s="78"/>
      <c r="AKZ95" s="78"/>
      <c r="ALA95" s="78"/>
      <c r="ALB95" s="78"/>
      <c r="ALC95" s="78"/>
      <c r="ALD95" s="78"/>
      <c r="ALE95" s="78"/>
      <c r="ALF95" s="78"/>
      <c r="ALG95" s="78"/>
      <c r="ALH95" s="78"/>
      <c r="ALI95" s="78"/>
      <c r="ALJ95" s="78"/>
      <c r="ALK95" s="78"/>
      <c r="ALL95" s="78"/>
      <c r="ALM95" s="78"/>
      <c r="ALN95" s="78"/>
      <c r="ALO95" s="78"/>
      <c r="ALP95" s="78"/>
      <c r="ALQ95" s="78"/>
      <c r="ALR95" s="78"/>
      <c r="ALS95" s="78"/>
      <c r="ALT95" s="78"/>
      <c r="ALU95" s="78"/>
      <c r="ALV95" s="78"/>
      <c r="ALW95" s="78"/>
      <c r="ALX95" s="78"/>
      <c r="ALY95" s="78"/>
      <c r="ALZ95" s="78"/>
      <c r="AMA95" s="78"/>
      <c r="AMB95" s="78"/>
      <c r="AMC95" s="78"/>
      <c r="AMD95" s="78"/>
      <c r="AME95" s="78"/>
      <c r="AMF95" s="78"/>
      <c r="AMG95" s="78"/>
      <c r="AMH95" s="78"/>
      <c r="AMI95" s="78"/>
      <c r="AMJ95" s="78"/>
      <c r="AMK95" s="78"/>
      <c r="AML95" s="78"/>
      <c r="AMM95" s="78"/>
      <c r="AMN95" s="78"/>
      <c r="AMO95" s="78"/>
      <c r="AMP95" s="78"/>
      <c r="AMQ95" s="78"/>
      <c r="AMR95" s="78"/>
      <c r="AMS95" s="78"/>
      <c r="AMT95" s="78"/>
      <c r="AMU95" s="78"/>
      <c r="AMV95" s="78"/>
      <c r="AMW95" s="78"/>
      <c r="AMX95" s="78"/>
      <c r="AMY95" s="78"/>
      <c r="AMZ95" s="78"/>
      <c r="ANA95" s="78"/>
      <c r="ANB95" s="78"/>
      <c r="ANC95" s="78"/>
      <c r="AND95" s="78"/>
      <c r="ANE95" s="78"/>
      <c r="ANF95" s="78"/>
      <c r="ANG95" s="78"/>
      <c r="ANH95" s="78"/>
      <c r="ANI95" s="78"/>
      <c r="ANJ95" s="78"/>
      <c r="ANK95" s="78"/>
      <c r="ANL95" s="78"/>
      <c r="ANM95" s="78"/>
      <c r="ANN95" s="78"/>
      <c r="ANO95" s="78"/>
      <c r="ANP95" s="78"/>
      <c r="ANQ95" s="78"/>
      <c r="ANR95" s="78"/>
      <c r="ANS95" s="78"/>
      <c r="ANT95" s="78"/>
      <c r="ANU95" s="78"/>
      <c r="ANV95" s="78"/>
      <c r="ANW95" s="78"/>
      <c r="ANX95" s="78"/>
      <c r="ANY95" s="78"/>
      <c r="ANZ95" s="78"/>
      <c r="AOA95" s="78"/>
      <c r="AOB95" s="78"/>
      <c r="AOC95" s="78"/>
      <c r="AOD95" s="78"/>
      <c r="AOE95" s="78"/>
      <c r="AOF95" s="78"/>
      <c r="AOG95" s="78"/>
      <c r="AOH95" s="78"/>
      <c r="AOI95" s="78"/>
      <c r="AOJ95" s="78"/>
      <c r="AOK95" s="78"/>
      <c r="AOL95" s="78"/>
      <c r="AOM95" s="78"/>
      <c r="AON95" s="78"/>
      <c r="AOO95" s="78"/>
      <c r="AOP95" s="78"/>
      <c r="AOQ95" s="78"/>
      <c r="AOR95" s="78"/>
      <c r="AOS95" s="78"/>
      <c r="AOT95" s="78"/>
      <c r="AOU95" s="78"/>
      <c r="AOV95" s="78"/>
      <c r="AOW95" s="78"/>
      <c r="AOX95" s="78"/>
      <c r="AOY95" s="78"/>
      <c r="AOZ95" s="78"/>
      <c r="APA95" s="78"/>
      <c r="APB95" s="78"/>
      <c r="APC95" s="78"/>
      <c r="APD95" s="78"/>
      <c r="APE95" s="78"/>
      <c r="APF95" s="78"/>
      <c r="APG95" s="78"/>
      <c r="APH95" s="78"/>
      <c r="API95" s="78"/>
      <c r="APJ95" s="78"/>
      <c r="APK95" s="78"/>
      <c r="APL95" s="78"/>
      <c r="APM95" s="78"/>
      <c r="APN95" s="78"/>
      <c r="APO95" s="78"/>
      <c r="APP95" s="78"/>
      <c r="APQ95" s="78"/>
      <c r="APR95" s="78"/>
      <c r="APS95" s="78"/>
      <c r="APT95" s="78"/>
      <c r="APU95" s="78"/>
      <c r="APV95" s="78"/>
      <c r="APW95" s="78"/>
      <c r="APX95" s="78"/>
      <c r="APY95" s="78"/>
      <c r="APZ95" s="78"/>
      <c r="AQA95" s="78"/>
      <c r="AQB95" s="78"/>
      <c r="AQC95" s="78"/>
      <c r="AQD95" s="78"/>
      <c r="AQE95" s="78"/>
      <c r="AQF95" s="78"/>
      <c r="AQG95" s="78"/>
      <c r="AQH95" s="78"/>
      <c r="AQI95" s="78"/>
      <c r="AQJ95" s="78"/>
      <c r="AQK95" s="78"/>
      <c r="AQL95" s="78"/>
      <c r="AQM95" s="78"/>
      <c r="AQN95" s="78"/>
      <c r="AQO95" s="78"/>
      <c r="AQP95" s="78"/>
      <c r="AQQ95" s="78"/>
      <c r="AQR95" s="78"/>
      <c r="AQS95" s="78"/>
      <c r="AQT95" s="78"/>
      <c r="AQU95" s="78"/>
      <c r="AQV95" s="78"/>
      <c r="AQW95" s="78"/>
      <c r="AQX95" s="78"/>
      <c r="AQY95" s="78"/>
      <c r="AQZ95" s="78"/>
      <c r="ARA95" s="78"/>
      <c r="ARB95" s="78"/>
      <c r="ARC95" s="78"/>
      <c r="ARD95" s="78"/>
      <c r="ARE95" s="78"/>
      <c r="ARF95" s="78"/>
      <c r="ARG95" s="78"/>
      <c r="ARH95" s="78"/>
      <c r="ARI95" s="78"/>
      <c r="ARJ95" s="78"/>
      <c r="ARK95" s="78"/>
      <c r="ARL95" s="78"/>
      <c r="ARM95" s="78"/>
      <c r="ARN95" s="78"/>
      <c r="ARO95" s="78"/>
      <c r="ARP95" s="78"/>
      <c r="ARQ95" s="78"/>
      <c r="ARR95" s="78"/>
      <c r="ARS95" s="78"/>
      <c r="ART95" s="78"/>
      <c r="ARU95" s="78"/>
      <c r="ARV95" s="78"/>
      <c r="ARW95" s="78"/>
      <c r="ARX95" s="78"/>
      <c r="ARY95" s="78"/>
      <c r="ARZ95" s="78"/>
      <c r="ASA95" s="78"/>
      <c r="ASB95" s="78"/>
      <c r="ASC95" s="78"/>
      <c r="ASD95" s="78"/>
      <c r="ASE95" s="78"/>
      <c r="ASF95" s="78"/>
      <c r="ASG95" s="78"/>
      <c r="ASH95" s="78"/>
      <c r="ASI95" s="78"/>
      <c r="ASJ95" s="78"/>
      <c r="ASK95" s="78"/>
      <c r="ASL95" s="78"/>
      <c r="ASM95" s="78"/>
      <c r="ASN95" s="78"/>
      <c r="ASO95" s="78"/>
      <c r="ASP95" s="78"/>
      <c r="ASQ95" s="78"/>
      <c r="ASR95" s="78"/>
      <c r="ASS95" s="78"/>
      <c r="AST95" s="78"/>
      <c r="ASU95" s="78"/>
      <c r="ASV95" s="78"/>
      <c r="ASW95" s="78"/>
      <c r="ASX95" s="78"/>
      <c r="ASY95" s="78"/>
      <c r="ASZ95" s="78"/>
      <c r="ATA95" s="78"/>
      <c r="ATB95" s="78"/>
      <c r="ATC95" s="78"/>
      <c r="ATD95" s="78"/>
      <c r="ATE95" s="78"/>
      <c r="ATF95" s="78"/>
      <c r="ATG95" s="78"/>
      <c r="ATH95" s="78"/>
      <c r="ATI95" s="78"/>
      <c r="ATJ95" s="78"/>
      <c r="ATK95" s="78"/>
      <c r="ATL95" s="78"/>
      <c r="ATM95" s="78"/>
      <c r="ATN95" s="78"/>
      <c r="ATO95" s="78"/>
      <c r="ATP95" s="78"/>
      <c r="ATQ95" s="78"/>
      <c r="ATR95" s="78"/>
      <c r="ATS95" s="78"/>
      <c r="ATT95" s="78"/>
      <c r="ATU95" s="78"/>
      <c r="ATV95" s="78"/>
      <c r="ATW95" s="78"/>
      <c r="ATX95" s="78"/>
      <c r="ATY95" s="78"/>
      <c r="ATZ95" s="78"/>
      <c r="AUA95" s="78"/>
      <c r="AUB95" s="78"/>
      <c r="AUC95" s="78"/>
      <c r="AUD95" s="78"/>
      <c r="AUE95" s="78"/>
      <c r="AUF95" s="78"/>
      <c r="AUG95" s="78"/>
      <c r="AUH95" s="78"/>
      <c r="AUI95" s="78"/>
      <c r="AUJ95" s="78"/>
      <c r="AUK95" s="78"/>
      <c r="AUL95" s="78"/>
      <c r="AUM95" s="78"/>
      <c r="AUN95" s="78"/>
      <c r="AUO95" s="78"/>
      <c r="AUP95" s="78"/>
      <c r="AUQ95" s="78"/>
      <c r="AUR95" s="78"/>
      <c r="AUS95" s="78"/>
      <c r="AUT95" s="78"/>
      <c r="AUU95" s="78"/>
      <c r="AUV95" s="78"/>
      <c r="AUW95" s="78"/>
      <c r="AUX95" s="78"/>
      <c r="AUY95" s="78"/>
      <c r="AUZ95" s="78"/>
      <c r="AVA95" s="78"/>
      <c r="AVB95" s="78"/>
      <c r="AVC95" s="78"/>
      <c r="AVD95" s="78"/>
      <c r="AVE95" s="78"/>
      <c r="AVF95" s="78"/>
      <c r="AVG95" s="78"/>
      <c r="AVH95" s="78"/>
      <c r="AVI95" s="78"/>
      <c r="AVJ95" s="78"/>
      <c r="AVK95" s="78"/>
      <c r="AVL95" s="78"/>
      <c r="AVM95" s="78"/>
      <c r="AVN95" s="78"/>
      <c r="AVO95" s="78"/>
      <c r="AVP95" s="78"/>
      <c r="AVQ95" s="78"/>
      <c r="AVR95" s="78"/>
      <c r="AVS95" s="78"/>
      <c r="AVT95" s="78"/>
      <c r="AVU95" s="78"/>
      <c r="AVV95" s="78"/>
      <c r="AVW95" s="78"/>
      <c r="AVX95" s="78"/>
      <c r="AVY95" s="78"/>
      <c r="AVZ95" s="78"/>
      <c r="AWA95" s="78"/>
      <c r="AWB95" s="78"/>
      <c r="AWC95" s="78"/>
      <c r="AWD95" s="78"/>
      <c r="AWE95" s="78"/>
      <c r="AWF95" s="78"/>
      <c r="AWG95" s="78"/>
      <c r="AWH95" s="78"/>
      <c r="AWI95" s="78"/>
      <c r="AWJ95" s="78"/>
      <c r="AWK95" s="78"/>
      <c r="AWL95" s="78"/>
      <c r="AWM95" s="78"/>
      <c r="AWN95" s="78"/>
      <c r="AWO95" s="78"/>
      <c r="AWP95" s="78"/>
      <c r="AWQ95" s="78"/>
      <c r="AWR95" s="78"/>
      <c r="AWS95" s="78"/>
      <c r="AWT95" s="78"/>
      <c r="AWU95" s="78"/>
      <c r="AWV95" s="78"/>
      <c r="AWW95" s="78"/>
      <c r="AWX95" s="78"/>
      <c r="AWY95" s="78"/>
      <c r="AWZ95" s="78"/>
      <c r="AXA95" s="78"/>
      <c r="AXB95" s="78"/>
      <c r="AXC95" s="78"/>
      <c r="AXD95" s="78"/>
      <c r="AXE95" s="78"/>
      <c r="AXF95" s="78"/>
      <c r="AXG95" s="78"/>
      <c r="AXH95" s="78"/>
      <c r="AXI95" s="78"/>
      <c r="AXJ95" s="78"/>
      <c r="AXK95" s="78"/>
      <c r="AXL95" s="78"/>
      <c r="AXM95" s="78"/>
      <c r="AXN95" s="78"/>
      <c r="AXO95" s="78"/>
      <c r="AXP95" s="78"/>
      <c r="AXQ95" s="78"/>
      <c r="AXR95" s="78"/>
      <c r="AXS95" s="78"/>
      <c r="AXT95" s="78"/>
      <c r="AXU95" s="78"/>
      <c r="AXV95" s="78"/>
      <c r="AXW95" s="78"/>
      <c r="AXX95" s="78"/>
      <c r="AXY95" s="78"/>
      <c r="AXZ95" s="78"/>
      <c r="AYA95" s="78"/>
      <c r="AYB95" s="78"/>
      <c r="AYC95" s="78"/>
      <c r="AYD95" s="78"/>
      <c r="AYE95" s="78"/>
      <c r="AYF95" s="78"/>
      <c r="AYG95" s="78"/>
      <c r="AYH95" s="78"/>
      <c r="AYI95" s="78"/>
      <c r="AYJ95" s="78"/>
      <c r="AYK95" s="78"/>
      <c r="AYL95" s="78"/>
      <c r="AYM95" s="78"/>
      <c r="AYN95" s="78"/>
      <c r="AYO95" s="78"/>
      <c r="AYP95" s="78"/>
      <c r="AYQ95" s="78"/>
      <c r="AYR95" s="78"/>
      <c r="AYS95" s="78"/>
      <c r="AYT95" s="78"/>
      <c r="AYU95" s="78"/>
      <c r="AYV95" s="78"/>
      <c r="AYW95" s="78"/>
      <c r="AYX95" s="78"/>
      <c r="AYY95" s="78"/>
      <c r="AYZ95" s="78"/>
      <c r="AZA95" s="78"/>
      <c r="AZB95" s="78"/>
      <c r="AZC95" s="78"/>
      <c r="AZD95" s="78"/>
      <c r="AZE95" s="78"/>
      <c r="AZF95" s="78"/>
      <c r="AZG95" s="78"/>
      <c r="AZH95" s="78"/>
      <c r="AZI95" s="78"/>
      <c r="AZJ95" s="78"/>
      <c r="AZK95" s="78"/>
      <c r="AZL95" s="78"/>
      <c r="AZM95" s="78"/>
      <c r="AZN95" s="78"/>
      <c r="AZO95" s="78"/>
      <c r="AZP95" s="78"/>
      <c r="AZQ95" s="78"/>
      <c r="AZR95" s="78"/>
      <c r="AZS95" s="78"/>
      <c r="AZT95" s="78"/>
      <c r="AZU95" s="78"/>
      <c r="AZV95" s="78"/>
      <c r="AZW95" s="78"/>
      <c r="AZX95" s="78"/>
      <c r="AZY95" s="78"/>
      <c r="AZZ95" s="78"/>
      <c r="BAA95" s="78"/>
      <c r="BAB95" s="78"/>
      <c r="BAC95" s="78"/>
      <c r="BAD95" s="78"/>
      <c r="BAE95" s="78"/>
      <c r="BAF95" s="78"/>
      <c r="BAG95" s="78"/>
      <c r="BAH95" s="78"/>
      <c r="BAI95" s="78"/>
      <c r="BAJ95" s="78"/>
      <c r="BAK95" s="78"/>
      <c r="BAL95" s="78"/>
      <c r="BAM95" s="78"/>
      <c r="BAN95" s="78"/>
      <c r="BAO95" s="78"/>
      <c r="BAP95" s="78"/>
      <c r="BAQ95" s="78"/>
      <c r="BAR95" s="78"/>
      <c r="BAS95" s="78"/>
      <c r="BAT95" s="78"/>
      <c r="BAU95" s="78"/>
      <c r="BAV95" s="78"/>
      <c r="BAW95" s="78"/>
      <c r="BAX95" s="78"/>
      <c r="BAY95" s="78"/>
      <c r="BAZ95" s="78"/>
      <c r="BBA95" s="78"/>
      <c r="BBB95" s="78"/>
      <c r="BBC95" s="78"/>
      <c r="BBD95" s="78"/>
      <c r="BBE95" s="78"/>
      <c r="BBF95" s="78"/>
      <c r="BBG95" s="78"/>
      <c r="BBH95" s="78"/>
      <c r="BBI95" s="78"/>
      <c r="BBJ95" s="78"/>
      <c r="BBK95" s="78"/>
      <c r="BBL95" s="78"/>
      <c r="BBM95" s="78"/>
      <c r="BBN95" s="78"/>
      <c r="BBO95" s="78"/>
      <c r="BBP95" s="78"/>
      <c r="BBQ95" s="78"/>
      <c r="BBR95" s="78"/>
      <c r="BBS95" s="78"/>
      <c r="BBT95" s="78"/>
      <c r="BBU95" s="78"/>
      <c r="BBV95" s="78"/>
      <c r="BBW95" s="78"/>
      <c r="BBX95" s="78"/>
      <c r="BBY95" s="78"/>
      <c r="BBZ95" s="78"/>
      <c r="BCA95" s="78"/>
      <c r="BCB95" s="78"/>
      <c r="BCC95" s="78"/>
      <c r="BCD95" s="78"/>
      <c r="BCE95" s="78"/>
      <c r="BCF95" s="78"/>
      <c r="BCG95" s="78"/>
      <c r="BCH95" s="78"/>
      <c r="BCI95" s="78"/>
      <c r="BCJ95" s="78"/>
      <c r="BCK95" s="78"/>
      <c r="BCL95" s="78"/>
      <c r="BCM95" s="78"/>
      <c r="BCN95" s="78"/>
      <c r="BCO95" s="78"/>
      <c r="BCP95" s="78"/>
      <c r="BCQ95" s="78"/>
      <c r="BCR95" s="78"/>
      <c r="BCS95" s="78"/>
      <c r="BCT95" s="78"/>
      <c r="BCU95" s="78"/>
      <c r="BCV95" s="78"/>
      <c r="BCW95" s="78"/>
      <c r="BCX95" s="78"/>
      <c r="BCY95" s="78"/>
      <c r="BCZ95" s="78"/>
      <c r="BDA95" s="78"/>
      <c r="BDB95" s="78"/>
      <c r="BDC95" s="78"/>
      <c r="BDD95" s="78"/>
      <c r="BDE95" s="78"/>
      <c r="BDF95" s="78"/>
      <c r="BDG95" s="78"/>
      <c r="BDH95" s="78"/>
      <c r="BDI95" s="78"/>
      <c r="BDJ95" s="78"/>
      <c r="BDK95" s="78"/>
      <c r="BDL95" s="78"/>
      <c r="BDM95" s="78"/>
      <c r="BDN95" s="78"/>
      <c r="BDO95" s="78"/>
      <c r="BDP95" s="78"/>
      <c r="BDQ95" s="78"/>
      <c r="BDR95" s="78"/>
      <c r="BDS95" s="78"/>
      <c r="BDT95" s="78"/>
      <c r="BDU95" s="78"/>
      <c r="BDV95" s="78"/>
      <c r="BDW95" s="78"/>
      <c r="BDX95" s="78"/>
      <c r="BDY95" s="78"/>
      <c r="BDZ95" s="78"/>
      <c r="BEA95" s="78"/>
      <c r="BEB95" s="78"/>
      <c r="BEC95" s="78"/>
      <c r="BED95" s="78"/>
      <c r="BEE95" s="78"/>
      <c r="BEF95" s="78"/>
      <c r="BEG95" s="78"/>
      <c r="BEH95" s="78"/>
      <c r="BEI95" s="78"/>
      <c r="BEJ95" s="78"/>
      <c r="BEK95" s="78"/>
      <c r="BEL95" s="78"/>
      <c r="BEM95" s="78"/>
      <c r="BEN95" s="78"/>
      <c r="BEO95" s="78"/>
      <c r="BEP95" s="78"/>
      <c r="BEQ95" s="78"/>
      <c r="BER95" s="78"/>
      <c r="BES95" s="78"/>
      <c r="BET95" s="78"/>
      <c r="BEU95" s="78"/>
      <c r="BEV95" s="78"/>
      <c r="BEW95" s="78"/>
      <c r="BEX95" s="78"/>
      <c r="BEY95" s="78"/>
      <c r="BEZ95" s="78"/>
      <c r="BFA95" s="78"/>
      <c r="BFB95" s="78"/>
      <c r="BFC95" s="78"/>
      <c r="BFD95" s="78"/>
      <c r="BFE95" s="78"/>
      <c r="BFF95" s="78"/>
      <c r="BFG95" s="78"/>
      <c r="BFH95" s="78"/>
      <c r="BFI95" s="78"/>
      <c r="BFJ95" s="78"/>
      <c r="BFK95" s="78"/>
      <c r="BFL95" s="78"/>
      <c r="BFM95" s="78"/>
      <c r="BFN95" s="78"/>
      <c r="BFO95" s="78"/>
      <c r="BFP95" s="78"/>
      <c r="BFQ95" s="78"/>
      <c r="BFR95" s="78"/>
      <c r="BFS95" s="78"/>
      <c r="BFT95" s="78"/>
      <c r="BFU95" s="78"/>
      <c r="BFV95" s="78"/>
      <c r="BFW95" s="78"/>
      <c r="BFX95" s="78"/>
      <c r="BFY95" s="78"/>
      <c r="BFZ95" s="78"/>
      <c r="BGA95" s="78"/>
      <c r="BGB95" s="78"/>
      <c r="BGC95" s="78"/>
      <c r="BGD95" s="78"/>
      <c r="BGE95" s="78"/>
      <c r="BGF95" s="78"/>
      <c r="BGG95" s="78"/>
      <c r="BGH95" s="78"/>
      <c r="BGI95" s="78"/>
      <c r="BGJ95" s="78"/>
      <c r="BGK95" s="78"/>
      <c r="BGL95" s="78"/>
      <c r="BGM95" s="78"/>
      <c r="BGN95" s="78"/>
      <c r="BGO95" s="78"/>
      <c r="BGP95" s="78"/>
      <c r="BGQ95" s="78"/>
      <c r="BGR95" s="78"/>
      <c r="BGS95" s="78"/>
      <c r="BGT95" s="78"/>
      <c r="BGU95" s="78"/>
      <c r="BGV95" s="78"/>
      <c r="BGW95" s="78"/>
      <c r="BGX95" s="78"/>
      <c r="BGY95" s="78"/>
      <c r="BGZ95" s="78"/>
      <c r="BHA95" s="78"/>
      <c r="BHB95" s="78"/>
      <c r="BHC95" s="78"/>
      <c r="BHD95" s="78"/>
      <c r="BHE95" s="78"/>
      <c r="BHF95" s="78"/>
      <c r="BHG95" s="78"/>
      <c r="BHH95" s="78"/>
      <c r="BHI95" s="78"/>
      <c r="BHJ95" s="78"/>
      <c r="BHK95" s="78"/>
      <c r="BHL95" s="78"/>
      <c r="BHM95" s="78"/>
      <c r="BHN95" s="78"/>
      <c r="BHO95" s="78"/>
      <c r="BHP95" s="78"/>
      <c r="BHQ95" s="78"/>
      <c r="BHR95" s="78"/>
      <c r="BHS95" s="78"/>
      <c r="BHT95" s="78"/>
      <c r="BHU95" s="78"/>
      <c r="BHV95" s="78"/>
      <c r="BHW95" s="78"/>
      <c r="BHX95" s="78"/>
      <c r="BHY95" s="78"/>
      <c r="BHZ95" s="78"/>
      <c r="BIA95" s="78"/>
      <c r="BIB95" s="78"/>
      <c r="BIC95" s="78"/>
      <c r="BID95" s="78"/>
      <c r="BIE95" s="78"/>
      <c r="BIF95" s="78"/>
      <c r="BIG95" s="78"/>
      <c r="BIH95" s="78"/>
      <c r="BII95" s="78"/>
      <c r="BIJ95" s="78"/>
      <c r="BIK95" s="78"/>
      <c r="BIL95" s="78"/>
      <c r="BIM95" s="78"/>
      <c r="BIN95" s="78"/>
      <c r="BIO95" s="78"/>
      <c r="BIP95" s="78"/>
      <c r="BIQ95" s="78"/>
      <c r="BIR95" s="78"/>
      <c r="BIS95" s="78"/>
      <c r="BIT95" s="78"/>
      <c r="BIU95" s="78"/>
      <c r="BIV95" s="78"/>
      <c r="BIW95" s="78"/>
      <c r="BIX95" s="78"/>
      <c r="BIY95" s="78"/>
      <c r="BIZ95" s="78"/>
      <c r="BJA95" s="78"/>
      <c r="BJB95" s="78"/>
      <c r="BJC95" s="78"/>
      <c r="BJD95" s="78"/>
      <c r="BJE95" s="78"/>
      <c r="BJF95" s="78"/>
      <c r="BJG95" s="78"/>
      <c r="BJH95" s="78"/>
      <c r="BJI95" s="78"/>
      <c r="BJJ95" s="78"/>
      <c r="BJK95" s="78"/>
      <c r="BJL95" s="78"/>
      <c r="BJM95" s="78"/>
      <c r="BJN95" s="78"/>
      <c r="BJO95" s="78"/>
      <c r="BJP95" s="78"/>
      <c r="BJQ95" s="78"/>
      <c r="BJR95" s="78"/>
      <c r="BJS95" s="78"/>
      <c r="BJT95" s="78"/>
      <c r="BJU95" s="78"/>
      <c r="BJV95" s="78"/>
      <c r="BJW95" s="78"/>
      <c r="BJX95" s="78"/>
      <c r="BJY95" s="78"/>
      <c r="BJZ95" s="78"/>
      <c r="BKA95" s="78"/>
      <c r="BKB95" s="78"/>
      <c r="BKC95" s="78"/>
      <c r="BKD95" s="78"/>
      <c r="BKE95" s="78"/>
      <c r="BKF95" s="78"/>
      <c r="BKG95" s="78"/>
      <c r="BKH95" s="78"/>
      <c r="BKI95" s="78"/>
      <c r="BKJ95" s="78"/>
      <c r="BKK95" s="78"/>
      <c r="BKL95" s="78"/>
      <c r="BKM95" s="78"/>
      <c r="BKN95" s="78"/>
      <c r="BKO95" s="78"/>
      <c r="BKP95" s="78"/>
      <c r="BKQ95" s="78"/>
      <c r="BKR95" s="78"/>
      <c r="BKS95" s="78"/>
      <c r="BKT95" s="78"/>
      <c r="BKU95" s="78"/>
      <c r="BKV95" s="78"/>
      <c r="BKW95" s="78"/>
      <c r="BKX95" s="78"/>
      <c r="BKY95" s="78"/>
      <c r="BKZ95" s="78"/>
      <c r="BLA95" s="78"/>
      <c r="BLB95" s="78"/>
      <c r="BLC95" s="78"/>
      <c r="BLD95" s="78"/>
      <c r="BLE95" s="78"/>
      <c r="BLF95" s="78"/>
      <c r="BLG95" s="78"/>
      <c r="BLH95" s="78"/>
      <c r="BLI95" s="78"/>
      <c r="BLJ95" s="78"/>
      <c r="BLK95" s="78"/>
      <c r="BLL95" s="78"/>
      <c r="BLM95" s="78"/>
      <c r="BLN95" s="78"/>
      <c r="BLO95" s="78"/>
      <c r="BLP95" s="78"/>
      <c r="BLQ95" s="78"/>
      <c r="BLR95" s="78"/>
      <c r="BLS95" s="78"/>
      <c r="BLT95" s="78"/>
      <c r="BLU95" s="78"/>
      <c r="BLV95" s="78"/>
      <c r="BLW95" s="78"/>
      <c r="BLX95" s="78"/>
      <c r="BLY95" s="78"/>
      <c r="BLZ95" s="78"/>
      <c r="BMA95" s="78"/>
      <c r="BMB95" s="78"/>
      <c r="BMC95" s="78"/>
      <c r="BMD95" s="78"/>
      <c r="BME95" s="78"/>
      <c r="BMF95" s="78"/>
      <c r="BMG95" s="78"/>
      <c r="BMH95" s="78"/>
      <c r="BMI95" s="78"/>
      <c r="BMJ95" s="78"/>
      <c r="BMK95" s="78"/>
      <c r="BML95" s="78"/>
      <c r="BMM95" s="78"/>
      <c r="BMN95" s="78"/>
      <c r="BMO95" s="78"/>
      <c r="BMP95" s="78"/>
      <c r="BMQ95" s="78"/>
      <c r="BMR95" s="78"/>
      <c r="BMS95" s="78"/>
      <c r="BMT95" s="78"/>
      <c r="BMU95" s="78"/>
      <c r="BMV95" s="78"/>
      <c r="BMW95" s="78"/>
      <c r="BMX95" s="78"/>
      <c r="BMY95" s="78"/>
      <c r="BMZ95" s="78"/>
      <c r="BNA95" s="78"/>
      <c r="BNB95" s="78"/>
      <c r="BNC95" s="78"/>
      <c r="BND95" s="78"/>
      <c r="BNE95" s="78"/>
      <c r="BNF95" s="78"/>
      <c r="BNG95" s="78"/>
      <c r="BNH95" s="78"/>
      <c r="BNI95" s="78"/>
      <c r="BNJ95" s="78"/>
      <c r="BNK95" s="78"/>
      <c r="BNL95" s="78"/>
      <c r="BNM95" s="78"/>
      <c r="BNN95" s="78"/>
      <c r="BNO95" s="78"/>
      <c r="BNP95" s="78"/>
      <c r="BNQ95" s="78"/>
      <c r="BNR95" s="78"/>
      <c r="BNS95" s="78"/>
      <c r="BNT95" s="78"/>
      <c r="BNU95" s="78"/>
      <c r="BNV95" s="78"/>
      <c r="BNW95" s="78"/>
      <c r="BNX95" s="78"/>
      <c r="BNY95" s="78"/>
      <c r="BNZ95" s="78"/>
      <c r="BOA95" s="78"/>
      <c r="BOB95" s="78"/>
      <c r="BOC95" s="78"/>
      <c r="BOD95" s="78"/>
      <c r="BOE95" s="78"/>
      <c r="BOF95" s="78"/>
      <c r="BOG95" s="78"/>
      <c r="BOH95" s="78"/>
      <c r="BOI95" s="78"/>
      <c r="BOJ95" s="78"/>
      <c r="BOK95" s="78"/>
      <c r="BOL95" s="78"/>
      <c r="BOM95" s="78"/>
      <c r="BON95" s="78"/>
      <c r="BOO95" s="78"/>
      <c r="BOP95" s="78"/>
      <c r="BOQ95" s="78"/>
      <c r="BOR95" s="78"/>
      <c r="BOS95" s="78"/>
      <c r="BOT95" s="78"/>
      <c r="BOU95" s="78"/>
      <c r="BOV95" s="78"/>
      <c r="BOW95" s="78"/>
      <c r="BOX95" s="78"/>
      <c r="BOY95" s="78"/>
      <c r="BOZ95" s="78"/>
      <c r="BPA95" s="78"/>
      <c r="BPB95" s="78"/>
      <c r="BPC95" s="78"/>
      <c r="BPD95" s="78"/>
      <c r="BPE95" s="78"/>
      <c r="BPF95" s="78"/>
      <c r="BPG95" s="78"/>
      <c r="BPH95" s="78"/>
      <c r="BPI95" s="78"/>
      <c r="BPJ95" s="78"/>
      <c r="BPK95" s="78"/>
      <c r="BPL95" s="78"/>
      <c r="BPM95" s="78"/>
      <c r="BPN95" s="78"/>
      <c r="BPO95" s="78"/>
      <c r="BPP95" s="78"/>
      <c r="BPQ95" s="78"/>
      <c r="BPR95" s="78"/>
      <c r="BPS95" s="78"/>
      <c r="BPT95" s="78"/>
      <c r="BPU95" s="78"/>
      <c r="BPV95" s="78"/>
      <c r="BPW95" s="78"/>
      <c r="BPX95" s="78"/>
      <c r="BPY95" s="78"/>
      <c r="BPZ95" s="78"/>
      <c r="BQA95" s="78"/>
      <c r="BQB95" s="78"/>
      <c r="BQC95" s="78"/>
      <c r="BQD95" s="78"/>
      <c r="BQE95" s="78"/>
      <c r="BQF95" s="78"/>
      <c r="BQG95" s="78"/>
      <c r="BQH95" s="78"/>
      <c r="BQI95" s="78"/>
      <c r="BQJ95" s="78"/>
      <c r="BQK95" s="78"/>
      <c r="BQL95" s="78"/>
      <c r="BQM95" s="78"/>
      <c r="BQN95" s="78"/>
      <c r="BQO95" s="78"/>
      <c r="BQP95" s="78"/>
      <c r="BQQ95" s="78"/>
      <c r="BQR95" s="78"/>
      <c r="BQS95" s="78"/>
      <c r="BQT95" s="78"/>
      <c r="BQU95" s="78"/>
      <c r="BQV95" s="78"/>
      <c r="BQW95" s="78"/>
      <c r="BQX95" s="78"/>
      <c r="BQY95" s="78"/>
      <c r="BQZ95" s="78"/>
      <c r="BRA95" s="78"/>
      <c r="BRB95" s="78"/>
      <c r="BRC95" s="78"/>
      <c r="BRD95" s="78"/>
      <c r="BRE95" s="78"/>
      <c r="BRF95" s="78"/>
      <c r="BRG95" s="78"/>
      <c r="BRH95" s="78"/>
      <c r="BRI95" s="78"/>
      <c r="BRJ95" s="78"/>
      <c r="BRK95" s="78"/>
      <c r="BRL95" s="78"/>
      <c r="BRM95" s="78"/>
      <c r="BRN95" s="78"/>
      <c r="BRO95" s="78"/>
      <c r="BRP95" s="78"/>
      <c r="BRQ95" s="78"/>
      <c r="BRR95" s="78"/>
      <c r="BRS95" s="78"/>
      <c r="BRT95" s="78"/>
      <c r="BRU95" s="78"/>
      <c r="BRV95" s="78"/>
      <c r="BRW95" s="78"/>
      <c r="BRX95" s="78"/>
      <c r="BRY95" s="78"/>
      <c r="BRZ95" s="78"/>
      <c r="BSA95" s="78"/>
      <c r="BSB95" s="78"/>
      <c r="BSC95" s="78"/>
      <c r="BSD95" s="78"/>
      <c r="BSE95" s="78"/>
      <c r="BSF95" s="78"/>
      <c r="BSG95" s="78"/>
      <c r="BSH95" s="78"/>
      <c r="BSI95" s="78"/>
      <c r="BSJ95" s="78"/>
      <c r="BSK95" s="78"/>
      <c r="BSL95" s="78"/>
      <c r="BSM95" s="78"/>
      <c r="BSN95" s="78"/>
      <c r="BSO95" s="78"/>
      <c r="BSP95" s="78"/>
      <c r="BSQ95" s="78"/>
      <c r="BSR95" s="78"/>
      <c r="BSS95" s="78"/>
      <c r="BST95" s="78"/>
      <c r="BSU95" s="78"/>
      <c r="BSV95" s="78"/>
      <c r="BSW95" s="78"/>
      <c r="BSX95" s="78"/>
      <c r="BSY95" s="78"/>
      <c r="BSZ95" s="78"/>
      <c r="BTA95" s="78"/>
      <c r="BTB95" s="78"/>
      <c r="BTC95" s="78"/>
      <c r="BTD95" s="78"/>
      <c r="BTE95" s="78"/>
      <c r="BTF95" s="78"/>
      <c r="BTG95" s="78"/>
      <c r="BTH95" s="78"/>
      <c r="BTI95" s="78"/>
      <c r="BTJ95" s="78"/>
      <c r="BTK95" s="78"/>
      <c r="BTL95" s="78"/>
      <c r="BTM95" s="78"/>
      <c r="BTN95" s="78"/>
      <c r="BTO95" s="78"/>
      <c r="BTP95" s="78"/>
      <c r="BTQ95" s="78"/>
      <c r="BTR95" s="78"/>
      <c r="BTS95" s="78"/>
      <c r="BTT95" s="78"/>
      <c r="BTU95" s="78"/>
      <c r="BTV95" s="78"/>
      <c r="BTW95" s="78"/>
      <c r="BTX95" s="78"/>
      <c r="BTY95" s="78"/>
      <c r="BTZ95" s="78"/>
      <c r="BUA95" s="78"/>
      <c r="BUB95" s="78"/>
      <c r="BUC95" s="78"/>
      <c r="BUD95" s="78"/>
      <c r="BUE95" s="78"/>
      <c r="BUF95" s="78"/>
      <c r="BUG95" s="78"/>
      <c r="BUH95" s="78"/>
      <c r="BUI95" s="78"/>
      <c r="BUJ95" s="78"/>
      <c r="BUK95" s="78"/>
      <c r="BUL95" s="78"/>
      <c r="BUM95" s="78"/>
      <c r="BUN95" s="78"/>
      <c r="BUO95" s="78"/>
      <c r="BUP95" s="78"/>
      <c r="BUQ95" s="78"/>
      <c r="BUR95" s="78"/>
      <c r="BUS95" s="78"/>
      <c r="BUT95" s="78"/>
      <c r="BUU95" s="78"/>
      <c r="BUV95" s="78"/>
      <c r="BUW95" s="78"/>
      <c r="BUX95" s="78"/>
      <c r="BUY95" s="78"/>
      <c r="BUZ95" s="78"/>
      <c r="BVA95" s="78"/>
      <c r="BVB95" s="78"/>
      <c r="BVC95" s="78"/>
      <c r="BVD95" s="78"/>
      <c r="BVE95" s="78"/>
      <c r="BVF95" s="78"/>
      <c r="BVG95" s="78"/>
      <c r="BVH95" s="78"/>
      <c r="BVI95" s="78"/>
      <c r="BVJ95" s="78"/>
      <c r="BVK95" s="78"/>
      <c r="BVL95" s="78"/>
      <c r="BVM95" s="78"/>
      <c r="BVN95" s="78"/>
      <c r="BVO95" s="78"/>
      <c r="BVP95" s="78"/>
      <c r="BVQ95" s="78"/>
      <c r="BVR95" s="78"/>
      <c r="BVS95" s="78"/>
      <c r="BVT95" s="78"/>
      <c r="BVU95" s="78"/>
      <c r="BVV95" s="78"/>
      <c r="BVW95" s="78"/>
      <c r="BVX95" s="78"/>
      <c r="BVY95" s="78"/>
      <c r="BVZ95" s="78"/>
      <c r="BWA95" s="78"/>
      <c r="BWB95" s="78"/>
      <c r="BWC95" s="78"/>
      <c r="BWD95" s="78"/>
      <c r="BWE95" s="78"/>
      <c r="BWF95" s="78"/>
      <c r="BWG95" s="78"/>
      <c r="BWH95" s="78"/>
      <c r="BWI95" s="78"/>
      <c r="BWJ95" s="78"/>
      <c r="BWK95" s="78"/>
      <c r="BWL95" s="78"/>
      <c r="BWM95" s="78"/>
      <c r="BWN95" s="78"/>
      <c r="BWO95" s="78"/>
      <c r="BWP95" s="78"/>
      <c r="BWQ95" s="78"/>
      <c r="BWR95" s="78"/>
      <c r="BWS95" s="78"/>
      <c r="BWT95" s="78"/>
      <c r="BWU95" s="78"/>
      <c r="BWV95" s="78"/>
      <c r="BWW95" s="78"/>
      <c r="BWX95" s="78"/>
      <c r="BWY95" s="78"/>
      <c r="BWZ95" s="78"/>
      <c r="BXA95" s="78"/>
      <c r="BXB95" s="78"/>
      <c r="BXC95" s="78"/>
      <c r="BXD95" s="78"/>
      <c r="BXE95" s="78"/>
      <c r="BXF95" s="78"/>
      <c r="BXG95" s="78"/>
      <c r="BXH95" s="78"/>
      <c r="BXI95" s="78"/>
      <c r="BXJ95" s="78"/>
      <c r="BXK95" s="78"/>
      <c r="BXL95" s="78"/>
      <c r="BXM95" s="78"/>
      <c r="BXN95" s="78"/>
      <c r="BXO95" s="78"/>
      <c r="BXP95" s="78"/>
      <c r="BXQ95" s="78"/>
      <c r="BXR95" s="78"/>
      <c r="BXS95" s="78"/>
      <c r="BXT95" s="78"/>
      <c r="BXU95" s="78"/>
      <c r="BXV95" s="78"/>
      <c r="BXW95" s="78"/>
      <c r="BXX95" s="78"/>
      <c r="BXY95" s="78"/>
      <c r="BXZ95" s="78"/>
      <c r="BYA95" s="78"/>
      <c r="BYB95" s="78"/>
      <c r="BYC95" s="78"/>
      <c r="BYD95" s="78"/>
      <c r="BYE95" s="78"/>
      <c r="BYF95" s="78"/>
      <c r="BYG95" s="78"/>
      <c r="BYH95" s="78"/>
      <c r="BYI95" s="78"/>
      <c r="BYJ95" s="78"/>
      <c r="BYK95" s="78"/>
      <c r="BYL95" s="78"/>
      <c r="BYM95" s="78"/>
      <c r="BYN95" s="78"/>
      <c r="BYO95" s="78"/>
      <c r="BYP95" s="78"/>
      <c r="BYQ95" s="78"/>
      <c r="BYR95" s="78"/>
      <c r="BYS95" s="78"/>
      <c r="BYT95" s="78"/>
      <c r="BYU95" s="78"/>
      <c r="BYV95" s="78"/>
      <c r="BYW95" s="78"/>
      <c r="BYX95" s="78"/>
      <c r="BYY95" s="78"/>
      <c r="BYZ95" s="78"/>
      <c r="BZA95" s="78"/>
      <c r="BZB95" s="78"/>
      <c r="BZC95" s="78"/>
      <c r="BZD95" s="78"/>
      <c r="BZE95" s="78"/>
      <c r="BZF95" s="78"/>
      <c r="BZG95" s="78"/>
      <c r="BZH95" s="78"/>
      <c r="BZI95" s="78"/>
      <c r="BZJ95" s="78"/>
      <c r="BZK95" s="78"/>
      <c r="BZL95" s="78"/>
      <c r="BZM95" s="78"/>
      <c r="BZN95" s="78"/>
      <c r="BZO95" s="78"/>
      <c r="BZP95" s="78"/>
      <c r="BZQ95" s="78"/>
      <c r="BZR95" s="78"/>
      <c r="BZS95" s="78"/>
      <c r="BZT95" s="78"/>
      <c r="BZU95" s="78"/>
      <c r="BZV95" s="78"/>
      <c r="BZW95" s="78"/>
      <c r="BZX95" s="78"/>
      <c r="BZY95" s="78"/>
      <c r="BZZ95" s="78"/>
      <c r="CAA95" s="78"/>
      <c r="CAB95" s="78"/>
      <c r="CAC95" s="78"/>
      <c r="CAD95" s="78"/>
      <c r="CAE95" s="78"/>
      <c r="CAF95" s="78"/>
      <c r="CAG95" s="78"/>
      <c r="CAH95" s="78"/>
      <c r="CAI95" s="78"/>
      <c r="CAJ95" s="78"/>
      <c r="CAK95" s="78"/>
      <c r="CAL95" s="78"/>
      <c r="CAM95" s="78"/>
      <c r="CAN95" s="78"/>
      <c r="CAO95" s="78"/>
      <c r="CAP95" s="78"/>
      <c r="CAQ95" s="78"/>
      <c r="CAR95" s="78"/>
      <c r="CAS95" s="78"/>
      <c r="CAT95" s="78"/>
      <c r="CAU95" s="78"/>
      <c r="CAV95" s="78"/>
      <c r="CAW95" s="78"/>
      <c r="CAX95" s="78"/>
      <c r="CAY95" s="78"/>
      <c r="CAZ95" s="78"/>
      <c r="CBA95" s="78"/>
      <c r="CBB95" s="78"/>
      <c r="CBC95" s="78"/>
      <c r="CBD95" s="78"/>
      <c r="CBE95" s="78"/>
      <c r="CBF95" s="78"/>
      <c r="CBG95" s="78"/>
      <c r="CBH95" s="78"/>
      <c r="CBI95" s="78"/>
      <c r="CBJ95" s="78"/>
      <c r="CBK95" s="78"/>
      <c r="CBL95" s="78"/>
      <c r="CBM95" s="78"/>
      <c r="CBN95" s="78"/>
      <c r="CBO95" s="78"/>
      <c r="CBP95" s="78"/>
      <c r="CBQ95" s="78"/>
      <c r="CBR95" s="78"/>
      <c r="CBS95" s="78"/>
      <c r="CBT95" s="78"/>
      <c r="CBU95" s="78"/>
      <c r="CBV95" s="78"/>
      <c r="CBW95" s="78"/>
      <c r="CBX95" s="78"/>
      <c r="CBY95" s="78"/>
      <c r="CBZ95" s="78"/>
      <c r="CCA95" s="78"/>
      <c r="CCB95" s="78"/>
      <c r="CCC95" s="78"/>
      <c r="CCD95" s="78"/>
      <c r="CCE95" s="78"/>
      <c r="CCF95" s="78"/>
      <c r="CCG95" s="78"/>
      <c r="CCH95" s="78"/>
      <c r="CCI95" s="78"/>
      <c r="CCJ95" s="78"/>
      <c r="CCK95" s="78"/>
      <c r="CCL95" s="78"/>
      <c r="CCM95" s="78"/>
      <c r="CCN95" s="78"/>
      <c r="CCO95" s="78"/>
      <c r="CCP95" s="78"/>
      <c r="CCQ95" s="78"/>
      <c r="CCR95" s="78"/>
      <c r="CCS95" s="78"/>
      <c r="CCT95" s="78"/>
      <c r="CCU95" s="78"/>
      <c r="CCV95" s="78"/>
      <c r="CCW95" s="78"/>
      <c r="CCX95" s="78"/>
      <c r="CCY95" s="78"/>
      <c r="CCZ95" s="78"/>
      <c r="CDA95" s="78"/>
      <c r="CDB95" s="78"/>
      <c r="CDC95" s="78"/>
      <c r="CDD95" s="78"/>
      <c r="CDE95" s="78"/>
      <c r="CDF95" s="78"/>
      <c r="CDG95" s="78"/>
      <c r="CDH95" s="78"/>
      <c r="CDI95" s="78"/>
      <c r="CDJ95" s="78"/>
      <c r="CDK95" s="78"/>
      <c r="CDL95" s="78"/>
      <c r="CDM95" s="78"/>
      <c r="CDN95" s="78"/>
      <c r="CDO95" s="78"/>
      <c r="CDP95" s="78"/>
      <c r="CDQ95" s="78"/>
      <c r="CDR95" s="78"/>
      <c r="CDS95" s="78"/>
      <c r="CDT95" s="78"/>
      <c r="CDU95" s="78"/>
      <c r="CDV95" s="78"/>
      <c r="CDW95" s="78"/>
      <c r="CDX95" s="78"/>
      <c r="CDY95" s="78"/>
      <c r="CDZ95" s="78"/>
      <c r="CEA95" s="78"/>
      <c r="CEB95" s="78"/>
      <c r="CEC95" s="78"/>
      <c r="CED95" s="78"/>
      <c r="CEE95" s="78"/>
      <c r="CEF95" s="78"/>
      <c r="CEG95" s="78"/>
      <c r="CEH95" s="78"/>
      <c r="CEI95" s="78"/>
      <c r="CEJ95" s="78"/>
      <c r="CEK95" s="78"/>
      <c r="CEL95" s="78"/>
      <c r="CEM95" s="78"/>
      <c r="CEN95" s="78"/>
      <c r="CEO95" s="78"/>
      <c r="CEP95" s="78"/>
      <c r="CEQ95" s="78"/>
      <c r="CER95" s="78"/>
      <c r="CES95" s="78"/>
      <c r="CET95" s="78"/>
      <c r="CEU95" s="78"/>
      <c r="CEV95" s="78"/>
      <c r="CEW95" s="78"/>
      <c r="CEX95" s="78"/>
      <c r="CEY95" s="78"/>
      <c r="CEZ95" s="78"/>
      <c r="CFA95" s="78"/>
      <c r="CFB95" s="78"/>
      <c r="CFC95" s="78"/>
      <c r="CFD95" s="78"/>
      <c r="CFE95" s="78"/>
      <c r="CFF95" s="78"/>
      <c r="CFG95" s="78"/>
      <c r="CFH95" s="78"/>
      <c r="CFI95" s="78"/>
      <c r="CFJ95" s="78"/>
      <c r="CFK95" s="78"/>
      <c r="CFL95" s="78"/>
      <c r="CFM95" s="78"/>
      <c r="CFN95" s="78"/>
      <c r="CFO95" s="78"/>
      <c r="CFP95" s="78"/>
      <c r="CFQ95" s="78"/>
      <c r="CFR95" s="78"/>
      <c r="CFS95" s="78"/>
      <c r="CFT95" s="78"/>
      <c r="CFU95" s="78"/>
      <c r="CFV95" s="78"/>
      <c r="CFW95" s="78"/>
      <c r="CFX95" s="78"/>
      <c r="CFY95" s="78"/>
      <c r="CFZ95" s="78"/>
      <c r="CGA95" s="78"/>
      <c r="CGB95" s="78"/>
      <c r="CGC95" s="78"/>
      <c r="CGD95" s="78"/>
      <c r="CGE95" s="78"/>
      <c r="CGF95" s="78"/>
      <c r="CGG95" s="78"/>
      <c r="CGH95" s="78"/>
      <c r="CGI95" s="78"/>
      <c r="CGJ95" s="78"/>
      <c r="CGK95" s="78"/>
      <c r="CGL95" s="78"/>
      <c r="CGM95" s="78"/>
      <c r="CGN95" s="78"/>
      <c r="CGO95" s="78"/>
      <c r="CGP95" s="78"/>
      <c r="CGQ95" s="78"/>
      <c r="CGR95" s="78"/>
      <c r="CGS95" s="78"/>
      <c r="CGT95" s="78"/>
      <c r="CGU95" s="78"/>
      <c r="CGV95" s="78"/>
      <c r="CGW95" s="78"/>
      <c r="CGX95" s="78"/>
      <c r="CGY95" s="78"/>
      <c r="CGZ95" s="78"/>
      <c r="CHA95" s="78"/>
      <c r="CHB95" s="78"/>
      <c r="CHC95" s="78"/>
      <c r="CHD95" s="78"/>
      <c r="CHE95" s="78"/>
      <c r="CHF95" s="78"/>
      <c r="CHG95" s="78"/>
      <c r="CHH95" s="78"/>
      <c r="CHI95" s="78"/>
      <c r="CHJ95" s="78"/>
      <c r="CHK95" s="78"/>
      <c r="CHL95" s="78"/>
      <c r="CHM95" s="78"/>
      <c r="CHN95" s="78"/>
      <c r="CHO95" s="78"/>
      <c r="CHP95" s="78"/>
      <c r="CHQ95" s="78"/>
      <c r="CHR95" s="78"/>
      <c r="CHS95" s="78"/>
      <c r="CHT95" s="78"/>
      <c r="CHU95" s="78"/>
      <c r="CHV95" s="78"/>
      <c r="CHW95" s="78"/>
      <c r="CHX95" s="78"/>
      <c r="CHY95" s="78"/>
      <c r="CHZ95" s="78"/>
      <c r="CIA95" s="78"/>
      <c r="CIB95" s="78"/>
      <c r="CIC95" s="78"/>
      <c r="CID95" s="78"/>
      <c r="CIE95" s="78"/>
      <c r="CIF95" s="78"/>
      <c r="CIG95" s="78"/>
      <c r="CIH95" s="78"/>
      <c r="CII95" s="78"/>
      <c r="CIJ95" s="78"/>
      <c r="CIK95" s="78"/>
      <c r="CIL95" s="78"/>
      <c r="CIM95" s="78"/>
      <c r="CIN95" s="78"/>
      <c r="CIO95" s="78"/>
      <c r="CIP95" s="78"/>
      <c r="CIQ95" s="78"/>
      <c r="CIR95" s="78"/>
      <c r="CIS95" s="78"/>
      <c r="CIT95" s="78"/>
      <c r="CIU95" s="78"/>
      <c r="CIV95" s="78"/>
      <c r="CIW95" s="78"/>
      <c r="CIX95" s="78"/>
      <c r="CIY95" s="78"/>
      <c r="CIZ95" s="78"/>
      <c r="CJA95" s="78"/>
      <c r="CJB95" s="78"/>
      <c r="CJC95" s="78"/>
      <c r="CJD95" s="78"/>
      <c r="CJE95" s="78"/>
      <c r="CJF95" s="78"/>
      <c r="CJG95" s="78"/>
      <c r="CJH95" s="78"/>
      <c r="CJI95" s="78"/>
      <c r="CJJ95" s="78"/>
      <c r="CJK95" s="78"/>
      <c r="CJL95" s="78"/>
      <c r="CJM95" s="78"/>
      <c r="CJN95" s="78"/>
      <c r="CJO95" s="78"/>
      <c r="CJP95" s="78"/>
      <c r="CJQ95" s="78"/>
      <c r="CJR95" s="78"/>
      <c r="CJS95" s="78"/>
      <c r="CJT95" s="78"/>
      <c r="CJU95" s="78"/>
      <c r="CJV95" s="78"/>
      <c r="CJW95" s="78"/>
      <c r="CJX95" s="78"/>
      <c r="CJY95" s="78"/>
      <c r="CJZ95" s="78"/>
      <c r="CKA95" s="78"/>
      <c r="CKB95" s="78"/>
      <c r="CKC95" s="78"/>
      <c r="CKD95" s="78"/>
      <c r="CKE95" s="78"/>
      <c r="CKF95" s="78"/>
      <c r="CKG95" s="78"/>
      <c r="CKH95" s="78"/>
      <c r="CKI95" s="78"/>
      <c r="CKJ95" s="78"/>
      <c r="CKK95" s="78"/>
      <c r="CKL95" s="78"/>
      <c r="CKM95" s="78"/>
      <c r="CKN95" s="78"/>
      <c r="CKO95" s="78"/>
      <c r="CKP95" s="78"/>
      <c r="CKQ95" s="78"/>
      <c r="CKR95" s="78"/>
      <c r="CKS95" s="78"/>
      <c r="CKT95" s="78"/>
      <c r="CKU95" s="78"/>
      <c r="CKV95" s="78"/>
      <c r="CKW95" s="78"/>
      <c r="CKX95" s="78"/>
      <c r="CKY95" s="78"/>
      <c r="CKZ95" s="78"/>
      <c r="CLA95" s="78"/>
      <c r="CLB95" s="78"/>
      <c r="CLC95" s="78"/>
      <c r="CLD95" s="78"/>
      <c r="CLE95" s="78"/>
      <c r="CLF95" s="78"/>
      <c r="CLG95" s="78"/>
      <c r="CLH95" s="78"/>
      <c r="CLI95" s="78"/>
      <c r="CLJ95" s="78"/>
      <c r="CLK95" s="78"/>
      <c r="CLL95" s="78"/>
      <c r="CLM95" s="78"/>
      <c r="CLN95" s="78"/>
      <c r="CLO95" s="78"/>
      <c r="CLP95" s="78"/>
      <c r="CLQ95" s="78"/>
      <c r="CLR95" s="78"/>
      <c r="CLS95" s="78"/>
      <c r="CLT95" s="78"/>
      <c r="CLU95" s="78"/>
      <c r="CLV95" s="78"/>
      <c r="CLW95" s="78"/>
      <c r="CLX95" s="78"/>
      <c r="CLY95" s="78"/>
      <c r="CLZ95" s="78"/>
      <c r="CMA95" s="78"/>
      <c r="CMB95" s="78"/>
      <c r="CMC95" s="78"/>
      <c r="CMD95" s="78"/>
      <c r="CME95" s="78"/>
      <c r="CMF95" s="78"/>
      <c r="CMG95" s="78"/>
      <c r="CMH95" s="78"/>
      <c r="CMI95" s="78"/>
      <c r="CMJ95" s="78"/>
      <c r="CMK95" s="78"/>
      <c r="CML95" s="78"/>
      <c r="CMM95" s="78"/>
      <c r="CMN95" s="78"/>
      <c r="CMO95" s="78"/>
      <c r="CMP95" s="78"/>
      <c r="CMQ95" s="78"/>
      <c r="CMR95" s="78"/>
      <c r="CMS95" s="78"/>
      <c r="CMT95" s="78"/>
      <c r="CMU95" s="78"/>
      <c r="CMV95" s="78"/>
      <c r="CMW95" s="78"/>
      <c r="CMX95" s="78"/>
      <c r="CMY95" s="78"/>
      <c r="CMZ95" s="78"/>
      <c r="CNA95" s="78"/>
      <c r="CNB95" s="78"/>
      <c r="CNC95" s="78"/>
      <c r="CND95" s="78"/>
      <c r="CNE95" s="78"/>
      <c r="CNF95" s="78"/>
      <c r="CNG95" s="78"/>
      <c r="CNH95" s="78"/>
      <c r="CNI95" s="78"/>
      <c r="CNJ95" s="78"/>
      <c r="CNK95" s="78"/>
      <c r="CNL95" s="78"/>
      <c r="CNM95" s="78"/>
      <c r="CNN95" s="78"/>
      <c r="CNO95" s="78"/>
      <c r="CNP95" s="78"/>
      <c r="CNQ95" s="78"/>
      <c r="CNR95" s="78"/>
      <c r="CNS95" s="78"/>
      <c r="CNT95" s="78"/>
      <c r="CNU95" s="78"/>
      <c r="CNV95" s="78"/>
      <c r="CNW95" s="78"/>
      <c r="CNX95" s="78"/>
      <c r="CNY95" s="78"/>
      <c r="CNZ95" s="78"/>
      <c r="COA95" s="78"/>
      <c r="COB95" s="78"/>
      <c r="COC95" s="78"/>
      <c r="COD95" s="78"/>
      <c r="COE95" s="78"/>
      <c r="COF95" s="78"/>
      <c r="COG95" s="78"/>
      <c r="COH95" s="78"/>
      <c r="COI95" s="78"/>
      <c r="COJ95" s="78"/>
      <c r="COK95" s="78"/>
      <c r="COL95" s="78"/>
      <c r="COM95" s="78"/>
      <c r="CON95" s="78"/>
      <c r="COO95" s="78"/>
      <c r="COP95" s="78"/>
      <c r="COQ95" s="78"/>
      <c r="COR95" s="78"/>
      <c r="COS95" s="78"/>
      <c r="COT95" s="78"/>
      <c r="COU95" s="78"/>
      <c r="COV95" s="78"/>
      <c r="COW95" s="78"/>
      <c r="COX95" s="78"/>
      <c r="COY95" s="78"/>
      <c r="COZ95" s="78"/>
      <c r="CPA95" s="78"/>
      <c r="CPB95" s="78"/>
      <c r="CPC95" s="78"/>
      <c r="CPD95" s="78"/>
      <c r="CPE95" s="78"/>
      <c r="CPF95" s="78"/>
      <c r="CPG95" s="78"/>
      <c r="CPH95" s="78"/>
      <c r="CPI95" s="78"/>
      <c r="CPJ95" s="78"/>
      <c r="CPK95" s="78"/>
      <c r="CPL95" s="78"/>
      <c r="CPM95" s="78"/>
      <c r="CPN95" s="78"/>
      <c r="CPO95" s="78"/>
      <c r="CPP95" s="78"/>
      <c r="CPQ95" s="78"/>
      <c r="CPR95" s="78"/>
      <c r="CPS95" s="78"/>
      <c r="CPT95" s="78"/>
      <c r="CPU95" s="78"/>
      <c r="CPV95" s="78"/>
      <c r="CPW95" s="78"/>
      <c r="CPX95" s="78"/>
      <c r="CPY95" s="78"/>
      <c r="CPZ95" s="78"/>
      <c r="CQA95" s="78"/>
      <c r="CQB95" s="78"/>
      <c r="CQC95" s="78"/>
      <c r="CQD95" s="78"/>
      <c r="CQE95" s="78"/>
      <c r="CQF95" s="78"/>
      <c r="CQG95" s="78"/>
      <c r="CQH95" s="78"/>
      <c r="CQI95" s="78"/>
      <c r="CQJ95" s="78"/>
      <c r="CQK95" s="78"/>
      <c r="CQL95" s="78"/>
      <c r="CQM95" s="78"/>
      <c r="CQN95" s="78"/>
      <c r="CQO95" s="78"/>
      <c r="CQP95" s="78"/>
      <c r="CQQ95" s="78"/>
      <c r="CQR95" s="78"/>
      <c r="CQS95" s="78"/>
      <c r="CQT95" s="78"/>
      <c r="CQU95" s="78"/>
      <c r="CQV95" s="78"/>
      <c r="CQW95" s="78"/>
      <c r="CQX95" s="78"/>
      <c r="CQY95" s="78"/>
      <c r="CQZ95" s="78"/>
      <c r="CRA95" s="78"/>
      <c r="CRB95" s="78"/>
      <c r="CRC95" s="78"/>
      <c r="CRD95" s="78"/>
      <c r="CRE95" s="78"/>
      <c r="CRF95" s="78"/>
      <c r="CRG95" s="78"/>
      <c r="CRH95" s="78"/>
      <c r="CRI95" s="78"/>
      <c r="CRJ95" s="78"/>
      <c r="CRK95" s="78"/>
      <c r="CRL95" s="78"/>
      <c r="CRM95" s="78"/>
      <c r="CRN95" s="78"/>
      <c r="CRO95" s="78"/>
      <c r="CRP95" s="78"/>
      <c r="CRQ95" s="78"/>
      <c r="CRR95" s="78"/>
      <c r="CRS95" s="78"/>
      <c r="CRT95" s="78"/>
      <c r="CRU95" s="78"/>
      <c r="CRV95" s="78"/>
      <c r="CRW95" s="78"/>
      <c r="CRX95" s="78"/>
      <c r="CRY95" s="78"/>
      <c r="CRZ95" s="78"/>
      <c r="CSA95" s="78"/>
      <c r="CSB95" s="78"/>
      <c r="CSC95" s="78"/>
      <c r="CSD95" s="78"/>
      <c r="CSE95" s="78"/>
      <c r="CSF95" s="78"/>
      <c r="CSG95" s="78"/>
      <c r="CSH95" s="78"/>
      <c r="CSI95" s="78"/>
      <c r="CSJ95" s="78"/>
      <c r="CSK95" s="78"/>
      <c r="CSL95" s="78"/>
      <c r="CSM95" s="78"/>
      <c r="CSN95" s="78"/>
      <c r="CSO95" s="78"/>
      <c r="CSP95" s="78"/>
      <c r="CSQ95" s="78"/>
      <c r="CSR95" s="78"/>
      <c r="CSS95" s="78"/>
      <c r="CST95" s="78"/>
      <c r="CSU95" s="78"/>
      <c r="CSV95" s="78"/>
      <c r="CSW95" s="78"/>
      <c r="CSX95" s="78"/>
      <c r="CSY95" s="78"/>
      <c r="CSZ95" s="78"/>
      <c r="CTA95" s="78"/>
      <c r="CTB95" s="78"/>
      <c r="CTC95" s="78"/>
      <c r="CTD95" s="78"/>
      <c r="CTE95" s="78"/>
      <c r="CTF95" s="78"/>
      <c r="CTG95" s="78"/>
      <c r="CTH95" s="78"/>
      <c r="CTI95" s="78"/>
      <c r="CTJ95" s="78"/>
      <c r="CTK95" s="78"/>
      <c r="CTL95" s="78"/>
      <c r="CTM95" s="78"/>
      <c r="CTN95" s="78"/>
      <c r="CTO95" s="78"/>
      <c r="CTP95" s="78"/>
      <c r="CTQ95" s="78"/>
      <c r="CTR95" s="78"/>
      <c r="CTS95" s="78"/>
      <c r="CTT95" s="78"/>
      <c r="CTU95" s="78"/>
      <c r="CTV95" s="78"/>
      <c r="CTW95" s="78"/>
      <c r="CTX95" s="78"/>
      <c r="CTY95" s="78"/>
      <c r="CTZ95" s="78"/>
      <c r="CUA95" s="78"/>
      <c r="CUB95" s="78"/>
      <c r="CUC95" s="78"/>
      <c r="CUD95" s="78"/>
      <c r="CUE95" s="78"/>
      <c r="CUF95" s="78"/>
      <c r="CUG95" s="78"/>
      <c r="CUH95" s="78"/>
      <c r="CUI95" s="78"/>
      <c r="CUJ95" s="78"/>
      <c r="CUK95" s="78"/>
      <c r="CUL95" s="78"/>
      <c r="CUM95" s="78"/>
      <c r="CUN95" s="78"/>
      <c r="CUO95" s="78"/>
      <c r="CUP95" s="78"/>
      <c r="CUQ95" s="78"/>
      <c r="CUR95" s="78"/>
      <c r="CUS95" s="78"/>
      <c r="CUT95" s="78"/>
      <c r="CUU95" s="78"/>
      <c r="CUV95" s="78"/>
      <c r="CUW95" s="78"/>
      <c r="CUX95" s="78"/>
      <c r="CUY95" s="78"/>
      <c r="CUZ95" s="78"/>
      <c r="CVA95" s="78"/>
      <c r="CVB95" s="78"/>
      <c r="CVC95" s="78"/>
      <c r="CVD95" s="78"/>
      <c r="CVE95" s="78"/>
      <c r="CVF95" s="78"/>
      <c r="CVG95" s="78"/>
      <c r="CVH95" s="78"/>
      <c r="CVI95" s="78"/>
      <c r="CVJ95" s="78"/>
      <c r="CVK95" s="78"/>
      <c r="CVL95" s="78"/>
      <c r="CVM95" s="78"/>
      <c r="CVN95" s="78"/>
      <c r="CVO95" s="78"/>
      <c r="CVP95" s="78"/>
      <c r="CVQ95" s="78"/>
      <c r="CVR95" s="78"/>
      <c r="CVS95" s="78"/>
      <c r="CVT95" s="78"/>
      <c r="CVU95" s="78"/>
      <c r="CVV95" s="78"/>
      <c r="CVW95" s="78"/>
      <c r="CVX95" s="78"/>
      <c r="CVY95" s="78"/>
      <c r="CVZ95" s="78"/>
      <c r="CWA95" s="78"/>
      <c r="CWB95" s="78"/>
      <c r="CWC95" s="78"/>
      <c r="CWD95" s="78"/>
      <c r="CWE95" s="78"/>
      <c r="CWF95" s="78"/>
      <c r="CWG95" s="78"/>
      <c r="CWH95" s="78"/>
      <c r="CWI95" s="78"/>
      <c r="CWJ95" s="78"/>
      <c r="CWK95" s="78"/>
      <c r="CWL95" s="78"/>
      <c r="CWM95" s="78"/>
      <c r="CWN95" s="78"/>
      <c r="CWO95" s="78"/>
      <c r="CWP95" s="78"/>
      <c r="CWQ95" s="78"/>
      <c r="CWR95" s="78"/>
      <c r="CWS95" s="78"/>
      <c r="CWT95" s="78"/>
      <c r="CWU95" s="78"/>
      <c r="CWV95" s="78"/>
      <c r="CWW95" s="78"/>
      <c r="CWX95" s="78"/>
      <c r="CWY95" s="78"/>
      <c r="CWZ95" s="78"/>
      <c r="CXA95" s="78"/>
      <c r="CXB95" s="78"/>
      <c r="CXC95" s="78"/>
      <c r="CXD95" s="78"/>
      <c r="CXE95" s="78"/>
      <c r="CXF95" s="78"/>
      <c r="CXG95" s="78"/>
      <c r="CXH95" s="78"/>
      <c r="CXI95" s="78"/>
      <c r="CXJ95" s="78"/>
      <c r="CXK95" s="78"/>
      <c r="CXL95" s="78"/>
      <c r="CXM95" s="78"/>
      <c r="CXN95" s="78"/>
      <c r="CXO95" s="78"/>
      <c r="CXP95" s="78"/>
      <c r="CXQ95" s="78"/>
      <c r="CXR95" s="78"/>
      <c r="CXS95" s="78"/>
      <c r="CXT95" s="78"/>
      <c r="CXU95" s="78"/>
      <c r="CXV95" s="78"/>
      <c r="CXW95" s="78"/>
      <c r="CXX95" s="78"/>
      <c r="CXY95" s="78"/>
      <c r="CXZ95" s="78"/>
      <c r="CYA95" s="78"/>
      <c r="CYB95" s="78"/>
      <c r="CYC95" s="78"/>
      <c r="CYD95" s="78"/>
      <c r="CYE95" s="78"/>
      <c r="CYF95" s="78"/>
      <c r="CYG95" s="78"/>
      <c r="CYH95" s="78"/>
      <c r="CYI95" s="78"/>
      <c r="CYJ95" s="78"/>
      <c r="CYK95" s="78"/>
      <c r="CYL95" s="78"/>
      <c r="CYM95" s="78"/>
      <c r="CYN95" s="78"/>
      <c r="CYO95" s="78"/>
      <c r="CYP95" s="78"/>
      <c r="CYQ95" s="78"/>
      <c r="CYR95" s="78"/>
      <c r="CYS95" s="78"/>
      <c r="CYT95" s="78"/>
      <c r="CYU95" s="78"/>
      <c r="CYV95" s="78"/>
      <c r="CYW95" s="78"/>
      <c r="CYX95" s="78"/>
      <c r="CYY95" s="78"/>
      <c r="CYZ95" s="78"/>
      <c r="CZA95" s="78"/>
      <c r="CZB95" s="78"/>
      <c r="CZC95" s="78"/>
      <c r="CZD95" s="78"/>
      <c r="CZE95" s="78"/>
      <c r="CZF95" s="78"/>
      <c r="CZG95" s="78"/>
      <c r="CZH95" s="78"/>
      <c r="CZI95" s="78"/>
      <c r="CZJ95" s="78"/>
      <c r="CZK95" s="78"/>
      <c r="CZL95" s="78"/>
      <c r="CZM95" s="78"/>
      <c r="CZN95" s="78"/>
      <c r="CZO95" s="78"/>
      <c r="CZP95" s="78"/>
      <c r="CZQ95" s="78"/>
      <c r="CZR95" s="78"/>
      <c r="CZS95" s="78"/>
      <c r="CZT95" s="78"/>
      <c r="CZU95" s="78"/>
      <c r="CZV95" s="78"/>
      <c r="CZW95" s="78"/>
      <c r="CZX95" s="78"/>
      <c r="CZY95" s="78"/>
      <c r="CZZ95" s="78"/>
      <c r="DAA95" s="78"/>
      <c r="DAB95" s="78"/>
      <c r="DAC95" s="78"/>
      <c r="DAD95" s="78"/>
      <c r="DAE95" s="78"/>
      <c r="DAF95" s="78"/>
      <c r="DAG95" s="78"/>
      <c r="DAH95" s="78"/>
      <c r="DAI95" s="78"/>
      <c r="DAJ95" s="78"/>
      <c r="DAK95" s="78"/>
      <c r="DAL95" s="78"/>
      <c r="DAM95" s="78"/>
      <c r="DAN95" s="78"/>
      <c r="DAO95" s="78"/>
      <c r="DAP95" s="78"/>
      <c r="DAQ95" s="78"/>
      <c r="DAR95" s="78"/>
      <c r="DAS95" s="78"/>
      <c r="DAT95" s="78"/>
      <c r="DAU95" s="78"/>
      <c r="DAV95" s="78"/>
      <c r="DAW95" s="78"/>
      <c r="DAX95" s="78"/>
      <c r="DAY95" s="78"/>
      <c r="DAZ95" s="78"/>
      <c r="DBA95" s="78"/>
      <c r="DBB95" s="78"/>
      <c r="DBC95" s="78"/>
      <c r="DBD95" s="78"/>
      <c r="DBE95" s="78"/>
      <c r="DBF95" s="78"/>
      <c r="DBG95" s="78"/>
      <c r="DBH95" s="78"/>
      <c r="DBI95" s="78"/>
      <c r="DBJ95" s="78"/>
      <c r="DBK95" s="78"/>
      <c r="DBL95" s="78"/>
      <c r="DBM95" s="78"/>
      <c r="DBN95" s="78"/>
      <c r="DBO95" s="78"/>
      <c r="DBP95" s="78"/>
      <c r="DBQ95" s="78"/>
      <c r="DBR95" s="78"/>
      <c r="DBS95" s="78"/>
      <c r="DBT95" s="78"/>
      <c r="DBU95" s="78"/>
      <c r="DBV95" s="78"/>
      <c r="DBW95" s="78"/>
      <c r="DBX95" s="78"/>
      <c r="DBY95" s="78"/>
      <c r="DBZ95" s="78"/>
      <c r="DCA95" s="78"/>
      <c r="DCB95" s="78"/>
      <c r="DCC95" s="78"/>
      <c r="DCD95" s="78"/>
      <c r="DCE95" s="78"/>
      <c r="DCF95" s="78"/>
      <c r="DCG95" s="78"/>
      <c r="DCH95" s="78"/>
      <c r="DCI95" s="78"/>
      <c r="DCJ95" s="78"/>
      <c r="DCK95" s="78"/>
      <c r="DCL95" s="78"/>
      <c r="DCM95" s="78"/>
      <c r="DCN95" s="78"/>
      <c r="DCO95" s="78"/>
      <c r="DCP95" s="78"/>
      <c r="DCQ95" s="78"/>
      <c r="DCR95" s="78"/>
      <c r="DCS95" s="78"/>
      <c r="DCT95" s="78"/>
      <c r="DCU95" s="78"/>
      <c r="DCV95" s="78"/>
      <c r="DCW95" s="78"/>
      <c r="DCX95" s="78"/>
      <c r="DCY95" s="78"/>
      <c r="DCZ95" s="78"/>
      <c r="DDA95" s="78"/>
      <c r="DDB95" s="78"/>
      <c r="DDC95" s="78"/>
      <c r="DDD95" s="78"/>
      <c r="DDE95" s="78"/>
      <c r="DDF95" s="78"/>
      <c r="DDG95" s="78"/>
      <c r="DDH95" s="78"/>
      <c r="DDI95" s="78"/>
      <c r="DDJ95" s="78"/>
      <c r="DDK95" s="78"/>
      <c r="DDL95" s="78"/>
      <c r="DDM95" s="78"/>
      <c r="DDN95" s="78"/>
      <c r="DDO95" s="78"/>
      <c r="DDP95" s="78"/>
      <c r="DDQ95" s="78"/>
      <c r="DDR95" s="78"/>
      <c r="DDS95" s="78"/>
      <c r="DDT95" s="78"/>
      <c r="DDU95" s="78"/>
      <c r="DDV95" s="78"/>
      <c r="DDW95" s="78"/>
      <c r="DDX95" s="78"/>
      <c r="DDY95" s="78"/>
      <c r="DDZ95" s="78"/>
      <c r="DEA95" s="78"/>
      <c r="DEB95" s="78"/>
      <c r="DEC95" s="78"/>
      <c r="DED95" s="78"/>
      <c r="DEE95" s="78"/>
      <c r="DEF95" s="78"/>
      <c r="DEG95" s="78"/>
      <c r="DEH95" s="78"/>
      <c r="DEI95" s="78"/>
      <c r="DEJ95" s="78"/>
      <c r="DEK95" s="78"/>
      <c r="DEL95" s="78"/>
      <c r="DEM95" s="78"/>
      <c r="DEN95" s="78"/>
      <c r="DEO95" s="78"/>
      <c r="DEP95" s="78"/>
      <c r="DEQ95" s="78"/>
      <c r="DER95" s="78"/>
      <c r="DES95" s="78"/>
      <c r="DET95" s="78"/>
      <c r="DEU95" s="78"/>
      <c r="DEV95" s="78"/>
      <c r="DEW95" s="78"/>
      <c r="DEX95" s="78"/>
      <c r="DEY95" s="78"/>
      <c r="DEZ95" s="78"/>
      <c r="DFA95" s="78"/>
      <c r="DFB95" s="78"/>
      <c r="DFC95" s="78"/>
      <c r="DFD95" s="78"/>
      <c r="DFE95" s="78"/>
      <c r="DFF95" s="78"/>
      <c r="DFG95" s="78"/>
      <c r="DFH95" s="78"/>
      <c r="DFI95" s="78"/>
      <c r="DFJ95" s="78"/>
      <c r="DFK95" s="78"/>
      <c r="DFL95" s="78"/>
      <c r="DFM95" s="78"/>
      <c r="DFN95" s="78"/>
      <c r="DFO95" s="78"/>
      <c r="DFP95" s="78"/>
      <c r="DFQ95" s="78"/>
      <c r="DFR95" s="78"/>
      <c r="DFS95" s="78"/>
      <c r="DFT95" s="78"/>
      <c r="DFU95" s="78"/>
      <c r="DFV95" s="78"/>
      <c r="DFW95" s="78"/>
      <c r="DFX95" s="78"/>
      <c r="DFY95" s="78"/>
      <c r="DFZ95" s="78"/>
      <c r="DGA95" s="78"/>
      <c r="DGB95" s="78"/>
      <c r="DGC95" s="78"/>
      <c r="DGD95" s="78"/>
      <c r="DGE95" s="78"/>
      <c r="DGF95" s="78"/>
      <c r="DGG95" s="78"/>
      <c r="DGH95" s="78"/>
      <c r="DGI95" s="78"/>
      <c r="DGJ95" s="78"/>
      <c r="DGK95" s="78"/>
      <c r="DGL95" s="78"/>
      <c r="DGM95" s="78"/>
      <c r="DGN95" s="78"/>
      <c r="DGO95" s="78"/>
      <c r="DGP95" s="78"/>
      <c r="DGQ95" s="78"/>
      <c r="DGR95" s="78"/>
      <c r="DGS95" s="78"/>
      <c r="DGT95" s="78"/>
      <c r="DGU95" s="78"/>
      <c r="DGV95" s="78"/>
      <c r="DGW95" s="78"/>
      <c r="DGX95" s="78"/>
      <c r="DGY95" s="78"/>
      <c r="DGZ95" s="78"/>
      <c r="DHA95" s="78"/>
      <c r="DHB95" s="78"/>
      <c r="DHC95" s="78"/>
      <c r="DHD95" s="78"/>
      <c r="DHE95" s="78"/>
      <c r="DHF95" s="78"/>
      <c r="DHG95" s="78"/>
      <c r="DHH95" s="78"/>
      <c r="DHI95" s="78"/>
      <c r="DHJ95" s="78"/>
      <c r="DHK95" s="78"/>
      <c r="DHL95" s="78"/>
      <c r="DHM95" s="78"/>
      <c r="DHN95" s="78"/>
      <c r="DHO95" s="78"/>
      <c r="DHP95" s="78"/>
      <c r="DHQ95" s="78"/>
      <c r="DHR95" s="78"/>
      <c r="DHS95" s="78"/>
      <c r="DHT95" s="78"/>
      <c r="DHU95" s="78"/>
      <c r="DHV95" s="78"/>
      <c r="DHW95" s="78"/>
      <c r="DHX95" s="78"/>
      <c r="DHY95" s="78"/>
      <c r="DHZ95" s="78"/>
      <c r="DIA95" s="78"/>
      <c r="DIB95" s="78"/>
      <c r="DIC95" s="78"/>
      <c r="DID95" s="78"/>
      <c r="DIE95" s="78"/>
      <c r="DIF95" s="78"/>
      <c r="DIG95" s="78"/>
      <c r="DIH95" s="78"/>
      <c r="DII95" s="78"/>
      <c r="DIJ95" s="78"/>
      <c r="DIK95" s="78"/>
      <c r="DIL95" s="78"/>
      <c r="DIM95" s="78"/>
      <c r="DIN95" s="78"/>
      <c r="DIO95" s="78"/>
      <c r="DIP95" s="78"/>
      <c r="DIQ95" s="78"/>
      <c r="DIR95" s="78"/>
      <c r="DIS95" s="78"/>
      <c r="DIT95" s="78"/>
      <c r="DIU95" s="78"/>
      <c r="DIV95" s="78"/>
      <c r="DIW95" s="78"/>
      <c r="DIX95" s="78"/>
      <c r="DIY95" s="78"/>
      <c r="DIZ95" s="78"/>
      <c r="DJA95" s="78"/>
      <c r="DJB95" s="78"/>
      <c r="DJC95" s="78"/>
      <c r="DJD95" s="78"/>
      <c r="DJE95" s="78"/>
      <c r="DJF95" s="78"/>
      <c r="DJG95" s="78"/>
      <c r="DJH95" s="78"/>
      <c r="DJI95" s="78"/>
      <c r="DJJ95" s="78"/>
      <c r="DJK95" s="78"/>
      <c r="DJL95" s="78"/>
      <c r="DJM95" s="78"/>
      <c r="DJN95" s="78"/>
      <c r="DJO95" s="78"/>
      <c r="DJP95" s="78"/>
      <c r="DJQ95" s="78"/>
      <c r="DJR95" s="78"/>
      <c r="DJS95" s="78"/>
      <c r="DJT95" s="78"/>
      <c r="DJU95" s="78"/>
      <c r="DJV95" s="78"/>
      <c r="DJW95" s="78"/>
      <c r="DJX95" s="78"/>
      <c r="DJY95" s="78"/>
      <c r="DJZ95" s="78"/>
      <c r="DKA95" s="78"/>
      <c r="DKB95" s="78"/>
      <c r="DKC95" s="78"/>
      <c r="DKD95" s="78"/>
      <c r="DKE95" s="78"/>
      <c r="DKF95" s="78"/>
      <c r="DKG95" s="78"/>
      <c r="DKH95" s="78"/>
      <c r="DKI95" s="78"/>
      <c r="DKJ95" s="78"/>
      <c r="DKK95" s="78"/>
      <c r="DKL95" s="78"/>
      <c r="DKM95" s="78"/>
      <c r="DKN95" s="78"/>
      <c r="DKO95" s="78"/>
      <c r="DKP95" s="78"/>
      <c r="DKQ95" s="78"/>
      <c r="DKR95" s="78"/>
      <c r="DKS95" s="78"/>
      <c r="DKT95" s="78"/>
      <c r="DKU95" s="78"/>
      <c r="DKV95" s="78"/>
      <c r="DKW95" s="78"/>
      <c r="DKX95" s="78"/>
      <c r="DKY95" s="78"/>
      <c r="DKZ95" s="78"/>
      <c r="DLA95" s="78"/>
      <c r="DLB95" s="78"/>
      <c r="DLC95" s="78"/>
      <c r="DLD95" s="78"/>
      <c r="DLE95" s="78"/>
      <c r="DLF95" s="78"/>
      <c r="DLG95" s="78"/>
      <c r="DLH95" s="78"/>
      <c r="DLI95" s="78"/>
      <c r="DLJ95" s="78"/>
      <c r="DLK95" s="78"/>
      <c r="DLL95" s="78"/>
      <c r="DLM95" s="78"/>
      <c r="DLN95" s="78"/>
      <c r="DLO95" s="78"/>
      <c r="DLP95" s="78"/>
      <c r="DLQ95" s="78"/>
      <c r="DLR95" s="78"/>
      <c r="DLS95" s="78"/>
      <c r="DLT95" s="78"/>
      <c r="DLU95" s="78"/>
      <c r="DLV95" s="78"/>
      <c r="DLW95" s="78"/>
      <c r="DLX95" s="78"/>
      <c r="DLY95" s="78"/>
      <c r="DLZ95" s="78"/>
      <c r="DMA95" s="78"/>
      <c r="DMB95" s="78"/>
      <c r="DMC95" s="78"/>
      <c r="DMD95" s="78"/>
      <c r="DME95" s="78"/>
      <c r="DMF95" s="78"/>
      <c r="DMG95" s="78"/>
      <c r="DMH95" s="78"/>
      <c r="DMI95" s="78"/>
      <c r="DMJ95" s="78"/>
      <c r="DMK95" s="78"/>
      <c r="DML95" s="78"/>
      <c r="DMM95" s="78"/>
      <c r="DMN95" s="78"/>
      <c r="DMO95" s="78"/>
      <c r="DMP95" s="78"/>
      <c r="DMQ95" s="78"/>
      <c r="DMR95" s="78"/>
      <c r="DMS95" s="78"/>
      <c r="DMT95" s="78"/>
      <c r="DMU95" s="78"/>
      <c r="DMV95" s="78"/>
      <c r="DMW95" s="78"/>
      <c r="DMX95" s="78"/>
      <c r="DMY95" s="78"/>
      <c r="DMZ95" s="78"/>
      <c r="DNA95" s="78"/>
      <c r="DNB95" s="78"/>
      <c r="DNC95" s="78"/>
      <c r="DND95" s="78"/>
      <c r="DNE95" s="78"/>
      <c r="DNF95" s="78"/>
      <c r="DNG95" s="78"/>
      <c r="DNH95" s="78"/>
      <c r="DNI95" s="78"/>
      <c r="DNJ95" s="78"/>
      <c r="DNK95" s="78"/>
      <c r="DNL95" s="78"/>
      <c r="DNM95" s="78"/>
      <c r="DNN95" s="78"/>
      <c r="DNO95" s="78"/>
      <c r="DNP95" s="78"/>
      <c r="DNQ95" s="78"/>
      <c r="DNR95" s="78"/>
      <c r="DNS95" s="78"/>
      <c r="DNT95" s="78"/>
      <c r="DNU95" s="78"/>
      <c r="DNV95" s="78"/>
      <c r="DNW95" s="78"/>
      <c r="DNX95" s="78"/>
      <c r="DNY95" s="78"/>
      <c r="DNZ95" s="78"/>
      <c r="DOA95" s="78"/>
      <c r="DOB95" s="78"/>
      <c r="DOC95" s="78"/>
      <c r="DOD95" s="78"/>
      <c r="DOE95" s="78"/>
      <c r="DOF95" s="78"/>
      <c r="DOG95" s="78"/>
      <c r="DOH95" s="78"/>
      <c r="DOI95" s="78"/>
      <c r="DOJ95" s="78"/>
      <c r="DOK95" s="78"/>
      <c r="DOL95" s="78"/>
      <c r="DOM95" s="78"/>
      <c r="DON95" s="78"/>
      <c r="DOO95" s="78"/>
      <c r="DOP95" s="78"/>
      <c r="DOQ95" s="78"/>
      <c r="DOR95" s="78"/>
      <c r="DOS95" s="78"/>
      <c r="DOT95" s="78"/>
      <c r="DOU95" s="78"/>
      <c r="DOV95" s="78"/>
      <c r="DOW95" s="78"/>
      <c r="DOX95" s="78"/>
      <c r="DOY95" s="78"/>
      <c r="DOZ95" s="78"/>
      <c r="DPA95" s="78"/>
      <c r="DPB95" s="78"/>
      <c r="DPC95" s="78"/>
      <c r="DPD95" s="78"/>
      <c r="DPE95" s="78"/>
      <c r="DPF95" s="78"/>
      <c r="DPG95" s="78"/>
      <c r="DPH95" s="78"/>
      <c r="DPI95" s="78"/>
      <c r="DPJ95" s="78"/>
      <c r="DPK95" s="78"/>
      <c r="DPL95" s="78"/>
      <c r="DPM95" s="78"/>
      <c r="DPN95" s="78"/>
      <c r="DPO95" s="78"/>
      <c r="DPP95" s="78"/>
      <c r="DPQ95" s="78"/>
      <c r="DPR95" s="78"/>
      <c r="DPS95" s="78"/>
      <c r="DPT95" s="78"/>
      <c r="DPU95" s="78"/>
      <c r="DPV95" s="78"/>
      <c r="DPW95" s="78"/>
      <c r="DPX95" s="78"/>
      <c r="DPY95" s="78"/>
      <c r="DPZ95" s="78"/>
      <c r="DQA95" s="78"/>
      <c r="DQB95" s="78"/>
      <c r="DQC95" s="78"/>
      <c r="DQD95" s="78"/>
      <c r="DQE95" s="78"/>
      <c r="DQF95" s="78"/>
      <c r="DQG95" s="78"/>
      <c r="DQH95" s="78"/>
      <c r="DQI95" s="78"/>
      <c r="DQJ95" s="78"/>
      <c r="DQK95" s="78"/>
      <c r="DQL95" s="78"/>
      <c r="DQM95" s="78"/>
      <c r="DQN95" s="78"/>
      <c r="DQO95" s="78"/>
      <c r="DQP95" s="78"/>
      <c r="DQQ95" s="78"/>
      <c r="DQR95" s="78"/>
      <c r="DQS95" s="78"/>
      <c r="DQT95" s="78"/>
      <c r="DQU95" s="78"/>
      <c r="DQV95" s="78"/>
      <c r="DQW95" s="78"/>
      <c r="DQX95" s="78"/>
      <c r="DQY95" s="78"/>
      <c r="DQZ95" s="78"/>
      <c r="DRA95" s="78"/>
      <c r="DRB95" s="78"/>
      <c r="DRC95" s="78"/>
      <c r="DRD95" s="78"/>
      <c r="DRE95" s="78"/>
      <c r="DRF95" s="78"/>
      <c r="DRG95" s="78"/>
      <c r="DRH95" s="78"/>
      <c r="DRI95" s="78"/>
      <c r="DRJ95" s="78"/>
      <c r="DRK95" s="78"/>
      <c r="DRL95" s="78"/>
      <c r="DRM95" s="78"/>
      <c r="DRN95" s="78"/>
      <c r="DRO95" s="78"/>
      <c r="DRP95" s="78"/>
      <c r="DRQ95" s="78"/>
      <c r="DRR95" s="78"/>
      <c r="DRS95" s="78"/>
      <c r="DRT95" s="78"/>
      <c r="DRU95" s="78"/>
      <c r="DRV95" s="78"/>
      <c r="DRW95" s="78"/>
      <c r="DRX95" s="78"/>
      <c r="DRY95" s="78"/>
      <c r="DRZ95" s="78"/>
      <c r="DSA95" s="78"/>
      <c r="DSB95" s="78"/>
      <c r="DSC95" s="78"/>
      <c r="DSD95" s="78"/>
      <c r="DSE95" s="78"/>
      <c r="DSF95" s="78"/>
      <c r="DSG95" s="78"/>
      <c r="DSH95" s="78"/>
      <c r="DSI95" s="78"/>
      <c r="DSJ95" s="78"/>
      <c r="DSK95" s="78"/>
      <c r="DSL95" s="78"/>
      <c r="DSM95" s="78"/>
      <c r="DSN95" s="78"/>
      <c r="DSO95" s="78"/>
      <c r="DSP95" s="78"/>
      <c r="DSQ95" s="78"/>
      <c r="DSR95" s="78"/>
      <c r="DSS95" s="78"/>
      <c r="DST95" s="78"/>
      <c r="DSU95" s="78"/>
      <c r="DSV95" s="78"/>
      <c r="DSW95" s="78"/>
      <c r="DSX95" s="78"/>
      <c r="DSY95" s="78"/>
      <c r="DSZ95" s="78"/>
      <c r="DTA95" s="78"/>
      <c r="DTB95" s="78"/>
      <c r="DTC95" s="78"/>
      <c r="DTD95" s="78"/>
      <c r="DTE95" s="78"/>
      <c r="DTF95" s="78"/>
      <c r="DTG95" s="78"/>
      <c r="DTH95" s="78"/>
      <c r="DTI95" s="78"/>
      <c r="DTJ95" s="78"/>
      <c r="DTK95" s="78"/>
      <c r="DTL95" s="78"/>
      <c r="DTM95" s="78"/>
      <c r="DTN95" s="78"/>
      <c r="DTO95" s="78"/>
      <c r="DTP95" s="78"/>
      <c r="DTQ95" s="78"/>
      <c r="DTR95" s="78"/>
      <c r="DTS95" s="78"/>
      <c r="DTT95" s="78"/>
      <c r="DTU95" s="78"/>
      <c r="DTV95" s="78"/>
      <c r="DTW95" s="78"/>
      <c r="DTX95" s="78"/>
      <c r="DTY95" s="78"/>
      <c r="DTZ95" s="78"/>
      <c r="DUA95" s="78"/>
      <c r="DUB95" s="78"/>
      <c r="DUC95" s="78"/>
      <c r="DUD95" s="78"/>
      <c r="DUE95" s="78"/>
      <c r="DUF95" s="78"/>
      <c r="DUG95" s="78"/>
      <c r="DUH95" s="78"/>
      <c r="DUI95" s="78"/>
      <c r="DUJ95" s="78"/>
      <c r="DUK95" s="78"/>
      <c r="DUL95" s="78"/>
      <c r="DUM95" s="78"/>
      <c r="DUN95" s="78"/>
      <c r="DUO95" s="78"/>
      <c r="DUP95" s="78"/>
      <c r="DUQ95" s="78"/>
      <c r="DUR95" s="78"/>
      <c r="DUS95" s="78"/>
      <c r="DUT95" s="78"/>
      <c r="DUU95" s="78"/>
      <c r="DUV95" s="78"/>
      <c r="DUW95" s="78"/>
      <c r="DUX95" s="78"/>
      <c r="DUY95" s="78"/>
      <c r="DUZ95" s="78"/>
      <c r="DVA95" s="78"/>
      <c r="DVB95" s="78"/>
      <c r="DVC95" s="78"/>
      <c r="DVD95" s="78"/>
      <c r="DVE95" s="78"/>
      <c r="DVF95" s="78"/>
      <c r="DVG95" s="78"/>
      <c r="DVH95" s="78"/>
      <c r="DVI95" s="78"/>
      <c r="DVJ95" s="78"/>
      <c r="DVK95" s="78"/>
      <c r="DVL95" s="78"/>
      <c r="DVM95" s="78"/>
      <c r="DVN95" s="78"/>
      <c r="DVO95" s="78"/>
      <c r="DVP95" s="78"/>
      <c r="DVQ95" s="78"/>
      <c r="DVR95" s="78"/>
      <c r="DVS95" s="78"/>
      <c r="DVT95" s="78"/>
      <c r="DVU95" s="78"/>
      <c r="DVV95" s="78"/>
      <c r="DVW95" s="78"/>
      <c r="DVX95" s="78"/>
      <c r="DVY95" s="78"/>
      <c r="DVZ95" s="78"/>
      <c r="DWA95" s="78"/>
      <c r="DWB95" s="78"/>
      <c r="DWC95" s="78"/>
      <c r="DWD95" s="78"/>
      <c r="DWE95" s="78"/>
      <c r="DWF95" s="78"/>
      <c r="DWG95" s="78"/>
      <c r="DWH95" s="78"/>
      <c r="DWI95" s="78"/>
      <c r="DWJ95" s="78"/>
      <c r="DWK95" s="78"/>
      <c r="DWL95" s="78"/>
      <c r="DWM95" s="78"/>
      <c r="DWN95" s="78"/>
      <c r="DWO95" s="78"/>
      <c r="DWP95" s="78"/>
      <c r="DWQ95" s="78"/>
      <c r="DWR95" s="78"/>
      <c r="DWS95" s="78"/>
      <c r="DWT95" s="78"/>
      <c r="DWU95" s="78"/>
      <c r="DWV95" s="78"/>
      <c r="DWW95" s="78"/>
      <c r="DWX95" s="78"/>
      <c r="DWY95" s="78"/>
      <c r="DWZ95" s="78"/>
      <c r="DXA95" s="78"/>
      <c r="DXB95" s="78"/>
      <c r="DXC95" s="78"/>
      <c r="DXD95" s="78"/>
      <c r="DXE95" s="78"/>
      <c r="DXF95" s="78"/>
      <c r="DXG95" s="78"/>
      <c r="DXH95" s="78"/>
      <c r="DXI95" s="78"/>
      <c r="DXJ95" s="78"/>
      <c r="DXK95" s="78"/>
      <c r="DXL95" s="78"/>
      <c r="DXM95" s="78"/>
      <c r="DXN95" s="78"/>
      <c r="DXO95" s="78"/>
      <c r="DXP95" s="78"/>
      <c r="DXQ95" s="78"/>
      <c r="DXR95" s="78"/>
      <c r="DXS95" s="78"/>
      <c r="DXT95" s="78"/>
      <c r="DXU95" s="78"/>
      <c r="DXV95" s="78"/>
      <c r="DXW95" s="78"/>
      <c r="DXX95" s="78"/>
      <c r="DXY95" s="78"/>
      <c r="DXZ95" s="78"/>
      <c r="DYA95" s="78"/>
      <c r="DYB95" s="78"/>
      <c r="DYC95" s="78"/>
      <c r="DYD95" s="78"/>
      <c r="DYE95" s="78"/>
      <c r="DYF95" s="78"/>
      <c r="DYG95" s="78"/>
      <c r="DYH95" s="78"/>
      <c r="DYI95" s="78"/>
      <c r="DYJ95" s="78"/>
      <c r="DYK95" s="78"/>
      <c r="DYL95" s="78"/>
      <c r="DYM95" s="78"/>
      <c r="DYN95" s="78"/>
      <c r="DYO95" s="78"/>
      <c r="DYP95" s="78"/>
      <c r="DYQ95" s="78"/>
      <c r="DYR95" s="78"/>
      <c r="DYS95" s="78"/>
      <c r="DYT95" s="78"/>
      <c r="DYU95" s="78"/>
      <c r="DYV95" s="78"/>
      <c r="DYW95" s="78"/>
      <c r="DYX95" s="78"/>
      <c r="DYY95" s="78"/>
      <c r="DYZ95" s="78"/>
      <c r="DZA95" s="78"/>
      <c r="DZB95" s="78"/>
      <c r="DZC95" s="78"/>
      <c r="DZD95" s="78"/>
      <c r="DZE95" s="78"/>
      <c r="DZF95" s="78"/>
      <c r="DZG95" s="78"/>
      <c r="DZH95" s="78"/>
      <c r="DZI95" s="78"/>
      <c r="DZJ95" s="78"/>
      <c r="DZK95" s="78"/>
      <c r="DZL95" s="78"/>
      <c r="DZM95" s="78"/>
      <c r="DZN95" s="78"/>
      <c r="DZO95" s="78"/>
      <c r="DZP95" s="78"/>
      <c r="DZQ95" s="78"/>
      <c r="DZR95" s="78"/>
      <c r="DZS95" s="78"/>
      <c r="DZT95" s="78"/>
      <c r="DZU95" s="78"/>
      <c r="DZV95" s="78"/>
      <c r="DZW95" s="78"/>
      <c r="DZX95" s="78"/>
      <c r="DZY95" s="78"/>
      <c r="DZZ95" s="78"/>
      <c r="EAA95" s="78"/>
      <c r="EAB95" s="78"/>
      <c r="EAC95" s="78"/>
      <c r="EAD95" s="78"/>
      <c r="EAE95" s="78"/>
      <c r="EAF95" s="78"/>
      <c r="EAG95" s="78"/>
      <c r="EAH95" s="78"/>
      <c r="EAI95" s="78"/>
      <c r="EAJ95" s="78"/>
      <c r="EAK95" s="78"/>
      <c r="EAL95" s="78"/>
      <c r="EAM95" s="78"/>
      <c r="EAN95" s="78"/>
      <c r="EAO95" s="78"/>
      <c r="EAP95" s="78"/>
      <c r="EAQ95" s="78"/>
      <c r="EAR95" s="78"/>
      <c r="EAS95" s="78"/>
      <c r="EAT95" s="78"/>
      <c r="EAU95" s="78"/>
      <c r="EAV95" s="78"/>
      <c r="EAW95" s="78"/>
      <c r="EAX95" s="78"/>
      <c r="EAY95" s="78"/>
      <c r="EAZ95" s="78"/>
      <c r="EBA95" s="78"/>
      <c r="EBB95" s="78"/>
      <c r="EBC95" s="78"/>
      <c r="EBD95" s="78"/>
      <c r="EBE95" s="78"/>
      <c r="EBF95" s="78"/>
      <c r="EBG95" s="78"/>
      <c r="EBH95" s="78"/>
      <c r="EBI95" s="78"/>
      <c r="EBJ95" s="78"/>
      <c r="EBK95" s="78"/>
      <c r="EBL95" s="78"/>
      <c r="EBM95" s="78"/>
      <c r="EBN95" s="78"/>
      <c r="EBO95" s="78"/>
      <c r="EBP95" s="78"/>
      <c r="EBQ95" s="78"/>
      <c r="EBR95" s="78"/>
      <c r="EBS95" s="78"/>
      <c r="EBT95" s="78"/>
      <c r="EBU95" s="78"/>
      <c r="EBV95" s="78"/>
      <c r="EBW95" s="78"/>
      <c r="EBX95" s="78"/>
      <c r="EBY95" s="78"/>
      <c r="EBZ95" s="78"/>
      <c r="ECA95" s="78"/>
      <c r="ECB95" s="78"/>
      <c r="ECC95" s="78"/>
      <c r="ECD95" s="78"/>
      <c r="ECE95" s="78"/>
      <c r="ECF95" s="78"/>
      <c r="ECG95" s="78"/>
      <c r="ECH95" s="78"/>
      <c r="ECI95" s="78"/>
      <c r="ECJ95" s="78"/>
      <c r="ECK95" s="78"/>
      <c r="ECL95" s="78"/>
      <c r="ECM95" s="78"/>
      <c r="ECN95" s="78"/>
      <c r="ECO95" s="78"/>
      <c r="ECP95" s="78"/>
      <c r="ECQ95" s="78"/>
      <c r="ECR95" s="78"/>
      <c r="ECS95" s="78"/>
      <c r="ECT95" s="78"/>
      <c r="ECU95" s="78"/>
      <c r="ECV95" s="78"/>
      <c r="ECW95" s="78"/>
      <c r="ECX95" s="78"/>
      <c r="ECY95" s="78"/>
      <c r="ECZ95" s="78"/>
      <c r="EDA95" s="78"/>
      <c r="EDB95" s="78"/>
      <c r="EDC95" s="78"/>
      <c r="EDD95" s="78"/>
      <c r="EDE95" s="78"/>
      <c r="EDF95" s="78"/>
      <c r="EDG95" s="78"/>
      <c r="EDH95" s="78"/>
      <c r="EDI95" s="78"/>
      <c r="EDJ95" s="78"/>
      <c r="EDK95" s="78"/>
      <c r="EDL95" s="78"/>
      <c r="EDM95" s="78"/>
      <c r="EDN95" s="78"/>
      <c r="EDO95" s="78"/>
      <c r="EDP95" s="78"/>
      <c r="EDQ95" s="78"/>
      <c r="EDR95" s="78"/>
      <c r="EDS95" s="78"/>
      <c r="EDT95" s="78"/>
      <c r="EDU95" s="78"/>
      <c r="EDV95" s="78"/>
      <c r="EDW95" s="78"/>
      <c r="EDX95" s="78"/>
      <c r="EDY95" s="78"/>
      <c r="EDZ95" s="78"/>
      <c r="EEA95" s="78"/>
      <c r="EEB95" s="78"/>
      <c r="EEC95" s="78"/>
      <c r="EED95" s="78"/>
      <c r="EEE95" s="78"/>
      <c r="EEF95" s="78"/>
      <c r="EEG95" s="78"/>
      <c r="EEH95" s="78"/>
      <c r="EEI95" s="78"/>
      <c r="EEJ95" s="78"/>
      <c r="EEK95" s="78"/>
      <c r="EEL95" s="78"/>
      <c r="EEM95" s="78"/>
      <c r="EEN95" s="78"/>
      <c r="EEO95" s="78"/>
      <c r="EEP95" s="78"/>
      <c r="EEQ95" s="78"/>
      <c r="EER95" s="78"/>
      <c r="EES95" s="78"/>
      <c r="EET95" s="78"/>
      <c r="EEU95" s="78"/>
      <c r="EEV95" s="78"/>
      <c r="EEW95" s="78"/>
      <c r="EEX95" s="78"/>
      <c r="EEY95" s="78"/>
      <c r="EEZ95" s="78"/>
      <c r="EFA95" s="78"/>
      <c r="EFB95" s="78"/>
      <c r="EFC95" s="78"/>
      <c r="EFD95" s="78"/>
      <c r="EFE95" s="78"/>
      <c r="EFF95" s="78"/>
      <c r="EFG95" s="78"/>
      <c r="EFH95" s="78"/>
      <c r="EFI95" s="78"/>
      <c r="EFJ95" s="78"/>
      <c r="EFK95" s="78"/>
      <c r="EFL95" s="78"/>
      <c r="EFM95" s="78"/>
      <c r="EFN95" s="78"/>
      <c r="EFO95" s="78"/>
      <c r="EFP95" s="78"/>
      <c r="EFQ95" s="78"/>
      <c r="EFR95" s="78"/>
      <c r="EFS95" s="78"/>
      <c r="EFT95" s="78"/>
      <c r="EFU95" s="78"/>
      <c r="EFV95" s="78"/>
      <c r="EFW95" s="78"/>
      <c r="EFX95" s="78"/>
      <c r="EFY95" s="78"/>
      <c r="EFZ95" s="78"/>
      <c r="EGA95" s="78"/>
      <c r="EGB95" s="78"/>
      <c r="EGC95" s="78"/>
      <c r="EGD95" s="78"/>
      <c r="EGE95" s="78"/>
      <c r="EGF95" s="78"/>
      <c r="EGG95" s="78"/>
      <c r="EGH95" s="78"/>
      <c r="EGI95" s="78"/>
      <c r="EGJ95" s="78"/>
      <c r="EGK95" s="78"/>
      <c r="EGL95" s="78"/>
      <c r="EGM95" s="78"/>
      <c r="EGN95" s="78"/>
      <c r="EGO95" s="78"/>
      <c r="EGP95" s="78"/>
      <c r="EGQ95" s="78"/>
      <c r="EGR95" s="78"/>
      <c r="EGS95" s="78"/>
      <c r="EGT95" s="78"/>
      <c r="EGU95" s="78"/>
      <c r="EGV95" s="78"/>
      <c r="EGW95" s="78"/>
      <c r="EGX95" s="78"/>
      <c r="EGY95" s="78"/>
      <c r="EGZ95" s="78"/>
      <c r="EHA95" s="78"/>
      <c r="EHB95" s="78"/>
      <c r="EHC95" s="78"/>
      <c r="EHD95" s="78"/>
      <c r="EHE95" s="78"/>
      <c r="EHF95" s="78"/>
      <c r="EHG95" s="78"/>
      <c r="EHH95" s="78"/>
      <c r="EHI95" s="78"/>
      <c r="EHJ95" s="78"/>
      <c r="EHK95" s="78"/>
      <c r="EHL95" s="78"/>
      <c r="EHM95" s="78"/>
      <c r="EHN95" s="78"/>
      <c r="EHO95" s="78"/>
      <c r="EHP95" s="78"/>
      <c r="EHQ95" s="78"/>
      <c r="EHR95" s="78"/>
      <c r="EHS95" s="78"/>
      <c r="EHT95" s="78"/>
      <c r="EHU95" s="78"/>
      <c r="EHV95" s="78"/>
      <c r="EHW95" s="78"/>
      <c r="EHX95" s="78"/>
      <c r="EHY95" s="78"/>
      <c r="EHZ95" s="78"/>
      <c r="EIA95" s="78"/>
      <c r="EIB95" s="78"/>
      <c r="EIC95" s="78"/>
      <c r="EID95" s="78"/>
      <c r="EIE95" s="78"/>
      <c r="EIF95" s="78"/>
      <c r="EIG95" s="78"/>
      <c r="EIH95" s="78"/>
      <c r="EII95" s="78"/>
      <c r="EIJ95" s="78"/>
      <c r="EIK95" s="78"/>
      <c r="EIL95" s="78"/>
      <c r="EIM95" s="78"/>
      <c r="EIN95" s="78"/>
      <c r="EIO95" s="78"/>
      <c r="EIP95" s="78"/>
      <c r="EIQ95" s="78"/>
      <c r="EIR95" s="78"/>
      <c r="EIS95" s="78"/>
      <c r="EIT95" s="78"/>
      <c r="EIU95" s="78"/>
      <c r="EIV95" s="78"/>
      <c r="EIW95" s="78"/>
      <c r="EIX95" s="78"/>
      <c r="EIY95" s="78"/>
      <c r="EIZ95" s="78"/>
      <c r="EJA95" s="78"/>
      <c r="EJB95" s="78"/>
      <c r="EJC95" s="78"/>
      <c r="EJD95" s="78"/>
      <c r="EJE95" s="78"/>
      <c r="EJF95" s="78"/>
      <c r="EJG95" s="78"/>
      <c r="EJH95" s="78"/>
      <c r="EJI95" s="78"/>
      <c r="EJJ95" s="78"/>
      <c r="EJK95" s="78"/>
      <c r="EJL95" s="78"/>
      <c r="EJM95" s="78"/>
      <c r="EJN95" s="78"/>
      <c r="EJO95" s="78"/>
      <c r="EJP95" s="78"/>
      <c r="EJQ95" s="78"/>
      <c r="EJR95" s="78"/>
      <c r="EJS95" s="78"/>
      <c r="EJT95" s="78"/>
      <c r="EJU95" s="78"/>
      <c r="EJV95" s="78"/>
      <c r="EJW95" s="78"/>
      <c r="EJX95" s="78"/>
      <c r="EJY95" s="78"/>
      <c r="EJZ95" s="78"/>
      <c r="EKA95" s="78"/>
      <c r="EKB95" s="78"/>
      <c r="EKC95" s="78"/>
      <c r="EKD95" s="78"/>
      <c r="EKE95" s="78"/>
      <c r="EKF95" s="78"/>
      <c r="EKG95" s="78"/>
      <c r="EKH95" s="78"/>
      <c r="EKI95" s="78"/>
      <c r="EKJ95" s="78"/>
      <c r="EKK95" s="78"/>
      <c r="EKL95" s="78"/>
      <c r="EKM95" s="78"/>
      <c r="EKN95" s="78"/>
      <c r="EKO95" s="78"/>
      <c r="EKP95" s="78"/>
      <c r="EKQ95" s="78"/>
      <c r="EKR95" s="78"/>
      <c r="EKS95" s="78"/>
      <c r="EKT95" s="78"/>
      <c r="EKU95" s="78"/>
      <c r="EKV95" s="78"/>
      <c r="EKW95" s="78"/>
      <c r="EKX95" s="78"/>
      <c r="EKY95" s="78"/>
      <c r="EKZ95" s="78"/>
      <c r="ELA95" s="78"/>
      <c r="ELB95" s="78"/>
      <c r="ELC95" s="78"/>
      <c r="ELD95" s="78"/>
      <c r="ELE95" s="78"/>
      <c r="ELF95" s="78"/>
      <c r="ELG95" s="78"/>
      <c r="ELH95" s="78"/>
      <c r="ELI95" s="78"/>
      <c r="ELJ95" s="78"/>
      <c r="ELK95" s="78"/>
      <c r="ELL95" s="78"/>
      <c r="ELM95" s="78"/>
      <c r="ELN95" s="78"/>
      <c r="ELO95" s="78"/>
      <c r="ELP95" s="78"/>
      <c r="ELQ95" s="78"/>
      <c r="ELR95" s="78"/>
      <c r="ELS95" s="78"/>
      <c r="ELT95" s="78"/>
      <c r="ELU95" s="78"/>
      <c r="ELV95" s="78"/>
      <c r="ELW95" s="78"/>
      <c r="ELX95" s="78"/>
      <c r="ELY95" s="78"/>
      <c r="ELZ95" s="78"/>
      <c r="EMA95" s="78"/>
      <c r="EMB95" s="78"/>
      <c r="EMC95" s="78"/>
      <c r="EMD95" s="78"/>
      <c r="EME95" s="78"/>
      <c r="EMF95" s="78"/>
      <c r="EMG95" s="78"/>
      <c r="EMH95" s="78"/>
      <c r="EMI95" s="78"/>
      <c r="EMJ95" s="78"/>
      <c r="EMK95" s="78"/>
      <c r="EML95" s="78"/>
      <c r="EMM95" s="78"/>
      <c r="EMN95" s="78"/>
      <c r="EMO95" s="78"/>
      <c r="EMP95" s="78"/>
      <c r="EMQ95" s="78"/>
      <c r="EMR95" s="78"/>
      <c r="EMS95" s="78"/>
      <c r="EMT95" s="78"/>
      <c r="EMU95" s="78"/>
      <c r="EMV95" s="78"/>
      <c r="EMW95" s="78"/>
      <c r="EMX95" s="78"/>
      <c r="EMY95" s="78"/>
      <c r="EMZ95" s="78"/>
      <c r="ENA95" s="78"/>
      <c r="ENB95" s="78"/>
      <c r="ENC95" s="78"/>
      <c r="END95" s="78"/>
      <c r="ENE95" s="78"/>
      <c r="ENF95" s="78"/>
      <c r="ENG95" s="78"/>
      <c r="ENH95" s="78"/>
      <c r="ENI95" s="78"/>
      <c r="ENJ95" s="78"/>
      <c r="ENK95" s="78"/>
      <c r="ENL95" s="78"/>
      <c r="ENM95" s="78"/>
      <c r="ENN95" s="78"/>
      <c r="ENO95" s="78"/>
      <c r="ENP95" s="78"/>
      <c r="ENQ95" s="78"/>
      <c r="ENR95" s="78"/>
      <c r="ENS95" s="78"/>
      <c r="ENT95" s="78"/>
      <c r="ENU95" s="78"/>
      <c r="ENV95" s="78"/>
      <c r="ENW95" s="78"/>
      <c r="ENX95" s="78"/>
      <c r="ENY95" s="78"/>
      <c r="ENZ95" s="78"/>
      <c r="EOA95" s="78"/>
      <c r="EOB95" s="78"/>
      <c r="EOC95" s="78"/>
      <c r="EOD95" s="78"/>
      <c r="EOE95" s="78"/>
      <c r="EOF95" s="78"/>
      <c r="EOG95" s="78"/>
      <c r="EOH95" s="78"/>
      <c r="EOI95" s="78"/>
      <c r="EOJ95" s="78"/>
      <c r="EOK95" s="78"/>
      <c r="EOL95" s="78"/>
      <c r="EOM95" s="78"/>
      <c r="EON95" s="78"/>
      <c r="EOO95" s="78"/>
      <c r="EOP95" s="78"/>
      <c r="EOQ95" s="78"/>
      <c r="EOR95" s="78"/>
      <c r="EOS95" s="78"/>
      <c r="EOT95" s="78"/>
      <c r="EOU95" s="78"/>
      <c r="EOV95" s="78"/>
      <c r="EOW95" s="78"/>
      <c r="EOX95" s="78"/>
      <c r="EOY95" s="78"/>
      <c r="EOZ95" s="78"/>
      <c r="EPA95" s="78"/>
      <c r="EPB95" s="78"/>
      <c r="EPC95" s="78"/>
      <c r="EPD95" s="78"/>
      <c r="EPE95" s="78"/>
      <c r="EPF95" s="78"/>
      <c r="EPG95" s="78"/>
      <c r="EPH95" s="78"/>
      <c r="EPI95" s="78"/>
      <c r="EPJ95" s="78"/>
      <c r="EPK95" s="78"/>
      <c r="EPL95" s="78"/>
      <c r="EPM95" s="78"/>
      <c r="EPN95" s="78"/>
      <c r="EPO95" s="78"/>
      <c r="EPP95" s="78"/>
      <c r="EPQ95" s="78"/>
      <c r="EPR95" s="78"/>
      <c r="EPS95" s="78"/>
      <c r="EPT95" s="78"/>
      <c r="EPU95" s="78"/>
      <c r="EPV95" s="78"/>
      <c r="EPW95" s="78"/>
      <c r="EPX95" s="78"/>
      <c r="EPY95" s="78"/>
      <c r="EPZ95" s="78"/>
      <c r="EQA95" s="78"/>
      <c r="EQB95" s="78"/>
      <c r="EQC95" s="78"/>
      <c r="EQD95" s="78"/>
      <c r="EQE95" s="78"/>
      <c r="EQF95" s="78"/>
      <c r="EQG95" s="78"/>
      <c r="EQH95" s="78"/>
      <c r="EQI95" s="78"/>
      <c r="EQJ95" s="78"/>
      <c r="EQK95" s="78"/>
      <c r="EQL95" s="78"/>
      <c r="EQM95" s="78"/>
      <c r="EQN95" s="78"/>
      <c r="EQO95" s="78"/>
      <c r="EQP95" s="78"/>
      <c r="EQQ95" s="78"/>
      <c r="EQR95" s="78"/>
      <c r="EQS95" s="78"/>
      <c r="EQT95" s="78"/>
      <c r="EQU95" s="78"/>
      <c r="EQV95" s="78"/>
      <c r="EQW95" s="78"/>
      <c r="EQX95" s="78"/>
      <c r="EQY95" s="78"/>
      <c r="EQZ95" s="78"/>
      <c r="ERA95" s="78"/>
      <c r="ERB95" s="78"/>
      <c r="ERC95" s="78"/>
      <c r="ERD95" s="78"/>
      <c r="ERE95" s="78"/>
      <c r="ERF95" s="78"/>
      <c r="ERG95" s="78"/>
      <c r="ERH95" s="78"/>
      <c r="ERI95" s="78"/>
      <c r="ERJ95" s="78"/>
      <c r="ERK95" s="78"/>
      <c r="ERL95" s="78"/>
      <c r="ERM95" s="78"/>
      <c r="ERN95" s="78"/>
      <c r="ERO95" s="78"/>
      <c r="ERP95" s="78"/>
      <c r="ERQ95" s="78"/>
      <c r="ERR95" s="78"/>
      <c r="ERS95" s="78"/>
      <c r="ERT95" s="78"/>
      <c r="ERU95" s="78"/>
      <c r="ERV95" s="78"/>
      <c r="ERW95" s="78"/>
      <c r="ERX95" s="78"/>
      <c r="ERY95" s="78"/>
      <c r="ERZ95" s="78"/>
      <c r="ESA95" s="78"/>
      <c r="ESB95" s="78"/>
      <c r="ESC95" s="78"/>
      <c r="ESD95" s="78"/>
      <c r="ESE95" s="78"/>
      <c r="ESF95" s="78"/>
      <c r="ESG95" s="78"/>
      <c r="ESH95" s="78"/>
      <c r="ESI95" s="78"/>
      <c r="ESJ95" s="78"/>
      <c r="ESK95" s="78"/>
      <c r="ESL95" s="78"/>
      <c r="ESM95" s="78"/>
      <c r="ESN95" s="78"/>
      <c r="ESO95" s="78"/>
      <c r="ESP95" s="78"/>
      <c r="ESQ95" s="78"/>
      <c r="ESR95" s="78"/>
      <c r="ESS95" s="78"/>
      <c r="EST95" s="78"/>
      <c r="ESU95" s="78"/>
      <c r="ESV95" s="78"/>
      <c r="ESW95" s="78"/>
      <c r="ESX95" s="78"/>
      <c r="ESY95" s="78"/>
      <c r="ESZ95" s="78"/>
      <c r="ETA95" s="78"/>
      <c r="ETB95" s="78"/>
      <c r="ETC95" s="78"/>
      <c r="ETD95" s="78"/>
      <c r="ETE95" s="78"/>
      <c r="ETF95" s="78"/>
      <c r="ETG95" s="78"/>
      <c r="ETH95" s="78"/>
      <c r="ETI95" s="78"/>
      <c r="ETJ95" s="78"/>
      <c r="ETK95" s="78"/>
      <c r="ETL95" s="78"/>
      <c r="ETM95" s="78"/>
      <c r="ETN95" s="78"/>
      <c r="ETO95" s="78"/>
      <c r="ETP95" s="78"/>
      <c r="ETQ95" s="78"/>
      <c r="ETR95" s="78"/>
      <c r="ETS95" s="78"/>
      <c r="ETT95" s="78"/>
      <c r="ETU95" s="78"/>
      <c r="ETV95" s="78"/>
      <c r="ETW95" s="78"/>
      <c r="ETX95" s="78"/>
      <c r="ETY95" s="78"/>
      <c r="ETZ95" s="78"/>
      <c r="EUA95" s="78"/>
      <c r="EUB95" s="78"/>
      <c r="EUC95" s="78"/>
      <c r="EUD95" s="78"/>
      <c r="EUE95" s="78"/>
      <c r="EUF95" s="78"/>
      <c r="EUG95" s="78"/>
      <c r="EUH95" s="78"/>
      <c r="EUI95" s="78"/>
      <c r="EUJ95" s="78"/>
      <c r="EUK95" s="78"/>
      <c r="EUL95" s="78"/>
      <c r="EUM95" s="78"/>
      <c r="EUN95" s="78"/>
      <c r="EUO95" s="78"/>
      <c r="EUP95" s="78"/>
      <c r="EUQ95" s="78"/>
      <c r="EUR95" s="78"/>
      <c r="EUS95" s="78"/>
      <c r="EUT95" s="78"/>
      <c r="EUU95" s="78"/>
      <c r="EUV95" s="78"/>
      <c r="EUW95" s="78"/>
      <c r="EUX95" s="78"/>
      <c r="EUY95" s="78"/>
      <c r="EUZ95" s="78"/>
      <c r="EVA95" s="78"/>
      <c r="EVB95" s="78"/>
      <c r="EVC95" s="78"/>
      <c r="EVD95" s="78"/>
      <c r="EVE95" s="78"/>
      <c r="EVF95" s="78"/>
      <c r="EVG95" s="78"/>
      <c r="EVH95" s="78"/>
      <c r="EVI95" s="78"/>
      <c r="EVJ95" s="78"/>
      <c r="EVK95" s="78"/>
      <c r="EVL95" s="78"/>
      <c r="EVM95" s="78"/>
      <c r="EVN95" s="78"/>
      <c r="EVO95" s="78"/>
      <c r="EVP95" s="78"/>
      <c r="EVQ95" s="78"/>
      <c r="EVR95" s="78"/>
      <c r="EVS95" s="78"/>
      <c r="EVT95" s="78"/>
      <c r="EVU95" s="78"/>
      <c r="EVV95" s="78"/>
      <c r="EVW95" s="78"/>
      <c r="EVX95" s="78"/>
      <c r="EVY95" s="78"/>
      <c r="EVZ95" s="78"/>
      <c r="EWA95" s="78"/>
      <c r="EWB95" s="78"/>
      <c r="EWC95" s="78"/>
      <c r="EWD95" s="78"/>
      <c r="EWE95" s="78"/>
      <c r="EWF95" s="78"/>
      <c r="EWG95" s="78"/>
      <c r="EWH95" s="78"/>
      <c r="EWI95" s="78"/>
      <c r="EWJ95" s="78"/>
      <c r="EWK95" s="78"/>
      <c r="EWL95" s="78"/>
      <c r="EWM95" s="78"/>
      <c r="EWN95" s="78"/>
      <c r="EWO95" s="78"/>
      <c r="EWP95" s="78"/>
      <c r="EWQ95" s="78"/>
      <c r="EWR95" s="78"/>
      <c r="EWS95" s="78"/>
      <c r="EWT95" s="78"/>
      <c r="EWU95" s="78"/>
      <c r="EWV95" s="78"/>
      <c r="EWW95" s="78"/>
      <c r="EWX95" s="78"/>
      <c r="EWY95" s="78"/>
      <c r="EWZ95" s="78"/>
      <c r="EXA95" s="78"/>
      <c r="EXB95" s="78"/>
      <c r="EXC95" s="78"/>
      <c r="EXD95" s="78"/>
      <c r="EXE95" s="78"/>
      <c r="EXF95" s="78"/>
      <c r="EXG95" s="78"/>
      <c r="EXH95" s="78"/>
      <c r="EXI95" s="78"/>
      <c r="EXJ95" s="78"/>
      <c r="EXK95" s="78"/>
      <c r="EXL95" s="78"/>
      <c r="EXM95" s="78"/>
      <c r="EXN95" s="78"/>
      <c r="EXO95" s="78"/>
      <c r="EXP95" s="78"/>
      <c r="EXQ95" s="78"/>
      <c r="EXR95" s="78"/>
      <c r="EXS95" s="78"/>
      <c r="EXT95" s="78"/>
      <c r="EXU95" s="78"/>
      <c r="EXV95" s="78"/>
      <c r="EXW95" s="78"/>
      <c r="EXX95" s="78"/>
      <c r="EXY95" s="78"/>
      <c r="EXZ95" s="78"/>
      <c r="EYA95" s="78"/>
      <c r="EYB95" s="78"/>
      <c r="EYC95" s="78"/>
      <c r="EYD95" s="78"/>
      <c r="EYE95" s="78"/>
      <c r="EYF95" s="78"/>
      <c r="EYG95" s="78"/>
      <c r="EYH95" s="78"/>
      <c r="EYI95" s="78"/>
      <c r="EYJ95" s="78"/>
      <c r="EYK95" s="78"/>
      <c r="EYL95" s="78"/>
      <c r="EYM95" s="78"/>
      <c r="EYN95" s="78"/>
      <c r="EYO95" s="78"/>
      <c r="EYP95" s="78"/>
      <c r="EYQ95" s="78"/>
      <c r="EYR95" s="78"/>
      <c r="EYS95" s="78"/>
      <c r="EYT95" s="78"/>
      <c r="EYU95" s="78"/>
      <c r="EYV95" s="78"/>
      <c r="EYW95" s="78"/>
      <c r="EYX95" s="78"/>
      <c r="EYY95" s="78"/>
      <c r="EYZ95" s="78"/>
      <c r="EZA95" s="78"/>
      <c r="EZB95" s="78"/>
      <c r="EZC95" s="78"/>
      <c r="EZD95" s="78"/>
      <c r="EZE95" s="78"/>
      <c r="EZF95" s="78"/>
      <c r="EZG95" s="78"/>
      <c r="EZH95" s="78"/>
      <c r="EZI95" s="78"/>
      <c r="EZJ95" s="78"/>
      <c r="EZK95" s="78"/>
      <c r="EZL95" s="78"/>
      <c r="EZM95" s="78"/>
      <c r="EZN95" s="78"/>
      <c r="EZO95" s="78"/>
      <c r="EZP95" s="78"/>
      <c r="EZQ95" s="78"/>
      <c r="EZR95" s="78"/>
      <c r="EZS95" s="78"/>
      <c r="EZT95" s="78"/>
      <c r="EZU95" s="78"/>
      <c r="EZV95" s="78"/>
      <c r="EZW95" s="78"/>
      <c r="EZX95" s="78"/>
      <c r="EZY95" s="78"/>
      <c r="EZZ95" s="78"/>
      <c r="FAA95" s="78"/>
      <c r="FAB95" s="78"/>
      <c r="FAC95" s="78"/>
      <c r="FAD95" s="78"/>
      <c r="FAE95" s="78"/>
      <c r="FAF95" s="78"/>
      <c r="FAG95" s="78"/>
      <c r="FAH95" s="78"/>
      <c r="FAI95" s="78"/>
      <c r="FAJ95" s="78"/>
      <c r="FAK95" s="78"/>
      <c r="FAL95" s="78"/>
      <c r="FAM95" s="78"/>
      <c r="FAN95" s="78"/>
      <c r="FAO95" s="78"/>
      <c r="FAP95" s="78"/>
      <c r="FAQ95" s="78"/>
      <c r="FAR95" s="78"/>
      <c r="FAS95" s="78"/>
      <c r="FAT95" s="78"/>
      <c r="FAU95" s="78"/>
      <c r="FAV95" s="78"/>
      <c r="FAW95" s="78"/>
      <c r="FAX95" s="78"/>
      <c r="FAY95" s="78"/>
      <c r="FAZ95" s="78"/>
      <c r="FBA95" s="78"/>
      <c r="FBB95" s="78"/>
      <c r="FBC95" s="78"/>
      <c r="FBD95" s="78"/>
      <c r="FBE95" s="78"/>
      <c r="FBF95" s="78"/>
      <c r="FBG95" s="78"/>
      <c r="FBH95" s="78"/>
      <c r="FBI95" s="78"/>
      <c r="FBJ95" s="78"/>
      <c r="FBK95" s="78"/>
      <c r="FBL95" s="78"/>
      <c r="FBM95" s="78"/>
      <c r="FBN95" s="78"/>
      <c r="FBO95" s="78"/>
      <c r="FBP95" s="78"/>
      <c r="FBQ95" s="78"/>
      <c r="FBR95" s="78"/>
      <c r="FBS95" s="78"/>
      <c r="FBT95" s="78"/>
      <c r="FBU95" s="78"/>
      <c r="FBV95" s="78"/>
      <c r="FBW95" s="78"/>
      <c r="FBX95" s="78"/>
      <c r="FBY95" s="78"/>
      <c r="FBZ95" s="78"/>
      <c r="FCA95" s="78"/>
      <c r="FCB95" s="78"/>
      <c r="FCC95" s="78"/>
      <c r="FCD95" s="78"/>
      <c r="FCE95" s="78"/>
      <c r="FCF95" s="78"/>
      <c r="FCG95" s="78"/>
      <c r="FCH95" s="78"/>
      <c r="FCI95" s="78"/>
      <c r="FCJ95" s="78"/>
      <c r="FCK95" s="78"/>
      <c r="FCL95" s="78"/>
      <c r="FCM95" s="78"/>
      <c r="FCN95" s="78"/>
      <c r="FCO95" s="78"/>
      <c r="FCP95" s="78"/>
      <c r="FCQ95" s="78"/>
      <c r="FCR95" s="78"/>
      <c r="FCS95" s="78"/>
      <c r="FCT95" s="78"/>
      <c r="FCU95" s="78"/>
      <c r="FCV95" s="78"/>
      <c r="FCW95" s="78"/>
      <c r="FCX95" s="78"/>
      <c r="FCY95" s="78"/>
      <c r="FCZ95" s="78"/>
      <c r="FDA95" s="78"/>
      <c r="FDB95" s="78"/>
      <c r="FDC95" s="78"/>
      <c r="FDD95" s="78"/>
      <c r="FDE95" s="78"/>
      <c r="FDF95" s="78"/>
      <c r="FDG95" s="78"/>
      <c r="FDH95" s="78"/>
      <c r="FDI95" s="78"/>
      <c r="FDJ95" s="78"/>
      <c r="FDK95" s="78"/>
      <c r="FDL95" s="78"/>
      <c r="FDM95" s="78"/>
      <c r="FDN95" s="78"/>
      <c r="FDO95" s="78"/>
      <c r="FDP95" s="78"/>
      <c r="FDQ95" s="78"/>
      <c r="FDR95" s="78"/>
      <c r="FDS95" s="78"/>
      <c r="FDT95" s="78"/>
      <c r="FDU95" s="78"/>
      <c r="FDV95" s="78"/>
      <c r="FDW95" s="78"/>
      <c r="FDX95" s="78"/>
      <c r="FDY95" s="78"/>
      <c r="FDZ95" s="78"/>
      <c r="FEA95" s="78"/>
      <c r="FEB95" s="78"/>
      <c r="FEC95" s="78"/>
      <c r="FED95" s="78"/>
      <c r="FEE95" s="78"/>
      <c r="FEF95" s="78"/>
      <c r="FEG95" s="78"/>
      <c r="FEH95" s="78"/>
      <c r="FEI95" s="78"/>
      <c r="FEJ95" s="78"/>
      <c r="FEK95" s="78"/>
      <c r="FEL95" s="78"/>
      <c r="FEM95" s="78"/>
      <c r="FEN95" s="78"/>
      <c r="FEO95" s="78"/>
      <c r="FEP95" s="78"/>
      <c r="FEQ95" s="78"/>
      <c r="FER95" s="78"/>
      <c r="FES95" s="78"/>
      <c r="FET95" s="78"/>
      <c r="FEU95" s="78"/>
      <c r="FEV95" s="78"/>
      <c r="FEW95" s="78"/>
      <c r="FEX95" s="78"/>
      <c r="FEY95" s="78"/>
      <c r="FEZ95" s="78"/>
      <c r="FFA95" s="78"/>
      <c r="FFB95" s="78"/>
      <c r="FFC95" s="78"/>
      <c r="FFD95" s="78"/>
      <c r="FFE95" s="78"/>
      <c r="FFF95" s="78"/>
      <c r="FFG95" s="78"/>
      <c r="FFH95" s="78"/>
      <c r="FFI95" s="78"/>
      <c r="FFJ95" s="78"/>
      <c r="FFK95" s="78"/>
      <c r="FFL95" s="78"/>
      <c r="FFM95" s="78"/>
      <c r="FFN95" s="78"/>
      <c r="FFO95" s="78"/>
      <c r="FFP95" s="78"/>
      <c r="FFQ95" s="78"/>
      <c r="FFR95" s="78"/>
      <c r="FFS95" s="78"/>
      <c r="FFT95" s="78"/>
      <c r="FFU95" s="78"/>
      <c r="FFV95" s="78"/>
      <c r="FFW95" s="78"/>
      <c r="FFX95" s="78"/>
      <c r="FFY95" s="78"/>
      <c r="FFZ95" s="78"/>
      <c r="FGA95" s="78"/>
      <c r="FGB95" s="78"/>
      <c r="FGC95" s="78"/>
      <c r="FGD95" s="78"/>
      <c r="FGE95" s="78"/>
      <c r="FGF95" s="78"/>
      <c r="FGG95" s="78"/>
      <c r="FGH95" s="78"/>
      <c r="FGI95" s="78"/>
      <c r="FGJ95" s="78"/>
      <c r="FGK95" s="78"/>
      <c r="FGL95" s="78"/>
      <c r="FGM95" s="78"/>
      <c r="FGN95" s="78"/>
      <c r="FGO95" s="78"/>
      <c r="FGP95" s="78"/>
      <c r="FGQ95" s="78"/>
      <c r="FGR95" s="78"/>
      <c r="FGS95" s="78"/>
      <c r="FGT95" s="78"/>
      <c r="FGU95" s="78"/>
      <c r="FGV95" s="78"/>
      <c r="FGW95" s="78"/>
      <c r="FGX95" s="78"/>
      <c r="FGY95" s="78"/>
      <c r="FGZ95" s="78"/>
      <c r="FHA95" s="78"/>
      <c r="FHB95" s="78"/>
      <c r="FHC95" s="78"/>
      <c r="FHD95" s="78"/>
      <c r="FHE95" s="78"/>
      <c r="FHF95" s="78"/>
      <c r="FHG95" s="78"/>
      <c r="FHH95" s="78"/>
      <c r="FHI95" s="78"/>
      <c r="FHJ95" s="78"/>
      <c r="FHK95" s="78"/>
      <c r="FHL95" s="78"/>
      <c r="FHM95" s="78"/>
      <c r="FHN95" s="78"/>
      <c r="FHO95" s="78"/>
      <c r="FHP95" s="78"/>
      <c r="FHQ95" s="78"/>
      <c r="FHR95" s="78"/>
      <c r="FHS95" s="78"/>
      <c r="FHT95" s="78"/>
      <c r="FHU95" s="78"/>
      <c r="FHV95" s="78"/>
      <c r="FHW95" s="78"/>
      <c r="FHX95" s="78"/>
      <c r="FHY95" s="78"/>
      <c r="FHZ95" s="78"/>
      <c r="FIA95" s="78"/>
      <c r="FIB95" s="78"/>
      <c r="FIC95" s="78"/>
      <c r="FID95" s="78"/>
      <c r="FIE95" s="78"/>
      <c r="FIF95" s="78"/>
      <c r="FIG95" s="78"/>
      <c r="FIH95" s="78"/>
      <c r="FII95" s="78"/>
      <c r="FIJ95" s="78"/>
      <c r="FIK95" s="78"/>
      <c r="FIL95" s="78"/>
      <c r="FIM95" s="78"/>
      <c r="FIN95" s="78"/>
      <c r="FIO95" s="78"/>
      <c r="FIP95" s="78"/>
      <c r="FIQ95" s="78"/>
      <c r="FIR95" s="78"/>
      <c r="FIS95" s="78"/>
      <c r="FIT95" s="78"/>
      <c r="FIU95" s="78"/>
      <c r="FIV95" s="78"/>
      <c r="FIW95" s="78"/>
      <c r="FIX95" s="78"/>
      <c r="FIY95" s="78"/>
      <c r="FIZ95" s="78"/>
      <c r="FJA95" s="78"/>
      <c r="FJB95" s="78"/>
      <c r="FJC95" s="78"/>
      <c r="FJD95" s="78"/>
      <c r="FJE95" s="78"/>
      <c r="FJF95" s="78"/>
      <c r="FJG95" s="78"/>
      <c r="FJH95" s="78"/>
      <c r="FJI95" s="78"/>
      <c r="FJJ95" s="78"/>
      <c r="FJK95" s="78"/>
      <c r="FJL95" s="78"/>
      <c r="FJM95" s="78"/>
      <c r="FJN95" s="78"/>
      <c r="FJO95" s="78"/>
      <c r="FJP95" s="78"/>
      <c r="FJQ95" s="78"/>
      <c r="FJR95" s="78"/>
      <c r="FJS95" s="78"/>
      <c r="FJT95" s="78"/>
      <c r="FJU95" s="78"/>
      <c r="FJV95" s="78"/>
      <c r="FJW95" s="78"/>
      <c r="FJX95" s="78"/>
      <c r="FJY95" s="78"/>
      <c r="FJZ95" s="78"/>
      <c r="FKA95" s="78"/>
      <c r="FKB95" s="78"/>
      <c r="FKC95" s="78"/>
      <c r="FKD95" s="78"/>
      <c r="FKE95" s="78"/>
      <c r="FKF95" s="78"/>
      <c r="FKG95" s="78"/>
      <c r="FKH95" s="78"/>
      <c r="FKI95" s="78"/>
      <c r="FKJ95" s="78"/>
      <c r="FKK95" s="78"/>
      <c r="FKL95" s="78"/>
      <c r="FKM95" s="78"/>
      <c r="FKN95" s="78"/>
      <c r="FKO95" s="78"/>
      <c r="FKP95" s="78"/>
      <c r="FKQ95" s="78"/>
      <c r="FKR95" s="78"/>
      <c r="FKS95" s="78"/>
      <c r="FKT95" s="78"/>
      <c r="FKU95" s="78"/>
      <c r="FKV95" s="78"/>
      <c r="FKW95" s="78"/>
      <c r="FKX95" s="78"/>
      <c r="FKY95" s="78"/>
      <c r="FKZ95" s="78"/>
      <c r="FLA95" s="78"/>
      <c r="FLB95" s="78"/>
      <c r="FLC95" s="78"/>
      <c r="FLD95" s="78"/>
      <c r="FLE95" s="78"/>
      <c r="FLF95" s="78"/>
      <c r="FLG95" s="78"/>
      <c r="FLH95" s="78"/>
      <c r="FLI95" s="78"/>
      <c r="FLJ95" s="78"/>
      <c r="FLK95" s="78"/>
      <c r="FLL95" s="78"/>
      <c r="FLM95" s="78"/>
      <c r="FLN95" s="78"/>
      <c r="FLO95" s="78"/>
      <c r="FLP95" s="78"/>
      <c r="FLQ95" s="78"/>
      <c r="FLR95" s="78"/>
      <c r="FLS95" s="78"/>
      <c r="FLT95" s="78"/>
      <c r="FLU95" s="78"/>
      <c r="FLV95" s="78"/>
      <c r="FLW95" s="78"/>
      <c r="FLX95" s="78"/>
      <c r="FLY95" s="78"/>
      <c r="FLZ95" s="78"/>
      <c r="FMA95" s="78"/>
      <c r="FMB95" s="78"/>
      <c r="FMC95" s="78"/>
      <c r="FMD95" s="78"/>
      <c r="FME95" s="78"/>
      <c r="FMF95" s="78"/>
      <c r="FMG95" s="78"/>
      <c r="FMH95" s="78"/>
      <c r="FMI95" s="78"/>
      <c r="FMJ95" s="78"/>
      <c r="FMK95" s="78"/>
      <c r="FML95" s="78"/>
      <c r="FMM95" s="78"/>
      <c r="FMN95" s="78"/>
      <c r="FMO95" s="78"/>
      <c r="FMP95" s="78"/>
      <c r="FMQ95" s="78"/>
      <c r="FMR95" s="78"/>
      <c r="FMS95" s="78"/>
      <c r="FMT95" s="78"/>
      <c r="FMU95" s="78"/>
      <c r="FMV95" s="78"/>
      <c r="FMW95" s="78"/>
      <c r="FMX95" s="78"/>
      <c r="FMY95" s="78"/>
      <c r="FMZ95" s="78"/>
      <c r="FNA95" s="78"/>
      <c r="FNB95" s="78"/>
      <c r="FNC95" s="78"/>
      <c r="FND95" s="78"/>
      <c r="FNE95" s="78"/>
      <c r="FNF95" s="78"/>
      <c r="FNG95" s="78"/>
      <c r="FNH95" s="78"/>
      <c r="FNI95" s="78"/>
      <c r="FNJ95" s="78"/>
      <c r="FNK95" s="78"/>
      <c r="FNL95" s="78"/>
      <c r="FNM95" s="78"/>
      <c r="FNN95" s="78"/>
      <c r="FNO95" s="78"/>
      <c r="FNP95" s="78"/>
      <c r="FNQ95" s="78"/>
      <c r="FNR95" s="78"/>
      <c r="FNS95" s="78"/>
      <c r="FNT95" s="78"/>
      <c r="FNU95" s="78"/>
      <c r="FNV95" s="78"/>
      <c r="FNW95" s="78"/>
      <c r="FNX95" s="78"/>
      <c r="FNY95" s="78"/>
      <c r="FNZ95" s="78"/>
      <c r="FOA95" s="78"/>
      <c r="FOB95" s="78"/>
      <c r="FOC95" s="78"/>
      <c r="FOD95" s="78"/>
      <c r="FOE95" s="78"/>
      <c r="FOF95" s="78"/>
      <c r="FOG95" s="78"/>
      <c r="FOH95" s="78"/>
      <c r="FOI95" s="78"/>
      <c r="FOJ95" s="78"/>
      <c r="FOK95" s="78"/>
      <c r="FOL95" s="78"/>
      <c r="FOM95" s="78"/>
      <c r="FON95" s="78"/>
      <c r="FOO95" s="78"/>
      <c r="FOP95" s="78"/>
      <c r="FOQ95" s="78"/>
      <c r="FOR95" s="78"/>
      <c r="FOS95" s="78"/>
      <c r="FOT95" s="78"/>
      <c r="FOU95" s="78"/>
      <c r="FOV95" s="78"/>
      <c r="FOW95" s="78"/>
      <c r="FOX95" s="78"/>
      <c r="FOY95" s="78"/>
      <c r="FOZ95" s="78"/>
      <c r="FPA95" s="78"/>
      <c r="FPB95" s="78"/>
      <c r="FPC95" s="78"/>
      <c r="FPD95" s="78"/>
      <c r="FPE95" s="78"/>
      <c r="FPF95" s="78"/>
      <c r="FPG95" s="78"/>
      <c r="FPH95" s="78"/>
      <c r="FPI95" s="78"/>
      <c r="FPJ95" s="78"/>
      <c r="FPK95" s="78"/>
      <c r="FPL95" s="78"/>
      <c r="FPM95" s="78"/>
      <c r="FPN95" s="78"/>
      <c r="FPO95" s="78"/>
      <c r="FPP95" s="78"/>
      <c r="FPQ95" s="78"/>
      <c r="FPR95" s="78"/>
      <c r="FPS95" s="78"/>
      <c r="FPT95" s="78"/>
      <c r="FPU95" s="78"/>
      <c r="FPV95" s="78"/>
      <c r="FPW95" s="78"/>
      <c r="FPX95" s="78"/>
      <c r="FPY95" s="78"/>
      <c r="FPZ95" s="78"/>
      <c r="FQA95" s="78"/>
      <c r="FQB95" s="78"/>
      <c r="FQC95" s="78"/>
      <c r="FQD95" s="78"/>
      <c r="FQE95" s="78"/>
      <c r="FQF95" s="78"/>
      <c r="FQG95" s="78"/>
      <c r="FQH95" s="78"/>
      <c r="FQI95" s="78"/>
      <c r="FQJ95" s="78"/>
      <c r="FQK95" s="78"/>
      <c r="FQL95" s="78"/>
      <c r="FQM95" s="78"/>
      <c r="FQN95" s="78"/>
      <c r="FQO95" s="78"/>
      <c r="FQP95" s="78"/>
      <c r="FQQ95" s="78"/>
      <c r="FQR95" s="78"/>
      <c r="FQS95" s="78"/>
      <c r="FQT95" s="78"/>
      <c r="FQU95" s="78"/>
      <c r="FQV95" s="78"/>
      <c r="FQW95" s="78"/>
      <c r="FQX95" s="78"/>
      <c r="FQY95" s="78"/>
      <c r="FQZ95" s="78"/>
      <c r="FRA95" s="78"/>
      <c r="FRB95" s="78"/>
      <c r="FRC95" s="78"/>
      <c r="FRD95" s="78"/>
      <c r="FRE95" s="78"/>
      <c r="FRF95" s="78"/>
      <c r="FRG95" s="78"/>
      <c r="FRH95" s="78"/>
      <c r="FRI95" s="78"/>
      <c r="FRJ95" s="78"/>
      <c r="FRK95" s="78"/>
      <c r="FRL95" s="78"/>
      <c r="FRM95" s="78"/>
      <c r="FRN95" s="78"/>
      <c r="FRO95" s="78"/>
      <c r="FRP95" s="78"/>
      <c r="FRQ95" s="78"/>
      <c r="FRR95" s="78"/>
      <c r="FRS95" s="78"/>
      <c r="FRT95" s="78"/>
      <c r="FRU95" s="78"/>
      <c r="FRV95" s="78"/>
      <c r="FRW95" s="78"/>
      <c r="FRX95" s="78"/>
      <c r="FRY95" s="78"/>
      <c r="FRZ95" s="78"/>
      <c r="FSA95" s="78"/>
      <c r="FSB95" s="78"/>
      <c r="FSC95" s="78"/>
      <c r="FSD95" s="78"/>
      <c r="FSE95" s="78"/>
      <c r="FSF95" s="78"/>
      <c r="FSG95" s="78"/>
      <c r="FSH95" s="78"/>
      <c r="FSI95" s="78"/>
      <c r="FSJ95" s="78"/>
      <c r="FSK95" s="78"/>
      <c r="FSL95" s="78"/>
      <c r="FSM95" s="78"/>
      <c r="FSN95" s="78"/>
      <c r="FSO95" s="78"/>
      <c r="FSP95" s="78"/>
      <c r="FSQ95" s="78"/>
      <c r="FSR95" s="78"/>
      <c r="FSS95" s="78"/>
      <c r="FST95" s="78"/>
      <c r="FSU95" s="78"/>
      <c r="FSV95" s="78"/>
      <c r="FSW95" s="78"/>
      <c r="FSX95" s="78"/>
      <c r="FSY95" s="78"/>
      <c r="FSZ95" s="78"/>
      <c r="FTA95" s="78"/>
      <c r="FTB95" s="78"/>
      <c r="FTC95" s="78"/>
      <c r="FTD95" s="78"/>
      <c r="FTE95" s="78"/>
      <c r="FTF95" s="78"/>
      <c r="FTG95" s="78"/>
      <c r="FTH95" s="78"/>
      <c r="FTI95" s="78"/>
      <c r="FTJ95" s="78"/>
      <c r="FTK95" s="78"/>
      <c r="FTL95" s="78"/>
      <c r="FTM95" s="78"/>
      <c r="FTN95" s="78"/>
      <c r="FTO95" s="78"/>
      <c r="FTP95" s="78"/>
      <c r="FTQ95" s="78"/>
      <c r="FTR95" s="78"/>
      <c r="FTS95" s="78"/>
      <c r="FTT95" s="78"/>
      <c r="FTU95" s="78"/>
      <c r="FTV95" s="78"/>
      <c r="FTW95" s="78"/>
      <c r="FTX95" s="78"/>
      <c r="FTY95" s="78"/>
      <c r="FTZ95" s="78"/>
      <c r="FUA95" s="78"/>
      <c r="FUB95" s="78"/>
      <c r="FUC95" s="78"/>
      <c r="FUD95" s="78"/>
      <c r="FUE95" s="78"/>
      <c r="FUF95" s="78"/>
      <c r="FUG95" s="78"/>
      <c r="FUH95" s="78"/>
      <c r="FUI95" s="78"/>
      <c r="FUJ95" s="78"/>
      <c r="FUK95" s="78"/>
      <c r="FUL95" s="78"/>
      <c r="FUM95" s="78"/>
      <c r="FUN95" s="78"/>
      <c r="FUO95" s="78"/>
      <c r="FUP95" s="78"/>
      <c r="FUQ95" s="78"/>
      <c r="FUR95" s="78"/>
      <c r="FUS95" s="78"/>
      <c r="FUT95" s="78"/>
      <c r="FUU95" s="78"/>
      <c r="FUV95" s="78"/>
      <c r="FUW95" s="78"/>
      <c r="FUX95" s="78"/>
      <c r="FUY95" s="78"/>
      <c r="FUZ95" s="78"/>
      <c r="FVA95" s="78"/>
      <c r="FVB95" s="78"/>
      <c r="FVC95" s="78"/>
      <c r="FVD95" s="78"/>
      <c r="FVE95" s="78"/>
      <c r="FVF95" s="78"/>
      <c r="FVG95" s="78"/>
      <c r="FVH95" s="78"/>
      <c r="FVI95" s="78"/>
      <c r="FVJ95" s="78"/>
      <c r="FVK95" s="78"/>
      <c r="FVL95" s="78"/>
      <c r="FVM95" s="78"/>
      <c r="FVN95" s="78"/>
      <c r="FVO95" s="78"/>
      <c r="FVP95" s="78"/>
      <c r="FVQ95" s="78"/>
      <c r="FVR95" s="78"/>
      <c r="FVS95" s="78"/>
      <c r="FVT95" s="78"/>
      <c r="FVU95" s="78"/>
      <c r="FVV95" s="78"/>
      <c r="FVW95" s="78"/>
      <c r="FVX95" s="78"/>
      <c r="FVY95" s="78"/>
      <c r="FVZ95" s="78"/>
      <c r="FWA95" s="78"/>
      <c r="FWB95" s="78"/>
      <c r="FWC95" s="78"/>
      <c r="FWD95" s="78"/>
      <c r="FWE95" s="78"/>
      <c r="FWF95" s="78"/>
      <c r="FWG95" s="78"/>
      <c r="FWH95" s="78"/>
      <c r="FWI95" s="78"/>
      <c r="FWJ95" s="78"/>
      <c r="FWK95" s="78"/>
      <c r="FWL95" s="78"/>
      <c r="FWM95" s="78"/>
      <c r="FWN95" s="78"/>
      <c r="FWO95" s="78"/>
      <c r="FWP95" s="78"/>
      <c r="FWQ95" s="78"/>
      <c r="FWR95" s="78"/>
      <c r="FWS95" s="78"/>
      <c r="FWT95" s="78"/>
      <c r="FWU95" s="78"/>
      <c r="FWV95" s="78"/>
      <c r="FWW95" s="78"/>
      <c r="FWX95" s="78"/>
      <c r="FWY95" s="78"/>
      <c r="FWZ95" s="78"/>
      <c r="FXA95" s="78"/>
      <c r="FXB95" s="78"/>
      <c r="FXC95" s="78"/>
      <c r="FXD95" s="78"/>
      <c r="FXE95" s="78"/>
      <c r="FXF95" s="78"/>
      <c r="FXG95" s="78"/>
      <c r="FXH95" s="78"/>
      <c r="FXI95" s="78"/>
      <c r="FXJ95" s="78"/>
      <c r="FXK95" s="78"/>
      <c r="FXL95" s="78"/>
      <c r="FXM95" s="78"/>
      <c r="FXN95" s="78"/>
      <c r="FXO95" s="78"/>
      <c r="FXP95" s="78"/>
      <c r="FXQ95" s="78"/>
      <c r="FXR95" s="78"/>
      <c r="FXS95" s="78"/>
      <c r="FXT95" s="78"/>
      <c r="FXU95" s="78"/>
      <c r="FXV95" s="78"/>
      <c r="FXW95" s="78"/>
      <c r="FXX95" s="78"/>
      <c r="FXY95" s="78"/>
      <c r="FXZ95" s="78"/>
      <c r="FYA95" s="78"/>
      <c r="FYB95" s="78"/>
      <c r="FYC95" s="78"/>
      <c r="FYD95" s="78"/>
      <c r="FYE95" s="78"/>
      <c r="FYF95" s="78"/>
      <c r="FYG95" s="78"/>
      <c r="FYH95" s="78"/>
      <c r="FYI95" s="78"/>
      <c r="FYJ95" s="78"/>
      <c r="FYK95" s="78"/>
      <c r="FYL95" s="78"/>
      <c r="FYM95" s="78"/>
      <c r="FYN95" s="78"/>
      <c r="FYO95" s="78"/>
      <c r="FYP95" s="78"/>
      <c r="FYQ95" s="78"/>
      <c r="FYR95" s="78"/>
      <c r="FYS95" s="78"/>
      <c r="FYT95" s="78"/>
      <c r="FYU95" s="78"/>
      <c r="FYV95" s="78"/>
      <c r="FYW95" s="78"/>
      <c r="FYX95" s="78"/>
      <c r="FYY95" s="78"/>
      <c r="FYZ95" s="78"/>
      <c r="FZA95" s="78"/>
      <c r="FZB95" s="78"/>
      <c r="FZC95" s="78"/>
      <c r="FZD95" s="78"/>
      <c r="FZE95" s="78"/>
      <c r="FZF95" s="78"/>
      <c r="FZG95" s="78"/>
      <c r="FZH95" s="78"/>
      <c r="FZI95" s="78"/>
      <c r="FZJ95" s="78"/>
      <c r="FZK95" s="78"/>
      <c r="FZL95" s="78"/>
      <c r="FZM95" s="78"/>
      <c r="FZN95" s="78"/>
      <c r="FZO95" s="78"/>
      <c r="FZP95" s="78"/>
      <c r="FZQ95" s="78"/>
      <c r="FZR95" s="78"/>
      <c r="FZS95" s="78"/>
      <c r="FZT95" s="78"/>
      <c r="FZU95" s="78"/>
      <c r="FZV95" s="78"/>
      <c r="FZW95" s="78"/>
      <c r="FZX95" s="78"/>
      <c r="FZY95" s="78"/>
      <c r="FZZ95" s="78"/>
      <c r="GAA95" s="78"/>
      <c r="GAB95" s="78"/>
      <c r="GAC95" s="78"/>
      <c r="GAD95" s="78"/>
      <c r="GAE95" s="78"/>
      <c r="GAF95" s="78"/>
      <c r="GAG95" s="78"/>
      <c r="GAH95" s="78"/>
      <c r="GAI95" s="78"/>
      <c r="GAJ95" s="78"/>
      <c r="GAK95" s="78"/>
      <c r="GAL95" s="78"/>
      <c r="GAM95" s="78"/>
      <c r="GAN95" s="78"/>
      <c r="GAO95" s="78"/>
      <c r="GAP95" s="78"/>
      <c r="GAQ95" s="78"/>
      <c r="GAR95" s="78"/>
      <c r="GAS95" s="78"/>
      <c r="GAT95" s="78"/>
      <c r="GAU95" s="78"/>
      <c r="GAV95" s="78"/>
      <c r="GAW95" s="78"/>
      <c r="GAX95" s="78"/>
      <c r="GAY95" s="78"/>
      <c r="GAZ95" s="78"/>
      <c r="GBA95" s="78"/>
      <c r="GBB95" s="78"/>
      <c r="GBC95" s="78"/>
      <c r="GBD95" s="78"/>
      <c r="GBE95" s="78"/>
      <c r="GBF95" s="78"/>
      <c r="GBG95" s="78"/>
      <c r="GBH95" s="78"/>
      <c r="GBI95" s="78"/>
      <c r="GBJ95" s="78"/>
      <c r="GBK95" s="78"/>
      <c r="GBL95" s="78"/>
      <c r="GBM95" s="78"/>
      <c r="GBN95" s="78"/>
      <c r="GBO95" s="78"/>
      <c r="GBP95" s="78"/>
      <c r="GBQ95" s="78"/>
      <c r="GBR95" s="78"/>
      <c r="GBS95" s="78"/>
      <c r="GBT95" s="78"/>
      <c r="GBU95" s="78"/>
      <c r="GBV95" s="78"/>
      <c r="GBW95" s="78"/>
      <c r="GBX95" s="78"/>
      <c r="GBY95" s="78"/>
      <c r="GBZ95" s="78"/>
      <c r="GCA95" s="78"/>
      <c r="GCB95" s="78"/>
      <c r="GCC95" s="78"/>
      <c r="GCD95" s="78"/>
      <c r="GCE95" s="78"/>
      <c r="GCF95" s="78"/>
      <c r="GCG95" s="78"/>
      <c r="GCH95" s="78"/>
      <c r="GCI95" s="78"/>
      <c r="GCJ95" s="78"/>
      <c r="GCK95" s="78"/>
      <c r="GCL95" s="78"/>
      <c r="GCM95" s="78"/>
      <c r="GCN95" s="78"/>
      <c r="GCO95" s="78"/>
      <c r="GCP95" s="78"/>
      <c r="GCQ95" s="78"/>
      <c r="GCR95" s="78"/>
      <c r="GCS95" s="78"/>
      <c r="GCT95" s="78"/>
      <c r="GCU95" s="78"/>
      <c r="GCV95" s="78"/>
      <c r="GCW95" s="78"/>
      <c r="GCX95" s="78"/>
      <c r="GCY95" s="78"/>
      <c r="GCZ95" s="78"/>
      <c r="GDA95" s="78"/>
      <c r="GDB95" s="78"/>
      <c r="GDC95" s="78"/>
      <c r="GDD95" s="78"/>
      <c r="GDE95" s="78"/>
      <c r="GDF95" s="78"/>
      <c r="GDG95" s="78"/>
      <c r="GDH95" s="78"/>
      <c r="GDI95" s="78"/>
      <c r="GDJ95" s="78"/>
      <c r="GDK95" s="78"/>
      <c r="GDL95" s="78"/>
      <c r="GDM95" s="78"/>
      <c r="GDN95" s="78"/>
      <c r="GDO95" s="78"/>
      <c r="GDP95" s="78"/>
      <c r="GDQ95" s="78"/>
      <c r="GDR95" s="78"/>
      <c r="GDS95" s="78"/>
      <c r="GDT95" s="78"/>
      <c r="GDU95" s="78"/>
      <c r="GDV95" s="78"/>
      <c r="GDW95" s="78"/>
      <c r="GDX95" s="78"/>
      <c r="GDY95" s="78"/>
      <c r="GDZ95" s="78"/>
      <c r="GEA95" s="78"/>
      <c r="GEB95" s="78"/>
      <c r="GEC95" s="78"/>
      <c r="GED95" s="78"/>
      <c r="GEE95" s="78"/>
      <c r="GEF95" s="78"/>
      <c r="GEG95" s="78"/>
      <c r="GEH95" s="78"/>
      <c r="GEI95" s="78"/>
      <c r="GEJ95" s="78"/>
      <c r="GEK95" s="78"/>
      <c r="GEL95" s="78"/>
      <c r="GEM95" s="78"/>
      <c r="GEN95" s="78"/>
      <c r="GEO95" s="78"/>
      <c r="GEP95" s="78"/>
      <c r="GEQ95" s="78"/>
      <c r="GER95" s="78"/>
      <c r="GES95" s="78"/>
      <c r="GET95" s="78"/>
      <c r="GEU95" s="78"/>
      <c r="GEV95" s="78"/>
      <c r="GEW95" s="78"/>
      <c r="GEX95" s="78"/>
      <c r="GEY95" s="78"/>
      <c r="GEZ95" s="78"/>
      <c r="GFA95" s="78"/>
      <c r="GFB95" s="78"/>
      <c r="GFC95" s="78"/>
      <c r="GFD95" s="78"/>
      <c r="GFE95" s="78"/>
      <c r="GFF95" s="78"/>
      <c r="GFG95" s="78"/>
      <c r="GFH95" s="78"/>
      <c r="GFI95" s="78"/>
      <c r="GFJ95" s="78"/>
      <c r="GFK95" s="78"/>
      <c r="GFL95" s="78"/>
      <c r="GFM95" s="78"/>
      <c r="GFN95" s="78"/>
      <c r="GFO95" s="78"/>
      <c r="GFP95" s="78"/>
      <c r="GFQ95" s="78"/>
      <c r="GFR95" s="78"/>
      <c r="GFS95" s="78"/>
      <c r="GFT95" s="78"/>
      <c r="GFU95" s="78"/>
      <c r="GFV95" s="78"/>
      <c r="GFW95" s="78"/>
      <c r="GFX95" s="78"/>
      <c r="GFY95" s="78"/>
      <c r="GFZ95" s="78"/>
      <c r="GGA95" s="78"/>
      <c r="GGB95" s="78"/>
      <c r="GGC95" s="78"/>
      <c r="GGD95" s="78"/>
      <c r="GGE95" s="78"/>
      <c r="GGF95" s="78"/>
      <c r="GGG95" s="78"/>
      <c r="GGH95" s="78"/>
      <c r="GGI95" s="78"/>
      <c r="GGJ95" s="78"/>
      <c r="GGK95" s="78"/>
      <c r="GGL95" s="78"/>
      <c r="GGM95" s="78"/>
      <c r="GGN95" s="78"/>
      <c r="GGO95" s="78"/>
      <c r="GGP95" s="78"/>
      <c r="GGQ95" s="78"/>
      <c r="GGR95" s="78"/>
      <c r="GGS95" s="78"/>
      <c r="GGT95" s="78"/>
      <c r="GGU95" s="78"/>
      <c r="GGV95" s="78"/>
      <c r="GGW95" s="78"/>
      <c r="GGX95" s="78"/>
      <c r="GGY95" s="78"/>
      <c r="GGZ95" s="78"/>
      <c r="GHA95" s="78"/>
      <c r="GHB95" s="78"/>
      <c r="GHC95" s="78"/>
      <c r="GHD95" s="78"/>
      <c r="GHE95" s="78"/>
      <c r="GHF95" s="78"/>
      <c r="GHG95" s="78"/>
      <c r="GHH95" s="78"/>
      <c r="GHI95" s="78"/>
      <c r="GHJ95" s="78"/>
      <c r="GHK95" s="78"/>
      <c r="GHL95" s="78"/>
      <c r="GHM95" s="78"/>
      <c r="GHN95" s="78"/>
      <c r="GHO95" s="78"/>
      <c r="GHP95" s="78"/>
      <c r="GHQ95" s="78"/>
      <c r="GHR95" s="78"/>
      <c r="GHS95" s="78"/>
      <c r="GHT95" s="78"/>
      <c r="GHU95" s="78"/>
      <c r="GHV95" s="78"/>
      <c r="GHW95" s="78"/>
      <c r="GHX95" s="78"/>
      <c r="GHY95" s="78"/>
      <c r="GHZ95" s="78"/>
      <c r="GIA95" s="78"/>
      <c r="GIB95" s="78"/>
      <c r="GIC95" s="78"/>
      <c r="GID95" s="78"/>
      <c r="GIE95" s="78"/>
      <c r="GIF95" s="78"/>
      <c r="GIG95" s="78"/>
      <c r="GIH95" s="78"/>
      <c r="GII95" s="78"/>
      <c r="GIJ95" s="78"/>
      <c r="GIK95" s="78"/>
      <c r="GIL95" s="78"/>
      <c r="GIM95" s="78"/>
      <c r="GIN95" s="78"/>
      <c r="GIO95" s="78"/>
      <c r="GIP95" s="78"/>
      <c r="GIQ95" s="78"/>
      <c r="GIR95" s="78"/>
      <c r="GIS95" s="78"/>
      <c r="GIT95" s="78"/>
      <c r="GIU95" s="78"/>
      <c r="GIV95" s="78"/>
      <c r="GIW95" s="78"/>
      <c r="GIX95" s="78"/>
      <c r="GIY95" s="78"/>
      <c r="GIZ95" s="78"/>
      <c r="GJA95" s="78"/>
      <c r="GJB95" s="78"/>
      <c r="GJC95" s="78"/>
      <c r="GJD95" s="78"/>
      <c r="GJE95" s="78"/>
      <c r="GJF95" s="78"/>
      <c r="GJG95" s="78"/>
      <c r="GJH95" s="78"/>
      <c r="GJI95" s="78"/>
      <c r="GJJ95" s="78"/>
      <c r="GJK95" s="78"/>
      <c r="GJL95" s="78"/>
      <c r="GJM95" s="78"/>
      <c r="GJN95" s="78"/>
      <c r="GJO95" s="78"/>
      <c r="GJP95" s="78"/>
      <c r="GJQ95" s="78"/>
      <c r="GJR95" s="78"/>
      <c r="GJS95" s="78"/>
      <c r="GJT95" s="78"/>
      <c r="GJU95" s="78"/>
      <c r="GJV95" s="78"/>
      <c r="GJW95" s="78"/>
      <c r="GJX95" s="78"/>
      <c r="GJY95" s="78"/>
      <c r="GJZ95" s="78"/>
      <c r="GKA95" s="78"/>
      <c r="GKB95" s="78"/>
      <c r="GKC95" s="78"/>
      <c r="GKD95" s="78"/>
      <c r="GKE95" s="78"/>
      <c r="GKF95" s="78"/>
      <c r="GKG95" s="78"/>
      <c r="GKH95" s="78"/>
      <c r="GKI95" s="78"/>
      <c r="GKJ95" s="78"/>
      <c r="GKK95" s="78"/>
      <c r="GKL95" s="78"/>
      <c r="GKM95" s="78"/>
      <c r="GKN95" s="78"/>
      <c r="GKO95" s="78"/>
      <c r="GKP95" s="78"/>
      <c r="GKQ95" s="78"/>
      <c r="GKR95" s="78"/>
      <c r="GKS95" s="78"/>
      <c r="GKT95" s="78"/>
      <c r="GKU95" s="78"/>
      <c r="GKV95" s="78"/>
      <c r="GKW95" s="78"/>
      <c r="GKX95" s="78"/>
      <c r="GKY95" s="78"/>
      <c r="GKZ95" s="78"/>
      <c r="GLA95" s="78"/>
      <c r="GLB95" s="78"/>
      <c r="GLC95" s="78"/>
      <c r="GLD95" s="78"/>
      <c r="GLE95" s="78"/>
      <c r="GLF95" s="78"/>
      <c r="GLG95" s="78"/>
      <c r="GLH95" s="78"/>
      <c r="GLI95" s="78"/>
      <c r="GLJ95" s="78"/>
      <c r="GLK95" s="78"/>
      <c r="GLL95" s="78"/>
      <c r="GLM95" s="78"/>
      <c r="GLN95" s="78"/>
      <c r="GLO95" s="78"/>
      <c r="GLP95" s="78"/>
      <c r="GLQ95" s="78"/>
      <c r="GLR95" s="78"/>
      <c r="GLS95" s="78"/>
      <c r="GLT95" s="78"/>
      <c r="GLU95" s="78"/>
      <c r="GLV95" s="78"/>
      <c r="GLW95" s="78"/>
      <c r="GLX95" s="78"/>
      <c r="GLY95" s="78"/>
      <c r="GLZ95" s="78"/>
      <c r="GMA95" s="78"/>
      <c r="GMB95" s="78"/>
      <c r="GMC95" s="78"/>
      <c r="GMD95" s="78"/>
      <c r="GME95" s="78"/>
      <c r="GMF95" s="78"/>
      <c r="GMG95" s="78"/>
      <c r="GMH95" s="78"/>
      <c r="GMI95" s="78"/>
      <c r="GMJ95" s="78"/>
      <c r="GMK95" s="78"/>
      <c r="GML95" s="78"/>
      <c r="GMM95" s="78"/>
      <c r="GMN95" s="78"/>
      <c r="GMO95" s="78"/>
      <c r="GMP95" s="78"/>
      <c r="GMQ95" s="78"/>
      <c r="GMR95" s="78"/>
      <c r="GMS95" s="78"/>
      <c r="GMT95" s="78"/>
      <c r="GMU95" s="78"/>
      <c r="GMV95" s="78"/>
      <c r="GMW95" s="78"/>
      <c r="GMX95" s="78"/>
      <c r="GMY95" s="78"/>
      <c r="GMZ95" s="78"/>
      <c r="GNA95" s="78"/>
      <c r="GNB95" s="78"/>
      <c r="GNC95" s="78"/>
      <c r="GND95" s="78"/>
      <c r="GNE95" s="78"/>
      <c r="GNF95" s="78"/>
      <c r="GNG95" s="78"/>
      <c r="GNH95" s="78"/>
      <c r="GNI95" s="78"/>
      <c r="GNJ95" s="78"/>
      <c r="GNK95" s="78"/>
      <c r="GNL95" s="78"/>
      <c r="GNM95" s="78"/>
      <c r="GNN95" s="78"/>
      <c r="GNO95" s="78"/>
      <c r="GNP95" s="78"/>
      <c r="GNQ95" s="78"/>
      <c r="GNR95" s="78"/>
      <c r="GNS95" s="78"/>
      <c r="GNT95" s="78"/>
      <c r="GNU95" s="78"/>
      <c r="GNV95" s="78"/>
      <c r="GNW95" s="78"/>
      <c r="GNX95" s="78"/>
      <c r="GNY95" s="78"/>
      <c r="GNZ95" s="78"/>
      <c r="GOA95" s="78"/>
      <c r="GOB95" s="78"/>
      <c r="GOC95" s="78"/>
      <c r="GOD95" s="78"/>
      <c r="GOE95" s="78"/>
      <c r="GOF95" s="78"/>
      <c r="GOG95" s="78"/>
      <c r="GOH95" s="78"/>
      <c r="GOI95" s="78"/>
      <c r="GOJ95" s="78"/>
      <c r="GOK95" s="78"/>
      <c r="GOL95" s="78"/>
      <c r="GOM95" s="78"/>
      <c r="GON95" s="78"/>
      <c r="GOO95" s="78"/>
      <c r="GOP95" s="78"/>
      <c r="GOQ95" s="78"/>
      <c r="GOR95" s="78"/>
      <c r="GOS95" s="78"/>
      <c r="GOT95" s="78"/>
      <c r="GOU95" s="78"/>
      <c r="GOV95" s="78"/>
      <c r="GOW95" s="78"/>
      <c r="GOX95" s="78"/>
      <c r="GOY95" s="78"/>
      <c r="GOZ95" s="78"/>
      <c r="GPA95" s="78"/>
      <c r="GPB95" s="78"/>
      <c r="GPC95" s="78"/>
      <c r="GPD95" s="78"/>
      <c r="GPE95" s="78"/>
      <c r="GPF95" s="78"/>
      <c r="GPG95" s="78"/>
      <c r="GPH95" s="78"/>
      <c r="GPI95" s="78"/>
      <c r="GPJ95" s="78"/>
      <c r="GPK95" s="78"/>
      <c r="GPL95" s="78"/>
      <c r="GPM95" s="78"/>
      <c r="GPN95" s="78"/>
      <c r="GPO95" s="78"/>
      <c r="GPP95" s="78"/>
      <c r="GPQ95" s="78"/>
      <c r="GPR95" s="78"/>
      <c r="GPS95" s="78"/>
      <c r="GPT95" s="78"/>
      <c r="GPU95" s="78"/>
      <c r="GPV95" s="78"/>
      <c r="GPW95" s="78"/>
      <c r="GPX95" s="78"/>
      <c r="GPY95" s="78"/>
      <c r="GPZ95" s="78"/>
      <c r="GQA95" s="78"/>
      <c r="GQB95" s="78"/>
      <c r="GQC95" s="78"/>
      <c r="GQD95" s="78"/>
      <c r="GQE95" s="78"/>
      <c r="GQF95" s="78"/>
      <c r="GQG95" s="78"/>
      <c r="GQH95" s="78"/>
      <c r="GQI95" s="78"/>
      <c r="GQJ95" s="78"/>
      <c r="GQK95" s="78"/>
      <c r="GQL95" s="78"/>
      <c r="GQM95" s="78"/>
      <c r="GQN95" s="78"/>
      <c r="GQO95" s="78"/>
      <c r="GQP95" s="78"/>
      <c r="GQQ95" s="78"/>
      <c r="GQR95" s="78"/>
      <c r="GQS95" s="78"/>
      <c r="GQT95" s="78"/>
      <c r="GQU95" s="78"/>
      <c r="GQV95" s="78"/>
      <c r="GQW95" s="78"/>
      <c r="GQX95" s="78"/>
      <c r="GQY95" s="78"/>
      <c r="GQZ95" s="78"/>
      <c r="GRA95" s="78"/>
      <c r="GRB95" s="78"/>
      <c r="GRC95" s="78"/>
      <c r="GRD95" s="78"/>
      <c r="GRE95" s="78"/>
      <c r="GRF95" s="78"/>
      <c r="GRG95" s="78"/>
      <c r="GRH95" s="78"/>
      <c r="GRI95" s="78"/>
      <c r="GRJ95" s="78"/>
      <c r="GRK95" s="78"/>
      <c r="GRL95" s="78"/>
      <c r="GRM95" s="78"/>
      <c r="GRN95" s="78"/>
      <c r="GRO95" s="78"/>
      <c r="GRP95" s="78"/>
      <c r="GRQ95" s="78"/>
      <c r="GRR95" s="78"/>
      <c r="GRS95" s="78"/>
      <c r="GRT95" s="78"/>
      <c r="GRU95" s="78"/>
      <c r="GRV95" s="78"/>
      <c r="GRW95" s="78"/>
      <c r="GRX95" s="78"/>
      <c r="GRY95" s="78"/>
      <c r="GRZ95" s="78"/>
      <c r="GSA95" s="78"/>
      <c r="GSB95" s="78"/>
      <c r="GSC95" s="78"/>
      <c r="GSD95" s="78"/>
      <c r="GSE95" s="78"/>
      <c r="GSF95" s="78"/>
      <c r="GSG95" s="78"/>
      <c r="GSH95" s="78"/>
      <c r="GSI95" s="78"/>
      <c r="GSJ95" s="78"/>
      <c r="GSK95" s="78"/>
      <c r="GSL95" s="78"/>
      <c r="GSM95" s="78"/>
      <c r="GSN95" s="78"/>
      <c r="GSO95" s="78"/>
      <c r="GSP95" s="78"/>
      <c r="GSQ95" s="78"/>
      <c r="GSR95" s="78"/>
      <c r="GSS95" s="78"/>
      <c r="GST95" s="78"/>
      <c r="GSU95" s="78"/>
      <c r="GSV95" s="78"/>
      <c r="GSW95" s="78"/>
      <c r="GSX95" s="78"/>
      <c r="GSY95" s="78"/>
      <c r="GSZ95" s="78"/>
      <c r="GTA95" s="78"/>
      <c r="GTB95" s="78"/>
      <c r="GTC95" s="78"/>
      <c r="GTD95" s="78"/>
      <c r="GTE95" s="78"/>
      <c r="GTF95" s="78"/>
      <c r="GTG95" s="78"/>
      <c r="GTH95" s="78"/>
      <c r="GTI95" s="78"/>
      <c r="GTJ95" s="78"/>
      <c r="GTK95" s="78"/>
      <c r="GTL95" s="78"/>
      <c r="GTM95" s="78"/>
      <c r="GTN95" s="78"/>
      <c r="GTO95" s="78"/>
      <c r="GTP95" s="78"/>
      <c r="GTQ95" s="78"/>
      <c r="GTR95" s="78"/>
      <c r="GTS95" s="78"/>
      <c r="GTT95" s="78"/>
      <c r="GTU95" s="78"/>
      <c r="GTV95" s="78"/>
      <c r="GTW95" s="78"/>
      <c r="GTX95" s="78"/>
      <c r="GTY95" s="78"/>
      <c r="GTZ95" s="78"/>
      <c r="GUA95" s="78"/>
      <c r="GUB95" s="78"/>
      <c r="GUC95" s="78"/>
      <c r="GUD95" s="78"/>
      <c r="GUE95" s="78"/>
      <c r="GUF95" s="78"/>
      <c r="GUG95" s="78"/>
      <c r="GUH95" s="78"/>
      <c r="GUI95" s="78"/>
      <c r="GUJ95" s="78"/>
      <c r="GUK95" s="78"/>
      <c r="GUL95" s="78"/>
      <c r="GUM95" s="78"/>
      <c r="GUN95" s="78"/>
      <c r="GUO95" s="78"/>
      <c r="GUP95" s="78"/>
      <c r="GUQ95" s="78"/>
      <c r="GUR95" s="78"/>
      <c r="GUS95" s="78"/>
      <c r="GUT95" s="78"/>
      <c r="GUU95" s="78"/>
      <c r="GUV95" s="78"/>
      <c r="GUW95" s="78"/>
      <c r="GUX95" s="78"/>
      <c r="GUY95" s="78"/>
      <c r="GUZ95" s="78"/>
      <c r="GVA95" s="78"/>
      <c r="GVB95" s="78"/>
      <c r="GVC95" s="78"/>
      <c r="GVD95" s="78"/>
      <c r="GVE95" s="78"/>
      <c r="GVF95" s="78"/>
      <c r="GVG95" s="78"/>
      <c r="GVH95" s="78"/>
      <c r="GVI95" s="78"/>
      <c r="GVJ95" s="78"/>
      <c r="GVK95" s="78"/>
      <c r="GVL95" s="78"/>
      <c r="GVM95" s="78"/>
      <c r="GVN95" s="78"/>
      <c r="GVO95" s="78"/>
      <c r="GVP95" s="78"/>
      <c r="GVQ95" s="78"/>
      <c r="GVR95" s="78"/>
      <c r="GVS95" s="78"/>
      <c r="GVT95" s="78"/>
      <c r="GVU95" s="78"/>
      <c r="GVV95" s="78"/>
      <c r="GVW95" s="78"/>
      <c r="GVX95" s="78"/>
      <c r="GVY95" s="78"/>
      <c r="GVZ95" s="78"/>
      <c r="GWA95" s="78"/>
      <c r="GWB95" s="78"/>
      <c r="GWC95" s="78"/>
      <c r="GWD95" s="78"/>
      <c r="GWE95" s="78"/>
      <c r="GWF95" s="78"/>
      <c r="GWG95" s="78"/>
      <c r="GWH95" s="78"/>
      <c r="GWI95" s="78"/>
      <c r="GWJ95" s="78"/>
      <c r="GWK95" s="78"/>
      <c r="GWL95" s="78"/>
      <c r="GWM95" s="78"/>
      <c r="GWN95" s="78"/>
      <c r="GWO95" s="78"/>
      <c r="GWP95" s="78"/>
      <c r="GWQ95" s="78"/>
      <c r="GWR95" s="78"/>
      <c r="GWS95" s="78"/>
      <c r="GWT95" s="78"/>
      <c r="GWU95" s="78"/>
      <c r="GWV95" s="78"/>
      <c r="GWW95" s="78"/>
      <c r="GWX95" s="78"/>
      <c r="GWY95" s="78"/>
      <c r="GWZ95" s="78"/>
      <c r="GXA95" s="78"/>
      <c r="GXB95" s="78"/>
      <c r="GXC95" s="78"/>
      <c r="GXD95" s="78"/>
      <c r="GXE95" s="78"/>
      <c r="GXF95" s="78"/>
      <c r="GXG95" s="78"/>
      <c r="GXH95" s="78"/>
      <c r="GXI95" s="78"/>
      <c r="GXJ95" s="78"/>
      <c r="GXK95" s="78"/>
      <c r="GXL95" s="78"/>
      <c r="GXM95" s="78"/>
      <c r="GXN95" s="78"/>
      <c r="GXO95" s="78"/>
      <c r="GXP95" s="78"/>
      <c r="GXQ95" s="78"/>
      <c r="GXR95" s="78"/>
      <c r="GXS95" s="78"/>
      <c r="GXT95" s="78"/>
      <c r="GXU95" s="78"/>
      <c r="GXV95" s="78"/>
      <c r="GXW95" s="78"/>
      <c r="GXX95" s="78"/>
      <c r="GXY95" s="78"/>
      <c r="GXZ95" s="78"/>
      <c r="GYA95" s="78"/>
      <c r="GYB95" s="78"/>
      <c r="GYC95" s="78"/>
      <c r="GYD95" s="78"/>
      <c r="GYE95" s="78"/>
      <c r="GYF95" s="78"/>
      <c r="GYG95" s="78"/>
      <c r="GYH95" s="78"/>
      <c r="GYI95" s="78"/>
      <c r="GYJ95" s="78"/>
      <c r="GYK95" s="78"/>
      <c r="GYL95" s="78"/>
      <c r="GYM95" s="78"/>
      <c r="GYN95" s="78"/>
      <c r="GYO95" s="78"/>
      <c r="GYP95" s="78"/>
      <c r="GYQ95" s="78"/>
      <c r="GYR95" s="78"/>
      <c r="GYS95" s="78"/>
      <c r="GYT95" s="78"/>
      <c r="GYU95" s="78"/>
      <c r="GYV95" s="78"/>
      <c r="GYW95" s="78"/>
      <c r="GYX95" s="78"/>
      <c r="GYY95" s="78"/>
      <c r="GYZ95" s="78"/>
      <c r="GZA95" s="78"/>
      <c r="GZB95" s="78"/>
      <c r="GZC95" s="78"/>
      <c r="GZD95" s="78"/>
      <c r="GZE95" s="78"/>
      <c r="GZF95" s="78"/>
      <c r="GZG95" s="78"/>
      <c r="GZH95" s="78"/>
      <c r="GZI95" s="78"/>
      <c r="GZJ95" s="78"/>
      <c r="GZK95" s="78"/>
      <c r="GZL95" s="78"/>
      <c r="GZM95" s="78"/>
      <c r="GZN95" s="78"/>
      <c r="GZO95" s="78"/>
      <c r="GZP95" s="78"/>
      <c r="GZQ95" s="78"/>
      <c r="GZR95" s="78"/>
      <c r="GZS95" s="78"/>
      <c r="GZT95" s="78"/>
      <c r="GZU95" s="78"/>
      <c r="GZV95" s="78"/>
      <c r="GZW95" s="78"/>
      <c r="GZX95" s="78"/>
      <c r="GZY95" s="78"/>
      <c r="GZZ95" s="78"/>
      <c r="HAA95" s="78"/>
      <c r="HAB95" s="78"/>
      <c r="HAC95" s="78"/>
      <c r="HAD95" s="78"/>
      <c r="HAE95" s="78"/>
      <c r="HAF95" s="78"/>
      <c r="HAG95" s="78"/>
      <c r="HAH95" s="78"/>
      <c r="HAI95" s="78"/>
      <c r="HAJ95" s="78"/>
      <c r="HAK95" s="78"/>
      <c r="HAL95" s="78"/>
      <c r="HAM95" s="78"/>
      <c r="HAN95" s="78"/>
      <c r="HAO95" s="78"/>
      <c r="HAP95" s="78"/>
      <c r="HAQ95" s="78"/>
      <c r="HAR95" s="78"/>
      <c r="HAS95" s="78"/>
      <c r="HAT95" s="78"/>
      <c r="HAU95" s="78"/>
      <c r="HAV95" s="78"/>
      <c r="HAW95" s="78"/>
      <c r="HAX95" s="78"/>
      <c r="HAY95" s="78"/>
      <c r="HAZ95" s="78"/>
      <c r="HBA95" s="78"/>
      <c r="HBB95" s="78"/>
      <c r="HBC95" s="78"/>
      <c r="HBD95" s="78"/>
      <c r="HBE95" s="78"/>
      <c r="HBF95" s="78"/>
      <c r="HBG95" s="78"/>
      <c r="HBH95" s="78"/>
      <c r="HBI95" s="78"/>
      <c r="HBJ95" s="78"/>
      <c r="HBK95" s="78"/>
      <c r="HBL95" s="78"/>
      <c r="HBM95" s="78"/>
      <c r="HBN95" s="78"/>
      <c r="HBO95" s="78"/>
      <c r="HBP95" s="78"/>
      <c r="HBQ95" s="78"/>
      <c r="HBR95" s="78"/>
      <c r="HBS95" s="78"/>
      <c r="HBT95" s="78"/>
      <c r="HBU95" s="78"/>
      <c r="HBV95" s="78"/>
      <c r="HBW95" s="78"/>
      <c r="HBX95" s="78"/>
      <c r="HBY95" s="78"/>
      <c r="HBZ95" s="78"/>
      <c r="HCA95" s="78"/>
      <c r="HCB95" s="78"/>
      <c r="HCC95" s="78"/>
      <c r="HCD95" s="78"/>
      <c r="HCE95" s="78"/>
      <c r="HCF95" s="78"/>
      <c r="HCG95" s="78"/>
      <c r="HCH95" s="78"/>
      <c r="HCI95" s="78"/>
      <c r="HCJ95" s="78"/>
      <c r="HCK95" s="78"/>
      <c r="HCL95" s="78"/>
      <c r="HCM95" s="78"/>
      <c r="HCN95" s="78"/>
      <c r="HCO95" s="78"/>
      <c r="HCP95" s="78"/>
      <c r="HCQ95" s="78"/>
      <c r="HCR95" s="78"/>
      <c r="HCS95" s="78"/>
      <c r="HCT95" s="78"/>
      <c r="HCU95" s="78"/>
      <c r="HCV95" s="78"/>
      <c r="HCW95" s="78"/>
      <c r="HCX95" s="78"/>
      <c r="HCY95" s="78"/>
      <c r="HCZ95" s="78"/>
      <c r="HDA95" s="78"/>
      <c r="HDB95" s="78"/>
      <c r="HDC95" s="78"/>
      <c r="HDD95" s="78"/>
      <c r="HDE95" s="78"/>
      <c r="HDF95" s="78"/>
      <c r="HDG95" s="78"/>
      <c r="HDH95" s="78"/>
      <c r="HDI95" s="78"/>
      <c r="HDJ95" s="78"/>
      <c r="HDK95" s="78"/>
      <c r="HDL95" s="78"/>
      <c r="HDM95" s="78"/>
      <c r="HDN95" s="78"/>
      <c r="HDO95" s="78"/>
      <c r="HDP95" s="78"/>
      <c r="HDQ95" s="78"/>
      <c r="HDR95" s="78"/>
      <c r="HDS95" s="78"/>
      <c r="HDT95" s="78"/>
      <c r="HDU95" s="78"/>
      <c r="HDV95" s="78"/>
      <c r="HDW95" s="78"/>
      <c r="HDX95" s="78"/>
      <c r="HDY95" s="78"/>
      <c r="HDZ95" s="78"/>
      <c r="HEA95" s="78"/>
      <c r="HEB95" s="78"/>
      <c r="HEC95" s="78"/>
      <c r="HED95" s="78"/>
      <c r="HEE95" s="78"/>
      <c r="HEF95" s="78"/>
      <c r="HEG95" s="78"/>
      <c r="HEH95" s="78"/>
      <c r="HEI95" s="78"/>
      <c r="HEJ95" s="78"/>
      <c r="HEK95" s="78"/>
      <c r="HEL95" s="78"/>
      <c r="HEM95" s="78"/>
      <c r="HEN95" s="78"/>
      <c r="HEO95" s="78"/>
      <c r="HEP95" s="78"/>
      <c r="HEQ95" s="78"/>
      <c r="HER95" s="78"/>
      <c r="HES95" s="78"/>
      <c r="HET95" s="78"/>
      <c r="HEU95" s="78"/>
      <c r="HEV95" s="78"/>
      <c r="HEW95" s="78"/>
      <c r="HEX95" s="78"/>
      <c r="HEY95" s="78"/>
      <c r="HEZ95" s="78"/>
      <c r="HFA95" s="78"/>
      <c r="HFB95" s="78"/>
      <c r="HFC95" s="78"/>
      <c r="HFD95" s="78"/>
      <c r="HFE95" s="78"/>
      <c r="HFF95" s="78"/>
      <c r="HFG95" s="78"/>
      <c r="HFH95" s="78"/>
      <c r="HFI95" s="78"/>
      <c r="HFJ95" s="78"/>
      <c r="HFK95" s="78"/>
      <c r="HFL95" s="78"/>
      <c r="HFM95" s="78"/>
      <c r="HFN95" s="78"/>
      <c r="HFO95" s="78"/>
      <c r="HFP95" s="78"/>
      <c r="HFQ95" s="78"/>
      <c r="HFR95" s="78"/>
      <c r="HFS95" s="78"/>
      <c r="HFT95" s="78"/>
      <c r="HFU95" s="78"/>
      <c r="HFV95" s="78"/>
      <c r="HFW95" s="78"/>
      <c r="HFX95" s="78"/>
      <c r="HFY95" s="78"/>
      <c r="HFZ95" s="78"/>
      <c r="HGA95" s="78"/>
      <c r="HGB95" s="78"/>
      <c r="HGC95" s="78"/>
      <c r="HGD95" s="78"/>
      <c r="HGE95" s="78"/>
      <c r="HGF95" s="78"/>
      <c r="HGG95" s="78"/>
      <c r="HGH95" s="78"/>
      <c r="HGI95" s="78"/>
      <c r="HGJ95" s="78"/>
      <c r="HGK95" s="78"/>
      <c r="HGL95" s="78"/>
      <c r="HGM95" s="78"/>
      <c r="HGN95" s="78"/>
      <c r="HGO95" s="78"/>
      <c r="HGP95" s="78"/>
      <c r="HGQ95" s="78"/>
      <c r="HGR95" s="78"/>
      <c r="HGS95" s="78"/>
      <c r="HGT95" s="78"/>
      <c r="HGU95" s="78"/>
      <c r="HGV95" s="78"/>
      <c r="HGW95" s="78"/>
      <c r="HGX95" s="78"/>
      <c r="HGY95" s="78"/>
      <c r="HGZ95" s="78"/>
      <c r="HHA95" s="78"/>
      <c r="HHB95" s="78"/>
      <c r="HHC95" s="78"/>
      <c r="HHD95" s="78"/>
      <c r="HHE95" s="78"/>
      <c r="HHF95" s="78"/>
      <c r="HHG95" s="78"/>
      <c r="HHH95" s="78"/>
      <c r="HHI95" s="78"/>
      <c r="HHJ95" s="78"/>
      <c r="HHK95" s="78"/>
      <c r="HHL95" s="78"/>
      <c r="HHM95" s="78"/>
      <c r="HHN95" s="78"/>
      <c r="HHO95" s="78"/>
      <c r="HHP95" s="78"/>
      <c r="HHQ95" s="78"/>
      <c r="HHR95" s="78"/>
      <c r="HHS95" s="78"/>
      <c r="HHT95" s="78"/>
      <c r="HHU95" s="78"/>
      <c r="HHV95" s="78"/>
      <c r="HHW95" s="78"/>
      <c r="HHX95" s="78"/>
      <c r="HHY95" s="78"/>
      <c r="HHZ95" s="78"/>
      <c r="HIA95" s="78"/>
      <c r="HIB95" s="78"/>
      <c r="HIC95" s="78"/>
      <c r="HID95" s="78"/>
      <c r="HIE95" s="78"/>
      <c r="HIF95" s="78"/>
      <c r="HIG95" s="78"/>
      <c r="HIH95" s="78"/>
      <c r="HII95" s="78"/>
      <c r="HIJ95" s="78"/>
      <c r="HIK95" s="78"/>
      <c r="HIL95" s="78"/>
      <c r="HIM95" s="78"/>
      <c r="HIN95" s="78"/>
      <c r="HIO95" s="78"/>
      <c r="HIP95" s="78"/>
      <c r="HIQ95" s="78"/>
      <c r="HIR95" s="78"/>
      <c r="HIS95" s="78"/>
      <c r="HIT95" s="78"/>
      <c r="HIU95" s="78"/>
      <c r="HIV95" s="78"/>
      <c r="HIW95" s="78"/>
      <c r="HIX95" s="78"/>
      <c r="HIY95" s="78"/>
      <c r="HIZ95" s="78"/>
      <c r="HJA95" s="78"/>
      <c r="HJB95" s="78"/>
      <c r="HJC95" s="78"/>
      <c r="HJD95" s="78"/>
      <c r="HJE95" s="78"/>
      <c r="HJF95" s="78"/>
      <c r="HJG95" s="78"/>
      <c r="HJH95" s="78"/>
      <c r="HJI95" s="78"/>
      <c r="HJJ95" s="78"/>
      <c r="HJK95" s="78"/>
      <c r="HJL95" s="78"/>
      <c r="HJM95" s="78"/>
      <c r="HJN95" s="78"/>
      <c r="HJO95" s="78"/>
      <c r="HJP95" s="78"/>
      <c r="HJQ95" s="78"/>
      <c r="HJR95" s="78"/>
      <c r="HJS95" s="78"/>
      <c r="HJT95" s="78"/>
      <c r="HJU95" s="78"/>
      <c r="HJV95" s="78"/>
      <c r="HJW95" s="78"/>
      <c r="HJX95" s="78"/>
      <c r="HJY95" s="78"/>
      <c r="HJZ95" s="78"/>
      <c r="HKA95" s="78"/>
      <c r="HKB95" s="78"/>
      <c r="HKC95" s="78"/>
      <c r="HKD95" s="78"/>
      <c r="HKE95" s="78"/>
      <c r="HKF95" s="78"/>
      <c r="HKG95" s="78"/>
      <c r="HKH95" s="78"/>
      <c r="HKI95" s="78"/>
      <c r="HKJ95" s="78"/>
      <c r="HKK95" s="78"/>
      <c r="HKL95" s="78"/>
      <c r="HKM95" s="78"/>
      <c r="HKN95" s="78"/>
      <c r="HKO95" s="78"/>
      <c r="HKP95" s="78"/>
      <c r="HKQ95" s="78"/>
      <c r="HKR95" s="78"/>
      <c r="HKS95" s="78"/>
      <c r="HKT95" s="78"/>
      <c r="HKU95" s="78"/>
      <c r="HKV95" s="78"/>
      <c r="HKW95" s="78"/>
      <c r="HKX95" s="78"/>
      <c r="HKY95" s="78"/>
      <c r="HKZ95" s="78"/>
      <c r="HLA95" s="78"/>
      <c r="HLB95" s="78"/>
      <c r="HLC95" s="78"/>
      <c r="HLD95" s="78"/>
      <c r="HLE95" s="78"/>
      <c r="HLF95" s="78"/>
      <c r="HLG95" s="78"/>
      <c r="HLH95" s="78"/>
      <c r="HLI95" s="78"/>
      <c r="HLJ95" s="78"/>
      <c r="HLK95" s="78"/>
      <c r="HLL95" s="78"/>
      <c r="HLM95" s="78"/>
      <c r="HLN95" s="78"/>
      <c r="HLO95" s="78"/>
      <c r="HLP95" s="78"/>
      <c r="HLQ95" s="78"/>
      <c r="HLR95" s="78"/>
      <c r="HLS95" s="78"/>
      <c r="HLT95" s="78"/>
      <c r="HLU95" s="78"/>
      <c r="HLV95" s="78"/>
      <c r="HLW95" s="78"/>
      <c r="HLX95" s="78"/>
      <c r="HLY95" s="78"/>
      <c r="HLZ95" s="78"/>
      <c r="HMA95" s="78"/>
      <c r="HMB95" s="78"/>
      <c r="HMC95" s="78"/>
      <c r="HMD95" s="78"/>
      <c r="HME95" s="78"/>
      <c r="HMF95" s="78"/>
      <c r="HMG95" s="78"/>
      <c r="HMH95" s="78"/>
      <c r="HMI95" s="78"/>
      <c r="HMJ95" s="78"/>
      <c r="HMK95" s="78"/>
      <c r="HML95" s="78"/>
      <c r="HMM95" s="78"/>
      <c r="HMN95" s="78"/>
      <c r="HMO95" s="78"/>
      <c r="HMP95" s="78"/>
      <c r="HMQ95" s="78"/>
      <c r="HMR95" s="78"/>
      <c r="HMS95" s="78"/>
      <c r="HMT95" s="78"/>
      <c r="HMU95" s="78"/>
      <c r="HMV95" s="78"/>
      <c r="HMW95" s="78"/>
      <c r="HMX95" s="78"/>
      <c r="HMY95" s="78"/>
      <c r="HMZ95" s="78"/>
      <c r="HNA95" s="78"/>
      <c r="HNB95" s="78"/>
      <c r="HNC95" s="78"/>
      <c r="HND95" s="78"/>
      <c r="HNE95" s="78"/>
      <c r="HNF95" s="78"/>
      <c r="HNG95" s="78"/>
      <c r="HNH95" s="78"/>
      <c r="HNI95" s="78"/>
      <c r="HNJ95" s="78"/>
      <c r="HNK95" s="78"/>
      <c r="HNL95" s="78"/>
      <c r="HNM95" s="78"/>
      <c r="HNN95" s="78"/>
      <c r="HNO95" s="78"/>
      <c r="HNP95" s="78"/>
      <c r="HNQ95" s="78"/>
      <c r="HNR95" s="78"/>
      <c r="HNS95" s="78"/>
      <c r="HNT95" s="78"/>
      <c r="HNU95" s="78"/>
      <c r="HNV95" s="78"/>
      <c r="HNW95" s="78"/>
      <c r="HNX95" s="78"/>
      <c r="HNY95" s="78"/>
      <c r="HNZ95" s="78"/>
      <c r="HOA95" s="78"/>
      <c r="HOB95" s="78"/>
      <c r="HOC95" s="78"/>
      <c r="HOD95" s="78"/>
      <c r="HOE95" s="78"/>
      <c r="HOF95" s="78"/>
      <c r="HOG95" s="78"/>
      <c r="HOH95" s="78"/>
      <c r="HOI95" s="78"/>
      <c r="HOJ95" s="78"/>
      <c r="HOK95" s="78"/>
      <c r="HOL95" s="78"/>
      <c r="HOM95" s="78"/>
      <c r="HON95" s="78"/>
      <c r="HOO95" s="78"/>
      <c r="HOP95" s="78"/>
      <c r="HOQ95" s="78"/>
      <c r="HOR95" s="78"/>
      <c r="HOS95" s="78"/>
      <c r="HOT95" s="78"/>
      <c r="HOU95" s="78"/>
      <c r="HOV95" s="78"/>
      <c r="HOW95" s="78"/>
      <c r="HOX95" s="78"/>
      <c r="HOY95" s="78"/>
      <c r="HOZ95" s="78"/>
      <c r="HPA95" s="78"/>
      <c r="HPB95" s="78"/>
      <c r="HPC95" s="78"/>
      <c r="HPD95" s="78"/>
      <c r="HPE95" s="78"/>
      <c r="HPF95" s="78"/>
      <c r="HPG95" s="78"/>
      <c r="HPH95" s="78"/>
      <c r="HPI95" s="78"/>
      <c r="HPJ95" s="78"/>
      <c r="HPK95" s="78"/>
      <c r="HPL95" s="78"/>
      <c r="HPM95" s="78"/>
      <c r="HPN95" s="78"/>
      <c r="HPO95" s="78"/>
      <c r="HPP95" s="78"/>
      <c r="HPQ95" s="78"/>
      <c r="HPR95" s="78"/>
      <c r="HPS95" s="78"/>
      <c r="HPT95" s="78"/>
      <c r="HPU95" s="78"/>
      <c r="HPV95" s="78"/>
      <c r="HPW95" s="78"/>
      <c r="HPX95" s="78"/>
      <c r="HPY95" s="78"/>
      <c r="HPZ95" s="78"/>
      <c r="HQA95" s="78"/>
      <c r="HQB95" s="78"/>
      <c r="HQC95" s="78"/>
      <c r="HQD95" s="78"/>
      <c r="HQE95" s="78"/>
      <c r="HQF95" s="78"/>
      <c r="HQG95" s="78"/>
      <c r="HQH95" s="78"/>
      <c r="HQI95" s="78"/>
      <c r="HQJ95" s="78"/>
      <c r="HQK95" s="78"/>
      <c r="HQL95" s="78"/>
      <c r="HQM95" s="78"/>
      <c r="HQN95" s="78"/>
      <c r="HQO95" s="78"/>
      <c r="HQP95" s="78"/>
      <c r="HQQ95" s="78"/>
      <c r="HQR95" s="78"/>
      <c r="HQS95" s="78"/>
      <c r="HQT95" s="78"/>
      <c r="HQU95" s="78"/>
      <c r="HQV95" s="78"/>
      <c r="HQW95" s="78"/>
      <c r="HQX95" s="78"/>
      <c r="HQY95" s="78"/>
      <c r="HQZ95" s="78"/>
      <c r="HRA95" s="78"/>
      <c r="HRB95" s="78"/>
      <c r="HRC95" s="78"/>
      <c r="HRD95" s="78"/>
      <c r="HRE95" s="78"/>
      <c r="HRF95" s="78"/>
      <c r="HRG95" s="78"/>
      <c r="HRH95" s="78"/>
      <c r="HRI95" s="78"/>
      <c r="HRJ95" s="78"/>
      <c r="HRK95" s="78"/>
      <c r="HRL95" s="78"/>
      <c r="HRM95" s="78"/>
      <c r="HRN95" s="78"/>
      <c r="HRO95" s="78"/>
      <c r="HRP95" s="78"/>
      <c r="HRQ95" s="78"/>
      <c r="HRR95" s="78"/>
      <c r="HRS95" s="78"/>
      <c r="HRT95" s="78"/>
      <c r="HRU95" s="78"/>
      <c r="HRV95" s="78"/>
      <c r="HRW95" s="78"/>
      <c r="HRX95" s="78"/>
      <c r="HRY95" s="78"/>
      <c r="HRZ95" s="78"/>
      <c r="HSA95" s="78"/>
      <c r="HSB95" s="78"/>
      <c r="HSC95" s="78"/>
      <c r="HSD95" s="78"/>
      <c r="HSE95" s="78"/>
      <c r="HSF95" s="78"/>
      <c r="HSG95" s="78"/>
      <c r="HSH95" s="78"/>
      <c r="HSI95" s="78"/>
      <c r="HSJ95" s="78"/>
      <c r="HSK95" s="78"/>
      <c r="HSL95" s="78"/>
      <c r="HSM95" s="78"/>
      <c r="HSN95" s="78"/>
      <c r="HSO95" s="78"/>
      <c r="HSP95" s="78"/>
      <c r="HSQ95" s="78"/>
      <c r="HSR95" s="78"/>
      <c r="HSS95" s="78"/>
      <c r="HST95" s="78"/>
      <c r="HSU95" s="78"/>
      <c r="HSV95" s="78"/>
      <c r="HSW95" s="78"/>
      <c r="HSX95" s="78"/>
      <c r="HSY95" s="78"/>
      <c r="HSZ95" s="78"/>
      <c r="HTA95" s="78"/>
      <c r="HTB95" s="78"/>
      <c r="HTC95" s="78"/>
      <c r="HTD95" s="78"/>
      <c r="HTE95" s="78"/>
      <c r="HTF95" s="78"/>
      <c r="HTG95" s="78"/>
      <c r="HTH95" s="78"/>
      <c r="HTI95" s="78"/>
      <c r="HTJ95" s="78"/>
      <c r="HTK95" s="78"/>
      <c r="HTL95" s="78"/>
      <c r="HTM95" s="78"/>
      <c r="HTN95" s="78"/>
      <c r="HTO95" s="78"/>
      <c r="HTP95" s="78"/>
      <c r="HTQ95" s="78"/>
      <c r="HTR95" s="78"/>
      <c r="HTS95" s="78"/>
      <c r="HTT95" s="78"/>
      <c r="HTU95" s="78"/>
      <c r="HTV95" s="78"/>
      <c r="HTW95" s="78"/>
      <c r="HTX95" s="78"/>
      <c r="HTY95" s="78"/>
      <c r="HTZ95" s="78"/>
      <c r="HUA95" s="78"/>
      <c r="HUB95" s="78"/>
      <c r="HUC95" s="78"/>
      <c r="HUD95" s="78"/>
      <c r="HUE95" s="78"/>
      <c r="HUF95" s="78"/>
      <c r="HUG95" s="78"/>
      <c r="HUH95" s="78"/>
      <c r="HUI95" s="78"/>
      <c r="HUJ95" s="78"/>
      <c r="HUK95" s="78"/>
      <c r="HUL95" s="78"/>
      <c r="HUM95" s="78"/>
      <c r="HUN95" s="78"/>
      <c r="HUO95" s="78"/>
      <c r="HUP95" s="78"/>
      <c r="HUQ95" s="78"/>
      <c r="HUR95" s="78"/>
      <c r="HUS95" s="78"/>
      <c r="HUT95" s="78"/>
      <c r="HUU95" s="78"/>
      <c r="HUV95" s="78"/>
      <c r="HUW95" s="78"/>
      <c r="HUX95" s="78"/>
      <c r="HUY95" s="78"/>
      <c r="HUZ95" s="78"/>
      <c r="HVA95" s="78"/>
      <c r="HVB95" s="78"/>
      <c r="HVC95" s="78"/>
      <c r="HVD95" s="78"/>
      <c r="HVE95" s="78"/>
      <c r="HVF95" s="78"/>
      <c r="HVG95" s="78"/>
      <c r="HVH95" s="78"/>
      <c r="HVI95" s="78"/>
      <c r="HVJ95" s="78"/>
      <c r="HVK95" s="78"/>
      <c r="HVL95" s="78"/>
      <c r="HVM95" s="78"/>
      <c r="HVN95" s="78"/>
      <c r="HVO95" s="78"/>
      <c r="HVP95" s="78"/>
      <c r="HVQ95" s="78"/>
      <c r="HVR95" s="78"/>
      <c r="HVS95" s="78"/>
      <c r="HVT95" s="78"/>
      <c r="HVU95" s="78"/>
      <c r="HVV95" s="78"/>
      <c r="HVW95" s="78"/>
      <c r="HVX95" s="78"/>
      <c r="HVY95" s="78"/>
      <c r="HVZ95" s="78"/>
      <c r="HWA95" s="78"/>
      <c r="HWB95" s="78"/>
      <c r="HWC95" s="78"/>
      <c r="HWD95" s="78"/>
      <c r="HWE95" s="78"/>
      <c r="HWF95" s="78"/>
      <c r="HWG95" s="78"/>
      <c r="HWH95" s="78"/>
      <c r="HWI95" s="78"/>
      <c r="HWJ95" s="78"/>
      <c r="HWK95" s="78"/>
      <c r="HWL95" s="78"/>
      <c r="HWM95" s="78"/>
      <c r="HWN95" s="78"/>
      <c r="HWO95" s="78"/>
      <c r="HWP95" s="78"/>
      <c r="HWQ95" s="78"/>
      <c r="HWR95" s="78"/>
      <c r="HWS95" s="78"/>
      <c r="HWT95" s="78"/>
      <c r="HWU95" s="78"/>
      <c r="HWV95" s="78"/>
      <c r="HWW95" s="78"/>
      <c r="HWX95" s="78"/>
      <c r="HWY95" s="78"/>
      <c r="HWZ95" s="78"/>
      <c r="HXA95" s="78"/>
      <c r="HXB95" s="78"/>
      <c r="HXC95" s="78"/>
      <c r="HXD95" s="78"/>
      <c r="HXE95" s="78"/>
      <c r="HXF95" s="78"/>
      <c r="HXG95" s="78"/>
      <c r="HXH95" s="78"/>
      <c r="HXI95" s="78"/>
      <c r="HXJ95" s="78"/>
      <c r="HXK95" s="78"/>
      <c r="HXL95" s="78"/>
      <c r="HXM95" s="78"/>
      <c r="HXN95" s="78"/>
      <c r="HXO95" s="78"/>
      <c r="HXP95" s="78"/>
      <c r="HXQ95" s="78"/>
      <c r="HXR95" s="78"/>
      <c r="HXS95" s="78"/>
      <c r="HXT95" s="78"/>
      <c r="HXU95" s="78"/>
      <c r="HXV95" s="78"/>
      <c r="HXW95" s="78"/>
      <c r="HXX95" s="78"/>
      <c r="HXY95" s="78"/>
      <c r="HXZ95" s="78"/>
      <c r="HYA95" s="78"/>
      <c r="HYB95" s="78"/>
      <c r="HYC95" s="78"/>
      <c r="HYD95" s="78"/>
      <c r="HYE95" s="78"/>
      <c r="HYF95" s="78"/>
      <c r="HYG95" s="78"/>
      <c r="HYH95" s="78"/>
      <c r="HYI95" s="78"/>
      <c r="HYJ95" s="78"/>
      <c r="HYK95" s="78"/>
      <c r="HYL95" s="78"/>
      <c r="HYM95" s="78"/>
      <c r="HYN95" s="78"/>
      <c r="HYO95" s="78"/>
      <c r="HYP95" s="78"/>
      <c r="HYQ95" s="78"/>
      <c r="HYR95" s="78"/>
      <c r="HYS95" s="78"/>
      <c r="HYT95" s="78"/>
      <c r="HYU95" s="78"/>
      <c r="HYV95" s="78"/>
      <c r="HYW95" s="78"/>
      <c r="HYX95" s="78"/>
      <c r="HYY95" s="78"/>
      <c r="HYZ95" s="78"/>
      <c r="HZA95" s="78"/>
      <c r="HZB95" s="78"/>
      <c r="HZC95" s="78"/>
      <c r="HZD95" s="78"/>
      <c r="HZE95" s="78"/>
      <c r="HZF95" s="78"/>
      <c r="HZG95" s="78"/>
      <c r="HZH95" s="78"/>
      <c r="HZI95" s="78"/>
      <c r="HZJ95" s="78"/>
      <c r="HZK95" s="78"/>
      <c r="HZL95" s="78"/>
      <c r="HZM95" s="78"/>
      <c r="HZN95" s="78"/>
      <c r="HZO95" s="78"/>
      <c r="HZP95" s="78"/>
      <c r="HZQ95" s="78"/>
      <c r="HZR95" s="78"/>
      <c r="HZS95" s="78"/>
      <c r="HZT95" s="78"/>
      <c r="HZU95" s="78"/>
      <c r="HZV95" s="78"/>
      <c r="HZW95" s="78"/>
      <c r="HZX95" s="78"/>
      <c r="HZY95" s="78"/>
      <c r="HZZ95" s="78"/>
      <c r="IAA95" s="78"/>
      <c r="IAB95" s="78"/>
      <c r="IAC95" s="78"/>
      <c r="IAD95" s="78"/>
      <c r="IAE95" s="78"/>
      <c r="IAF95" s="78"/>
      <c r="IAG95" s="78"/>
      <c r="IAH95" s="78"/>
      <c r="IAI95" s="78"/>
      <c r="IAJ95" s="78"/>
      <c r="IAK95" s="78"/>
      <c r="IAL95" s="78"/>
      <c r="IAM95" s="78"/>
      <c r="IAN95" s="78"/>
      <c r="IAO95" s="78"/>
      <c r="IAP95" s="78"/>
      <c r="IAQ95" s="78"/>
      <c r="IAR95" s="78"/>
      <c r="IAS95" s="78"/>
      <c r="IAT95" s="78"/>
      <c r="IAU95" s="78"/>
      <c r="IAV95" s="78"/>
      <c r="IAW95" s="78"/>
      <c r="IAX95" s="78"/>
      <c r="IAY95" s="78"/>
      <c r="IAZ95" s="78"/>
      <c r="IBA95" s="78"/>
      <c r="IBB95" s="78"/>
      <c r="IBC95" s="78"/>
      <c r="IBD95" s="78"/>
      <c r="IBE95" s="78"/>
      <c r="IBF95" s="78"/>
      <c r="IBG95" s="78"/>
      <c r="IBH95" s="78"/>
      <c r="IBI95" s="78"/>
      <c r="IBJ95" s="78"/>
      <c r="IBK95" s="78"/>
      <c r="IBL95" s="78"/>
      <c r="IBM95" s="78"/>
      <c r="IBN95" s="78"/>
      <c r="IBO95" s="78"/>
      <c r="IBP95" s="78"/>
      <c r="IBQ95" s="78"/>
      <c r="IBR95" s="78"/>
      <c r="IBS95" s="78"/>
      <c r="IBT95" s="78"/>
      <c r="IBU95" s="78"/>
      <c r="IBV95" s="78"/>
      <c r="IBW95" s="78"/>
      <c r="IBX95" s="78"/>
      <c r="IBY95" s="78"/>
      <c r="IBZ95" s="78"/>
      <c r="ICA95" s="78"/>
      <c r="ICB95" s="78"/>
      <c r="ICC95" s="78"/>
      <c r="ICD95" s="78"/>
      <c r="ICE95" s="78"/>
      <c r="ICF95" s="78"/>
      <c r="ICG95" s="78"/>
      <c r="ICH95" s="78"/>
      <c r="ICI95" s="78"/>
      <c r="ICJ95" s="78"/>
      <c r="ICK95" s="78"/>
      <c r="ICL95" s="78"/>
      <c r="ICM95" s="78"/>
      <c r="ICN95" s="78"/>
      <c r="ICO95" s="78"/>
      <c r="ICP95" s="78"/>
      <c r="ICQ95" s="78"/>
      <c r="ICR95" s="78"/>
      <c r="ICS95" s="78"/>
      <c r="ICT95" s="78"/>
      <c r="ICU95" s="78"/>
      <c r="ICV95" s="78"/>
      <c r="ICW95" s="78"/>
      <c r="ICX95" s="78"/>
      <c r="ICY95" s="78"/>
      <c r="ICZ95" s="78"/>
      <c r="IDA95" s="78"/>
      <c r="IDB95" s="78"/>
      <c r="IDC95" s="78"/>
      <c r="IDD95" s="78"/>
      <c r="IDE95" s="78"/>
      <c r="IDF95" s="78"/>
      <c r="IDG95" s="78"/>
      <c r="IDH95" s="78"/>
      <c r="IDI95" s="78"/>
      <c r="IDJ95" s="78"/>
      <c r="IDK95" s="78"/>
      <c r="IDL95" s="78"/>
      <c r="IDM95" s="78"/>
      <c r="IDN95" s="78"/>
      <c r="IDO95" s="78"/>
      <c r="IDP95" s="78"/>
      <c r="IDQ95" s="78"/>
      <c r="IDR95" s="78"/>
      <c r="IDS95" s="78"/>
      <c r="IDT95" s="78"/>
      <c r="IDU95" s="78"/>
      <c r="IDV95" s="78"/>
      <c r="IDW95" s="78"/>
      <c r="IDX95" s="78"/>
      <c r="IDY95" s="78"/>
      <c r="IDZ95" s="78"/>
      <c r="IEA95" s="78"/>
      <c r="IEB95" s="78"/>
      <c r="IEC95" s="78"/>
      <c r="IED95" s="78"/>
      <c r="IEE95" s="78"/>
      <c r="IEF95" s="78"/>
      <c r="IEG95" s="78"/>
      <c r="IEH95" s="78"/>
      <c r="IEI95" s="78"/>
      <c r="IEJ95" s="78"/>
      <c r="IEK95" s="78"/>
      <c r="IEL95" s="78"/>
      <c r="IEM95" s="78"/>
      <c r="IEN95" s="78"/>
      <c r="IEO95" s="78"/>
      <c r="IEP95" s="78"/>
      <c r="IEQ95" s="78"/>
      <c r="IER95" s="78"/>
      <c r="IES95" s="78"/>
      <c r="IET95" s="78"/>
      <c r="IEU95" s="78"/>
      <c r="IEV95" s="78"/>
      <c r="IEW95" s="78"/>
      <c r="IEX95" s="78"/>
      <c r="IEY95" s="78"/>
      <c r="IEZ95" s="78"/>
      <c r="IFA95" s="78"/>
      <c r="IFB95" s="78"/>
      <c r="IFC95" s="78"/>
      <c r="IFD95" s="78"/>
      <c r="IFE95" s="78"/>
      <c r="IFF95" s="78"/>
      <c r="IFG95" s="78"/>
      <c r="IFH95" s="78"/>
      <c r="IFI95" s="78"/>
      <c r="IFJ95" s="78"/>
      <c r="IFK95" s="78"/>
      <c r="IFL95" s="78"/>
      <c r="IFM95" s="78"/>
      <c r="IFN95" s="78"/>
      <c r="IFO95" s="78"/>
      <c r="IFP95" s="78"/>
      <c r="IFQ95" s="78"/>
      <c r="IFR95" s="78"/>
      <c r="IFS95" s="78"/>
      <c r="IFT95" s="78"/>
      <c r="IFU95" s="78"/>
      <c r="IFV95" s="78"/>
      <c r="IFW95" s="78"/>
      <c r="IFX95" s="78"/>
      <c r="IFY95" s="78"/>
      <c r="IFZ95" s="78"/>
      <c r="IGA95" s="78"/>
      <c r="IGB95" s="78"/>
      <c r="IGC95" s="78"/>
      <c r="IGD95" s="78"/>
      <c r="IGE95" s="78"/>
      <c r="IGF95" s="78"/>
      <c r="IGG95" s="78"/>
      <c r="IGH95" s="78"/>
      <c r="IGI95" s="78"/>
      <c r="IGJ95" s="78"/>
      <c r="IGK95" s="78"/>
      <c r="IGL95" s="78"/>
      <c r="IGM95" s="78"/>
      <c r="IGN95" s="78"/>
      <c r="IGO95" s="78"/>
      <c r="IGP95" s="78"/>
      <c r="IGQ95" s="78"/>
      <c r="IGR95" s="78"/>
      <c r="IGS95" s="78"/>
      <c r="IGT95" s="78"/>
      <c r="IGU95" s="78"/>
      <c r="IGV95" s="78"/>
      <c r="IGW95" s="78"/>
      <c r="IGX95" s="78"/>
      <c r="IGY95" s="78"/>
      <c r="IGZ95" s="78"/>
      <c r="IHA95" s="78"/>
      <c r="IHB95" s="78"/>
      <c r="IHC95" s="78"/>
      <c r="IHD95" s="78"/>
      <c r="IHE95" s="78"/>
      <c r="IHF95" s="78"/>
      <c r="IHG95" s="78"/>
      <c r="IHH95" s="78"/>
      <c r="IHI95" s="78"/>
      <c r="IHJ95" s="78"/>
      <c r="IHK95" s="78"/>
      <c r="IHL95" s="78"/>
      <c r="IHM95" s="78"/>
      <c r="IHN95" s="78"/>
      <c r="IHO95" s="78"/>
      <c r="IHP95" s="78"/>
      <c r="IHQ95" s="78"/>
      <c r="IHR95" s="78"/>
      <c r="IHS95" s="78"/>
      <c r="IHT95" s="78"/>
      <c r="IHU95" s="78"/>
      <c r="IHV95" s="78"/>
      <c r="IHW95" s="78"/>
      <c r="IHX95" s="78"/>
      <c r="IHY95" s="78"/>
      <c r="IHZ95" s="78"/>
      <c r="IIA95" s="78"/>
      <c r="IIB95" s="78"/>
      <c r="IIC95" s="78"/>
      <c r="IID95" s="78"/>
      <c r="IIE95" s="78"/>
      <c r="IIF95" s="78"/>
      <c r="IIG95" s="78"/>
      <c r="IIH95" s="78"/>
      <c r="III95" s="78"/>
      <c r="IIJ95" s="78"/>
      <c r="IIK95" s="78"/>
      <c r="IIL95" s="78"/>
      <c r="IIM95" s="78"/>
      <c r="IIN95" s="78"/>
      <c r="IIO95" s="78"/>
      <c r="IIP95" s="78"/>
      <c r="IIQ95" s="78"/>
      <c r="IIR95" s="78"/>
      <c r="IIS95" s="78"/>
      <c r="IIT95" s="78"/>
      <c r="IIU95" s="78"/>
      <c r="IIV95" s="78"/>
      <c r="IIW95" s="78"/>
      <c r="IIX95" s="78"/>
      <c r="IIY95" s="78"/>
      <c r="IIZ95" s="78"/>
      <c r="IJA95" s="78"/>
      <c r="IJB95" s="78"/>
      <c r="IJC95" s="78"/>
      <c r="IJD95" s="78"/>
      <c r="IJE95" s="78"/>
      <c r="IJF95" s="78"/>
      <c r="IJG95" s="78"/>
      <c r="IJH95" s="78"/>
      <c r="IJI95" s="78"/>
      <c r="IJJ95" s="78"/>
      <c r="IJK95" s="78"/>
      <c r="IJL95" s="78"/>
      <c r="IJM95" s="78"/>
      <c r="IJN95" s="78"/>
      <c r="IJO95" s="78"/>
      <c r="IJP95" s="78"/>
      <c r="IJQ95" s="78"/>
      <c r="IJR95" s="78"/>
      <c r="IJS95" s="78"/>
      <c r="IJT95" s="78"/>
      <c r="IJU95" s="78"/>
      <c r="IJV95" s="78"/>
      <c r="IJW95" s="78"/>
      <c r="IJX95" s="78"/>
      <c r="IJY95" s="78"/>
      <c r="IJZ95" s="78"/>
      <c r="IKA95" s="78"/>
      <c r="IKB95" s="78"/>
      <c r="IKC95" s="78"/>
      <c r="IKD95" s="78"/>
      <c r="IKE95" s="78"/>
      <c r="IKF95" s="78"/>
      <c r="IKG95" s="78"/>
      <c r="IKH95" s="78"/>
      <c r="IKI95" s="78"/>
      <c r="IKJ95" s="78"/>
      <c r="IKK95" s="78"/>
      <c r="IKL95" s="78"/>
      <c r="IKM95" s="78"/>
      <c r="IKN95" s="78"/>
      <c r="IKO95" s="78"/>
      <c r="IKP95" s="78"/>
      <c r="IKQ95" s="78"/>
      <c r="IKR95" s="78"/>
      <c r="IKS95" s="78"/>
      <c r="IKT95" s="78"/>
      <c r="IKU95" s="78"/>
      <c r="IKV95" s="78"/>
      <c r="IKW95" s="78"/>
      <c r="IKX95" s="78"/>
      <c r="IKY95" s="78"/>
      <c r="IKZ95" s="78"/>
      <c r="ILA95" s="78"/>
      <c r="ILB95" s="78"/>
      <c r="ILC95" s="78"/>
      <c r="ILD95" s="78"/>
      <c r="ILE95" s="78"/>
      <c r="ILF95" s="78"/>
      <c r="ILG95" s="78"/>
      <c r="ILH95" s="78"/>
      <c r="ILI95" s="78"/>
      <c r="ILJ95" s="78"/>
      <c r="ILK95" s="78"/>
      <c r="ILL95" s="78"/>
      <c r="ILM95" s="78"/>
      <c r="ILN95" s="78"/>
      <c r="ILO95" s="78"/>
      <c r="ILP95" s="78"/>
      <c r="ILQ95" s="78"/>
      <c r="ILR95" s="78"/>
      <c r="ILS95" s="78"/>
      <c r="ILT95" s="78"/>
      <c r="ILU95" s="78"/>
      <c r="ILV95" s="78"/>
      <c r="ILW95" s="78"/>
      <c r="ILX95" s="78"/>
      <c r="ILY95" s="78"/>
      <c r="ILZ95" s="78"/>
      <c r="IMA95" s="78"/>
      <c r="IMB95" s="78"/>
      <c r="IMC95" s="78"/>
      <c r="IMD95" s="78"/>
      <c r="IME95" s="78"/>
      <c r="IMF95" s="78"/>
      <c r="IMG95" s="78"/>
      <c r="IMH95" s="78"/>
      <c r="IMI95" s="78"/>
      <c r="IMJ95" s="78"/>
      <c r="IMK95" s="78"/>
      <c r="IML95" s="78"/>
      <c r="IMM95" s="78"/>
      <c r="IMN95" s="78"/>
      <c r="IMO95" s="78"/>
      <c r="IMP95" s="78"/>
      <c r="IMQ95" s="78"/>
      <c r="IMR95" s="78"/>
      <c r="IMS95" s="78"/>
      <c r="IMT95" s="78"/>
      <c r="IMU95" s="78"/>
      <c r="IMV95" s="78"/>
      <c r="IMW95" s="78"/>
      <c r="IMX95" s="78"/>
      <c r="IMY95" s="78"/>
      <c r="IMZ95" s="78"/>
      <c r="INA95" s="78"/>
      <c r="INB95" s="78"/>
      <c r="INC95" s="78"/>
      <c r="IND95" s="78"/>
      <c r="INE95" s="78"/>
      <c r="INF95" s="78"/>
      <c r="ING95" s="78"/>
      <c r="INH95" s="78"/>
      <c r="INI95" s="78"/>
      <c r="INJ95" s="78"/>
      <c r="INK95" s="78"/>
      <c r="INL95" s="78"/>
      <c r="INM95" s="78"/>
      <c r="INN95" s="78"/>
      <c r="INO95" s="78"/>
      <c r="INP95" s="78"/>
      <c r="INQ95" s="78"/>
      <c r="INR95" s="78"/>
      <c r="INS95" s="78"/>
      <c r="INT95" s="78"/>
      <c r="INU95" s="78"/>
      <c r="INV95" s="78"/>
      <c r="INW95" s="78"/>
      <c r="INX95" s="78"/>
      <c r="INY95" s="78"/>
      <c r="INZ95" s="78"/>
      <c r="IOA95" s="78"/>
      <c r="IOB95" s="78"/>
      <c r="IOC95" s="78"/>
      <c r="IOD95" s="78"/>
      <c r="IOE95" s="78"/>
      <c r="IOF95" s="78"/>
      <c r="IOG95" s="78"/>
      <c r="IOH95" s="78"/>
      <c r="IOI95" s="78"/>
      <c r="IOJ95" s="78"/>
      <c r="IOK95" s="78"/>
      <c r="IOL95" s="78"/>
      <c r="IOM95" s="78"/>
      <c r="ION95" s="78"/>
      <c r="IOO95" s="78"/>
      <c r="IOP95" s="78"/>
      <c r="IOQ95" s="78"/>
      <c r="IOR95" s="78"/>
      <c r="IOS95" s="78"/>
      <c r="IOT95" s="78"/>
      <c r="IOU95" s="78"/>
      <c r="IOV95" s="78"/>
      <c r="IOW95" s="78"/>
      <c r="IOX95" s="78"/>
      <c r="IOY95" s="78"/>
      <c r="IOZ95" s="78"/>
      <c r="IPA95" s="78"/>
      <c r="IPB95" s="78"/>
      <c r="IPC95" s="78"/>
      <c r="IPD95" s="78"/>
      <c r="IPE95" s="78"/>
      <c r="IPF95" s="78"/>
      <c r="IPG95" s="78"/>
      <c r="IPH95" s="78"/>
      <c r="IPI95" s="78"/>
      <c r="IPJ95" s="78"/>
      <c r="IPK95" s="78"/>
      <c r="IPL95" s="78"/>
      <c r="IPM95" s="78"/>
      <c r="IPN95" s="78"/>
      <c r="IPO95" s="78"/>
      <c r="IPP95" s="78"/>
      <c r="IPQ95" s="78"/>
      <c r="IPR95" s="78"/>
      <c r="IPS95" s="78"/>
      <c r="IPT95" s="78"/>
      <c r="IPU95" s="78"/>
      <c r="IPV95" s="78"/>
      <c r="IPW95" s="78"/>
      <c r="IPX95" s="78"/>
      <c r="IPY95" s="78"/>
      <c r="IPZ95" s="78"/>
      <c r="IQA95" s="78"/>
      <c r="IQB95" s="78"/>
      <c r="IQC95" s="78"/>
      <c r="IQD95" s="78"/>
      <c r="IQE95" s="78"/>
      <c r="IQF95" s="78"/>
      <c r="IQG95" s="78"/>
      <c r="IQH95" s="78"/>
      <c r="IQI95" s="78"/>
      <c r="IQJ95" s="78"/>
      <c r="IQK95" s="78"/>
      <c r="IQL95" s="78"/>
      <c r="IQM95" s="78"/>
      <c r="IQN95" s="78"/>
      <c r="IQO95" s="78"/>
      <c r="IQP95" s="78"/>
      <c r="IQQ95" s="78"/>
      <c r="IQR95" s="78"/>
      <c r="IQS95" s="78"/>
      <c r="IQT95" s="78"/>
      <c r="IQU95" s="78"/>
      <c r="IQV95" s="78"/>
      <c r="IQW95" s="78"/>
      <c r="IQX95" s="78"/>
      <c r="IQY95" s="78"/>
      <c r="IQZ95" s="78"/>
      <c r="IRA95" s="78"/>
      <c r="IRB95" s="78"/>
      <c r="IRC95" s="78"/>
      <c r="IRD95" s="78"/>
      <c r="IRE95" s="78"/>
      <c r="IRF95" s="78"/>
      <c r="IRG95" s="78"/>
      <c r="IRH95" s="78"/>
      <c r="IRI95" s="78"/>
      <c r="IRJ95" s="78"/>
      <c r="IRK95" s="78"/>
      <c r="IRL95" s="78"/>
      <c r="IRM95" s="78"/>
      <c r="IRN95" s="78"/>
      <c r="IRO95" s="78"/>
      <c r="IRP95" s="78"/>
      <c r="IRQ95" s="78"/>
      <c r="IRR95" s="78"/>
      <c r="IRS95" s="78"/>
      <c r="IRT95" s="78"/>
      <c r="IRU95" s="78"/>
      <c r="IRV95" s="78"/>
      <c r="IRW95" s="78"/>
      <c r="IRX95" s="78"/>
      <c r="IRY95" s="78"/>
      <c r="IRZ95" s="78"/>
      <c r="ISA95" s="78"/>
      <c r="ISB95" s="78"/>
      <c r="ISC95" s="78"/>
      <c r="ISD95" s="78"/>
      <c r="ISE95" s="78"/>
      <c r="ISF95" s="78"/>
      <c r="ISG95" s="78"/>
      <c r="ISH95" s="78"/>
      <c r="ISI95" s="78"/>
      <c r="ISJ95" s="78"/>
      <c r="ISK95" s="78"/>
      <c r="ISL95" s="78"/>
      <c r="ISM95" s="78"/>
      <c r="ISN95" s="78"/>
      <c r="ISO95" s="78"/>
      <c r="ISP95" s="78"/>
      <c r="ISQ95" s="78"/>
      <c r="ISR95" s="78"/>
      <c r="ISS95" s="78"/>
      <c r="IST95" s="78"/>
      <c r="ISU95" s="78"/>
      <c r="ISV95" s="78"/>
      <c r="ISW95" s="78"/>
      <c r="ISX95" s="78"/>
      <c r="ISY95" s="78"/>
      <c r="ISZ95" s="78"/>
      <c r="ITA95" s="78"/>
      <c r="ITB95" s="78"/>
      <c r="ITC95" s="78"/>
      <c r="ITD95" s="78"/>
      <c r="ITE95" s="78"/>
      <c r="ITF95" s="78"/>
      <c r="ITG95" s="78"/>
      <c r="ITH95" s="78"/>
      <c r="ITI95" s="78"/>
      <c r="ITJ95" s="78"/>
      <c r="ITK95" s="78"/>
      <c r="ITL95" s="78"/>
      <c r="ITM95" s="78"/>
      <c r="ITN95" s="78"/>
      <c r="ITO95" s="78"/>
      <c r="ITP95" s="78"/>
      <c r="ITQ95" s="78"/>
      <c r="ITR95" s="78"/>
      <c r="ITS95" s="78"/>
      <c r="ITT95" s="78"/>
      <c r="ITU95" s="78"/>
      <c r="ITV95" s="78"/>
      <c r="ITW95" s="78"/>
      <c r="ITX95" s="78"/>
      <c r="ITY95" s="78"/>
      <c r="ITZ95" s="78"/>
      <c r="IUA95" s="78"/>
      <c r="IUB95" s="78"/>
      <c r="IUC95" s="78"/>
      <c r="IUD95" s="78"/>
      <c r="IUE95" s="78"/>
      <c r="IUF95" s="78"/>
      <c r="IUG95" s="78"/>
      <c r="IUH95" s="78"/>
      <c r="IUI95" s="78"/>
      <c r="IUJ95" s="78"/>
      <c r="IUK95" s="78"/>
      <c r="IUL95" s="78"/>
      <c r="IUM95" s="78"/>
      <c r="IUN95" s="78"/>
      <c r="IUO95" s="78"/>
      <c r="IUP95" s="78"/>
      <c r="IUQ95" s="78"/>
      <c r="IUR95" s="78"/>
      <c r="IUS95" s="78"/>
      <c r="IUT95" s="78"/>
      <c r="IUU95" s="78"/>
      <c r="IUV95" s="78"/>
      <c r="IUW95" s="78"/>
      <c r="IUX95" s="78"/>
      <c r="IUY95" s="78"/>
      <c r="IUZ95" s="78"/>
      <c r="IVA95" s="78"/>
      <c r="IVB95" s="78"/>
      <c r="IVC95" s="78"/>
      <c r="IVD95" s="78"/>
      <c r="IVE95" s="78"/>
      <c r="IVF95" s="78"/>
      <c r="IVG95" s="78"/>
      <c r="IVH95" s="78"/>
      <c r="IVI95" s="78"/>
      <c r="IVJ95" s="78"/>
      <c r="IVK95" s="78"/>
      <c r="IVL95" s="78"/>
      <c r="IVM95" s="78"/>
      <c r="IVN95" s="78"/>
      <c r="IVO95" s="78"/>
      <c r="IVP95" s="78"/>
      <c r="IVQ95" s="78"/>
      <c r="IVR95" s="78"/>
      <c r="IVS95" s="78"/>
      <c r="IVT95" s="78"/>
      <c r="IVU95" s="78"/>
      <c r="IVV95" s="78"/>
      <c r="IVW95" s="78"/>
      <c r="IVX95" s="78"/>
      <c r="IVY95" s="78"/>
      <c r="IVZ95" s="78"/>
      <c r="IWA95" s="78"/>
      <c r="IWB95" s="78"/>
      <c r="IWC95" s="78"/>
      <c r="IWD95" s="78"/>
      <c r="IWE95" s="78"/>
      <c r="IWF95" s="78"/>
      <c r="IWG95" s="78"/>
      <c r="IWH95" s="78"/>
      <c r="IWI95" s="78"/>
      <c r="IWJ95" s="78"/>
      <c r="IWK95" s="78"/>
      <c r="IWL95" s="78"/>
      <c r="IWM95" s="78"/>
      <c r="IWN95" s="78"/>
      <c r="IWO95" s="78"/>
      <c r="IWP95" s="78"/>
      <c r="IWQ95" s="78"/>
      <c r="IWR95" s="78"/>
      <c r="IWS95" s="78"/>
      <c r="IWT95" s="78"/>
      <c r="IWU95" s="78"/>
      <c r="IWV95" s="78"/>
      <c r="IWW95" s="78"/>
      <c r="IWX95" s="78"/>
      <c r="IWY95" s="78"/>
      <c r="IWZ95" s="78"/>
      <c r="IXA95" s="78"/>
      <c r="IXB95" s="78"/>
      <c r="IXC95" s="78"/>
      <c r="IXD95" s="78"/>
      <c r="IXE95" s="78"/>
      <c r="IXF95" s="78"/>
      <c r="IXG95" s="78"/>
      <c r="IXH95" s="78"/>
      <c r="IXI95" s="78"/>
      <c r="IXJ95" s="78"/>
      <c r="IXK95" s="78"/>
      <c r="IXL95" s="78"/>
      <c r="IXM95" s="78"/>
      <c r="IXN95" s="78"/>
      <c r="IXO95" s="78"/>
      <c r="IXP95" s="78"/>
      <c r="IXQ95" s="78"/>
      <c r="IXR95" s="78"/>
      <c r="IXS95" s="78"/>
      <c r="IXT95" s="78"/>
      <c r="IXU95" s="78"/>
      <c r="IXV95" s="78"/>
      <c r="IXW95" s="78"/>
      <c r="IXX95" s="78"/>
      <c r="IXY95" s="78"/>
      <c r="IXZ95" s="78"/>
      <c r="IYA95" s="78"/>
      <c r="IYB95" s="78"/>
      <c r="IYC95" s="78"/>
      <c r="IYD95" s="78"/>
      <c r="IYE95" s="78"/>
      <c r="IYF95" s="78"/>
      <c r="IYG95" s="78"/>
      <c r="IYH95" s="78"/>
      <c r="IYI95" s="78"/>
      <c r="IYJ95" s="78"/>
      <c r="IYK95" s="78"/>
      <c r="IYL95" s="78"/>
      <c r="IYM95" s="78"/>
      <c r="IYN95" s="78"/>
      <c r="IYO95" s="78"/>
      <c r="IYP95" s="78"/>
      <c r="IYQ95" s="78"/>
      <c r="IYR95" s="78"/>
      <c r="IYS95" s="78"/>
      <c r="IYT95" s="78"/>
      <c r="IYU95" s="78"/>
      <c r="IYV95" s="78"/>
      <c r="IYW95" s="78"/>
      <c r="IYX95" s="78"/>
      <c r="IYY95" s="78"/>
      <c r="IYZ95" s="78"/>
      <c r="IZA95" s="78"/>
      <c r="IZB95" s="78"/>
      <c r="IZC95" s="78"/>
      <c r="IZD95" s="78"/>
      <c r="IZE95" s="78"/>
      <c r="IZF95" s="78"/>
      <c r="IZG95" s="78"/>
      <c r="IZH95" s="78"/>
      <c r="IZI95" s="78"/>
      <c r="IZJ95" s="78"/>
      <c r="IZK95" s="78"/>
      <c r="IZL95" s="78"/>
      <c r="IZM95" s="78"/>
      <c r="IZN95" s="78"/>
      <c r="IZO95" s="78"/>
      <c r="IZP95" s="78"/>
      <c r="IZQ95" s="78"/>
      <c r="IZR95" s="78"/>
      <c r="IZS95" s="78"/>
      <c r="IZT95" s="78"/>
      <c r="IZU95" s="78"/>
      <c r="IZV95" s="78"/>
      <c r="IZW95" s="78"/>
      <c r="IZX95" s="78"/>
      <c r="IZY95" s="78"/>
      <c r="IZZ95" s="78"/>
      <c r="JAA95" s="78"/>
      <c r="JAB95" s="78"/>
      <c r="JAC95" s="78"/>
      <c r="JAD95" s="78"/>
      <c r="JAE95" s="78"/>
      <c r="JAF95" s="78"/>
      <c r="JAG95" s="78"/>
      <c r="JAH95" s="78"/>
      <c r="JAI95" s="78"/>
      <c r="JAJ95" s="78"/>
      <c r="JAK95" s="78"/>
      <c r="JAL95" s="78"/>
      <c r="JAM95" s="78"/>
      <c r="JAN95" s="78"/>
      <c r="JAO95" s="78"/>
      <c r="JAP95" s="78"/>
      <c r="JAQ95" s="78"/>
      <c r="JAR95" s="78"/>
      <c r="JAS95" s="78"/>
      <c r="JAT95" s="78"/>
      <c r="JAU95" s="78"/>
      <c r="JAV95" s="78"/>
      <c r="JAW95" s="78"/>
      <c r="JAX95" s="78"/>
      <c r="JAY95" s="78"/>
      <c r="JAZ95" s="78"/>
      <c r="JBA95" s="78"/>
      <c r="JBB95" s="78"/>
      <c r="JBC95" s="78"/>
      <c r="JBD95" s="78"/>
      <c r="JBE95" s="78"/>
      <c r="JBF95" s="78"/>
      <c r="JBG95" s="78"/>
      <c r="JBH95" s="78"/>
      <c r="JBI95" s="78"/>
      <c r="JBJ95" s="78"/>
      <c r="JBK95" s="78"/>
      <c r="JBL95" s="78"/>
      <c r="JBM95" s="78"/>
      <c r="JBN95" s="78"/>
      <c r="JBO95" s="78"/>
      <c r="JBP95" s="78"/>
      <c r="JBQ95" s="78"/>
      <c r="JBR95" s="78"/>
      <c r="JBS95" s="78"/>
      <c r="JBT95" s="78"/>
      <c r="JBU95" s="78"/>
      <c r="JBV95" s="78"/>
      <c r="JBW95" s="78"/>
      <c r="JBX95" s="78"/>
      <c r="JBY95" s="78"/>
      <c r="JBZ95" s="78"/>
      <c r="JCA95" s="78"/>
      <c r="JCB95" s="78"/>
      <c r="JCC95" s="78"/>
      <c r="JCD95" s="78"/>
      <c r="JCE95" s="78"/>
      <c r="JCF95" s="78"/>
      <c r="JCG95" s="78"/>
      <c r="JCH95" s="78"/>
      <c r="JCI95" s="78"/>
      <c r="JCJ95" s="78"/>
      <c r="JCK95" s="78"/>
      <c r="JCL95" s="78"/>
      <c r="JCM95" s="78"/>
      <c r="JCN95" s="78"/>
      <c r="JCO95" s="78"/>
      <c r="JCP95" s="78"/>
      <c r="JCQ95" s="78"/>
      <c r="JCR95" s="78"/>
      <c r="JCS95" s="78"/>
      <c r="JCT95" s="78"/>
      <c r="JCU95" s="78"/>
      <c r="JCV95" s="78"/>
      <c r="JCW95" s="78"/>
      <c r="JCX95" s="78"/>
      <c r="JCY95" s="78"/>
      <c r="JCZ95" s="78"/>
      <c r="JDA95" s="78"/>
      <c r="JDB95" s="78"/>
      <c r="JDC95" s="78"/>
      <c r="JDD95" s="78"/>
      <c r="JDE95" s="78"/>
      <c r="JDF95" s="78"/>
      <c r="JDG95" s="78"/>
      <c r="JDH95" s="78"/>
      <c r="JDI95" s="78"/>
      <c r="JDJ95" s="78"/>
      <c r="JDK95" s="78"/>
      <c r="JDL95" s="78"/>
      <c r="JDM95" s="78"/>
      <c r="JDN95" s="78"/>
      <c r="JDO95" s="78"/>
      <c r="JDP95" s="78"/>
      <c r="JDQ95" s="78"/>
      <c r="JDR95" s="78"/>
      <c r="JDS95" s="78"/>
      <c r="JDT95" s="78"/>
      <c r="JDU95" s="78"/>
      <c r="JDV95" s="78"/>
      <c r="JDW95" s="78"/>
      <c r="JDX95" s="78"/>
      <c r="JDY95" s="78"/>
      <c r="JDZ95" s="78"/>
      <c r="JEA95" s="78"/>
      <c r="JEB95" s="78"/>
      <c r="JEC95" s="78"/>
      <c r="JED95" s="78"/>
      <c r="JEE95" s="78"/>
      <c r="JEF95" s="78"/>
      <c r="JEG95" s="78"/>
      <c r="JEH95" s="78"/>
      <c r="JEI95" s="78"/>
      <c r="JEJ95" s="78"/>
      <c r="JEK95" s="78"/>
      <c r="JEL95" s="78"/>
      <c r="JEM95" s="78"/>
      <c r="JEN95" s="78"/>
      <c r="JEO95" s="78"/>
      <c r="JEP95" s="78"/>
      <c r="JEQ95" s="78"/>
      <c r="JER95" s="78"/>
      <c r="JES95" s="78"/>
      <c r="JET95" s="78"/>
      <c r="JEU95" s="78"/>
      <c r="JEV95" s="78"/>
      <c r="JEW95" s="78"/>
      <c r="JEX95" s="78"/>
      <c r="JEY95" s="78"/>
      <c r="JEZ95" s="78"/>
      <c r="JFA95" s="78"/>
      <c r="JFB95" s="78"/>
      <c r="JFC95" s="78"/>
      <c r="JFD95" s="78"/>
      <c r="JFE95" s="78"/>
      <c r="JFF95" s="78"/>
      <c r="JFG95" s="78"/>
      <c r="JFH95" s="78"/>
      <c r="JFI95" s="78"/>
      <c r="JFJ95" s="78"/>
      <c r="JFK95" s="78"/>
      <c r="JFL95" s="78"/>
      <c r="JFM95" s="78"/>
      <c r="JFN95" s="78"/>
      <c r="JFO95" s="78"/>
      <c r="JFP95" s="78"/>
      <c r="JFQ95" s="78"/>
      <c r="JFR95" s="78"/>
      <c r="JFS95" s="78"/>
      <c r="JFT95" s="78"/>
      <c r="JFU95" s="78"/>
      <c r="JFV95" s="78"/>
      <c r="JFW95" s="78"/>
      <c r="JFX95" s="78"/>
      <c r="JFY95" s="78"/>
      <c r="JFZ95" s="78"/>
      <c r="JGA95" s="78"/>
      <c r="JGB95" s="78"/>
      <c r="JGC95" s="78"/>
      <c r="JGD95" s="78"/>
      <c r="JGE95" s="78"/>
      <c r="JGF95" s="78"/>
      <c r="JGG95" s="78"/>
      <c r="JGH95" s="78"/>
      <c r="JGI95" s="78"/>
      <c r="JGJ95" s="78"/>
      <c r="JGK95" s="78"/>
      <c r="JGL95" s="78"/>
      <c r="JGM95" s="78"/>
      <c r="JGN95" s="78"/>
      <c r="JGO95" s="78"/>
      <c r="JGP95" s="78"/>
      <c r="JGQ95" s="78"/>
      <c r="JGR95" s="78"/>
      <c r="JGS95" s="78"/>
      <c r="JGT95" s="78"/>
      <c r="JGU95" s="78"/>
      <c r="JGV95" s="78"/>
      <c r="JGW95" s="78"/>
      <c r="JGX95" s="78"/>
      <c r="JGY95" s="78"/>
      <c r="JGZ95" s="78"/>
      <c r="JHA95" s="78"/>
      <c r="JHB95" s="78"/>
      <c r="JHC95" s="78"/>
      <c r="JHD95" s="78"/>
      <c r="JHE95" s="78"/>
      <c r="JHF95" s="78"/>
      <c r="JHG95" s="78"/>
      <c r="JHH95" s="78"/>
      <c r="JHI95" s="78"/>
      <c r="JHJ95" s="78"/>
      <c r="JHK95" s="78"/>
      <c r="JHL95" s="78"/>
      <c r="JHM95" s="78"/>
      <c r="JHN95" s="78"/>
      <c r="JHO95" s="78"/>
      <c r="JHP95" s="78"/>
      <c r="JHQ95" s="78"/>
      <c r="JHR95" s="78"/>
      <c r="JHS95" s="78"/>
      <c r="JHT95" s="78"/>
      <c r="JHU95" s="78"/>
      <c r="JHV95" s="78"/>
      <c r="JHW95" s="78"/>
      <c r="JHX95" s="78"/>
      <c r="JHY95" s="78"/>
      <c r="JHZ95" s="78"/>
      <c r="JIA95" s="78"/>
      <c r="JIB95" s="78"/>
      <c r="JIC95" s="78"/>
      <c r="JID95" s="78"/>
      <c r="JIE95" s="78"/>
      <c r="JIF95" s="78"/>
      <c r="JIG95" s="78"/>
      <c r="JIH95" s="78"/>
      <c r="JII95" s="78"/>
      <c r="JIJ95" s="78"/>
      <c r="JIK95" s="78"/>
      <c r="JIL95" s="78"/>
      <c r="JIM95" s="78"/>
      <c r="JIN95" s="78"/>
      <c r="JIO95" s="78"/>
      <c r="JIP95" s="78"/>
      <c r="JIQ95" s="78"/>
      <c r="JIR95" s="78"/>
      <c r="JIS95" s="78"/>
      <c r="JIT95" s="78"/>
      <c r="JIU95" s="78"/>
      <c r="JIV95" s="78"/>
      <c r="JIW95" s="78"/>
      <c r="JIX95" s="78"/>
      <c r="JIY95" s="78"/>
      <c r="JIZ95" s="78"/>
      <c r="JJA95" s="78"/>
      <c r="JJB95" s="78"/>
      <c r="JJC95" s="78"/>
      <c r="JJD95" s="78"/>
      <c r="JJE95" s="78"/>
      <c r="JJF95" s="78"/>
      <c r="JJG95" s="78"/>
      <c r="JJH95" s="78"/>
      <c r="JJI95" s="78"/>
      <c r="JJJ95" s="78"/>
      <c r="JJK95" s="78"/>
      <c r="JJL95" s="78"/>
      <c r="JJM95" s="78"/>
      <c r="JJN95" s="78"/>
      <c r="JJO95" s="78"/>
      <c r="JJP95" s="78"/>
      <c r="JJQ95" s="78"/>
      <c r="JJR95" s="78"/>
      <c r="JJS95" s="78"/>
      <c r="JJT95" s="78"/>
      <c r="JJU95" s="78"/>
      <c r="JJV95" s="78"/>
      <c r="JJW95" s="78"/>
      <c r="JJX95" s="78"/>
      <c r="JJY95" s="78"/>
      <c r="JJZ95" s="78"/>
      <c r="JKA95" s="78"/>
      <c r="JKB95" s="78"/>
      <c r="JKC95" s="78"/>
      <c r="JKD95" s="78"/>
      <c r="JKE95" s="78"/>
      <c r="JKF95" s="78"/>
      <c r="JKG95" s="78"/>
      <c r="JKH95" s="78"/>
      <c r="JKI95" s="78"/>
      <c r="JKJ95" s="78"/>
      <c r="JKK95" s="78"/>
      <c r="JKL95" s="78"/>
      <c r="JKM95" s="78"/>
      <c r="JKN95" s="78"/>
      <c r="JKO95" s="78"/>
      <c r="JKP95" s="78"/>
      <c r="JKQ95" s="78"/>
      <c r="JKR95" s="78"/>
      <c r="JKS95" s="78"/>
      <c r="JKT95" s="78"/>
      <c r="JKU95" s="78"/>
      <c r="JKV95" s="78"/>
      <c r="JKW95" s="78"/>
      <c r="JKX95" s="78"/>
      <c r="JKY95" s="78"/>
      <c r="JKZ95" s="78"/>
      <c r="JLA95" s="78"/>
      <c r="JLB95" s="78"/>
      <c r="JLC95" s="78"/>
      <c r="JLD95" s="78"/>
      <c r="JLE95" s="78"/>
      <c r="JLF95" s="78"/>
      <c r="JLG95" s="78"/>
      <c r="JLH95" s="78"/>
      <c r="JLI95" s="78"/>
      <c r="JLJ95" s="78"/>
      <c r="JLK95" s="78"/>
      <c r="JLL95" s="78"/>
      <c r="JLM95" s="78"/>
      <c r="JLN95" s="78"/>
      <c r="JLO95" s="78"/>
      <c r="JLP95" s="78"/>
      <c r="JLQ95" s="78"/>
      <c r="JLR95" s="78"/>
      <c r="JLS95" s="78"/>
      <c r="JLT95" s="78"/>
      <c r="JLU95" s="78"/>
      <c r="JLV95" s="78"/>
      <c r="JLW95" s="78"/>
      <c r="JLX95" s="78"/>
      <c r="JLY95" s="78"/>
      <c r="JLZ95" s="78"/>
      <c r="JMA95" s="78"/>
      <c r="JMB95" s="78"/>
      <c r="JMC95" s="78"/>
      <c r="JMD95" s="78"/>
      <c r="JME95" s="78"/>
      <c r="JMF95" s="78"/>
      <c r="JMG95" s="78"/>
      <c r="JMH95" s="78"/>
      <c r="JMI95" s="78"/>
      <c r="JMJ95" s="78"/>
      <c r="JMK95" s="78"/>
      <c r="JML95" s="78"/>
      <c r="JMM95" s="78"/>
      <c r="JMN95" s="78"/>
      <c r="JMO95" s="78"/>
      <c r="JMP95" s="78"/>
      <c r="JMQ95" s="78"/>
      <c r="JMR95" s="78"/>
      <c r="JMS95" s="78"/>
      <c r="JMT95" s="78"/>
      <c r="JMU95" s="78"/>
      <c r="JMV95" s="78"/>
      <c r="JMW95" s="78"/>
      <c r="JMX95" s="78"/>
      <c r="JMY95" s="78"/>
      <c r="JMZ95" s="78"/>
      <c r="JNA95" s="78"/>
      <c r="JNB95" s="78"/>
      <c r="JNC95" s="78"/>
      <c r="JND95" s="78"/>
      <c r="JNE95" s="78"/>
      <c r="JNF95" s="78"/>
      <c r="JNG95" s="78"/>
      <c r="JNH95" s="78"/>
      <c r="JNI95" s="78"/>
      <c r="JNJ95" s="78"/>
      <c r="JNK95" s="78"/>
      <c r="JNL95" s="78"/>
      <c r="JNM95" s="78"/>
      <c r="JNN95" s="78"/>
      <c r="JNO95" s="78"/>
      <c r="JNP95" s="78"/>
      <c r="JNQ95" s="78"/>
      <c r="JNR95" s="78"/>
      <c r="JNS95" s="78"/>
      <c r="JNT95" s="78"/>
      <c r="JNU95" s="78"/>
      <c r="JNV95" s="78"/>
      <c r="JNW95" s="78"/>
      <c r="JNX95" s="78"/>
      <c r="JNY95" s="78"/>
      <c r="JNZ95" s="78"/>
      <c r="JOA95" s="78"/>
      <c r="JOB95" s="78"/>
      <c r="JOC95" s="78"/>
      <c r="JOD95" s="78"/>
      <c r="JOE95" s="78"/>
      <c r="JOF95" s="78"/>
      <c r="JOG95" s="78"/>
      <c r="JOH95" s="78"/>
      <c r="JOI95" s="78"/>
      <c r="JOJ95" s="78"/>
      <c r="JOK95" s="78"/>
      <c r="JOL95" s="78"/>
      <c r="JOM95" s="78"/>
      <c r="JON95" s="78"/>
      <c r="JOO95" s="78"/>
      <c r="JOP95" s="78"/>
      <c r="JOQ95" s="78"/>
      <c r="JOR95" s="78"/>
      <c r="JOS95" s="78"/>
      <c r="JOT95" s="78"/>
      <c r="JOU95" s="78"/>
      <c r="JOV95" s="78"/>
      <c r="JOW95" s="78"/>
      <c r="JOX95" s="78"/>
      <c r="JOY95" s="78"/>
      <c r="JOZ95" s="78"/>
      <c r="JPA95" s="78"/>
      <c r="JPB95" s="78"/>
      <c r="JPC95" s="78"/>
      <c r="JPD95" s="78"/>
      <c r="JPE95" s="78"/>
      <c r="JPF95" s="78"/>
      <c r="JPG95" s="78"/>
      <c r="JPH95" s="78"/>
      <c r="JPI95" s="78"/>
      <c r="JPJ95" s="78"/>
      <c r="JPK95" s="78"/>
      <c r="JPL95" s="78"/>
      <c r="JPM95" s="78"/>
      <c r="JPN95" s="78"/>
      <c r="JPO95" s="78"/>
      <c r="JPP95" s="78"/>
      <c r="JPQ95" s="78"/>
      <c r="JPR95" s="78"/>
      <c r="JPS95" s="78"/>
      <c r="JPT95" s="78"/>
      <c r="JPU95" s="78"/>
      <c r="JPV95" s="78"/>
      <c r="JPW95" s="78"/>
      <c r="JPX95" s="78"/>
      <c r="JPY95" s="78"/>
      <c r="JPZ95" s="78"/>
      <c r="JQA95" s="78"/>
      <c r="JQB95" s="78"/>
      <c r="JQC95" s="78"/>
      <c r="JQD95" s="78"/>
      <c r="JQE95" s="78"/>
      <c r="JQF95" s="78"/>
      <c r="JQG95" s="78"/>
      <c r="JQH95" s="78"/>
      <c r="JQI95" s="78"/>
      <c r="JQJ95" s="78"/>
      <c r="JQK95" s="78"/>
      <c r="JQL95" s="78"/>
      <c r="JQM95" s="78"/>
      <c r="JQN95" s="78"/>
      <c r="JQO95" s="78"/>
      <c r="JQP95" s="78"/>
      <c r="JQQ95" s="78"/>
      <c r="JQR95" s="78"/>
      <c r="JQS95" s="78"/>
      <c r="JQT95" s="78"/>
      <c r="JQU95" s="78"/>
      <c r="JQV95" s="78"/>
      <c r="JQW95" s="78"/>
      <c r="JQX95" s="78"/>
      <c r="JQY95" s="78"/>
      <c r="JQZ95" s="78"/>
      <c r="JRA95" s="78"/>
      <c r="JRB95" s="78"/>
      <c r="JRC95" s="78"/>
      <c r="JRD95" s="78"/>
      <c r="JRE95" s="78"/>
      <c r="JRF95" s="78"/>
      <c r="JRG95" s="78"/>
      <c r="JRH95" s="78"/>
      <c r="JRI95" s="78"/>
      <c r="JRJ95" s="78"/>
      <c r="JRK95" s="78"/>
      <c r="JRL95" s="78"/>
      <c r="JRM95" s="78"/>
      <c r="JRN95" s="78"/>
      <c r="JRO95" s="78"/>
      <c r="JRP95" s="78"/>
      <c r="JRQ95" s="78"/>
      <c r="JRR95" s="78"/>
      <c r="JRS95" s="78"/>
      <c r="JRT95" s="78"/>
      <c r="JRU95" s="78"/>
      <c r="JRV95" s="78"/>
      <c r="JRW95" s="78"/>
      <c r="JRX95" s="78"/>
      <c r="JRY95" s="78"/>
      <c r="JRZ95" s="78"/>
      <c r="JSA95" s="78"/>
      <c r="JSB95" s="78"/>
      <c r="JSC95" s="78"/>
      <c r="JSD95" s="78"/>
      <c r="JSE95" s="78"/>
      <c r="JSF95" s="78"/>
      <c r="JSG95" s="78"/>
      <c r="JSH95" s="78"/>
      <c r="JSI95" s="78"/>
      <c r="JSJ95" s="78"/>
      <c r="JSK95" s="78"/>
      <c r="JSL95" s="78"/>
      <c r="JSM95" s="78"/>
      <c r="JSN95" s="78"/>
      <c r="JSO95" s="78"/>
      <c r="JSP95" s="78"/>
      <c r="JSQ95" s="78"/>
      <c r="JSR95" s="78"/>
      <c r="JSS95" s="78"/>
      <c r="JST95" s="78"/>
      <c r="JSU95" s="78"/>
      <c r="JSV95" s="78"/>
      <c r="JSW95" s="78"/>
      <c r="JSX95" s="78"/>
      <c r="JSY95" s="78"/>
      <c r="JSZ95" s="78"/>
      <c r="JTA95" s="78"/>
      <c r="JTB95" s="78"/>
      <c r="JTC95" s="78"/>
      <c r="JTD95" s="78"/>
      <c r="JTE95" s="78"/>
      <c r="JTF95" s="78"/>
      <c r="JTG95" s="78"/>
      <c r="JTH95" s="78"/>
      <c r="JTI95" s="78"/>
      <c r="JTJ95" s="78"/>
      <c r="JTK95" s="78"/>
      <c r="JTL95" s="78"/>
      <c r="JTM95" s="78"/>
      <c r="JTN95" s="78"/>
      <c r="JTO95" s="78"/>
      <c r="JTP95" s="78"/>
      <c r="JTQ95" s="78"/>
      <c r="JTR95" s="78"/>
      <c r="JTS95" s="78"/>
      <c r="JTT95" s="78"/>
      <c r="JTU95" s="78"/>
      <c r="JTV95" s="78"/>
      <c r="JTW95" s="78"/>
      <c r="JTX95" s="78"/>
      <c r="JTY95" s="78"/>
      <c r="JTZ95" s="78"/>
      <c r="JUA95" s="78"/>
      <c r="JUB95" s="78"/>
      <c r="JUC95" s="78"/>
      <c r="JUD95" s="78"/>
      <c r="JUE95" s="78"/>
      <c r="JUF95" s="78"/>
      <c r="JUG95" s="78"/>
      <c r="JUH95" s="78"/>
      <c r="JUI95" s="78"/>
      <c r="JUJ95" s="78"/>
      <c r="JUK95" s="78"/>
      <c r="JUL95" s="78"/>
      <c r="JUM95" s="78"/>
      <c r="JUN95" s="78"/>
      <c r="JUO95" s="78"/>
      <c r="JUP95" s="78"/>
      <c r="JUQ95" s="78"/>
      <c r="JUR95" s="78"/>
      <c r="JUS95" s="78"/>
      <c r="JUT95" s="78"/>
      <c r="JUU95" s="78"/>
      <c r="JUV95" s="78"/>
      <c r="JUW95" s="78"/>
      <c r="JUX95" s="78"/>
      <c r="JUY95" s="78"/>
      <c r="JUZ95" s="78"/>
      <c r="JVA95" s="78"/>
      <c r="JVB95" s="78"/>
      <c r="JVC95" s="78"/>
      <c r="JVD95" s="78"/>
      <c r="JVE95" s="78"/>
      <c r="JVF95" s="78"/>
      <c r="JVG95" s="78"/>
      <c r="JVH95" s="78"/>
      <c r="JVI95" s="78"/>
      <c r="JVJ95" s="78"/>
      <c r="JVK95" s="78"/>
      <c r="JVL95" s="78"/>
      <c r="JVM95" s="78"/>
      <c r="JVN95" s="78"/>
      <c r="JVO95" s="78"/>
      <c r="JVP95" s="78"/>
      <c r="JVQ95" s="78"/>
      <c r="JVR95" s="78"/>
      <c r="JVS95" s="78"/>
      <c r="JVT95" s="78"/>
      <c r="JVU95" s="78"/>
      <c r="JVV95" s="78"/>
      <c r="JVW95" s="78"/>
      <c r="JVX95" s="78"/>
      <c r="JVY95" s="78"/>
      <c r="JVZ95" s="78"/>
      <c r="JWA95" s="78"/>
      <c r="JWB95" s="78"/>
      <c r="JWC95" s="78"/>
      <c r="JWD95" s="78"/>
      <c r="JWE95" s="78"/>
      <c r="JWF95" s="78"/>
      <c r="JWG95" s="78"/>
      <c r="JWH95" s="78"/>
      <c r="JWI95" s="78"/>
      <c r="JWJ95" s="78"/>
      <c r="JWK95" s="78"/>
      <c r="JWL95" s="78"/>
      <c r="JWM95" s="78"/>
      <c r="JWN95" s="78"/>
      <c r="JWO95" s="78"/>
      <c r="JWP95" s="78"/>
      <c r="JWQ95" s="78"/>
      <c r="JWR95" s="78"/>
      <c r="JWS95" s="78"/>
      <c r="JWT95" s="78"/>
      <c r="JWU95" s="78"/>
      <c r="JWV95" s="78"/>
      <c r="JWW95" s="78"/>
      <c r="JWX95" s="78"/>
      <c r="JWY95" s="78"/>
      <c r="JWZ95" s="78"/>
      <c r="JXA95" s="78"/>
      <c r="JXB95" s="78"/>
      <c r="JXC95" s="78"/>
      <c r="JXD95" s="78"/>
      <c r="JXE95" s="78"/>
      <c r="JXF95" s="78"/>
      <c r="JXG95" s="78"/>
      <c r="JXH95" s="78"/>
      <c r="JXI95" s="78"/>
      <c r="JXJ95" s="78"/>
      <c r="JXK95" s="78"/>
      <c r="JXL95" s="78"/>
      <c r="JXM95" s="78"/>
      <c r="JXN95" s="78"/>
      <c r="JXO95" s="78"/>
      <c r="JXP95" s="78"/>
      <c r="JXQ95" s="78"/>
      <c r="JXR95" s="78"/>
      <c r="JXS95" s="78"/>
      <c r="JXT95" s="78"/>
      <c r="JXU95" s="78"/>
      <c r="JXV95" s="78"/>
      <c r="JXW95" s="78"/>
      <c r="JXX95" s="78"/>
      <c r="JXY95" s="78"/>
      <c r="JXZ95" s="78"/>
      <c r="JYA95" s="78"/>
      <c r="JYB95" s="78"/>
      <c r="JYC95" s="78"/>
      <c r="JYD95" s="78"/>
      <c r="JYE95" s="78"/>
      <c r="JYF95" s="78"/>
      <c r="JYG95" s="78"/>
      <c r="JYH95" s="78"/>
      <c r="JYI95" s="78"/>
      <c r="JYJ95" s="78"/>
      <c r="JYK95" s="78"/>
      <c r="JYL95" s="78"/>
      <c r="JYM95" s="78"/>
      <c r="JYN95" s="78"/>
      <c r="JYO95" s="78"/>
      <c r="JYP95" s="78"/>
      <c r="JYQ95" s="78"/>
      <c r="JYR95" s="78"/>
      <c r="JYS95" s="78"/>
      <c r="JYT95" s="78"/>
      <c r="JYU95" s="78"/>
      <c r="JYV95" s="78"/>
      <c r="JYW95" s="78"/>
      <c r="JYX95" s="78"/>
      <c r="JYY95" s="78"/>
      <c r="JYZ95" s="78"/>
      <c r="JZA95" s="78"/>
      <c r="JZB95" s="78"/>
      <c r="JZC95" s="78"/>
      <c r="JZD95" s="78"/>
      <c r="JZE95" s="78"/>
      <c r="JZF95" s="78"/>
      <c r="JZG95" s="78"/>
      <c r="JZH95" s="78"/>
      <c r="JZI95" s="78"/>
      <c r="JZJ95" s="78"/>
      <c r="JZK95" s="78"/>
      <c r="JZL95" s="78"/>
      <c r="JZM95" s="78"/>
      <c r="JZN95" s="78"/>
      <c r="JZO95" s="78"/>
      <c r="JZP95" s="78"/>
      <c r="JZQ95" s="78"/>
      <c r="JZR95" s="78"/>
      <c r="JZS95" s="78"/>
      <c r="JZT95" s="78"/>
      <c r="JZU95" s="78"/>
      <c r="JZV95" s="78"/>
      <c r="JZW95" s="78"/>
      <c r="JZX95" s="78"/>
      <c r="JZY95" s="78"/>
      <c r="JZZ95" s="78"/>
      <c r="KAA95" s="78"/>
      <c r="KAB95" s="78"/>
      <c r="KAC95" s="78"/>
      <c r="KAD95" s="78"/>
      <c r="KAE95" s="78"/>
      <c r="KAF95" s="78"/>
      <c r="KAG95" s="78"/>
      <c r="KAH95" s="78"/>
      <c r="KAI95" s="78"/>
      <c r="KAJ95" s="78"/>
      <c r="KAK95" s="78"/>
      <c r="KAL95" s="78"/>
      <c r="KAM95" s="78"/>
      <c r="KAN95" s="78"/>
      <c r="KAO95" s="78"/>
      <c r="KAP95" s="78"/>
      <c r="KAQ95" s="78"/>
      <c r="KAR95" s="78"/>
      <c r="KAS95" s="78"/>
      <c r="KAT95" s="78"/>
      <c r="KAU95" s="78"/>
      <c r="KAV95" s="78"/>
      <c r="KAW95" s="78"/>
      <c r="KAX95" s="78"/>
      <c r="KAY95" s="78"/>
      <c r="KAZ95" s="78"/>
      <c r="KBA95" s="78"/>
      <c r="KBB95" s="78"/>
      <c r="KBC95" s="78"/>
      <c r="KBD95" s="78"/>
      <c r="KBE95" s="78"/>
      <c r="KBF95" s="78"/>
      <c r="KBG95" s="78"/>
      <c r="KBH95" s="78"/>
      <c r="KBI95" s="78"/>
      <c r="KBJ95" s="78"/>
      <c r="KBK95" s="78"/>
      <c r="KBL95" s="78"/>
      <c r="KBM95" s="78"/>
      <c r="KBN95" s="78"/>
      <c r="KBO95" s="78"/>
      <c r="KBP95" s="78"/>
      <c r="KBQ95" s="78"/>
      <c r="KBR95" s="78"/>
      <c r="KBS95" s="78"/>
      <c r="KBT95" s="78"/>
      <c r="KBU95" s="78"/>
      <c r="KBV95" s="78"/>
      <c r="KBW95" s="78"/>
      <c r="KBX95" s="78"/>
      <c r="KBY95" s="78"/>
      <c r="KBZ95" s="78"/>
      <c r="KCA95" s="78"/>
      <c r="KCB95" s="78"/>
      <c r="KCC95" s="78"/>
      <c r="KCD95" s="78"/>
      <c r="KCE95" s="78"/>
      <c r="KCF95" s="78"/>
      <c r="KCG95" s="78"/>
      <c r="KCH95" s="78"/>
      <c r="KCI95" s="78"/>
      <c r="KCJ95" s="78"/>
      <c r="KCK95" s="78"/>
      <c r="KCL95" s="78"/>
      <c r="KCM95" s="78"/>
      <c r="KCN95" s="78"/>
      <c r="KCO95" s="78"/>
      <c r="KCP95" s="78"/>
      <c r="KCQ95" s="78"/>
      <c r="KCR95" s="78"/>
      <c r="KCS95" s="78"/>
      <c r="KCT95" s="78"/>
      <c r="KCU95" s="78"/>
      <c r="KCV95" s="78"/>
      <c r="KCW95" s="78"/>
      <c r="KCX95" s="78"/>
      <c r="KCY95" s="78"/>
      <c r="KCZ95" s="78"/>
      <c r="KDA95" s="78"/>
      <c r="KDB95" s="78"/>
      <c r="KDC95" s="78"/>
      <c r="KDD95" s="78"/>
      <c r="KDE95" s="78"/>
      <c r="KDF95" s="78"/>
      <c r="KDG95" s="78"/>
      <c r="KDH95" s="78"/>
      <c r="KDI95" s="78"/>
      <c r="KDJ95" s="78"/>
      <c r="KDK95" s="78"/>
      <c r="KDL95" s="78"/>
      <c r="KDM95" s="78"/>
      <c r="KDN95" s="78"/>
      <c r="KDO95" s="78"/>
      <c r="KDP95" s="78"/>
      <c r="KDQ95" s="78"/>
      <c r="KDR95" s="78"/>
      <c r="KDS95" s="78"/>
      <c r="KDT95" s="78"/>
      <c r="KDU95" s="78"/>
      <c r="KDV95" s="78"/>
      <c r="KDW95" s="78"/>
      <c r="KDX95" s="78"/>
      <c r="KDY95" s="78"/>
      <c r="KDZ95" s="78"/>
      <c r="KEA95" s="78"/>
      <c r="KEB95" s="78"/>
      <c r="KEC95" s="78"/>
      <c r="KED95" s="78"/>
      <c r="KEE95" s="78"/>
      <c r="KEF95" s="78"/>
      <c r="KEG95" s="78"/>
      <c r="KEH95" s="78"/>
      <c r="KEI95" s="78"/>
      <c r="KEJ95" s="78"/>
      <c r="KEK95" s="78"/>
      <c r="KEL95" s="78"/>
      <c r="KEM95" s="78"/>
      <c r="KEN95" s="78"/>
      <c r="KEO95" s="78"/>
      <c r="KEP95" s="78"/>
      <c r="KEQ95" s="78"/>
      <c r="KER95" s="78"/>
      <c r="KES95" s="78"/>
      <c r="KET95" s="78"/>
      <c r="KEU95" s="78"/>
      <c r="KEV95" s="78"/>
      <c r="KEW95" s="78"/>
      <c r="KEX95" s="78"/>
      <c r="KEY95" s="78"/>
      <c r="KEZ95" s="78"/>
      <c r="KFA95" s="78"/>
      <c r="KFB95" s="78"/>
      <c r="KFC95" s="78"/>
      <c r="KFD95" s="78"/>
      <c r="KFE95" s="78"/>
      <c r="KFF95" s="78"/>
      <c r="KFG95" s="78"/>
      <c r="KFH95" s="78"/>
      <c r="KFI95" s="78"/>
      <c r="KFJ95" s="78"/>
      <c r="KFK95" s="78"/>
      <c r="KFL95" s="78"/>
      <c r="KFM95" s="78"/>
      <c r="KFN95" s="78"/>
      <c r="KFO95" s="78"/>
      <c r="KFP95" s="78"/>
      <c r="KFQ95" s="78"/>
      <c r="KFR95" s="78"/>
      <c r="KFS95" s="78"/>
      <c r="KFT95" s="78"/>
      <c r="KFU95" s="78"/>
      <c r="KFV95" s="78"/>
      <c r="KFW95" s="78"/>
      <c r="KFX95" s="78"/>
      <c r="KFY95" s="78"/>
      <c r="KFZ95" s="78"/>
      <c r="KGA95" s="78"/>
      <c r="KGB95" s="78"/>
      <c r="KGC95" s="78"/>
      <c r="KGD95" s="78"/>
      <c r="KGE95" s="78"/>
      <c r="KGF95" s="78"/>
      <c r="KGG95" s="78"/>
      <c r="KGH95" s="78"/>
      <c r="KGI95" s="78"/>
      <c r="KGJ95" s="78"/>
      <c r="KGK95" s="78"/>
      <c r="KGL95" s="78"/>
      <c r="KGM95" s="78"/>
      <c r="KGN95" s="78"/>
      <c r="KGO95" s="78"/>
      <c r="KGP95" s="78"/>
      <c r="KGQ95" s="78"/>
      <c r="KGR95" s="78"/>
      <c r="KGS95" s="78"/>
      <c r="KGT95" s="78"/>
      <c r="KGU95" s="78"/>
      <c r="KGV95" s="78"/>
      <c r="KGW95" s="78"/>
      <c r="KGX95" s="78"/>
      <c r="KGY95" s="78"/>
      <c r="KGZ95" s="78"/>
      <c r="KHA95" s="78"/>
      <c r="KHB95" s="78"/>
      <c r="KHC95" s="78"/>
      <c r="KHD95" s="78"/>
      <c r="KHE95" s="78"/>
      <c r="KHF95" s="78"/>
      <c r="KHG95" s="78"/>
      <c r="KHH95" s="78"/>
      <c r="KHI95" s="78"/>
      <c r="KHJ95" s="78"/>
      <c r="KHK95" s="78"/>
      <c r="KHL95" s="78"/>
      <c r="KHM95" s="78"/>
      <c r="KHN95" s="78"/>
      <c r="KHO95" s="78"/>
      <c r="KHP95" s="78"/>
      <c r="KHQ95" s="78"/>
      <c r="KHR95" s="78"/>
      <c r="KHS95" s="78"/>
      <c r="KHT95" s="78"/>
      <c r="KHU95" s="78"/>
      <c r="KHV95" s="78"/>
      <c r="KHW95" s="78"/>
      <c r="KHX95" s="78"/>
      <c r="KHY95" s="78"/>
      <c r="KHZ95" s="78"/>
      <c r="KIA95" s="78"/>
      <c r="KIB95" s="78"/>
      <c r="KIC95" s="78"/>
      <c r="KID95" s="78"/>
      <c r="KIE95" s="78"/>
      <c r="KIF95" s="78"/>
      <c r="KIG95" s="78"/>
      <c r="KIH95" s="78"/>
      <c r="KII95" s="78"/>
      <c r="KIJ95" s="78"/>
      <c r="KIK95" s="78"/>
      <c r="KIL95" s="78"/>
      <c r="KIM95" s="78"/>
      <c r="KIN95" s="78"/>
      <c r="KIO95" s="78"/>
      <c r="KIP95" s="78"/>
      <c r="KIQ95" s="78"/>
      <c r="KIR95" s="78"/>
      <c r="KIS95" s="78"/>
      <c r="KIT95" s="78"/>
      <c r="KIU95" s="78"/>
      <c r="KIV95" s="78"/>
      <c r="KIW95" s="78"/>
      <c r="KIX95" s="78"/>
      <c r="KIY95" s="78"/>
      <c r="KIZ95" s="78"/>
      <c r="KJA95" s="78"/>
      <c r="KJB95" s="78"/>
      <c r="KJC95" s="78"/>
      <c r="KJD95" s="78"/>
      <c r="KJE95" s="78"/>
      <c r="KJF95" s="78"/>
      <c r="KJG95" s="78"/>
      <c r="KJH95" s="78"/>
      <c r="KJI95" s="78"/>
      <c r="KJJ95" s="78"/>
      <c r="KJK95" s="78"/>
      <c r="KJL95" s="78"/>
      <c r="KJM95" s="78"/>
      <c r="KJN95" s="78"/>
      <c r="KJO95" s="78"/>
      <c r="KJP95" s="78"/>
      <c r="KJQ95" s="78"/>
      <c r="KJR95" s="78"/>
      <c r="KJS95" s="78"/>
      <c r="KJT95" s="78"/>
      <c r="KJU95" s="78"/>
      <c r="KJV95" s="78"/>
      <c r="KJW95" s="78"/>
      <c r="KJX95" s="78"/>
      <c r="KJY95" s="78"/>
      <c r="KJZ95" s="78"/>
      <c r="KKA95" s="78"/>
      <c r="KKB95" s="78"/>
      <c r="KKC95" s="78"/>
      <c r="KKD95" s="78"/>
      <c r="KKE95" s="78"/>
      <c r="KKF95" s="78"/>
      <c r="KKG95" s="78"/>
      <c r="KKH95" s="78"/>
      <c r="KKI95" s="78"/>
      <c r="KKJ95" s="78"/>
      <c r="KKK95" s="78"/>
      <c r="KKL95" s="78"/>
      <c r="KKM95" s="78"/>
      <c r="KKN95" s="78"/>
      <c r="KKO95" s="78"/>
      <c r="KKP95" s="78"/>
      <c r="KKQ95" s="78"/>
      <c r="KKR95" s="78"/>
      <c r="KKS95" s="78"/>
      <c r="KKT95" s="78"/>
      <c r="KKU95" s="78"/>
      <c r="KKV95" s="78"/>
      <c r="KKW95" s="78"/>
      <c r="KKX95" s="78"/>
      <c r="KKY95" s="78"/>
      <c r="KKZ95" s="78"/>
      <c r="KLA95" s="78"/>
      <c r="KLB95" s="78"/>
      <c r="KLC95" s="78"/>
      <c r="KLD95" s="78"/>
      <c r="KLE95" s="78"/>
      <c r="KLF95" s="78"/>
      <c r="KLG95" s="78"/>
      <c r="KLH95" s="78"/>
      <c r="KLI95" s="78"/>
      <c r="KLJ95" s="78"/>
      <c r="KLK95" s="78"/>
      <c r="KLL95" s="78"/>
      <c r="KLM95" s="78"/>
      <c r="KLN95" s="78"/>
      <c r="KLO95" s="78"/>
      <c r="KLP95" s="78"/>
      <c r="KLQ95" s="78"/>
      <c r="KLR95" s="78"/>
      <c r="KLS95" s="78"/>
      <c r="KLT95" s="78"/>
      <c r="KLU95" s="78"/>
      <c r="KLV95" s="78"/>
      <c r="KLW95" s="78"/>
      <c r="KLX95" s="78"/>
      <c r="KLY95" s="78"/>
      <c r="KLZ95" s="78"/>
      <c r="KMA95" s="78"/>
      <c r="KMB95" s="78"/>
      <c r="KMC95" s="78"/>
      <c r="KMD95" s="78"/>
      <c r="KME95" s="78"/>
      <c r="KMF95" s="78"/>
      <c r="KMG95" s="78"/>
      <c r="KMH95" s="78"/>
      <c r="KMI95" s="78"/>
      <c r="KMJ95" s="78"/>
      <c r="KMK95" s="78"/>
      <c r="KML95" s="78"/>
      <c r="KMM95" s="78"/>
      <c r="KMN95" s="78"/>
      <c r="KMO95" s="78"/>
      <c r="KMP95" s="78"/>
      <c r="KMQ95" s="78"/>
      <c r="KMR95" s="78"/>
      <c r="KMS95" s="78"/>
      <c r="KMT95" s="78"/>
      <c r="KMU95" s="78"/>
      <c r="KMV95" s="78"/>
      <c r="KMW95" s="78"/>
      <c r="KMX95" s="78"/>
      <c r="KMY95" s="78"/>
      <c r="KMZ95" s="78"/>
      <c r="KNA95" s="78"/>
      <c r="KNB95" s="78"/>
      <c r="KNC95" s="78"/>
      <c r="KND95" s="78"/>
      <c r="KNE95" s="78"/>
      <c r="KNF95" s="78"/>
      <c r="KNG95" s="78"/>
      <c r="KNH95" s="78"/>
      <c r="KNI95" s="78"/>
      <c r="KNJ95" s="78"/>
      <c r="KNK95" s="78"/>
      <c r="KNL95" s="78"/>
      <c r="KNM95" s="78"/>
      <c r="KNN95" s="78"/>
      <c r="KNO95" s="78"/>
      <c r="KNP95" s="78"/>
      <c r="KNQ95" s="78"/>
      <c r="KNR95" s="78"/>
      <c r="KNS95" s="78"/>
      <c r="KNT95" s="78"/>
      <c r="KNU95" s="78"/>
      <c r="KNV95" s="78"/>
      <c r="KNW95" s="78"/>
      <c r="KNX95" s="78"/>
      <c r="KNY95" s="78"/>
      <c r="KNZ95" s="78"/>
      <c r="KOA95" s="78"/>
      <c r="KOB95" s="78"/>
      <c r="KOC95" s="78"/>
      <c r="KOD95" s="78"/>
      <c r="KOE95" s="78"/>
      <c r="KOF95" s="78"/>
      <c r="KOG95" s="78"/>
      <c r="KOH95" s="78"/>
      <c r="KOI95" s="78"/>
      <c r="KOJ95" s="78"/>
      <c r="KOK95" s="78"/>
      <c r="KOL95" s="78"/>
      <c r="KOM95" s="78"/>
      <c r="KON95" s="78"/>
      <c r="KOO95" s="78"/>
      <c r="KOP95" s="78"/>
      <c r="KOQ95" s="78"/>
      <c r="KOR95" s="78"/>
      <c r="KOS95" s="78"/>
      <c r="KOT95" s="78"/>
      <c r="KOU95" s="78"/>
      <c r="KOV95" s="78"/>
      <c r="KOW95" s="78"/>
      <c r="KOX95" s="78"/>
      <c r="KOY95" s="78"/>
      <c r="KOZ95" s="78"/>
      <c r="KPA95" s="78"/>
      <c r="KPB95" s="78"/>
      <c r="KPC95" s="78"/>
      <c r="KPD95" s="78"/>
      <c r="KPE95" s="78"/>
      <c r="KPF95" s="78"/>
      <c r="KPG95" s="78"/>
      <c r="KPH95" s="78"/>
      <c r="KPI95" s="78"/>
      <c r="KPJ95" s="78"/>
      <c r="KPK95" s="78"/>
      <c r="KPL95" s="78"/>
      <c r="KPM95" s="78"/>
      <c r="KPN95" s="78"/>
      <c r="KPO95" s="78"/>
      <c r="KPP95" s="78"/>
      <c r="KPQ95" s="78"/>
      <c r="KPR95" s="78"/>
      <c r="KPS95" s="78"/>
      <c r="KPT95" s="78"/>
      <c r="KPU95" s="78"/>
      <c r="KPV95" s="78"/>
      <c r="KPW95" s="78"/>
      <c r="KPX95" s="78"/>
      <c r="KPY95" s="78"/>
      <c r="KPZ95" s="78"/>
      <c r="KQA95" s="78"/>
      <c r="KQB95" s="78"/>
      <c r="KQC95" s="78"/>
      <c r="KQD95" s="78"/>
      <c r="KQE95" s="78"/>
      <c r="KQF95" s="78"/>
      <c r="KQG95" s="78"/>
      <c r="KQH95" s="78"/>
      <c r="KQI95" s="78"/>
      <c r="KQJ95" s="78"/>
      <c r="KQK95" s="78"/>
      <c r="KQL95" s="78"/>
      <c r="KQM95" s="78"/>
      <c r="KQN95" s="78"/>
      <c r="KQO95" s="78"/>
      <c r="KQP95" s="78"/>
      <c r="KQQ95" s="78"/>
      <c r="KQR95" s="78"/>
      <c r="KQS95" s="78"/>
      <c r="KQT95" s="78"/>
      <c r="KQU95" s="78"/>
      <c r="KQV95" s="78"/>
      <c r="KQW95" s="78"/>
      <c r="KQX95" s="78"/>
      <c r="KQY95" s="78"/>
      <c r="KQZ95" s="78"/>
      <c r="KRA95" s="78"/>
      <c r="KRB95" s="78"/>
      <c r="KRC95" s="78"/>
      <c r="KRD95" s="78"/>
      <c r="KRE95" s="78"/>
      <c r="KRF95" s="78"/>
      <c r="KRG95" s="78"/>
      <c r="KRH95" s="78"/>
      <c r="KRI95" s="78"/>
      <c r="KRJ95" s="78"/>
      <c r="KRK95" s="78"/>
      <c r="KRL95" s="78"/>
      <c r="KRM95" s="78"/>
      <c r="KRN95" s="78"/>
      <c r="KRO95" s="78"/>
      <c r="KRP95" s="78"/>
      <c r="KRQ95" s="78"/>
      <c r="KRR95" s="78"/>
      <c r="KRS95" s="78"/>
      <c r="KRT95" s="78"/>
      <c r="KRU95" s="78"/>
      <c r="KRV95" s="78"/>
      <c r="KRW95" s="78"/>
      <c r="KRX95" s="78"/>
      <c r="KRY95" s="78"/>
      <c r="KRZ95" s="78"/>
      <c r="KSA95" s="78"/>
      <c r="KSB95" s="78"/>
      <c r="KSC95" s="78"/>
      <c r="KSD95" s="78"/>
      <c r="KSE95" s="78"/>
      <c r="KSF95" s="78"/>
      <c r="KSG95" s="78"/>
      <c r="KSH95" s="78"/>
      <c r="KSI95" s="78"/>
      <c r="KSJ95" s="78"/>
      <c r="KSK95" s="78"/>
      <c r="KSL95" s="78"/>
      <c r="KSM95" s="78"/>
      <c r="KSN95" s="78"/>
      <c r="KSO95" s="78"/>
      <c r="KSP95" s="78"/>
      <c r="KSQ95" s="78"/>
      <c r="KSR95" s="78"/>
      <c r="KSS95" s="78"/>
      <c r="KST95" s="78"/>
      <c r="KSU95" s="78"/>
      <c r="KSV95" s="78"/>
      <c r="KSW95" s="78"/>
      <c r="KSX95" s="78"/>
      <c r="KSY95" s="78"/>
      <c r="KSZ95" s="78"/>
      <c r="KTA95" s="78"/>
      <c r="KTB95" s="78"/>
      <c r="KTC95" s="78"/>
      <c r="KTD95" s="78"/>
      <c r="KTE95" s="78"/>
      <c r="KTF95" s="78"/>
      <c r="KTG95" s="78"/>
      <c r="KTH95" s="78"/>
      <c r="KTI95" s="78"/>
      <c r="KTJ95" s="78"/>
      <c r="KTK95" s="78"/>
      <c r="KTL95" s="78"/>
      <c r="KTM95" s="78"/>
      <c r="KTN95" s="78"/>
      <c r="KTO95" s="78"/>
      <c r="KTP95" s="78"/>
      <c r="KTQ95" s="78"/>
      <c r="KTR95" s="78"/>
      <c r="KTS95" s="78"/>
      <c r="KTT95" s="78"/>
      <c r="KTU95" s="78"/>
      <c r="KTV95" s="78"/>
      <c r="KTW95" s="78"/>
      <c r="KTX95" s="78"/>
      <c r="KTY95" s="78"/>
      <c r="KTZ95" s="78"/>
      <c r="KUA95" s="78"/>
      <c r="KUB95" s="78"/>
      <c r="KUC95" s="78"/>
      <c r="KUD95" s="78"/>
      <c r="KUE95" s="78"/>
      <c r="KUF95" s="78"/>
      <c r="KUG95" s="78"/>
      <c r="KUH95" s="78"/>
      <c r="KUI95" s="78"/>
      <c r="KUJ95" s="78"/>
      <c r="KUK95" s="78"/>
      <c r="KUL95" s="78"/>
      <c r="KUM95" s="78"/>
      <c r="KUN95" s="78"/>
      <c r="KUO95" s="78"/>
      <c r="KUP95" s="78"/>
      <c r="KUQ95" s="78"/>
      <c r="KUR95" s="78"/>
      <c r="KUS95" s="78"/>
      <c r="KUT95" s="78"/>
      <c r="KUU95" s="78"/>
      <c r="KUV95" s="78"/>
      <c r="KUW95" s="78"/>
      <c r="KUX95" s="78"/>
      <c r="KUY95" s="78"/>
      <c r="KUZ95" s="78"/>
      <c r="KVA95" s="78"/>
      <c r="KVB95" s="78"/>
      <c r="KVC95" s="78"/>
      <c r="KVD95" s="78"/>
      <c r="KVE95" s="78"/>
      <c r="KVF95" s="78"/>
      <c r="KVG95" s="78"/>
      <c r="KVH95" s="78"/>
      <c r="KVI95" s="78"/>
      <c r="KVJ95" s="78"/>
      <c r="KVK95" s="78"/>
      <c r="KVL95" s="78"/>
      <c r="KVM95" s="78"/>
      <c r="KVN95" s="78"/>
      <c r="KVO95" s="78"/>
      <c r="KVP95" s="78"/>
      <c r="KVQ95" s="78"/>
      <c r="KVR95" s="78"/>
      <c r="KVS95" s="78"/>
      <c r="KVT95" s="78"/>
      <c r="KVU95" s="78"/>
      <c r="KVV95" s="78"/>
      <c r="KVW95" s="78"/>
      <c r="KVX95" s="78"/>
      <c r="KVY95" s="78"/>
      <c r="KVZ95" s="78"/>
      <c r="KWA95" s="78"/>
      <c r="KWB95" s="78"/>
      <c r="KWC95" s="78"/>
      <c r="KWD95" s="78"/>
      <c r="KWE95" s="78"/>
      <c r="KWF95" s="78"/>
      <c r="KWG95" s="78"/>
      <c r="KWH95" s="78"/>
      <c r="KWI95" s="78"/>
      <c r="KWJ95" s="78"/>
      <c r="KWK95" s="78"/>
      <c r="KWL95" s="78"/>
      <c r="KWM95" s="78"/>
      <c r="KWN95" s="78"/>
      <c r="KWO95" s="78"/>
      <c r="KWP95" s="78"/>
      <c r="KWQ95" s="78"/>
      <c r="KWR95" s="78"/>
      <c r="KWS95" s="78"/>
      <c r="KWT95" s="78"/>
      <c r="KWU95" s="78"/>
      <c r="KWV95" s="78"/>
      <c r="KWW95" s="78"/>
      <c r="KWX95" s="78"/>
      <c r="KWY95" s="78"/>
      <c r="KWZ95" s="78"/>
      <c r="KXA95" s="78"/>
      <c r="KXB95" s="78"/>
      <c r="KXC95" s="78"/>
      <c r="KXD95" s="78"/>
      <c r="KXE95" s="78"/>
      <c r="KXF95" s="78"/>
      <c r="KXG95" s="78"/>
      <c r="KXH95" s="78"/>
      <c r="KXI95" s="78"/>
      <c r="KXJ95" s="78"/>
      <c r="KXK95" s="78"/>
      <c r="KXL95" s="78"/>
      <c r="KXM95" s="78"/>
      <c r="KXN95" s="78"/>
      <c r="KXO95" s="78"/>
      <c r="KXP95" s="78"/>
      <c r="KXQ95" s="78"/>
      <c r="KXR95" s="78"/>
      <c r="KXS95" s="78"/>
      <c r="KXT95" s="78"/>
      <c r="KXU95" s="78"/>
      <c r="KXV95" s="78"/>
      <c r="KXW95" s="78"/>
      <c r="KXX95" s="78"/>
      <c r="KXY95" s="78"/>
      <c r="KXZ95" s="78"/>
      <c r="KYA95" s="78"/>
      <c r="KYB95" s="78"/>
      <c r="KYC95" s="78"/>
      <c r="KYD95" s="78"/>
      <c r="KYE95" s="78"/>
      <c r="KYF95" s="78"/>
      <c r="KYG95" s="78"/>
      <c r="KYH95" s="78"/>
      <c r="KYI95" s="78"/>
      <c r="KYJ95" s="78"/>
      <c r="KYK95" s="78"/>
      <c r="KYL95" s="78"/>
      <c r="KYM95" s="78"/>
      <c r="KYN95" s="78"/>
      <c r="KYO95" s="78"/>
      <c r="KYP95" s="78"/>
      <c r="KYQ95" s="78"/>
      <c r="KYR95" s="78"/>
      <c r="KYS95" s="78"/>
      <c r="KYT95" s="78"/>
      <c r="KYU95" s="78"/>
      <c r="KYV95" s="78"/>
      <c r="KYW95" s="78"/>
      <c r="KYX95" s="78"/>
      <c r="KYY95" s="78"/>
      <c r="KYZ95" s="78"/>
      <c r="KZA95" s="78"/>
      <c r="KZB95" s="78"/>
      <c r="KZC95" s="78"/>
      <c r="KZD95" s="78"/>
      <c r="KZE95" s="78"/>
      <c r="KZF95" s="78"/>
      <c r="KZG95" s="78"/>
      <c r="KZH95" s="78"/>
      <c r="KZI95" s="78"/>
      <c r="KZJ95" s="78"/>
      <c r="KZK95" s="78"/>
      <c r="KZL95" s="78"/>
      <c r="KZM95" s="78"/>
      <c r="KZN95" s="78"/>
      <c r="KZO95" s="78"/>
      <c r="KZP95" s="78"/>
      <c r="KZQ95" s="78"/>
      <c r="KZR95" s="78"/>
      <c r="KZS95" s="78"/>
      <c r="KZT95" s="78"/>
      <c r="KZU95" s="78"/>
      <c r="KZV95" s="78"/>
      <c r="KZW95" s="78"/>
      <c r="KZX95" s="78"/>
      <c r="KZY95" s="78"/>
      <c r="KZZ95" s="78"/>
      <c r="LAA95" s="78"/>
      <c r="LAB95" s="78"/>
      <c r="LAC95" s="78"/>
      <c r="LAD95" s="78"/>
      <c r="LAE95" s="78"/>
      <c r="LAF95" s="78"/>
      <c r="LAG95" s="78"/>
      <c r="LAH95" s="78"/>
      <c r="LAI95" s="78"/>
      <c r="LAJ95" s="78"/>
      <c r="LAK95" s="78"/>
      <c r="LAL95" s="78"/>
      <c r="LAM95" s="78"/>
      <c r="LAN95" s="78"/>
      <c r="LAO95" s="78"/>
      <c r="LAP95" s="78"/>
      <c r="LAQ95" s="78"/>
      <c r="LAR95" s="78"/>
      <c r="LAS95" s="78"/>
      <c r="LAT95" s="78"/>
      <c r="LAU95" s="78"/>
      <c r="LAV95" s="78"/>
      <c r="LAW95" s="78"/>
      <c r="LAX95" s="78"/>
      <c r="LAY95" s="78"/>
      <c r="LAZ95" s="78"/>
      <c r="LBA95" s="78"/>
      <c r="LBB95" s="78"/>
      <c r="LBC95" s="78"/>
      <c r="LBD95" s="78"/>
      <c r="LBE95" s="78"/>
      <c r="LBF95" s="78"/>
      <c r="LBG95" s="78"/>
      <c r="LBH95" s="78"/>
      <c r="LBI95" s="78"/>
      <c r="LBJ95" s="78"/>
      <c r="LBK95" s="78"/>
      <c r="LBL95" s="78"/>
      <c r="LBM95" s="78"/>
      <c r="LBN95" s="78"/>
      <c r="LBO95" s="78"/>
      <c r="LBP95" s="78"/>
      <c r="LBQ95" s="78"/>
      <c r="LBR95" s="78"/>
      <c r="LBS95" s="78"/>
      <c r="LBT95" s="78"/>
      <c r="LBU95" s="78"/>
      <c r="LBV95" s="78"/>
      <c r="LBW95" s="78"/>
      <c r="LBX95" s="78"/>
      <c r="LBY95" s="78"/>
      <c r="LBZ95" s="78"/>
      <c r="LCA95" s="78"/>
      <c r="LCB95" s="78"/>
      <c r="LCC95" s="78"/>
      <c r="LCD95" s="78"/>
      <c r="LCE95" s="78"/>
      <c r="LCF95" s="78"/>
      <c r="LCG95" s="78"/>
      <c r="LCH95" s="78"/>
      <c r="LCI95" s="78"/>
      <c r="LCJ95" s="78"/>
      <c r="LCK95" s="78"/>
      <c r="LCL95" s="78"/>
      <c r="LCM95" s="78"/>
      <c r="LCN95" s="78"/>
      <c r="LCO95" s="78"/>
      <c r="LCP95" s="78"/>
      <c r="LCQ95" s="78"/>
      <c r="LCR95" s="78"/>
      <c r="LCS95" s="78"/>
      <c r="LCT95" s="78"/>
      <c r="LCU95" s="78"/>
      <c r="LCV95" s="78"/>
      <c r="LCW95" s="78"/>
      <c r="LCX95" s="78"/>
      <c r="LCY95" s="78"/>
      <c r="LCZ95" s="78"/>
      <c r="LDA95" s="78"/>
      <c r="LDB95" s="78"/>
      <c r="LDC95" s="78"/>
      <c r="LDD95" s="78"/>
      <c r="LDE95" s="78"/>
      <c r="LDF95" s="78"/>
      <c r="LDG95" s="78"/>
      <c r="LDH95" s="78"/>
      <c r="LDI95" s="78"/>
      <c r="LDJ95" s="78"/>
      <c r="LDK95" s="78"/>
      <c r="LDL95" s="78"/>
      <c r="LDM95" s="78"/>
      <c r="LDN95" s="78"/>
      <c r="LDO95" s="78"/>
      <c r="LDP95" s="78"/>
      <c r="LDQ95" s="78"/>
      <c r="LDR95" s="78"/>
      <c r="LDS95" s="78"/>
      <c r="LDT95" s="78"/>
      <c r="LDU95" s="78"/>
      <c r="LDV95" s="78"/>
      <c r="LDW95" s="78"/>
      <c r="LDX95" s="78"/>
      <c r="LDY95" s="78"/>
      <c r="LDZ95" s="78"/>
      <c r="LEA95" s="78"/>
      <c r="LEB95" s="78"/>
      <c r="LEC95" s="78"/>
      <c r="LED95" s="78"/>
      <c r="LEE95" s="78"/>
      <c r="LEF95" s="78"/>
      <c r="LEG95" s="78"/>
      <c r="LEH95" s="78"/>
      <c r="LEI95" s="78"/>
      <c r="LEJ95" s="78"/>
      <c r="LEK95" s="78"/>
      <c r="LEL95" s="78"/>
      <c r="LEM95" s="78"/>
      <c r="LEN95" s="78"/>
      <c r="LEO95" s="78"/>
      <c r="LEP95" s="78"/>
      <c r="LEQ95" s="78"/>
      <c r="LER95" s="78"/>
      <c r="LES95" s="78"/>
      <c r="LET95" s="78"/>
      <c r="LEU95" s="78"/>
      <c r="LEV95" s="78"/>
      <c r="LEW95" s="78"/>
      <c r="LEX95" s="78"/>
      <c r="LEY95" s="78"/>
      <c r="LEZ95" s="78"/>
      <c r="LFA95" s="78"/>
      <c r="LFB95" s="78"/>
      <c r="LFC95" s="78"/>
      <c r="LFD95" s="78"/>
      <c r="LFE95" s="78"/>
      <c r="LFF95" s="78"/>
      <c r="LFG95" s="78"/>
      <c r="LFH95" s="78"/>
      <c r="LFI95" s="78"/>
      <c r="LFJ95" s="78"/>
      <c r="LFK95" s="78"/>
      <c r="LFL95" s="78"/>
      <c r="LFM95" s="78"/>
      <c r="LFN95" s="78"/>
      <c r="LFO95" s="78"/>
      <c r="LFP95" s="78"/>
      <c r="LFQ95" s="78"/>
      <c r="LFR95" s="78"/>
      <c r="LFS95" s="78"/>
      <c r="LFT95" s="78"/>
      <c r="LFU95" s="78"/>
      <c r="LFV95" s="78"/>
      <c r="LFW95" s="78"/>
      <c r="LFX95" s="78"/>
      <c r="LFY95" s="78"/>
      <c r="LFZ95" s="78"/>
      <c r="LGA95" s="78"/>
      <c r="LGB95" s="78"/>
      <c r="LGC95" s="78"/>
      <c r="LGD95" s="78"/>
      <c r="LGE95" s="78"/>
      <c r="LGF95" s="78"/>
      <c r="LGG95" s="78"/>
      <c r="LGH95" s="78"/>
      <c r="LGI95" s="78"/>
      <c r="LGJ95" s="78"/>
      <c r="LGK95" s="78"/>
      <c r="LGL95" s="78"/>
      <c r="LGM95" s="78"/>
      <c r="LGN95" s="78"/>
      <c r="LGO95" s="78"/>
      <c r="LGP95" s="78"/>
      <c r="LGQ95" s="78"/>
      <c r="LGR95" s="78"/>
      <c r="LGS95" s="78"/>
      <c r="LGT95" s="78"/>
      <c r="LGU95" s="78"/>
      <c r="LGV95" s="78"/>
      <c r="LGW95" s="78"/>
      <c r="LGX95" s="78"/>
      <c r="LGY95" s="78"/>
      <c r="LGZ95" s="78"/>
      <c r="LHA95" s="78"/>
      <c r="LHB95" s="78"/>
      <c r="LHC95" s="78"/>
      <c r="LHD95" s="78"/>
      <c r="LHE95" s="78"/>
      <c r="LHF95" s="78"/>
      <c r="LHG95" s="78"/>
      <c r="LHH95" s="78"/>
      <c r="LHI95" s="78"/>
      <c r="LHJ95" s="78"/>
      <c r="LHK95" s="78"/>
      <c r="LHL95" s="78"/>
      <c r="LHM95" s="78"/>
      <c r="LHN95" s="78"/>
      <c r="LHO95" s="78"/>
      <c r="LHP95" s="78"/>
      <c r="LHQ95" s="78"/>
      <c r="LHR95" s="78"/>
      <c r="LHS95" s="78"/>
      <c r="LHT95" s="78"/>
      <c r="LHU95" s="78"/>
      <c r="LHV95" s="78"/>
      <c r="LHW95" s="78"/>
      <c r="LHX95" s="78"/>
      <c r="LHY95" s="78"/>
      <c r="LHZ95" s="78"/>
      <c r="LIA95" s="78"/>
      <c r="LIB95" s="78"/>
      <c r="LIC95" s="78"/>
      <c r="LID95" s="78"/>
      <c r="LIE95" s="78"/>
      <c r="LIF95" s="78"/>
      <c r="LIG95" s="78"/>
      <c r="LIH95" s="78"/>
      <c r="LII95" s="78"/>
      <c r="LIJ95" s="78"/>
      <c r="LIK95" s="78"/>
      <c r="LIL95" s="78"/>
      <c r="LIM95" s="78"/>
      <c r="LIN95" s="78"/>
      <c r="LIO95" s="78"/>
      <c r="LIP95" s="78"/>
      <c r="LIQ95" s="78"/>
      <c r="LIR95" s="78"/>
      <c r="LIS95" s="78"/>
      <c r="LIT95" s="78"/>
      <c r="LIU95" s="78"/>
      <c r="LIV95" s="78"/>
      <c r="LIW95" s="78"/>
      <c r="LIX95" s="78"/>
      <c r="LIY95" s="78"/>
      <c r="LIZ95" s="78"/>
      <c r="LJA95" s="78"/>
      <c r="LJB95" s="78"/>
      <c r="LJC95" s="78"/>
      <c r="LJD95" s="78"/>
      <c r="LJE95" s="78"/>
      <c r="LJF95" s="78"/>
      <c r="LJG95" s="78"/>
      <c r="LJH95" s="78"/>
      <c r="LJI95" s="78"/>
      <c r="LJJ95" s="78"/>
      <c r="LJK95" s="78"/>
      <c r="LJL95" s="78"/>
      <c r="LJM95" s="78"/>
      <c r="LJN95" s="78"/>
      <c r="LJO95" s="78"/>
      <c r="LJP95" s="78"/>
      <c r="LJQ95" s="78"/>
      <c r="LJR95" s="78"/>
      <c r="LJS95" s="78"/>
      <c r="LJT95" s="78"/>
      <c r="LJU95" s="78"/>
      <c r="LJV95" s="78"/>
      <c r="LJW95" s="78"/>
      <c r="LJX95" s="78"/>
      <c r="LJY95" s="78"/>
      <c r="LJZ95" s="78"/>
      <c r="LKA95" s="78"/>
      <c r="LKB95" s="78"/>
      <c r="LKC95" s="78"/>
      <c r="LKD95" s="78"/>
      <c r="LKE95" s="78"/>
      <c r="LKF95" s="78"/>
      <c r="LKG95" s="78"/>
      <c r="LKH95" s="78"/>
      <c r="LKI95" s="78"/>
      <c r="LKJ95" s="78"/>
      <c r="LKK95" s="78"/>
      <c r="LKL95" s="78"/>
      <c r="LKM95" s="78"/>
      <c r="LKN95" s="78"/>
      <c r="LKO95" s="78"/>
      <c r="LKP95" s="78"/>
      <c r="LKQ95" s="78"/>
      <c r="LKR95" s="78"/>
      <c r="LKS95" s="78"/>
      <c r="LKT95" s="78"/>
      <c r="LKU95" s="78"/>
      <c r="LKV95" s="78"/>
      <c r="LKW95" s="78"/>
      <c r="LKX95" s="78"/>
      <c r="LKY95" s="78"/>
      <c r="LKZ95" s="78"/>
      <c r="LLA95" s="78"/>
      <c r="LLB95" s="78"/>
      <c r="LLC95" s="78"/>
      <c r="LLD95" s="78"/>
      <c r="LLE95" s="78"/>
      <c r="LLF95" s="78"/>
      <c r="LLG95" s="78"/>
      <c r="LLH95" s="78"/>
      <c r="LLI95" s="78"/>
      <c r="LLJ95" s="78"/>
      <c r="LLK95" s="78"/>
      <c r="LLL95" s="78"/>
      <c r="LLM95" s="78"/>
      <c r="LLN95" s="78"/>
      <c r="LLO95" s="78"/>
      <c r="LLP95" s="78"/>
      <c r="LLQ95" s="78"/>
      <c r="LLR95" s="78"/>
      <c r="LLS95" s="78"/>
      <c r="LLT95" s="78"/>
      <c r="LLU95" s="78"/>
      <c r="LLV95" s="78"/>
      <c r="LLW95" s="78"/>
      <c r="LLX95" s="78"/>
      <c r="LLY95" s="78"/>
      <c r="LLZ95" s="78"/>
      <c r="LMA95" s="78"/>
      <c r="LMB95" s="78"/>
      <c r="LMC95" s="78"/>
      <c r="LMD95" s="78"/>
      <c r="LME95" s="78"/>
      <c r="LMF95" s="78"/>
      <c r="LMG95" s="78"/>
      <c r="LMH95" s="78"/>
      <c r="LMI95" s="78"/>
      <c r="LMJ95" s="78"/>
      <c r="LMK95" s="78"/>
      <c r="LML95" s="78"/>
      <c r="LMM95" s="78"/>
      <c r="LMN95" s="78"/>
      <c r="LMO95" s="78"/>
      <c r="LMP95" s="78"/>
      <c r="LMQ95" s="78"/>
      <c r="LMR95" s="78"/>
      <c r="LMS95" s="78"/>
      <c r="LMT95" s="78"/>
      <c r="LMU95" s="78"/>
      <c r="LMV95" s="78"/>
      <c r="LMW95" s="78"/>
      <c r="LMX95" s="78"/>
      <c r="LMY95" s="78"/>
      <c r="LMZ95" s="78"/>
      <c r="LNA95" s="78"/>
      <c r="LNB95" s="78"/>
      <c r="LNC95" s="78"/>
      <c r="LND95" s="78"/>
      <c r="LNE95" s="78"/>
      <c r="LNF95" s="78"/>
      <c r="LNG95" s="78"/>
      <c r="LNH95" s="78"/>
      <c r="LNI95" s="78"/>
      <c r="LNJ95" s="78"/>
      <c r="LNK95" s="78"/>
      <c r="LNL95" s="78"/>
      <c r="LNM95" s="78"/>
      <c r="LNN95" s="78"/>
      <c r="LNO95" s="78"/>
      <c r="LNP95" s="78"/>
      <c r="LNQ95" s="78"/>
      <c r="LNR95" s="78"/>
      <c r="LNS95" s="78"/>
      <c r="LNT95" s="78"/>
      <c r="LNU95" s="78"/>
      <c r="LNV95" s="78"/>
      <c r="LNW95" s="78"/>
      <c r="LNX95" s="78"/>
      <c r="LNY95" s="78"/>
      <c r="LNZ95" s="78"/>
      <c r="LOA95" s="78"/>
      <c r="LOB95" s="78"/>
      <c r="LOC95" s="78"/>
      <c r="LOD95" s="78"/>
      <c r="LOE95" s="78"/>
      <c r="LOF95" s="78"/>
      <c r="LOG95" s="78"/>
      <c r="LOH95" s="78"/>
      <c r="LOI95" s="78"/>
      <c r="LOJ95" s="78"/>
      <c r="LOK95" s="78"/>
      <c r="LOL95" s="78"/>
      <c r="LOM95" s="78"/>
      <c r="LON95" s="78"/>
      <c r="LOO95" s="78"/>
      <c r="LOP95" s="78"/>
      <c r="LOQ95" s="78"/>
      <c r="LOR95" s="78"/>
      <c r="LOS95" s="78"/>
      <c r="LOT95" s="78"/>
      <c r="LOU95" s="78"/>
      <c r="LOV95" s="78"/>
      <c r="LOW95" s="78"/>
      <c r="LOX95" s="78"/>
      <c r="LOY95" s="78"/>
      <c r="LOZ95" s="78"/>
      <c r="LPA95" s="78"/>
      <c r="LPB95" s="78"/>
      <c r="LPC95" s="78"/>
      <c r="LPD95" s="78"/>
      <c r="LPE95" s="78"/>
      <c r="LPF95" s="78"/>
      <c r="LPG95" s="78"/>
      <c r="LPH95" s="78"/>
      <c r="LPI95" s="78"/>
      <c r="LPJ95" s="78"/>
      <c r="LPK95" s="78"/>
      <c r="LPL95" s="78"/>
      <c r="LPM95" s="78"/>
      <c r="LPN95" s="78"/>
      <c r="LPO95" s="78"/>
      <c r="LPP95" s="78"/>
      <c r="LPQ95" s="78"/>
      <c r="LPR95" s="78"/>
      <c r="LPS95" s="78"/>
      <c r="LPT95" s="78"/>
      <c r="LPU95" s="78"/>
      <c r="LPV95" s="78"/>
      <c r="LPW95" s="78"/>
      <c r="LPX95" s="78"/>
      <c r="LPY95" s="78"/>
      <c r="LPZ95" s="78"/>
      <c r="LQA95" s="78"/>
      <c r="LQB95" s="78"/>
      <c r="LQC95" s="78"/>
      <c r="LQD95" s="78"/>
      <c r="LQE95" s="78"/>
      <c r="LQF95" s="78"/>
      <c r="LQG95" s="78"/>
      <c r="LQH95" s="78"/>
      <c r="LQI95" s="78"/>
      <c r="LQJ95" s="78"/>
      <c r="LQK95" s="78"/>
      <c r="LQL95" s="78"/>
      <c r="LQM95" s="78"/>
      <c r="LQN95" s="78"/>
      <c r="LQO95" s="78"/>
      <c r="LQP95" s="78"/>
      <c r="LQQ95" s="78"/>
      <c r="LQR95" s="78"/>
      <c r="LQS95" s="78"/>
      <c r="LQT95" s="78"/>
      <c r="LQU95" s="78"/>
      <c r="LQV95" s="78"/>
      <c r="LQW95" s="78"/>
      <c r="LQX95" s="78"/>
      <c r="LQY95" s="78"/>
      <c r="LQZ95" s="78"/>
      <c r="LRA95" s="78"/>
      <c r="LRB95" s="78"/>
      <c r="LRC95" s="78"/>
      <c r="LRD95" s="78"/>
      <c r="LRE95" s="78"/>
      <c r="LRF95" s="78"/>
      <c r="LRG95" s="78"/>
      <c r="LRH95" s="78"/>
      <c r="LRI95" s="78"/>
      <c r="LRJ95" s="78"/>
      <c r="LRK95" s="78"/>
      <c r="LRL95" s="78"/>
      <c r="LRM95" s="78"/>
      <c r="LRN95" s="78"/>
      <c r="LRO95" s="78"/>
      <c r="LRP95" s="78"/>
      <c r="LRQ95" s="78"/>
      <c r="LRR95" s="78"/>
      <c r="LRS95" s="78"/>
      <c r="LRT95" s="78"/>
      <c r="LRU95" s="78"/>
      <c r="LRV95" s="78"/>
      <c r="LRW95" s="78"/>
      <c r="LRX95" s="78"/>
      <c r="LRY95" s="78"/>
      <c r="LRZ95" s="78"/>
      <c r="LSA95" s="78"/>
      <c r="LSB95" s="78"/>
      <c r="LSC95" s="78"/>
      <c r="LSD95" s="78"/>
      <c r="LSE95" s="78"/>
      <c r="LSF95" s="78"/>
      <c r="LSG95" s="78"/>
      <c r="LSH95" s="78"/>
      <c r="LSI95" s="78"/>
      <c r="LSJ95" s="78"/>
      <c r="LSK95" s="78"/>
      <c r="LSL95" s="78"/>
      <c r="LSM95" s="78"/>
      <c r="LSN95" s="78"/>
      <c r="LSO95" s="78"/>
      <c r="LSP95" s="78"/>
      <c r="LSQ95" s="78"/>
      <c r="LSR95" s="78"/>
      <c r="LSS95" s="78"/>
      <c r="LST95" s="78"/>
      <c r="LSU95" s="78"/>
      <c r="LSV95" s="78"/>
      <c r="LSW95" s="78"/>
      <c r="LSX95" s="78"/>
      <c r="LSY95" s="78"/>
      <c r="LSZ95" s="78"/>
      <c r="LTA95" s="78"/>
      <c r="LTB95" s="78"/>
      <c r="LTC95" s="78"/>
      <c r="LTD95" s="78"/>
      <c r="LTE95" s="78"/>
      <c r="LTF95" s="78"/>
      <c r="LTG95" s="78"/>
      <c r="LTH95" s="78"/>
      <c r="LTI95" s="78"/>
      <c r="LTJ95" s="78"/>
      <c r="LTK95" s="78"/>
      <c r="LTL95" s="78"/>
      <c r="LTM95" s="78"/>
      <c r="LTN95" s="78"/>
      <c r="LTO95" s="78"/>
      <c r="LTP95" s="78"/>
      <c r="LTQ95" s="78"/>
      <c r="LTR95" s="78"/>
      <c r="LTS95" s="78"/>
      <c r="LTT95" s="78"/>
      <c r="LTU95" s="78"/>
      <c r="LTV95" s="78"/>
      <c r="LTW95" s="78"/>
      <c r="LTX95" s="78"/>
      <c r="LTY95" s="78"/>
      <c r="LTZ95" s="78"/>
      <c r="LUA95" s="78"/>
      <c r="LUB95" s="78"/>
      <c r="LUC95" s="78"/>
      <c r="LUD95" s="78"/>
      <c r="LUE95" s="78"/>
      <c r="LUF95" s="78"/>
      <c r="LUG95" s="78"/>
      <c r="LUH95" s="78"/>
      <c r="LUI95" s="78"/>
      <c r="LUJ95" s="78"/>
      <c r="LUK95" s="78"/>
      <c r="LUL95" s="78"/>
      <c r="LUM95" s="78"/>
      <c r="LUN95" s="78"/>
      <c r="LUO95" s="78"/>
      <c r="LUP95" s="78"/>
      <c r="LUQ95" s="78"/>
      <c r="LUR95" s="78"/>
      <c r="LUS95" s="78"/>
      <c r="LUT95" s="78"/>
      <c r="LUU95" s="78"/>
      <c r="LUV95" s="78"/>
      <c r="LUW95" s="78"/>
      <c r="LUX95" s="78"/>
      <c r="LUY95" s="78"/>
      <c r="LUZ95" s="78"/>
      <c r="LVA95" s="78"/>
      <c r="LVB95" s="78"/>
      <c r="LVC95" s="78"/>
      <c r="LVD95" s="78"/>
      <c r="LVE95" s="78"/>
      <c r="LVF95" s="78"/>
      <c r="LVG95" s="78"/>
      <c r="LVH95" s="78"/>
      <c r="LVI95" s="78"/>
      <c r="LVJ95" s="78"/>
      <c r="LVK95" s="78"/>
      <c r="LVL95" s="78"/>
      <c r="LVM95" s="78"/>
      <c r="LVN95" s="78"/>
      <c r="LVO95" s="78"/>
      <c r="LVP95" s="78"/>
      <c r="LVQ95" s="78"/>
      <c r="LVR95" s="78"/>
      <c r="LVS95" s="78"/>
      <c r="LVT95" s="78"/>
      <c r="LVU95" s="78"/>
      <c r="LVV95" s="78"/>
      <c r="LVW95" s="78"/>
      <c r="LVX95" s="78"/>
      <c r="LVY95" s="78"/>
      <c r="LVZ95" s="78"/>
      <c r="LWA95" s="78"/>
      <c r="LWB95" s="78"/>
      <c r="LWC95" s="78"/>
      <c r="LWD95" s="78"/>
      <c r="LWE95" s="78"/>
      <c r="LWF95" s="78"/>
      <c r="LWG95" s="78"/>
      <c r="LWH95" s="78"/>
      <c r="LWI95" s="78"/>
      <c r="LWJ95" s="78"/>
      <c r="LWK95" s="78"/>
      <c r="LWL95" s="78"/>
      <c r="LWM95" s="78"/>
      <c r="LWN95" s="78"/>
      <c r="LWO95" s="78"/>
      <c r="LWP95" s="78"/>
      <c r="LWQ95" s="78"/>
      <c r="LWR95" s="78"/>
      <c r="LWS95" s="78"/>
      <c r="LWT95" s="78"/>
      <c r="LWU95" s="78"/>
      <c r="LWV95" s="78"/>
      <c r="LWW95" s="78"/>
      <c r="LWX95" s="78"/>
      <c r="LWY95" s="78"/>
      <c r="LWZ95" s="78"/>
      <c r="LXA95" s="78"/>
      <c r="LXB95" s="78"/>
      <c r="LXC95" s="78"/>
      <c r="LXD95" s="78"/>
      <c r="LXE95" s="78"/>
      <c r="LXF95" s="78"/>
      <c r="LXG95" s="78"/>
      <c r="LXH95" s="78"/>
      <c r="LXI95" s="78"/>
      <c r="LXJ95" s="78"/>
      <c r="LXK95" s="78"/>
      <c r="LXL95" s="78"/>
      <c r="LXM95" s="78"/>
      <c r="LXN95" s="78"/>
      <c r="LXO95" s="78"/>
      <c r="LXP95" s="78"/>
      <c r="LXQ95" s="78"/>
      <c r="LXR95" s="78"/>
      <c r="LXS95" s="78"/>
      <c r="LXT95" s="78"/>
      <c r="LXU95" s="78"/>
      <c r="LXV95" s="78"/>
      <c r="LXW95" s="78"/>
      <c r="LXX95" s="78"/>
      <c r="LXY95" s="78"/>
      <c r="LXZ95" s="78"/>
      <c r="LYA95" s="78"/>
      <c r="LYB95" s="78"/>
      <c r="LYC95" s="78"/>
      <c r="LYD95" s="78"/>
      <c r="LYE95" s="78"/>
      <c r="LYF95" s="78"/>
      <c r="LYG95" s="78"/>
      <c r="LYH95" s="78"/>
      <c r="LYI95" s="78"/>
      <c r="LYJ95" s="78"/>
      <c r="LYK95" s="78"/>
      <c r="LYL95" s="78"/>
      <c r="LYM95" s="78"/>
      <c r="LYN95" s="78"/>
      <c r="LYO95" s="78"/>
      <c r="LYP95" s="78"/>
      <c r="LYQ95" s="78"/>
      <c r="LYR95" s="78"/>
      <c r="LYS95" s="78"/>
      <c r="LYT95" s="78"/>
      <c r="LYU95" s="78"/>
      <c r="LYV95" s="78"/>
      <c r="LYW95" s="78"/>
      <c r="LYX95" s="78"/>
      <c r="LYY95" s="78"/>
      <c r="LYZ95" s="78"/>
      <c r="LZA95" s="78"/>
      <c r="LZB95" s="78"/>
      <c r="LZC95" s="78"/>
      <c r="LZD95" s="78"/>
      <c r="LZE95" s="78"/>
      <c r="LZF95" s="78"/>
      <c r="LZG95" s="78"/>
      <c r="LZH95" s="78"/>
      <c r="LZI95" s="78"/>
      <c r="LZJ95" s="78"/>
      <c r="LZK95" s="78"/>
      <c r="LZL95" s="78"/>
      <c r="LZM95" s="78"/>
      <c r="LZN95" s="78"/>
      <c r="LZO95" s="78"/>
      <c r="LZP95" s="78"/>
      <c r="LZQ95" s="78"/>
      <c r="LZR95" s="78"/>
      <c r="LZS95" s="78"/>
      <c r="LZT95" s="78"/>
      <c r="LZU95" s="78"/>
      <c r="LZV95" s="78"/>
      <c r="LZW95" s="78"/>
      <c r="LZX95" s="78"/>
      <c r="LZY95" s="78"/>
      <c r="LZZ95" s="78"/>
      <c r="MAA95" s="78"/>
      <c r="MAB95" s="78"/>
      <c r="MAC95" s="78"/>
      <c r="MAD95" s="78"/>
      <c r="MAE95" s="78"/>
      <c r="MAF95" s="78"/>
      <c r="MAG95" s="78"/>
      <c r="MAH95" s="78"/>
      <c r="MAI95" s="78"/>
      <c r="MAJ95" s="78"/>
      <c r="MAK95" s="78"/>
      <c r="MAL95" s="78"/>
      <c r="MAM95" s="78"/>
      <c r="MAN95" s="78"/>
      <c r="MAO95" s="78"/>
      <c r="MAP95" s="78"/>
      <c r="MAQ95" s="78"/>
      <c r="MAR95" s="78"/>
      <c r="MAS95" s="78"/>
      <c r="MAT95" s="78"/>
      <c r="MAU95" s="78"/>
      <c r="MAV95" s="78"/>
      <c r="MAW95" s="78"/>
      <c r="MAX95" s="78"/>
      <c r="MAY95" s="78"/>
      <c r="MAZ95" s="78"/>
      <c r="MBA95" s="78"/>
      <c r="MBB95" s="78"/>
      <c r="MBC95" s="78"/>
      <c r="MBD95" s="78"/>
      <c r="MBE95" s="78"/>
      <c r="MBF95" s="78"/>
      <c r="MBG95" s="78"/>
      <c r="MBH95" s="78"/>
      <c r="MBI95" s="78"/>
      <c r="MBJ95" s="78"/>
      <c r="MBK95" s="78"/>
      <c r="MBL95" s="78"/>
      <c r="MBM95" s="78"/>
      <c r="MBN95" s="78"/>
      <c r="MBO95" s="78"/>
      <c r="MBP95" s="78"/>
      <c r="MBQ95" s="78"/>
      <c r="MBR95" s="78"/>
      <c r="MBS95" s="78"/>
      <c r="MBT95" s="78"/>
      <c r="MBU95" s="78"/>
      <c r="MBV95" s="78"/>
      <c r="MBW95" s="78"/>
      <c r="MBX95" s="78"/>
      <c r="MBY95" s="78"/>
      <c r="MBZ95" s="78"/>
      <c r="MCA95" s="78"/>
      <c r="MCB95" s="78"/>
      <c r="MCC95" s="78"/>
      <c r="MCD95" s="78"/>
      <c r="MCE95" s="78"/>
      <c r="MCF95" s="78"/>
      <c r="MCG95" s="78"/>
      <c r="MCH95" s="78"/>
      <c r="MCI95" s="78"/>
      <c r="MCJ95" s="78"/>
      <c r="MCK95" s="78"/>
      <c r="MCL95" s="78"/>
      <c r="MCM95" s="78"/>
      <c r="MCN95" s="78"/>
      <c r="MCO95" s="78"/>
      <c r="MCP95" s="78"/>
      <c r="MCQ95" s="78"/>
      <c r="MCR95" s="78"/>
      <c r="MCS95" s="78"/>
      <c r="MCT95" s="78"/>
      <c r="MCU95" s="78"/>
      <c r="MCV95" s="78"/>
      <c r="MCW95" s="78"/>
      <c r="MCX95" s="78"/>
      <c r="MCY95" s="78"/>
      <c r="MCZ95" s="78"/>
      <c r="MDA95" s="78"/>
      <c r="MDB95" s="78"/>
      <c r="MDC95" s="78"/>
      <c r="MDD95" s="78"/>
      <c r="MDE95" s="78"/>
      <c r="MDF95" s="78"/>
      <c r="MDG95" s="78"/>
      <c r="MDH95" s="78"/>
      <c r="MDI95" s="78"/>
      <c r="MDJ95" s="78"/>
      <c r="MDK95" s="78"/>
      <c r="MDL95" s="78"/>
      <c r="MDM95" s="78"/>
      <c r="MDN95" s="78"/>
      <c r="MDO95" s="78"/>
      <c r="MDP95" s="78"/>
      <c r="MDQ95" s="78"/>
      <c r="MDR95" s="78"/>
      <c r="MDS95" s="78"/>
      <c r="MDT95" s="78"/>
      <c r="MDU95" s="78"/>
      <c r="MDV95" s="78"/>
      <c r="MDW95" s="78"/>
      <c r="MDX95" s="78"/>
      <c r="MDY95" s="78"/>
      <c r="MDZ95" s="78"/>
      <c r="MEA95" s="78"/>
      <c r="MEB95" s="78"/>
      <c r="MEC95" s="78"/>
      <c r="MED95" s="78"/>
      <c r="MEE95" s="78"/>
      <c r="MEF95" s="78"/>
      <c r="MEG95" s="78"/>
      <c r="MEH95" s="78"/>
      <c r="MEI95" s="78"/>
      <c r="MEJ95" s="78"/>
      <c r="MEK95" s="78"/>
      <c r="MEL95" s="78"/>
      <c r="MEM95" s="78"/>
      <c r="MEN95" s="78"/>
      <c r="MEO95" s="78"/>
      <c r="MEP95" s="78"/>
      <c r="MEQ95" s="78"/>
      <c r="MER95" s="78"/>
      <c r="MES95" s="78"/>
      <c r="MET95" s="78"/>
      <c r="MEU95" s="78"/>
      <c r="MEV95" s="78"/>
      <c r="MEW95" s="78"/>
      <c r="MEX95" s="78"/>
      <c r="MEY95" s="78"/>
      <c r="MEZ95" s="78"/>
      <c r="MFA95" s="78"/>
      <c r="MFB95" s="78"/>
      <c r="MFC95" s="78"/>
      <c r="MFD95" s="78"/>
      <c r="MFE95" s="78"/>
      <c r="MFF95" s="78"/>
      <c r="MFG95" s="78"/>
      <c r="MFH95" s="78"/>
      <c r="MFI95" s="78"/>
      <c r="MFJ95" s="78"/>
      <c r="MFK95" s="78"/>
      <c r="MFL95" s="78"/>
      <c r="MFM95" s="78"/>
      <c r="MFN95" s="78"/>
      <c r="MFO95" s="78"/>
      <c r="MFP95" s="78"/>
      <c r="MFQ95" s="78"/>
      <c r="MFR95" s="78"/>
      <c r="MFS95" s="78"/>
      <c r="MFT95" s="78"/>
      <c r="MFU95" s="78"/>
      <c r="MFV95" s="78"/>
      <c r="MFW95" s="78"/>
      <c r="MFX95" s="78"/>
      <c r="MFY95" s="78"/>
      <c r="MFZ95" s="78"/>
      <c r="MGA95" s="78"/>
      <c r="MGB95" s="78"/>
      <c r="MGC95" s="78"/>
      <c r="MGD95" s="78"/>
      <c r="MGE95" s="78"/>
      <c r="MGF95" s="78"/>
      <c r="MGG95" s="78"/>
      <c r="MGH95" s="78"/>
      <c r="MGI95" s="78"/>
      <c r="MGJ95" s="78"/>
      <c r="MGK95" s="78"/>
      <c r="MGL95" s="78"/>
      <c r="MGM95" s="78"/>
      <c r="MGN95" s="78"/>
      <c r="MGO95" s="78"/>
      <c r="MGP95" s="78"/>
      <c r="MGQ95" s="78"/>
      <c r="MGR95" s="78"/>
      <c r="MGS95" s="78"/>
      <c r="MGT95" s="78"/>
      <c r="MGU95" s="78"/>
      <c r="MGV95" s="78"/>
      <c r="MGW95" s="78"/>
      <c r="MGX95" s="78"/>
      <c r="MGY95" s="78"/>
      <c r="MGZ95" s="78"/>
      <c r="MHA95" s="78"/>
      <c r="MHB95" s="78"/>
      <c r="MHC95" s="78"/>
      <c r="MHD95" s="78"/>
      <c r="MHE95" s="78"/>
      <c r="MHF95" s="78"/>
      <c r="MHG95" s="78"/>
      <c r="MHH95" s="78"/>
      <c r="MHI95" s="78"/>
      <c r="MHJ95" s="78"/>
      <c r="MHK95" s="78"/>
      <c r="MHL95" s="78"/>
      <c r="MHM95" s="78"/>
      <c r="MHN95" s="78"/>
      <c r="MHO95" s="78"/>
      <c r="MHP95" s="78"/>
      <c r="MHQ95" s="78"/>
      <c r="MHR95" s="78"/>
      <c r="MHS95" s="78"/>
      <c r="MHT95" s="78"/>
      <c r="MHU95" s="78"/>
      <c r="MHV95" s="78"/>
      <c r="MHW95" s="78"/>
      <c r="MHX95" s="78"/>
      <c r="MHY95" s="78"/>
      <c r="MHZ95" s="78"/>
      <c r="MIA95" s="78"/>
      <c r="MIB95" s="78"/>
      <c r="MIC95" s="78"/>
      <c r="MID95" s="78"/>
      <c r="MIE95" s="78"/>
      <c r="MIF95" s="78"/>
      <c r="MIG95" s="78"/>
      <c r="MIH95" s="78"/>
      <c r="MII95" s="78"/>
      <c r="MIJ95" s="78"/>
      <c r="MIK95" s="78"/>
      <c r="MIL95" s="78"/>
      <c r="MIM95" s="78"/>
      <c r="MIN95" s="78"/>
      <c r="MIO95" s="78"/>
      <c r="MIP95" s="78"/>
      <c r="MIQ95" s="78"/>
      <c r="MIR95" s="78"/>
      <c r="MIS95" s="78"/>
      <c r="MIT95" s="78"/>
      <c r="MIU95" s="78"/>
      <c r="MIV95" s="78"/>
      <c r="MIW95" s="78"/>
      <c r="MIX95" s="78"/>
      <c r="MIY95" s="78"/>
      <c r="MIZ95" s="78"/>
      <c r="MJA95" s="78"/>
      <c r="MJB95" s="78"/>
      <c r="MJC95" s="78"/>
      <c r="MJD95" s="78"/>
      <c r="MJE95" s="78"/>
      <c r="MJF95" s="78"/>
      <c r="MJG95" s="78"/>
      <c r="MJH95" s="78"/>
      <c r="MJI95" s="78"/>
      <c r="MJJ95" s="78"/>
      <c r="MJK95" s="78"/>
      <c r="MJL95" s="78"/>
      <c r="MJM95" s="78"/>
      <c r="MJN95" s="78"/>
      <c r="MJO95" s="78"/>
      <c r="MJP95" s="78"/>
      <c r="MJQ95" s="78"/>
      <c r="MJR95" s="78"/>
      <c r="MJS95" s="78"/>
      <c r="MJT95" s="78"/>
      <c r="MJU95" s="78"/>
      <c r="MJV95" s="78"/>
      <c r="MJW95" s="78"/>
      <c r="MJX95" s="78"/>
      <c r="MJY95" s="78"/>
      <c r="MJZ95" s="78"/>
      <c r="MKA95" s="78"/>
      <c r="MKB95" s="78"/>
      <c r="MKC95" s="78"/>
      <c r="MKD95" s="78"/>
      <c r="MKE95" s="78"/>
      <c r="MKF95" s="78"/>
      <c r="MKG95" s="78"/>
      <c r="MKH95" s="78"/>
      <c r="MKI95" s="78"/>
      <c r="MKJ95" s="78"/>
      <c r="MKK95" s="78"/>
      <c r="MKL95" s="78"/>
      <c r="MKM95" s="78"/>
      <c r="MKN95" s="78"/>
      <c r="MKO95" s="78"/>
      <c r="MKP95" s="78"/>
      <c r="MKQ95" s="78"/>
      <c r="MKR95" s="78"/>
      <c r="MKS95" s="78"/>
      <c r="MKT95" s="78"/>
      <c r="MKU95" s="78"/>
      <c r="MKV95" s="78"/>
      <c r="MKW95" s="78"/>
      <c r="MKX95" s="78"/>
      <c r="MKY95" s="78"/>
      <c r="MKZ95" s="78"/>
      <c r="MLA95" s="78"/>
      <c r="MLB95" s="78"/>
      <c r="MLC95" s="78"/>
      <c r="MLD95" s="78"/>
      <c r="MLE95" s="78"/>
      <c r="MLF95" s="78"/>
      <c r="MLG95" s="78"/>
      <c r="MLH95" s="78"/>
      <c r="MLI95" s="78"/>
      <c r="MLJ95" s="78"/>
      <c r="MLK95" s="78"/>
      <c r="MLL95" s="78"/>
      <c r="MLM95" s="78"/>
      <c r="MLN95" s="78"/>
      <c r="MLO95" s="78"/>
      <c r="MLP95" s="78"/>
      <c r="MLQ95" s="78"/>
      <c r="MLR95" s="78"/>
      <c r="MLS95" s="78"/>
      <c r="MLT95" s="78"/>
      <c r="MLU95" s="78"/>
      <c r="MLV95" s="78"/>
      <c r="MLW95" s="78"/>
      <c r="MLX95" s="78"/>
      <c r="MLY95" s="78"/>
      <c r="MLZ95" s="78"/>
      <c r="MMA95" s="78"/>
      <c r="MMB95" s="78"/>
      <c r="MMC95" s="78"/>
      <c r="MMD95" s="78"/>
      <c r="MME95" s="78"/>
      <c r="MMF95" s="78"/>
      <c r="MMG95" s="78"/>
      <c r="MMH95" s="78"/>
      <c r="MMI95" s="78"/>
      <c r="MMJ95" s="78"/>
      <c r="MMK95" s="78"/>
      <c r="MML95" s="78"/>
      <c r="MMM95" s="78"/>
      <c r="MMN95" s="78"/>
      <c r="MMO95" s="78"/>
      <c r="MMP95" s="78"/>
      <c r="MMQ95" s="78"/>
      <c r="MMR95" s="78"/>
      <c r="MMS95" s="78"/>
      <c r="MMT95" s="78"/>
      <c r="MMU95" s="78"/>
      <c r="MMV95" s="78"/>
      <c r="MMW95" s="78"/>
      <c r="MMX95" s="78"/>
      <c r="MMY95" s="78"/>
      <c r="MMZ95" s="78"/>
      <c r="MNA95" s="78"/>
      <c r="MNB95" s="78"/>
      <c r="MNC95" s="78"/>
      <c r="MND95" s="78"/>
      <c r="MNE95" s="78"/>
      <c r="MNF95" s="78"/>
      <c r="MNG95" s="78"/>
      <c r="MNH95" s="78"/>
      <c r="MNI95" s="78"/>
      <c r="MNJ95" s="78"/>
      <c r="MNK95" s="78"/>
      <c r="MNL95" s="78"/>
      <c r="MNM95" s="78"/>
      <c r="MNN95" s="78"/>
      <c r="MNO95" s="78"/>
      <c r="MNP95" s="78"/>
      <c r="MNQ95" s="78"/>
      <c r="MNR95" s="78"/>
      <c r="MNS95" s="78"/>
      <c r="MNT95" s="78"/>
      <c r="MNU95" s="78"/>
      <c r="MNV95" s="78"/>
      <c r="MNW95" s="78"/>
      <c r="MNX95" s="78"/>
      <c r="MNY95" s="78"/>
      <c r="MNZ95" s="78"/>
      <c r="MOA95" s="78"/>
      <c r="MOB95" s="78"/>
      <c r="MOC95" s="78"/>
      <c r="MOD95" s="78"/>
      <c r="MOE95" s="78"/>
      <c r="MOF95" s="78"/>
      <c r="MOG95" s="78"/>
      <c r="MOH95" s="78"/>
      <c r="MOI95" s="78"/>
      <c r="MOJ95" s="78"/>
      <c r="MOK95" s="78"/>
      <c r="MOL95" s="78"/>
      <c r="MOM95" s="78"/>
      <c r="MON95" s="78"/>
      <c r="MOO95" s="78"/>
      <c r="MOP95" s="78"/>
      <c r="MOQ95" s="78"/>
      <c r="MOR95" s="78"/>
      <c r="MOS95" s="78"/>
      <c r="MOT95" s="78"/>
      <c r="MOU95" s="78"/>
      <c r="MOV95" s="78"/>
      <c r="MOW95" s="78"/>
      <c r="MOX95" s="78"/>
      <c r="MOY95" s="78"/>
      <c r="MOZ95" s="78"/>
      <c r="MPA95" s="78"/>
      <c r="MPB95" s="78"/>
      <c r="MPC95" s="78"/>
      <c r="MPD95" s="78"/>
      <c r="MPE95" s="78"/>
      <c r="MPF95" s="78"/>
      <c r="MPG95" s="78"/>
      <c r="MPH95" s="78"/>
      <c r="MPI95" s="78"/>
      <c r="MPJ95" s="78"/>
      <c r="MPK95" s="78"/>
      <c r="MPL95" s="78"/>
      <c r="MPM95" s="78"/>
      <c r="MPN95" s="78"/>
      <c r="MPO95" s="78"/>
      <c r="MPP95" s="78"/>
      <c r="MPQ95" s="78"/>
      <c r="MPR95" s="78"/>
      <c r="MPS95" s="78"/>
      <c r="MPT95" s="78"/>
      <c r="MPU95" s="78"/>
      <c r="MPV95" s="78"/>
      <c r="MPW95" s="78"/>
      <c r="MPX95" s="78"/>
      <c r="MPY95" s="78"/>
      <c r="MPZ95" s="78"/>
      <c r="MQA95" s="78"/>
      <c r="MQB95" s="78"/>
      <c r="MQC95" s="78"/>
      <c r="MQD95" s="78"/>
      <c r="MQE95" s="78"/>
      <c r="MQF95" s="78"/>
      <c r="MQG95" s="78"/>
      <c r="MQH95" s="78"/>
      <c r="MQI95" s="78"/>
      <c r="MQJ95" s="78"/>
      <c r="MQK95" s="78"/>
      <c r="MQL95" s="78"/>
      <c r="MQM95" s="78"/>
      <c r="MQN95" s="78"/>
      <c r="MQO95" s="78"/>
      <c r="MQP95" s="78"/>
      <c r="MQQ95" s="78"/>
      <c r="MQR95" s="78"/>
      <c r="MQS95" s="78"/>
      <c r="MQT95" s="78"/>
      <c r="MQU95" s="78"/>
      <c r="MQV95" s="78"/>
      <c r="MQW95" s="78"/>
      <c r="MQX95" s="78"/>
      <c r="MQY95" s="78"/>
      <c r="MQZ95" s="78"/>
      <c r="MRA95" s="78"/>
      <c r="MRB95" s="78"/>
      <c r="MRC95" s="78"/>
      <c r="MRD95" s="78"/>
      <c r="MRE95" s="78"/>
      <c r="MRF95" s="78"/>
      <c r="MRG95" s="78"/>
      <c r="MRH95" s="78"/>
      <c r="MRI95" s="78"/>
      <c r="MRJ95" s="78"/>
      <c r="MRK95" s="78"/>
      <c r="MRL95" s="78"/>
      <c r="MRM95" s="78"/>
      <c r="MRN95" s="78"/>
      <c r="MRO95" s="78"/>
      <c r="MRP95" s="78"/>
      <c r="MRQ95" s="78"/>
      <c r="MRR95" s="78"/>
      <c r="MRS95" s="78"/>
      <c r="MRT95" s="78"/>
      <c r="MRU95" s="78"/>
      <c r="MRV95" s="78"/>
      <c r="MRW95" s="78"/>
      <c r="MRX95" s="78"/>
      <c r="MRY95" s="78"/>
      <c r="MRZ95" s="78"/>
      <c r="MSA95" s="78"/>
      <c r="MSB95" s="78"/>
      <c r="MSC95" s="78"/>
      <c r="MSD95" s="78"/>
      <c r="MSE95" s="78"/>
      <c r="MSF95" s="78"/>
      <c r="MSG95" s="78"/>
      <c r="MSH95" s="78"/>
      <c r="MSI95" s="78"/>
      <c r="MSJ95" s="78"/>
      <c r="MSK95" s="78"/>
      <c r="MSL95" s="78"/>
      <c r="MSM95" s="78"/>
      <c r="MSN95" s="78"/>
      <c r="MSO95" s="78"/>
      <c r="MSP95" s="78"/>
      <c r="MSQ95" s="78"/>
      <c r="MSR95" s="78"/>
      <c r="MSS95" s="78"/>
      <c r="MST95" s="78"/>
      <c r="MSU95" s="78"/>
      <c r="MSV95" s="78"/>
      <c r="MSW95" s="78"/>
      <c r="MSX95" s="78"/>
      <c r="MSY95" s="78"/>
      <c r="MSZ95" s="78"/>
      <c r="MTA95" s="78"/>
      <c r="MTB95" s="78"/>
      <c r="MTC95" s="78"/>
      <c r="MTD95" s="78"/>
      <c r="MTE95" s="78"/>
      <c r="MTF95" s="78"/>
      <c r="MTG95" s="78"/>
      <c r="MTH95" s="78"/>
      <c r="MTI95" s="78"/>
      <c r="MTJ95" s="78"/>
      <c r="MTK95" s="78"/>
      <c r="MTL95" s="78"/>
      <c r="MTM95" s="78"/>
      <c r="MTN95" s="78"/>
      <c r="MTO95" s="78"/>
      <c r="MTP95" s="78"/>
      <c r="MTQ95" s="78"/>
      <c r="MTR95" s="78"/>
      <c r="MTS95" s="78"/>
      <c r="MTT95" s="78"/>
      <c r="MTU95" s="78"/>
      <c r="MTV95" s="78"/>
      <c r="MTW95" s="78"/>
      <c r="MTX95" s="78"/>
      <c r="MTY95" s="78"/>
      <c r="MTZ95" s="78"/>
      <c r="MUA95" s="78"/>
      <c r="MUB95" s="78"/>
      <c r="MUC95" s="78"/>
      <c r="MUD95" s="78"/>
      <c r="MUE95" s="78"/>
      <c r="MUF95" s="78"/>
      <c r="MUG95" s="78"/>
      <c r="MUH95" s="78"/>
      <c r="MUI95" s="78"/>
      <c r="MUJ95" s="78"/>
      <c r="MUK95" s="78"/>
      <c r="MUL95" s="78"/>
      <c r="MUM95" s="78"/>
      <c r="MUN95" s="78"/>
      <c r="MUO95" s="78"/>
      <c r="MUP95" s="78"/>
      <c r="MUQ95" s="78"/>
      <c r="MUR95" s="78"/>
      <c r="MUS95" s="78"/>
      <c r="MUT95" s="78"/>
      <c r="MUU95" s="78"/>
      <c r="MUV95" s="78"/>
      <c r="MUW95" s="78"/>
      <c r="MUX95" s="78"/>
      <c r="MUY95" s="78"/>
      <c r="MUZ95" s="78"/>
      <c r="MVA95" s="78"/>
      <c r="MVB95" s="78"/>
      <c r="MVC95" s="78"/>
      <c r="MVD95" s="78"/>
      <c r="MVE95" s="78"/>
      <c r="MVF95" s="78"/>
      <c r="MVG95" s="78"/>
      <c r="MVH95" s="78"/>
      <c r="MVI95" s="78"/>
      <c r="MVJ95" s="78"/>
      <c r="MVK95" s="78"/>
      <c r="MVL95" s="78"/>
      <c r="MVM95" s="78"/>
      <c r="MVN95" s="78"/>
      <c r="MVO95" s="78"/>
      <c r="MVP95" s="78"/>
      <c r="MVQ95" s="78"/>
      <c r="MVR95" s="78"/>
      <c r="MVS95" s="78"/>
      <c r="MVT95" s="78"/>
      <c r="MVU95" s="78"/>
      <c r="MVV95" s="78"/>
      <c r="MVW95" s="78"/>
      <c r="MVX95" s="78"/>
      <c r="MVY95" s="78"/>
      <c r="MVZ95" s="78"/>
      <c r="MWA95" s="78"/>
      <c r="MWB95" s="78"/>
      <c r="MWC95" s="78"/>
      <c r="MWD95" s="78"/>
      <c r="MWE95" s="78"/>
      <c r="MWF95" s="78"/>
      <c r="MWG95" s="78"/>
      <c r="MWH95" s="78"/>
      <c r="MWI95" s="78"/>
      <c r="MWJ95" s="78"/>
      <c r="MWK95" s="78"/>
      <c r="MWL95" s="78"/>
      <c r="MWM95" s="78"/>
      <c r="MWN95" s="78"/>
      <c r="MWO95" s="78"/>
      <c r="MWP95" s="78"/>
      <c r="MWQ95" s="78"/>
      <c r="MWR95" s="78"/>
      <c r="MWS95" s="78"/>
      <c r="MWT95" s="78"/>
      <c r="MWU95" s="78"/>
      <c r="MWV95" s="78"/>
      <c r="MWW95" s="78"/>
      <c r="MWX95" s="78"/>
      <c r="MWY95" s="78"/>
      <c r="MWZ95" s="78"/>
      <c r="MXA95" s="78"/>
      <c r="MXB95" s="78"/>
      <c r="MXC95" s="78"/>
      <c r="MXD95" s="78"/>
      <c r="MXE95" s="78"/>
      <c r="MXF95" s="78"/>
      <c r="MXG95" s="78"/>
      <c r="MXH95" s="78"/>
      <c r="MXI95" s="78"/>
      <c r="MXJ95" s="78"/>
      <c r="MXK95" s="78"/>
      <c r="MXL95" s="78"/>
      <c r="MXM95" s="78"/>
      <c r="MXN95" s="78"/>
      <c r="MXO95" s="78"/>
      <c r="MXP95" s="78"/>
      <c r="MXQ95" s="78"/>
      <c r="MXR95" s="78"/>
      <c r="MXS95" s="78"/>
      <c r="MXT95" s="78"/>
      <c r="MXU95" s="78"/>
      <c r="MXV95" s="78"/>
      <c r="MXW95" s="78"/>
      <c r="MXX95" s="78"/>
      <c r="MXY95" s="78"/>
      <c r="MXZ95" s="78"/>
      <c r="MYA95" s="78"/>
      <c r="MYB95" s="78"/>
      <c r="MYC95" s="78"/>
      <c r="MYD95" s="78"/>
      <c r="MYE95" s="78"/>
      <c r="MYF95" s="78"/>
      <c r="MYG95" s="78"/>
      <c r="MYH95" s="78"/>
      <c r="MYI95" s="78"/>
      <c r="MYJ95" s="78"/>
      <c r="MYK95" s="78"/>
      <c r="MYL95" s="78"/>
      <c r="MYM95" s="78"/>
      <c r="MYN95" s="78"/>
      <c r="MYO95" s="78"/>
      <c r="MYP95" s="78"/>
      <c r="MYQ95" s="78"/>
      <c r="MYR95" s="78"/>
      <c r="MYS95" s="78"/>
      <c r="MYT95" s="78"/>
      <c r="MYU95" s="78"/>
      <c r="MYV95" s="78"/>
      <c r="MYW95" s="78"/>
      <c r="MYX95" s="78"/>
      <c r="MYY95" s="78"/>
      <c r="MYZ95" s="78"/>
      <c r="MZA95" s="78"/>
      <c r="MZB95" s="78"/>
      <c r="MZC95" s="78"/>
      <c r="MZD95" s="78"/>
      <c r="MZE95" s="78"/>
      <c r="MZF95" s="78"/>
      <c r="MZG95" s="78"/>
      <c r="MZH95" s="78"/>
      <c r="MZI95" s="78"/>
      <c r="MZJ95" s="78"/>
      <c r="MZK95" s="78"/>
      <c r="MZL95" s="78"/>
      <c r="MZM95" s="78"/>
      <c r="MZN95" s="78"/>
      <c r="MZO95" s="78"/>
      <c r="MZP95" s="78"/>
      <c r="MZQ95" s="78"/>
      <c r="MZR95" s="78"/>
      <c r="MZS95" s="78"/>
      <c r="MZT95" s="78"/>
      <c r="MZU95" s="78"/>
      <c r="MZV95" s="78"/>
      <c r="MZW95" s="78"/>
      <c r="MZX95" s="78"/>
      <c r="MZY95" s="78"/>
      <c r="MZZ95" s="78"/>
      <c r="NAA95" s="78"/>
      <c r="NAB95" s="78"/>
      <c r="NAC95" s="78"/>
      <c r="NAD95" s="78"/>
      <c r="NAE95" s="78"/>
      <c r="NAF95" s="78"/>
      <c r="NAG95" s="78"/>
      <c r="NAH95" s="78"/>
      <c r="NAI95" s="78"/>
      <c r="NAJ95" s="78"/>
      <c r="NAK95" s="78"/>
      <c r="NAL95" s="78"/>
      <c r="NAM95" s="78"/>
      <c r="NAN95" s="78"/>
      <c r="NAO95" s="78"/>
      <c r="NAP95" s="78"/>
      <c r="NAQ95" s="78"/>
      <c r="NAR95" s="78"/>
      <c r="NAS95" s="78"/>
      <c r="NAT95" s="78"/>
      <c r="NAU95" s="78"/>
      <c r="NAV95" s="78"/>
      <c r="NAW95" s="78"/>
      <c r="NAX95" s="78"/>
      <c r="NAY95" s="78"/>
      <c r="NAZ95" s="78"/>
      <c r="NBA95" s="78"/>
      <c r="NBB95" s="78"/>
      <c r="NBC95" s="78"/>
      <c r="NBD95" s="78"/>
      <c r="NBE95" s="78"/>
      <c r="NBF95" s="78"/>
      <c r="NBG95" s="78"/>
      <c r="NBH95" s="78"/>
      <c r="NBI95" s="78"/>
      <c r="NBJ95" s="78"/>
      <c r="NBK95" s="78"/>
      <c r="NBL95" s="78"/>
      <c r="NBM95" s="78"/>
      <c r="NBN95" s="78"/>
      <c r="NBO95" s="78"/>
      <c r="NBP95" s="78"/>
      <c r="NBQ95" s="78"/>
      <c r="NBR95" s="78"/>
      <c r="NBS95" s="78"/>
      <c r="NBT95" s="78"/>
      <c r="NBU95" s="78"/>
      <c r="NBV95" s="78"/>
      <c r="NBW95" s="78"/>
      <c r="NBX95" s="78"/>
      <c r="NBY95" s="78"/>
      <c r="NBZ95" s="78"/>
      <c r="NCA95" s="78"/>
      <c r="NCB95" s="78"/>
      <c r="NCC95" s="78"/>
      <c r="NCD95" s="78"/>
      <c r="NCE95" s="78"/>
      <c r="NCF95" s="78"/>
      <c r="NCG95" s="78"/>
      <c r="NCH95" s="78"/>
      <c r="NCI95" s="78"/>
      <c r="NCJ95" s="78"/>
      <c r="NCK95" s="78"/>
      <c r="NCL95" s="78"/>
      <c r="NCM95" s="78"/>
      <c r="NCN95" s="78"/>
      <c r="NCO95" s="78"/>
      <c r="NCP95" s="78"/>
      <c r="NCQ95" s="78"/>
      <c r="NCR95" s="78"/>
      <c r="NCS95" s="78"/>
      <c r="NCT95" s="78"/>
      <c r="NCU95" s="78"/>
      <c r="NCV95" s="78"/>
      <c r="NCW95" s="78"/>
      <c r="NCX95" s="78"/>
      <c r="NCY95" s="78"/>
      <c r="NCZ95" s="78"/>
      <c r="NDA95" s="78"/>
      <c r="NDB95" s="78"/>
      <c r="NDC95" s="78"/>
      <c r="NDD95" s="78"/>
      <c r="NDE95" s="78"/>
      <c r="NDF95" s="78"/>
      <c r="NDG95" s="78"/>
      <c r="NDH95" s="78"/>
      <c r="NDI95" s="78"/>
      <c r="NDJ95" s="78"/>
      <c r="NDK95" s="78"/>
      <c r="NDL95" s="78"/>
      <c r="NDM95" s="78"/>
      <c r="NDN95" s="78"/>
      <c r="NDO95" s="78"/>
      <c r="NDP95" s="78"/>
      <c r="NDQ95" s="78"/>
      <c r="NDR95" s="78"/>
      <c r="NDS95" s="78"/>
      <c r="NDT95" s="78"/>
      <c r="NDU95" s="78"/>
      <c r="NDV95" s="78"/>
      <c r="NDW95" s="78"/>
      <c r="NDX95" s="78"/>
      <c r="NDY95" s="78"/>
      <c r="NDZ95" s="78"/>
      <c r="NEA95" s="78"/>
      <c r="NEB95" s="78"/>
      <c r="NEC95" s="78"/>
      <c r="NED95" s="78"/>
      <c r="NEE95" s="78"/>
      <c r="NEF95" s="78"/>
      <c r="NEG95" s="78"/>
      <c r="NEH95" s="78"/>
      <c r="NEI95" s="78"/>
      <c r="NEJ95" s="78"/>
      <c r="NEK95" s="78"/>
      <c r="NEL95" s="78"/>
      <c r="NEM95" s="78"/>
      <c r="NEN95" s="78"/>
      <c r="NEO95" s="78"/>
      <c r="NEP95" s="78"/>
      <c r="NEQ95" s="78"/>
      <c r="NER95" s="78"/>
      <c r="NES95" s="78"/>
      <c r="NET95" s="78"/>
      <c r="NEU95" s="78"/>
      <c r="NEV95" s="78"/>
      <c r="NEW95" s="78"/>
      <c r="NEX95" s="78"/>
      <c r="NEY95" s="78"/>
      <c r="NEZ95" s="78"/>
      <c r="NFA95" s="78"/>
      <c r="NFB95" s="78"/>
      <c r="NFC95" s="78"/>
      <c r="NFD95" s="78"/>
      <c r="NFE95" s="78"/>
      <c r="NFF95" s="78"/>
      <c r="NFG95" s="78"/>
      <c r="NFH95" s="78"/>
      <c r="NFI95" s="78"/>
      <c r="NFJ95" s="78"/>
      <c r="NFK95" s="78"/>
      <c r="NFL95" s="78"/>
      <c r="NFM95" s="78"/>
      <c r="NFN95" s="78"/>
      <c r="NFO95" s="78"/>
      <c r="NFP95" s="78"/>
      <c r="NFQ95" s="78"/>
      <c r="NFR95" s="78"/>
      <c r="NFS95" s="78"/>
      <c r="NFT95" s="78"/>
      <c r="NFU95" s="78"/>
      <c r="NFV95" s="78"/>
      <c r="NFW95" s="78"/>
      <c r="NFX95" s="78"/>
      <c r="NFY95" s="78"/>
      <c r="NFZ95" s="78"/>
      <c r="NGA95" s="78"/>
      <c r="NGB95" s="78"/>
      <c r="NGC95" s="78"/>
      <c r="NGD95" s="78"/>
      <c r="NGE95" s="78"/>
      <c r="NGF95" s="78"/>
      <c r="NGG95" s="78"/>
      <c r="NGH95" s="78"/>
      <c r="NGI95" s="78"/>
      <c r="NGJ95" s="78"/>
      <c r="NGK95" s="78"/>
      <c r="NGL95" s="78"/>
      <c r="NGM95" s="78"/>
      <c r="NGN95" s="78"/>
      <c r="NGO95" s="78"/>
      <c r="NGP95" s="78"/>
      <c r="NGQ95" s="78"/>
      <c r="NGR95" s="78"/>
      <c r="NGS95" s="78"/>
      <c r="NGT95" s="78"/>
      <c r="NGU95" s="78"/>
      <c r="NGV95" s="78"/>
      <c r="NGW95" s="78"/>
      <c r="NGX95" s="78"/>
      <c r="NGY95" s="78"/>
      <c r="NGZ95" s="78"/>
      <c r="NHA95" s="78"/>
      <c r="NHB95" s="78"/>
      <c r="NHC95" s="78"/>
      <c r="NHD95" s="78"/>
      <c r="NHE95" s="78"/>
      <c r="NHF95" s="78"/>
      <c r="NHG95" s="78"/>
      <c r="NHH95" s="78"/>
      <c r="NHI95" s="78"/>
      <c r="NHJ95" s="78"/>
      <c r="NHK95" s="78"/>
      <c r="NHL95" s="78"/>
      <c r="NHM95" s="78"/>
      <c r="NHN95" s="78"/>
      <c r="NHO95" s="78"/>
      <c r="NHP95" s="78"/>
      <c r="NHQ95" s="78"/>
      <c r="NHR95" s="78"/>
      <c r="NHS95" s="78"/>
      <c r="NHT95" s="78"/>
      <c r="NHU95" s="78"/>
      <c r="NHV95" s="78"/>
      <c r="NHW95" s="78"/>
      <c r="NHX95" s="78"/>
      <c r="NHY95" s="78"/>
      <c r="NHZ95" s="78"/>
      <c r="NIA95" s="78"/>
      <c r="NIB95" s="78"/>
      <c r="NIC95" s="78"/>
      <c r="NID95" s="78"/>
      <c r="NIE95" s="78"/>
      <c r="NIF95" s="78"/>
      <c r="NIG95" s="78"/>
      <c r="NIH95" s="78"/>
      <c r="NII95" s="78"/>
      <c r="NIJ95" s="78"/>
      <c r="NIK95" s="78"/>
      <c r="NIL95" s="78"/>
      <c r="NIM95" s="78"/>
      <c r="NIN95" s="78"/>
      <c r="NIO95" s="78"/>
      <c r="NIP95" s="78"/>
      <c r="NIQ95" s="78"/>
      <c r="NIR95" s="78"/>
      <c r="NIS95" s="78"/>
      <c r="NIT95" s="78"/>
      <c r="NIU95" s="78"/>
      <c r="NIV95" s="78"/>
      <c r="NIW95" s="78"/>
      <c r="NIX95" s="78"/>
      <c r="NIY95" s="78"/>
      <c r="NIZ95" s="78"/>
      <c r="NJA95" s="78"/>
      <c r="NJB95" s="78"/>
      <c r="NJC95" s="78"/>
      <c r="NJD95" s="78"/>
      <c r="NJE95" s="78"/>
      <c r="NJF95" s="78"/>
      <c r="NJG95" s="78"/>
      <c r="NJH95" s="78"/>
      <c r="NJI95" s="78"/>
      <c r="NJJ95" s="78"/>
      <c r="NJK95" s="78"/>
      <c r="NJL95" s="78"/>
      <c r="NJM95" s="78"/>
      <c r="NJN95" s="78"/>
      <c r="NJO95" s="78"/>
      <c r="NJP95" s="78"/>
      <c r="NJQ95" s="78"/>
      <c r="NJR95" s="78"/>
      <c r="NJS95" s="78"/>
      <c r="NJT95" s="78"/>
      <c r="NJU95" s="78"/>
      <c r="NJV95" s="78"/>
      <c r="NJW95" s="78"/>
      <c r="NJX95" s="78"/>
      <c r="NJY95" s="78"/>
      <c r="NJZ95" s="78"/>
      <c r="NKA95" s="78"/>
      <c r="NKB95" s="78"/>
      <c r="NKC95" s="78"/>
      <c r="NKD95" s="78"/>
      <c r="NKE95" s="78"/>
      <c r="NKF95" s="78"/>
      <c r="NKG95" s="78"/>
      <c r="NKH95" s="78"/>
      <c r="NKI95" s="78"/>
      <c r="NKJ95" s="78"/>
      <c r="NKK95" s="78"/>
      <c r="NKL95" s="78"/>
      <c r="NKM95" s="78"/>
      <c r="NKN95" s="78"/>
      <c r="NKO95" s="78"/>
      <c r="NKP95" s="78"/>
      <c r="NKQ95" s="78"/>
      <c r="NKR95" s="78"/>
      <c r="NKS95" s="78"/>
      <c r="NKT95" s="78"/>
      <c r="NKU95" s="78"/>
      <c r="NKV95" s="78"/>
      <c r="NKW95" s="78"/>
      <c r="NKX95" s="78"/>
      <c r="NKY95" s="78"/>
      <c r="NKZ95" s="78"/>
      <c r="NLA95" s="78"/>
      <c r="NLB95" s="78"/>
      <c r="NLC95" s="78"/>
      <c r="NLD95" s="78"/>
      <c r="NLE95" s="78"/>
      <c r="NLF95" s="78"/>
      <c r="NLG95" s="78"/>
      <c r="NLH95" s="78"/>
      <c r="NLI95" s="78"/>
      <c r="NLJ95" s="78"/>
      <c r="NLK95" s="78"/>
      <c r="NLL95" s="78"/>
      <c r="NLM95" s="78"/>
      <c r="NLN95" s="78"/>
      <c r="NLO95" s="78"/>
      <c r="NLP95" s="78"/>
      <c r="NLQ95" s="78"/>
      <c r="NLR95" s="78"/>
      <c r="NLS95" s="78"/>
      <c r="NLT95" s="78"/>
      <c r="NLU95" s="78"/>
      <c r="NLV95" s="78"/>
      <c r="NLW95" s="78"/>
      <c r="NLX95" s="78"/>
      <c r="NLY95" s="78"/>
      <c r="NLZ95" s="78"/>
      <c r="NMA95" s="78"/>
      <c r="NMB95" s="78"/>
      <c r="NMC95" s="78"/>
      <c r="NMD95" s="78"/>
      <c r="NME95" s="78"/>
      <c r="NMF95" s="78"/>
      <c r="NMG95" s="78"/>
      <c r="NMH95" s="78"/>
      <c r="NMI95" s="78"/>
      <c r="NMJ95" s="78"/>
      <c r="NMK95" s="78"/>
      <c r="NML95" s="78"/>
      <c r="NMM95" s="78"/>
      <c r="NMN95" s="78"/>
      <c r="NMO95" s="78"/>
      <c r="NMP95" s="78"/>
      <c r="NMQ95" s="78"/>
      <c r="NMR95" s="78"/>
      <c r="NMS95" s="78"/>
      <c r="NMT95" s="78"/>
      <c r="NMU95" s="78"/>
      <c r="NMV95" s="78"/>
      <c r="NMW95" s="78"/>
      <c r="NMX95" s="78"/>
      <c r="NMY95" s="78"/>
      <c r="NMZ95" s="78"/>
      <c r="NNA95" s="78"/>
      <c r="NNB95" s="78"/>
      <c r="NNC95" s="78"/>
      <c r="NND95" s="78"/>
      <c r="NNE95" s="78"/>
      <c r="NNF95" s="78"/>
      <c r="NNG95" s="78"/>
      <c r="NNH95" s="78"/>
      <c r="NNI95" s="78"/>
      <c r="NNJ95" s="78"/>
      <c r="NNK95" s="78"/>
      <c r="NNL95" s="78"/>
      <c r="NNM95" s="78"/>
      <c r="NNN95" s="78"/>
      <c r="NNO95" s="78"/>
      <c r="NNP95" s="78"/>
      <c r="NNQ95" s="78"/>
      <c r="NNR95" s="78"/>
      <c r="NNS95" s="78"/>
      <c r="NNT95" s="78"/>
      <c r="NNU95" s="78"/>
      <c r="NNV95" s="78"/>
      <c r="NNW95" s="78"/>
      <c r="NNX95" s="78"/>
      <c r="NNY95" s="78"/>
      <c r="NNZ95" s="78"/>
      <c r="NOA95" s="78"/>
      <c r="NOB95" s="78"/>
      <c r="NOC95" s="78"/>
      <c r="NOD95" s="78"/>
      <c r="NOE95" s="78"/>
      <c r="NOF95" s="78"/>
      <c r="NOG95" s="78"/>
      <c r="NOH95" s="78"/>
      <c r="NOI95" s="78"/>
      <c r="NOJ95" s="78"/>
      <c r="NOK95" s="78"/>
      <c r="NOL95" s="78"/>
      <c r="NOM95" s="78"/>
      <c r="NON95" s="78"/>
      <c r="NOO95" s="78"/>
      <c r="NOP95" s="78"/>
      <c r="NOQ95" s="78"/>
      <c r="NOR95" s="78"/>
      <c r="NOS95" s="78"/>
      <c r="NOT95" s="78"/>
      <c r="NOU95" s="78"/>
      <c r="NOV95" s="78"/>
      <c r="NOW95" s="78"/>
      <c r="NOX95" s="78"/>
      <c r="NOY95" s="78"/>
      <c r="NOZ95" s="78"/>
      <c r="NPA95" s="78"/>
      <c r="NPB95" s="78"/>
      <c r="NPC95" s="78"/>
      <c r="NPD95" s="78"/>
      <c r="NPE95" s="78"/>
      <c r="NPF95" s="78"/>
      <c r="NPG95" s="78"/>
      <c r="NPH95" s="78"/>
      <c r="NPI95" s="78"/>
      <c r="NPJ95" s="78"/>
      <c r="NPK95" s="78"/>
      <c r="NPL95" s="78"/>
      <c r="NPM95" s="78"/>
      <c r="NPN95" s="78"/>
      <c r="NPO95" s="78"/>
      <c r="NPP95" s="78"/>
      <c r="NPQ95" s="78"/>
      <c r="NPR95" s="78"/>
      <c r="NPS95" s="78"/>
      <c r="NPT95" s="78"/>
      <c r="NPU95" s="78"/>
      <c r="NPV95" s="78"/>
      <c r="NPW95" s="78"/>
      <c r="NPX95" s="78"/>
      <c r="NPY95" s="78"/>
      <c r="NPZ95" s="78"/>
      <c r="NQA95" s="78"/>
      <c r="NQB95" s="78"/>
      <c r="NQC95" s="78"/>
      <c r="NQD95" s="78"/>
      <c r="NQE95" s="78"/>
      <c r="NQF95" s="78"/>
      <c r="NQG95" s="78"/>
      <c r="NQH95" s="78"/>
      <c r="NQI95" s="78"/>
      <c r="NQJ95" s="78"/>
      <c r="NQK95" s="78"/>
      <c r="NQL95" s="78"/>
      <c r="NQM95" s="78"/>
      <c r="NQN95" s="78"/>
      <c r="NQO95" s="78"/>
      <c r="NQP95" s="78"/>
      <c r="NQQ95" s="78"/>
      <c r="NQR95" s="78"/>
      <c r="NQS95" s="78"/>
      <c r="NQT95" s="78"/>
      <c r="NQU95" s="78"/>
      <c r="NQV95" s="78"/>
      <c r="NQW95" s="78"/>
      <c r="NQX95" s="78"/>
      <c r="NQY95" s="78"/>
      <c r="NQZ95" s="78"/>
      <c r="NRA95" s="78"/>
      <c r="NRB95" s="78"/>
      <c r="NRC95" s="78"/>
      <c r="NRD95" s="78"/>
      <c r="NRE95" s="78"/>
      <c r="NRF95" s="78"/>
      <c r="NRG95" s="78"/>
      <c r="NRH95" s="78"/>
      <c r="NRI95" s="78"/>
      <c r="NRJ95" s="78"/>
      <c r="NRK95" s="78"/>
      <c r="NRL95" s="78"/>
      <c r="NRM95" s="78"/>
      <c r="NRN95" s="78"/>
      <c r="NRO95" s="78"/>
      <c r="NRP95" s="78"/>
      <c r="NRQ95" s="78"/>
      <c r="NRR95" s="78"/>
      <c r="NRS95" s="78"/>
      <c r="NRT95" s="78"/>
      <c r="NRU95" s="78"/>
      <c r="NRV95" s="78"/>
      <c r="NRW95" s="78"/>
      <c r="NRX95" s="78"/>
      <c r="NRY95" s="78"/>
      <c r="NRZ95" s="78"/>
      <c r="NSA95" s="78"/>
      <c r="NSB95" s="78"/>
      <c r="NSC95" s="78"/>
      <c r="NSD95" s="78"/>
      <c r="NSE95" s="78"/>
      <c r="NSF95" s="78"/>
      <c r="NSG95" s="78"/>
      <c r="NSH95" s="78"/>
      <c r="NSI95" s="78"/>
      <c r="NSJ95" s="78"/>
      <c r="NSK95" s="78"/>
      <c r="NSL95" s="78"/>
      <c r="NSM95" s="78"/>
      <c r="NSN95" s="78"/>
      <c r="NSO95" s="78"/>
      <c r="NSP95" s="78"/>
      <c r="NSQ95" s="78"/>
      <c r="NSR95" s="78"/>
      <c r="NSS95" s="78"/>
      <c r="NST95" s="78"/>
      <c r="NSU95" s="78"/>
      <c r="NSV95" s="78"/>
      <c r="NSW95" s="78"/>
      <c r="NSX95" s="78"/>
      <c r="NSY95" s="78"/>
      <c r="NSZ95" s="78"/>
      <c r="NTA95" s="78"/>
      <c r="NTB95" s="78"/>
      <c r="NTC95" s="78"/>
      <c r="NTD95" s="78"/>
      <c r="NTE95" s="78"/>
      <c r="NTF95" s="78"/>
      <c r="NTG95" s="78"/>
      <c r="NTH95" s="78"/>
      <c r="NTI95" s="78"/>
      <c r="NTJ95" s="78"/>
      <c r="NTK95" s="78"/>
      <c r="NTL95" s="78"/>
      <c r="NTM95" s="78"/>
      <c r="NTN95" s="78"/>
      <c r="NTO95" s="78"/>
      <c r="NTP95" s="78"/>
      <c r="NTQ95" s="78"/>
      <c r="NTR95" s="78"/>
      <c r="NTS95" s="78"/>
      <c r="NTT95" s="78"/>
      <c r="NTU95" s="78"/>
      <c r="NTV95" s="78"/>
      <c r="NTW95" s="78"/>
      <c r="NTX95" s="78"/>
      <c r="NTY95" s="78"/>
      <c r="NTZ95" s="78"/>
      <c r="NUA95" s="78"/>
      <c r="NUB95" s="78"/>
      <c r="NUC95" s="78"/>
      <c r="NUD95" s="78"/>
      <c r="NUE95" s="78"/>
      <c r="NUF95" s="78"/>
      <c r="NUG95" s="78"/>
      <c r="NUH95" s="78"/>
      <c r="NUI95" s="78"/>
      <c r="NUJ95" s="78"/>
      <c r="NUK95" s="78"/>
      <c r="NUL95" s="78"/>
      <c r="NUM95" s="78"/>
      <c r="NUN95" s="78"/>
      <c r="NUO95" s="78"/>
      <c r="NUP95" s="78"/>
      <c r="NUQ95" s="78"/>
      <c r="NUR95" s="78"/>
      <c r="NUS95" s="78"/>
      <c r="NUT95" s="78"/>
      <c r="NUU95" s="78"/>
      <c r="NUV95" s="78"/>
      <c r="NUW95" s="78"/>
      <c r="NUX95" s="78"/>
      <c r="NUY95" s="78"/>
      <c r="NUZ95" s="78"/>
      <c r="NVA95" s="78"/>
      <c r="NVB95" s="78"/>
      <c r="NVC95" s="78"/>
      <c r="NVD95" s="78"/>
      <c r="NVE95" s="78"/>
      <c r="NVF95" s="78"/>
      <c r="NVG95" s="78"/>
      <c r="NVH95" s="78"/>
      <c r="NVI95" s="78"/>
      <c r="NVJ95" s="78"/>
      <c r="NVK95" s="78"/>
      <c r="NVL95" s="78"/>
      <c r="NVM95" s="78"/>
      <c r="NVN95" s="78"/>
      <c r="NVO95" s="78"/>
      <c r="NVP95" s="78"/>
      <c r="NVQ95" s="78"/>
      <c r="NVR95" s="78"/>
      <c r="NVS95" s="78"/>
      <c r="NVT95" s="78"/>
      <c r="NVU95" s="78"/>
      <c r="NVV95" s="78"/>
      <c r="NVW95" s="78"/>
      <c r="NVX95" s="78"/>
      <c r="NVY95" s="78"/>
      <c r="NVZ95" s="78"/>
      <c r="NWA95" s="78"/>
      <c r="NWB95" s="78"/>
      <c r="NWC95" s="78"/>
      <c r="NWD95" s="78"/>
      <c r="NWE95" s="78"/>
      <c r="NWF95" s="78"/>
      <c r="NWG95" s="78"/>
      <c r="NWH95" s="78"/>
      <c r="NWI95" s="78"/>
      <c r="NWJ95" s="78"/>
      <c r="NWK95" s="78"/>
      <c r="NWL95" s="78"/>
      <c r="NWM95" s="78"/>
      <c r="NWN95" s="78"/>
      <c r="NWO95" s="78"/>
      <c r="NWP95" s="78"/>
      <c r="NWQ95" s="78"/>
      <c r="NWR95" s="78"/>
      <c r="NWS95" s="78"/>
      <c r="NWT95" s="78"/>
      <c r="NWU95" s="78"/>
      <c r="NWV95" s="78"/>
      <c r="NWW95" s="78"/>
      <c r="NWX95" s="78"/>
      <c r="NWY95" s="78"/>
      <c r="NWZ95" s="78"/>
      <c r="NXA95" s="78"/>
      <c r="NXB95" s="78"/>
      <c r="NXC95" s="78"/>
      <c r="NXD95" s="78"/>
      <c r="NXE95" s="78"/>
      <c r="NXF95" s="78"/>
      <c r="NXG95" s="78"/>
      <c r="NXH95" s="78"/>
      <c r="NXI95" s="78"/>
      <c r="NXJ95" s="78"/>
      <c r="NXK95" s="78"/>
      <c r="NXL95" s="78"/>
      <c r="NXM95" s="78"/>
      <c r="NXN95" s="78"/>
      <c r="NXO95" s="78"/>
      <c r="NXP95" s="78"/>
      <c r="NXQ95" s="78"/>
      <c r="NXR95" s="78"/>
      <c r="NXS95" s="78"/>
      <c r="NXT95" s="78"/>
      <c r="NXU95" s="78"/>
      <c r="NXV95" s="78"/>
      <c r="NXW95" s="78"/>
      <c r="NXX95" s="78"/>
      <c r="NXY95" s="78"/>
      <c r="NXZ95" s="78"/>
      <c r="NYA95" s="78"/>
      <c r="NYB95" s="78"/>
      <c r="NYC95" s="78"/>
      <c r="NYD95" s="78"/>
      <c r="NYE95" s="78"/>
      <c r="NYF95" s="78"/>
      <c r="NYG95" s="78"/>
      <c r="NYH95" s="78"/>
      <c r="NYI95" s="78"/>
      <c r="NYJ95" s="78"/>
      <c r="NYK95" s="78"/>
      <c r="NYL95" s="78"/>
      <c r="NYM95" s="78"/>
      <c r="NYN95" s="78"/>
      <c r="NYO95" s="78"/>
      <c r="NYP95" s="78"/>
      <c r="NYQ95" s="78"/>
      <c r="NYR95" s="78"/>
      <c r="NYS95" s="78"/>
      <c r="NYT95" s="78"/>
      <c r="NYU95" s="78"/>
      <c r="NYV95" s="78"/>
      <c r="NYW95" s="78"/>
      <c r="NYX95" s="78"/>
      <c r="NYY95" s="78"/>
      <c r="NYZ95" s="78"/>
      <c r="NZA95" s="78"/>
      <c r="NZB95" s="78"/>
      <c r="NZC95" s="78"/>
      <c r="NZD95" s="78"/>
      <c r="NZE95" s="78"/>
      <c r="NZF95" s="78"/>
      <c r="NZG95" s="78"/>
      <c r="NZH95" s="78"/>
      <c r="NZI95" s="78"/>
      <c r="NZJ95" s="78"/>
      <c r="NZK95" s="78"/>
      <c r="NZL95" s="78"/>
      <c r="NZM95" s="78"/>
      <c r="NZN95" s="78"/>
      <c r="NZO95" s="78"/>
      <c r="NZP95" s="78"/>
      <c r="NZQ95" s="78"/>
      <c r="NZR95" s="78"/>
      <c r="NZS95" s="78"/>
      <c r="NZT95" s="78"/>
      <c r="NZU95" s="78"/>
      <c r="NZV95" s="78"/>
      <c r="NZW95" s="78"/>
      <c r="NZX95" s="78"/>
      <c r="NZY95" s="78"/>
      <c r="NZZ95" s="78"/>
      <c r="OAA95" s="78"/>
      <c r="OAB95" s="78"/>
      <c r="OAC95" s="78"/>
      <c r="OAD95" s="78"/>
      <c r="OAE95" s="78"/>
      <c r="OAF95" s="78"/>
      <c r="OAG95" s="78"/>
      <c r="OAH95" s="78"/>
      <c r="OAI95" s="78"/>
      <c r="OAJ95" s="78"/>
      <c r="OAK95" s="78"/>
      <c r="OAL95" s="78"/>
      <c r="OAM95" s="78"/>
      <c r="OAN95" s="78"/>
      <c r="OAO95" s="78"/>
      <c r="OAP95" s="78"/>
      <c r="OAQ95" s="78"/>
      <c r="OAR95" s="78"/>
      <c r="OAS95" s="78"/>
      <c r="OAT95" s="78"/>
      <c r="OAU95" s="78"/>
      <c r="OAV95" s="78"/>
      <c r="OAW95" s="78"/>
      <c r="OAX95" s="78"/>
      <c r="OAY95" s="78"/>
      <c r="OAZ95" s="78"/>
      <c r="OBA95" s="78"/>
      <c r="OBB95" s="78"/>
      <c r="OBC95" s="78"/>
      <c r="OBD95" s="78"/>
      <c r="OBE95" s="78"/>
      <c r="OBF95" s="78"/>
      <c r="OBG95" s="78"/>
      <c r="OBH95" s="78"/>
      <c r="OBI95" s="78"/>
      <c r="OBJ95" s="78"/>
      <c r="OBK95" s="78"/>
      <c r="OBL95" s="78"/>
      <c r="OBM95" s="78"/>
      <c r="OBN95" s="78"/>
      <c r="OBO95" s="78"/>
      <c r="OBP95" s="78"/>
      <c r="OBQ95" s="78"/>
      <c r="OBR95" s="78"/>
      <c r="OBS95" s="78"/>
      <c r="OBT95" s="78"/>
      <c r="OBU95" s="78"/>
      <c r="OBV95" s="78"/>
      <c r="OBW95" s="78"/>
      <c r="OBX95" s="78"/>
      <c r="OBY95" s="78"/>
      <c r="OBZ95" s="78"/>
      <c r="OCA95" s="78"/>
      <c r="OCB95" s="78"/>
      <c r="OCC95" s="78"/>
      <c r="OCD95" s="78"/>
      <c r="OCE95" s="78"/>
      <c r="OCF95" s="78"/>
      <c r="OCG95" s="78"/>
      <c r="OCH95" s="78"/>
      <c r="OCI95" s="78"/>
      <c r="OCJ95" s="78"/>
      <c r="OCK95" s="78"/>
      <c r="OCL95" s="78"/>
      <c r="OCM95" s="78"/>
      <c r="OCN95" s="78"/>
      <c r="OCO95" s="78"/>
      <c r="OCP95" s="78"/>
      <c r="OCQ95" s="78"/>
      <c r="OCR95" s="78"/>
      <c r="OCS95" s="78"/>
      <c r="OCT95" s="78"/>
      <c r="OCU95" s="78"/>
      <c r="OCV95" s="78"/>
      <c r="OCW95" s="78"/>
      <c r="OCX95" s="78"/>
      <c r="OCY95" s="78"/>
      <c r="OCZ95" s="78"/>
      <c r="ODA95" s="78"/>
      <c r="ODB95" s="78"/>
      <c r="ODC95" s="78"/>
      <c r="ODD95" s="78"/>
      <c r="ODE95" s="78"/>
      <c r="ODF95" s="78"/>
      <c r="ODG95" s="78"/>
      <c r="ODH95" s="78"/>
      <c r="ODI95" s="78"/>
      <c r="ODJ95" s="78"/>
      <c r="ODK95" s="78"/>
      <c r="ODL95" s="78"/>
      <c r="ODM95" s="78"/>
      <c r="ODN95" s="78"/>
      <c r="ODO95" s="78"/>
      <c r="ODP95" s="78"/>
      <c r="ODQ95" s="78"/>
      <c r="ODR95" s="78"/>
      <c r="ODS95" s="78"/>
      <c r="ODT95" s="78"/>
      <c r="ODU95" s="78"/>
      <c r="ODV95" s="78"/>
      <c r="ODW95" s="78"/>
      <c r="ODX95" s="78"/>
      <c r="ODY95" s="78"/>
      <c r="ODZ95" s="78"/>
      <c r="OEA95" s="78"/>
      <c r="OEB95" s="78"/>
      <c r="OEC95" s="78"/>
      <c r="OED95" s="78"/>
      <c r="OEE95" s="78"/>
      <c r="OEF95" s="78"/>
      <c r="OEG95" s="78"/>
      <c r="OEH95" s="78"/>
      <c r="OEI95" s="78"/>
      <c r="OEJ95" s="78"/>
      <c r="OEK95" s="78"/>
      <c r="OEL95" s="78"/>
      <c r="OEM95" s="78"/>
      <c r="OEN95" s="78"/>
      <c r="OEO95" s="78"/>
      <c r="OEP95" s="78"/>
      <c r="OEQ95" s="78"/>
      <c r="OER95" s="78"/>
      <c r="OES95" s="78"/>
      <c r="OET95" s="78"/>
      <c r="OEU95" s="78"/>
      <c r="OEV95" s="78"/>
      <c r="OEW95" s="78"/>
      <c r="OEX95" s="78"/>
      <c r="OEY95" s="78"/>
      <c r="OEZ95" s="78"/>
      <c r="OFA95" s="78"/>
      <c r="OFB95" s="78"/>
      <c r="OFC95" s="78"/>
      <c r="OFD95" s="78"/>
      <c r="OFE95" s="78"/>
      <c r="OFF95" s="78"/>
      <c r="OFG95" s="78"/>
      <c r="OFH95" s="78"/>
      <c r="OFI95" s="78"/>
      <c r="OFJ95" s="78"/>
      <c r="OFK95" s="78"/>
      <c r="OFL95" s="78"/>
      <c r="OFM95" s="78"/>
      <c r="OFN95" s="78"/>
      <c r="OFO95" s="78"/>
      <c r="OFP95" s="78"/>
      <c r="OFQ95" s="78"/>
      <c r="OFR95" s="78"/>
      <c r="OFS95" s="78"/>
      <c r="OFT95" s="78"/>
      <c r="OFU95" s="78"/>
      <c r="OFV95" s="78"/>
      <c r="OFW95" s="78"/>
      <c r="OFX95" s="78"/>
      <c r="OFY95" s="78"/>
      <c r="OFZ95" s="78"/>
      <c r="OGA95" s="78"/>
      <c r="OGB95" s="78"/>
      <c r="OGC95" s="78"/>
      <c r="OGD95" s="78"/>
      <c r="OGE95" s="78"/>
      <c r="OGF95" s="78"/>
      <c r="OGG95" s="78"/>
      <c r="OGH95" s="78"/>
      <c r="OGI95" s="78"/>
      <c r="OGJ95" s="78"/>
      <c r="OGK95" s="78"/>
      <c r="OGL95" s="78"/>
      <c r="OGM95" s="78"/>
      <c r="OGN95" s="78"/>
      <c r="OGO95" s="78"/>
      <c r="OGP95" s="78"/>
      <c r="OGQ95" s="78"/>
      <c r="OGR95" s="78"/>
      <c r="OGS95" s="78"/>
      <c r="OGT95" s="78"/>
      <c r="OGU95" s="78"/>
      <c r="OGV95" s="78"/>
      <c r="OGW95" s="78"/>
      <c r="OGX95" s="78"/>
      <c r="OGY95" s="78"/>
      <c r="OGZ95" s="78"/>
      <c r="OHA95" s="78"/>
      <c r="OHB95" s="78"/>
      <c r="OHC95" s="78"/>
      <c r="OHD95" s="78"/>
      <c r="OHE95" s="78"/>
      <c r="OHF95" s="78"/>
      <c r="OHG95" s="78"/>
      <c r="OHH95" s="78"/>
      <c r="OHI95" s="78"/>
      <c r="OHJ95" s="78"/>
      <c r="OHK95" s="78"/>
      <c r="OHL95" s="78"/>
      <c r="OHM95" s="78"/>
      <c r="OHN95" s="78"/>
      <c r="OHO95" s="78"/>
      <c r="OHP95" s="78"/>
      <c r="OHQ95" s="78"/>
      <c r="OHR95" s="78"/>
      <c r="OHS95" s="78"/>
      <c r="OHT95" s="78"/>
      <c r="OHU95" s="78"/>
      <c r="OHV95" s="78"/>
      <c r="OHW95" s="78"/>
      <c r="OHX95" s="78"/>
      <c r="OHY95" s="78"/>
      <c r="OHZ95" s="78"/>
      <c r="OIA95" s="78"/>
      <c r="OIB95" s="78"/>
      <c r="OIC95" s="78"/>
      <c r="OID95" s="78"/>
      <c r="OIE95" s="78"/>
      <c r="OIF95" s="78"/>
      <c r="OIG95" s="78"/>
      <c r="OIH95" s="78"/>
      <c r="OII95" s="78"/>
      <c r="OIJ95" s="78"/>
      <c r="OIK95" s="78"/>
      <c r="OIL95" s="78"/>
      <c r="OIM95" s="78"/>
      <c r="OIN95" s="78"/>
      <c r="OIO95" s="78"/>
      <c r="OIP95" s="78"/>
      <c r="OIQ95" s="78"/>
      <c r="OIR95" s="78"/>
      <c r="OIS95" s="78"/>
      <c r="OIT95" s="78"/>
      <c r="OIU95" s="78"/>
      <c r="OIV95" s="78"/>
      <c r="OIW95" s="78"/>
      <c r="OIX95" s="78"/>
      <c r="OIY95" s="78"/>
      <c r="OIZ95" s="78"/>
      <c r="OJA95" s="78"/>
      <c r="OJB95" s="78"/>
      <c r="OJC95" s="78"/>
      <c r="OJD95" s="78"/>
      <c r="OJE95" s="78"/>
      <c r="OJF95" s="78"/>
      <c r="OJG95" s="78"/>
      <c r="OJH95" s="78"/>
      <c r="OJI95" s="78"/>
      <c r="OJJ95" s="78"/>
      <c r="OJK95" s="78"/>
      <c r="OJL95" s="78"/>
      <c r="OJM95" s="78"/>
      <c r="OJN95" s="78"/>
      <c r="OJO95" s="78"/>
      <c r="OJP95" s="78"/>
      <c r="OJQ95" s="78"/>
      <c r="OJR95" s="78"/>
      <c r="OJS95" s="78"/>
      <c r="OJT95" s="78"/>
      <c r="OJU95" s="78"/>
      <c r="OJV95" s="78"/>
      <c r="OJW95" s="78"/>
      <c r="OJX95" s="78"/>
      <c r="OJY95" s="78"/>
      <c r="OJZ95" s="78"/>
      <c r="OKA95" s="78"/>
      <c r="OKB95" s="78"/>
      <c r="OKC95" s="78"/>
      <c r="OKD95" s="78"/>
      <c r="OKE95" s="78"/>
      <c r="OKF95" s="78"/>
      <c r="OKG95" s="78"/>
      <c r="OKH95" s="78"/>
      <c r="OKI95" s="78"/>
      <c r="OKJ95" s="78"/>
      <c r="OKK95" s="78"/>
      <c r="OKL95" s="78"/>
      <c r="OKM95" s="78"/>
      <c r="OKN95" s="78"/>
      <c r="OKO95" s="78"/>
      <c r="OKP95" s="78"/>
      <c r="OKQ95" s="78"/>
      <c r="OKR95" s="78"/>
      <c r="OKS95" s="78"/>
      <c r="OKT95" s="78"/>
      <c r="OKU95" s="78"/>
      <c r="OKV95" s="78"/>
      <c r="OKW95" s="78"/>
      <c r="OKX95" s="78"/>
      <c r="OKY95" s="78"/>
      <c r="OKZ95" s="78"/>
      <c r="OLA95" s="78"/>
      <c r="OLB95" s="78"/>
      <c r="OLC95" s="78"/>
      <c r="OLD95" s="78"/>
      <c r="OLE95" s="78"/>
      <c r="OLF95" s="78"/>
      <c r="OLG95" s="78"/>
      <c r="OLH95" s="78"/>
      <c r="OLI95" s="78"/>
      <c r="OLJ95" s="78"/>
      <c r="OLK95" s="78"/>
      <c r="OLL95" s="78"/>
      <c r="OLM95" s="78"/>
      <c r="OLN95" s="78"/>
      <c r="OLO95" s="78"/>
      <c r="OLP95" s="78"/>
      <c r="OLQ95" s="78"/>
      <c r="OLR95" s="78"/>
      <c r="OLS95" s="78"/>
      <c r="OLT95" s="78"/>
      <c r="OLU95" s="78"/>
      <c r="OLV95" s="78"/>
      <c r="OLW95" s="78"/>
      <c r="OLX95" s="78"/>
      <c r="OLY95" s="78"/>
      <c r="OLZ95" s="78"/>
      <c r="OMA95" s="78"/>
      <c r="OMB95" s="78"/>
      <c r="OMC95" s="78"/>
      <c r="OMD95" s="78"/>
      <c r="OME95" s="78"/>
      <c r="OMF95" s="78"/>
      <c r="OMG95" s="78"/>
      <c r="OMH95" s="78"/>
      <c r="OMI95" s="78"/>
      <c r="OMJ95" s="78"/>
      <c r="OMK95" s="78"/>
      <c r="OML95" s="78"/>
      <c r="OMM95" s="78"/>
      <c r="OMN95" s="78"/>
      <c r="OMO95" s="78"/>
      <c r="OMP95" s="78"/>
      <c r="OMQ95" s="78"/>
      <c r="OMR95" s="78"/>
      <c r="OMS95" s="78"/>
      <c r="OMT95" s="78"/>
      <c r="OMU95" s="78"/>
      <c r="OMV95" s="78"/>
      <c r="OMW95" s="78"/>
      <c r="OMX95" s="78"/>
      <c r="OMY95" s="78"/>
      <c r="OMZ95" s="78"/>
      <c r="ONA95" s="78"/>
      <c r="ONB95" s="78"/>
      <c r="ONC95" s="78"/>
      <c r="OND95" s="78"/>
      <c r="ONE95" s="78"/>
      <c r="ONF95" s="78"/>
      <c r="ONG95" s="78"/>
      <c r="ONH95" s="78"/>
      <c r="ONI95" s="78"/>
      <c r="ONJ95" s="78"/>
      <c r="ONK95" s="78"/>
      <c r="ONL95" s="78"/>
      <c r="ONM95" s="78"/>
      <c r="ONN95" s="78"/>
      <c r="ONO95" s="78"/>
      <c r="ONP95" s="78"/>
      <c r="ONQ95" s="78"/>
      <c r="ONR95" s="78"/>
      <c r="ONS95" s="78"/>
      <c r="ONT95" s="78"/>
      <c r="ONU95" s="78"/>
      <c r="ONV95" s="78"/>
      <c r="ONW95" s="78"/>
      <c r="ONX95" s="78"/>
      <c r="ONY95" s="78"/>
      <c r="ONZ95" s="78"/>
      <c r="OOA95" s="78"/>
      <c r="OOB95" s="78"/>
      <c r="OOC95" s="78"/>
      <c r="OOD95" s="78"/>
      <c r="OOE95" s="78"/>
      <c r="OOF95" s="78"/>
      <c r="OOG95" s="78"/>
      <c r="OOH95" s="78"/>
      <c r="OOI95" s="78"/>
      <c r="OOJ95" s="78"/>
      <c r="OOK95" s="78"/>
      <c r="OOL95" s="78"/>
      <c r="OOM95" s="78"/>
      <c r="OON95" s="78"/>
      <c r="OOO95" s="78"/>
      <c r="OOP95" s="78"/>
      <c r="OOQ95" s="78"/>
      <c r="OOR95" s="78"/>
      <c r="OOS95" s="78"/>
      <c r="OOT95" s="78"/>
      <c r="OOU95" s="78"/>
      <c r="OOV95" s="78"/>
      <c r="OOW95" s="78"/>
      <c r="OOX95" s="78"/>
      <c r="OOY95" s="78"/>
      <c r="OOZ95" s="78"/>
      <c r="OPA95" s="78"/>
      <c r="OPB95" s="78"/>
      <c r="OPC95" s="78"/>
      <c r="OPD95" s="78"/>
      <c r="OPE95" s="78"/>
      <c r="OPF95" s="78"/>
      <c r="OPG95" s="78"/>
      <c r="OPH95" s="78"/>
      <c r="OPI95" s="78"/>
      <c r="OPJ95" s="78"/>
      <c r="OPK95" s="78"/>
      <c r="OPL95" s="78"/>
      <c r="OPM95" s="78"/>
      <c r="OPN95" s="78"/>
      <c r="OPO95" s="78"/>
      <c r="OPP95" s="78"/>
      <c r="OPQ95" s="78"/>
      <c r="OPR95" s="78"/>
      <c r="OPS95" s="78"/>
      <c r="OPT95" s="78"/>
      <c r="OPU95" s="78"/>
      <c r="OPV95" s="78"/>
      <c r="OPW95" s="78"/>
      <c r="OPX95" s="78"/>
      <c r="OPY95" s="78"/>
      <c r="OPZ95" s="78"/>
      <c r="OQA95" s="78"/>
      <c r="OQB95" s="78"/>
      <c r="OQC95" s="78"/>
      <c r="OQD95" s="78"/>
      <c r="OQE95" s="78"/>
      <c r="OQF95" s="78"/>
      <c r="OQG95" s="78"/>
      <c r="OQH95" s="78"/>
      <c r="OQI95" s="78"/>
      <c r="OQJ95" s="78"/>
      <c r="OQK95" s="78"/>
      <c r="OQL95" s="78"/>
      <c r="OQM95" s="78"/>
      <c r="OQN95" s="78"/>
      <c r="OQO95" s="78"/>
      <c r="OQP95" s="78"/>
      <c r="OQQ95" s="78"/>
      <c r="OQR95" s="78"/>
      <c r="OQS95" s="78"/>
      <c r="OQT95" s="78"/>
      <c r="OQU95" s="78"/>
      <c r="OQV95" s="78"/>
      <c r="OQW95" s="78"/>
      <c r="OQX95" s="78"/>
      <c r="OQY95" s="78"/>
      <c r="OQZ95" s="78"/>
      <c r="ORA95" s="78"/>
      <c r="ORB95" s="78"/>
      <c r="ORC95" s="78"/>
      <c r="ORD95" s="78"/>
      <c r="ORE95" s="78"/>
      <c r="ORF95" s="78"/>
      <c r="ORG95" s="78"/>
      <c r="ORH95" s="78"/>
      <c r="ORI95" s="78"/>
      <c r="ORJ95" s="78"/>
      <c r="ORK95" s="78"/>
      <c r="ORL95" s="78"/>
      <c r="ORM95" s="78"/>
      <c r="ORN95" s="78"/>
      <c r="ORO95" s="78"/>
      <c r="ORP95" s="78"/>
      <c r="ORQ95" s="78"/>
      <c r="ORR95" s="78"/>
      <c r="ORS95" s="78"/>
      <c r="ORT95" s="78"/>
      <c r="ORU95" s="78"/>
      <c r="ORV95" s="78"/>
      <c r="ORW95" s="78"/>
      <c r="ORX95" s="78"/>
      <c r="ORY95" s="78"/>
      <c r="ORZ95" s="78"/>
      <c r="OSA95" s="78"/>
      <c r="OSB95" s="78"/>
      <c r="OSC95" s="78"/>
      <c r="OSD95" s="78"/>
      <c r="OSE95" s="78"/>
      <c r="OSF95" s="78"/>
      <c r="OSG95" s="78"/>
      <c r="OSH95" s="78"/>
      <c r="OSI95" s="78"/>
      <c r="OSJ95" s="78"/>
      <c r="OSK95" s="78"/>
      <c r="OSL95" s="78"/>
      <c r="OSM95" s="78"/>
      <c r="OSN95" s="78"/>
      <c r="OSO95" s="78"/>
      <c r="OSP95" s="78"/>
      <c r="OSQ95" s="78"/>
      <c r="OSR95" s="78"/>
      <c r="OSS95" s="78"/>
      <c r="OST95" s="78"/>
      <c r="OSU95" s="78"/>
      <c r="OSV95" s="78"/>
      <c r="OSW95" s="78"/>
      <c r="OSX95" s="78"/>
      <c r="OSY95" s="78"/>
      <c r="OSZ95" s="78"/>
      <c r="OTA95" s="78"/>
      <c r="OTB95" s="78"/>
      <c r="OTC95" s="78"/>
      <c r="OTD95" s="78"/>
      <c r="OTE95" s="78"/>
      <c r="OTF95" s="78"/>
      <c r="OTG95" s="78"/>
      <c r="OTH95" s="78"/>
      <c r="OTI95" s="78"/>
      <c r="OTJ95" s="78"/>
      <c r="OTK95" s="78"/>
      <c r="OTL95" s="78"/>
      <c r="OTM95" s="78"/>
      <c r="OTN95" s="78"/>
      <c r="OTO95" s="78"/>
      <c r="OTP95" s="78"/>
      <c r="OTQ95" s="78"/>
      <c r="OTR95" s="78"/>
      <c r="OTS95" s="78"/>
      <c r="OTT95" s="78"/>
      <c r="OTU95" s="78"/>
      <c r="OTV95" s="78"/>
      <c r="OTW95" s="78"/>
      <c r="OTX95" s="78"/>
      <c r="OTY95" s="78"/>
      <c r="OTZ95" s="78"/>
      <c r="OUA95" s="78"/>
      <c r="OUB95" s="78"/>
      <c r="OUC95" s="78"/>
      <c r="OUD95" s="78"/>
      <c r="OUE95" s="78"/>
      <c r="OUF95" s="78"/>
      <c r="OUG95" s="78"/>
      <c r="OUH95" s="78"/>
      <c r="OUI95" s="78"/>
      <c r="OUJ95" s="78"/>
      <c r="OUK95" s="78"/>
      <c r="OUL95" s="78"/>
      <c r="OUM95" s="78"/>
      <c r="OUN95" s="78"/>
      <c r="OUO95" s="78"/>
      <c r="OUP95" s="78"/>
      <c r="OUQ95" s="78"/>
      <c r="OUR95" s="78"/>
      <c r="OUS95" s="78"/>
      <c r="OUT95" s="78"/>
      <c r="OUU95" s="78"/>
      <c r="OUV95" s="78"/>
      <c r="OUW95" s="78"/>
      <c r="OUX95" s="78"/>
      <c r="OUY95" s="78"/>
      <c r="OUZ95" s="78"/>
      <c r="OVA95" s="78"/>
      <c r="OVB95" s="78"/>
      <c r="OVC95" s="78"/>
      <c r="OVD95" s="78"/>
      <c r="OVE95" s="78"/>
      <c r="OVF95" s="78"/>
      <c r="OVG95" s="78"/>
      <c r="OVH95" s="78"/>
      <c r="OVI95" s="78"/>
      <c r="OVJ95" s="78"/>
      <c r="OVK95" s="78"/>
      <c r="OVL95" s="78"/>
      <c r="OVM95" s="78"/>
      <c r="OVN95" s="78"/>
      <c r="OVO95" s="78"/>
      <c r="OVP95" s="78"/>
      <c r="OVQ95" s="78"/>
      <c r="OVR95" s="78"/>
      <c r="OVS95" s="78"/>
      <c r="OVT95" s="78"/>
      <c r="OVU95" s="78"/>
      <c r="OVV95" s="78"/>
      <c r="OVW95" s="78"/>
      <c r="OVX95" s="78"/>
      <c r="OVY95" s="78"/>
      <c r="OVZ95" s="78"/>
      <c r="OWA95" s="78"/>
      <c r="OWB95" s="78"/>
      <c r="OWC95" s="78"/>
      <c r="OWD95" s="78"/>
      <c r="OWE95" s="78"/>
      <c r="OWF95" s="78"/>
      <c r="OWG95" s="78"/>
      <c r="OWH95" s="78"/>
      <c r="OWI95" s="78"/>
      <c r="OWJ95" s="78"/>
      <c r="OWK95" s="78"/>
      <c r="OWL95" s="78"/>
      <c r="OWM95" s="78"/>
      <c r="OWN95" s="78"/>
      <c r="OWO95" s="78"/>
      <c r="OWP95" s="78"/>
      <c r="OWQ95" s="78"/>
      <c r="OWR95" s="78"/>
      <c r="OWS95" s="78"/>
      <c r="OWT95" s="78"/>
      <c r="OWU95" s="78"/>
      <c r="OWV95" s="78"/>
      <c r="OWW95" s="78"/>
      <c r="OWX95" s="78"/>
      <c r="OWY95" s="78"/>
      <c r="OWZ95" s="78"/>
      <c r="OXA95" s="78"/>
      <c r="OXB95" s="78"/>
      <c r="OXC95" s="78"/>
      <c r="OXD95" s="78"/>
      <c r="OXE95" s="78"/>
      <c r="OXF95" s="78"/>
      <c r="OXG95" s="78"/>
      <c r="OXH95" s="78"/>
      <c r="OXI95" s="78"/>
      <c r="OXJ95" s="78"/>
      <c r="OXK95" s="78"/>
      <c r="OXL95" s="78"/>
      <c r="OXM95" s="78"/>
      <c r="OXN95" s="78"/>
      <c r="OXO95" s="78"/>
      <c r="OXP95" s="78"/>
      <c r="OXQ95" s="78"/>
      <c r="OXR95" s="78"/>
      <c r="OXS95" s="78"/>
      <c r="OXT95" s="78"/>
      <c r="OXU95" s="78"/>
      <c r="OXV95" s="78"/>
      <c r="OXW95" s="78"/>
      <c r="OXX95" s="78"/>
      <c r="OXY95" s="78"/>
      <c r="OXZ95" s="78"/>
      <c r="OYA95" s="78"/>
      <c r="OYB95" s="78"/>
      <c r="OYC95" s="78"/>
      <c r="OYD95" s="78"/>
      <c r="OYE95" s="78"/>
      <c r="OYF95" s="78"/>
      <c r="OYG95" s="78"/>
      <c r="OYH95" s="78"/>
      <c r="OYI95" s="78"/>
      <c r="OYJ95" s="78"/>
      <c r="OYK95" s="78"/>
      <c r="OYL95" s="78"/>
      <c r="OYM95" s="78"/>
      <c r="OYN95" s="78"/>
      <c r="OYO95" s="78"/>
      <c r="OYP95" s="78"/>
      <c r="OYQ95" s="78"/>
      <c r="OYR95" s="78"/>
      <c r="OYS95" s="78"/>
      <c r="OYT95" s="78"/>
      <c r="OYU95" s="78"/>
      <c r="OYV95" s="78"/>
      <c r="OYW95" s="78"/>
      <c r="OYX95" s="78"/>
      <c r="OYY95" s="78"/>
      <c r="OYZ95" s="78"/>
      <c r="OZA95" s="78"/>
      <c r="OZB95" s="78"/>
      <c r="OZC95" s="78"/>
      <c r="OZD95" s="78"/>
      <c r="OZE95" s="78"/>
      <c r="OZF95" s="78"/>
      <c r="OZG95" s="78"/>
      <c r="OZH95" s="78"/>
      <c r="OZI95" s="78"/>
      <c r="OZJ95" s="78"/>
      <c r="OZK95" s="78"/>
      <c r="OZL95" s="78"/>
      <c r="OZM95" s="78"/>
      <c r="OZN95" s="78"/>
      <c r="OZO95" s="78"/>
      <c r="OZP95" s="78"/>
      <c r="OZQ95" s="78"/>
      <c r="OZR95" s="78"/>
      <c r="OZS95" s="78"/>
      <c r="OZT95" s="78"/>
      <c r="OZU95" s="78"/>
      <c r="OZV95" s="78"/>
      <c r="OZW95" s="78"/>
      <c r="OZX95" s="78"/>
      <c r="OZY95" s="78"/>
      <c r="OZZ95" s="78"/>
      <c r="PAA95" s="78"/>
      <c r="PAB95" s="78"/>
      <c r="PAC95" s="78"/>
      <c r="PAD95" s="78"/>
      <c r="PAE95" s="78"/>
      <c r="PAF95" s="78"/>
      <c r="PAG95" s="78"/>
      <c r="PAH95" s="78"/>
      <c r="PAI95" s="78"/>
      <c r="PAJ95" s="78"/>
      <c r="PAK95" s="78"/>
      <c r="PAL95" s="78"/>
      <c r="PAM95" s="78"/>
      <c r="PAN95" s="78"/>
      <c r="PAO95" s="78"/>
      <c r="PAP95" s="78"/>
      <c r="PAQ95" s="78"/>
      <c r="PAR95" s="78"/>
      <c r="PAS95" s="78"/>
      <c r="PAT95" s="78"/>
      <c r="PAU95" s="78"/>
      <c r="PAV95" s="78"/>
      <c r="PAW95" s="78"/>
      <c r="PAX95" s="78"/>
      <c r="PAY95" s="78"/>
      <c r="PAZ95" s="78"/>
      <c r="PBA95" s="78"/>
      <c r="PBB95" s="78"/>
      <c r="PBC95" s="78"/>
      <c r="PBD95" s="78"/>
      <c r="PBE95" s="78"/>
      <c r="PBF95" s="78"/>
      <c r="PBG95" s="78"/>
      <c r="PBH95" s="78"/>
      <c r="PBI95" s="78"/>
      <c r="PBJ95" s="78"/>
      <c r="PBK95" s="78"/>
      <c r="PBL95" s="78"/>
      <c r="PBM95" s="78"/>
      <c r="PBN95" s="78"/>
      <c r="PBO95" s="78"/>
      <c r="PBP95" s="78"/>
      <c r="PBQ95" s="78"/>
      <c r="PBR95" s="78"/>
      <c r="PBS95" s="78"/>
      <c r="PBT95" s="78"/>
      <c r="PBU95" s="78"/>
      <c r="PBV95" s="78"/>
      <c r="PBW95" s="78"/>
      <c r="PBX95" s="78"/>
      <c r="PBY95" s="78"/>
      <c r="PBZ95" s="78"/>
      <c r="PCA95" s="78"/>
      <c r="PCB95" s="78"/>
      <c r="PCC95" s="78"/>
      <c r="PCD95" s="78"/>
      <c r="PCE95" s="78"/>
      <c r="PCF95" s="78"/>
      <c r="PCG95" s="78"/>
      <c r="PCH95" s="78"/>
      <c r="PCI95" s="78"/>
      <c r="PCJ95" s="78"/>
      <c r="PCK95" s="78"/>
      <c r="PCL95" s="78"/>
      <c r="PCM95" s="78"/>
      <c r="PCN95" s="78"/>
      <c r="PCO95" s="78"/>
      <c r="PCP95" s="78"/>
      <c r="PCQ95" s="78"/>
      <c r="PCR95" s="78"/>
      <c r="PCS95" s="78"/>
      <c r="PCT95" s="78"/>
      <c r="PCU95" s="78"/>
      <c r="PCV95" s="78"/>
      <c r="PCW95" s="78"/>
      <c r="PCX95" s="78"/>
      <c r="PCY95" s="78"/>
      <c r="PCZ95" s="78"/>
      <c r="PDA95" s="78"/>
      <c r="PDB95" s="78"/>
      <c r="PDC95" s="78"/>
      <c r="PDD95" s="78"/>
      <c r="PDE95" s="78"/>
      <c r="PDF95" s="78"/>
      <c r="PDG95" s="78"/>
      <c r="PDH95" s="78"/>
      <c r="PDI95" s="78"/>
      <c r="PDJ95" s="78"/>
      <c r="PDK95" s="78"/>
      <c r="PDL95" s="78"/>
      <c r="PDM95" s="78"/>
      <c r="PDN95" s="78"/>
      <c r="PDO95" s="78"/>
      <c r="PDP95" s="78"/>
      <c r="PDQ95" s="78"/>
      <c r="PDR95" s="78"/>
      <c r="PDS95" s="78"/>
      <c r="PDT95" s="78"/>
      <c r="PDU95" s="78"/>
      <c r="PDV95" s="78"/>
      <c r="PDW95" s="78"/>
      <c r="PDX95" s="78"/>
      <c r="PDY95" s="78"/>
      <c r="PDZ95" s="78"/>
      <c r="PEA95" s="78"/>
      <c r="PEB95" s="78"/>
      <c r="PEC95" s="78"/>
      <c r="PED95" s="78"/>
      <c r="PEE95" s="78"/>
      <c r="PEF95" s="78"/>
      <c r="PEG95" s="78"/>
      <c r="PEH95" s="78"/>
      <c r="PEI95" s="78"/>
      <c r="PEJ95" s="78"/>
      <c r="PEK95" s="78"/>
      <c r="PEL95" s="78"/>
      <c r="PEM95" s="78"/>
      <c r="PEN95" s="78"/>
      <c r="PEO95" s="78"/>
      <c r="PEP95" s="78"/>
      <c r="PEQ95" s="78"/>
      <c r="PER95" s="78"/>
      <c r="PES95" s="78"/>
      <c r="PET95" s="78"/>
      <c r="PEU95" s="78"/>
      <c r="PEV95" s="78"/>
      <c r="PEW95" s="78"/>
      <c r="PEX95" s="78"/>
      <c r="PEY95" s="78"/>
      <c r="PEZ95" s="78"/>
      <c r="PFA95" s="78"/>
      <c r="PFB95" s="78"/>
      <c r="PFC95" s="78"/>
      <c r="PFD95" s="78"/>
      <c r="PFE95" s="78"/>
      <c r="PFF95" s="78"/>
      <c r="PFG95" s="78"/>
      <c r="PFH95" s="78"/>
      <c r="PFI95" s="78"/>
      <c r="PFJ95" s="78"/>
      <c r="PFK95" s="78"/>
      <c r="PFL95" s="78"/>
      <c r="PFM95" s="78"/>
      <c r="PFN95" s="78"/>
      <c r="PFO95" s="78"/>
      <c r="PFP95" s="78"/>
      <c r="PFQ95" s="78"/>
      <c r="PFR95" s="78"/>
      <c r="PFS95" s="78"/>
      <c r="PFT95" s="78"/>
      <c r="PFU95" s="78"/>
      <c r="PFV95" s="78"/>
      <c r="PFW95" s="78"/>
      <c r="PFX95" s="78"/>
      <c r="PFY95" s="78"/>
      <c r="PFZ95" s="78"/>
      <c r="PGA95" s="78"/>
      <c r="PGB95" s="78"/>
      <c r="PGC95" s="78"/>
      <c r="PGD95" s="78"/>
      <c r="PGE95" s="78"/>
      <c r="PGF95" s="78"/>
      <c r="PGG95" s="78"/>
      <c r="PGH95" s="78"/>
      <c r="PGI95" s="78"/>
      <c r="PGJ95" s="78"/>
      <c r="PGK95" s="78"/>
      <c r="PGL95" s="78"/>
      <c r="PGM95" s="78"/>
      <c r="PGN95" s="78"/>
      <c r="PGO95" s="78"/>
      <c r="PGP95" s="78"/>
      <c r="PGQ95" s="78"/>
      <c r="PGR95" s="78"/>
      <c r="PGS95" s="78"/>
      <c r="PGT95" s="78"/>
      <c r="PGU95" s="78"/>
      <c r="PGV95" s="78"/>
      <c r="PGW95" s="78"/>
      <c r="PGX95" s="78"/>
      <c r="PGY95" s="78"/>
      <c r="PGZ95" s="78"/>
      <c r="PHA95" s="78"/>
      <c r="PHB95" s="78"/>
      <c r="PHC95" s="78"/>
      <c r="PHD95" s="78"/>
      <c r="PHE95" s="78"/>
      <c r="PHF95" s="78"/>
      <c r="PHG95" s="78"/>
      <c r="PHH95" s="78"/>
      <c r="PHI95" s="78"/>
      <c r="PHJ95" s="78"/>
      <c r="PHK95" s="78"/>
      <c r="PHL95" s="78"/>
      <c r="PHM95" s="78"/>
      <c r="PHN95" s="78"/>
      <c r="PHO95" s="78"/>
      <c r="PHP95" s="78"/>
      <c r="PHQ95" s="78"/>
      <c r="PHR95" s="78"/>
      <c r="PHS95" s="78"/>
      <c r="PHT95" s="78"/>
      <c r="PHU95" s="78"/>
      <c r="PHV95" s="78"/>
      <c r="PHW95" s="78"/>
      <c r="PHX95" s="78"/>
      <c r="PHY95" s="78"/>
      <c r="PHZ95" s="78"/>
      <c r="PIA95" s="78"/>
      <c r="PIB95" s="78"/>
      <c r="PIC95" s="78"/>
      <c r="PID95" s="78"/>
      <c r="PIE95" s="78"/>
      <c r="PIF95" s="78"/>
      <c r="PIG95" s="78"/>
      <c r="PIH95" s="78"/>
      <c r="PII95" s="78"/>
      <c r="PIJ95" s="78"/>
      <c r="PIK95" s="78"/>
      <c r="PIL95" s="78"/>
      <c r="PIM95" s="78"/>
      <c r="PIN95" s="78"/>
      <c r="PIO95" s="78"/>
      <c r="PIP95" s="78"/>
      <c r="PIQ95" s="78"/>
      <c r="PIR95" s="78"/>
      <c r="PIS95" s="78"/>
      <c r="PIT95" s="78"/>
      <c r="PIU95" s="78"/>
      <c r="PIV95" s="78"/>
      <c r="PIW95" s="78"/>
      <c r="PIX95" s="78"/>
      <c r="PIY95" s="78"/>
      <c r="PIZ95" s="78"/>
      <c r="PJA95" s="78"/>
      <c r="PJB95" s="78"/>
      <c r="PJC95" s="78"/>
      <c r="PJD95" s="78"/>
      <c r="PJE95" s="78"/>
      <c r="PJF95" s="78"/>
      <c r="PJG95" s="78"/>
      <c r="PJH95" s="78"/>
      <c r="PJI95" s="78"/>
      <c r="PJJ95" s="78"/>
      <c r="PJK95" s="78"/>
      <c r="PJL95" s="78"/>
      <c r="PJM95" s="78"/>
      <c r="PJN95" s="78"/>
      <c r="PJO95" s="78"/>
      <c r="PJP95" s="78"/>
      <c r="PJQ95" s="78"/>
      <c r="PJR95" s="78"/>
      <c r="PJS95" s="78"/>
      <c r="PJT95" s="78"/>
      <c r="PJU95" s="78"/>
      <c r="PJV95" s="78"/>
      <c r="PJW95" s="78"/>
      <c r="PJX95" s="78"/>
      <c r="PJY95" s="78"/>
      <c r="PJZ95" s="78"/>
      <c r="PKA95" s="78"/>
      <c r="PKB95" s="78"/>
      <c r="PKC95" s="78"/>
      <c r="PKD95" s="78"/>
      <c r="PKE95" s="78"/>
      <c r="PKF95" s="78"/>
      <c r="PKG95" s="78"/>
      <c r="PKH95" s="78"/>
      <c r="PKI95" s="78"/>
      <c r="PKJ95" s="78"/>
      <c r="PKK95" s="78"/>
      <c r="PKL95" s="78"/>
      <c r="PKM95" s="78"/>
      <c r="PKN95" s="78"/>
      <c r="PKO95" s="78"/>
      <c r="PKP95" s="78"/>
      <c r="PKQ95" s="78"/>
      <c r="PKR95" s="78"/>
      <c r="PKS95" s="78"/>
      <c r="PKT95" s="78"/>
      <c r="PKU95" s="78"/>
      <c r="PKV95" s="78"/>
      <c r="PKW95" s="78"/>
      <c r="PKX95" s="78"/>
      <c r="PKY95" s="78"/>
      <c r="PKZ95" s="78"/>
      <c r="PLA95" s="78"/>
      <c r="PLB95" s="78"/>
      <c r="PLC95" s="78"/>
      <c r="PLD95" s="78"/>
      <c r="PLE95" s="78"/>
      <c r="PLF95" s="78"/>
      <c r="PLG95" s="78"/>
      <c r="PLH95" s="78"/>
      <c r="PLI95" s="78"/>
      <c r="PLJ95" s="78"/>
      <c r="PLK95" s="78"/>
      <c r="PLL95" s="78"/>
      <c r="PLM95" s="78"/>
      <c r="PLN95" s="78"/>
      <c r="PLO95" s="78"/>
      <c r="PLP95" s="78"/>
      <c r="PLQ95" s="78"/>
      <c r="PLR95" s="78"/>
      <c r="PLS95" s="78"/>
      <c r="PLT95" s="78"/>
      <c r="PLU95" s="78"/>
      <c r="PLV95" s="78"/>
      <c r="PLW95" s="78"/>
      <c r="PLX95" s="78"/>
      <c r="PLY95" s="78"/>
      <c r="PLZ95" s="78"/>
      <c r="PMA95" s="78"/>
      <c r="PMB95" s="78"/>
      <c r="PMC95" s="78"/>
      <c r="PMD95" s="78"/>
      <c r="PME95" s="78"/>
      <c r="PMF95" s="78"/>
      <c r="PMG95" s="78"/>
      <c r="PMH95" s="78"/>
      <c r="PMI95" s="78"/>
      <c r="PMJ95" s="78"/>
      <c r="PMK95" s="78"/>
      <c r="PML95" s="78"/>
      <c r="PMM95" s="78"/>
      <c r="PMN95" s="78"/>
      <c r="PMO95" s="78"/>
      <c r="PMP95" s="78"/>
      <c r="PMQ95" s="78"/>
      <c r="PMR95" s="78"/>
      <c r="PMS95" s="78"/>
      <c r="PMT95" s="78"/>
      <c r="PMU95" s="78"/>
      <c r="PMV95" s="78"/>
      <c r="PMW95" s="78"/>
      <c r="PMX95" s="78"/>
      <c r="PMY95" s="78"/>
      <c r="PMZ95" s="78"/>
      <c r="PNA95" s="78"/>
      <c r="PNB95" s="78"/>
      <c r="PNC95" s="78"/>
      <c r="PND95" s="78"/>
      <c r="PNE95" s="78"/>
      <c r="PNF95" s="78"/>
      <c r="PNG95" s="78"/>
      <c r="PNH95" s="78"/>
      <c r="PNI95" s="78"/>
      <c r="PNJ95" s="78"/>
      <c r="PNK95" s="78"/>
      <c r="PNL95" s="78"/>
      <c r="PNM95" s="78"/>
      <c r="PNN95" s="78"/>
      <c r="PNO95" s="78"/>
      <c r="PNP95" s="78"/>
      <c r="PNQ95" s="78"/>
      <c r="PNR95" s="78"/>
      <c r="PNS95" s="78"/>
      <c r="PNT95" s="78"/>
      <c r="PNU95" s="78"/>
      <c r="PNV95" s="78"/>
      <c r="PNW95" s="78"/>
      <c r="PNX95" s="78"/>
      <c r="PNY95" s="78"/>
      <c r="PNZ95" s="78"/>
      <c r="POA95" s="78"/>
      <c r="POB95" s="78"/>
      <c r="POC95" s="78"/>
      <c r="POD95" s="78"/>
      <c r="POE95" s="78"/>
      <c r="POF95" s="78"/>
      <c r="POG95" s="78"/>
      <c r="POH95" s="78"/>
      <c r="POI95" s="78"/>
      <c r="POJ95" s="78"/>
      <c r="POK95" s="78"/>
      <c r="POL95" s="78"/>
      <c r="POM95" s="78"/>
      <c r="PON95" s="78"/>
      <c r="POO95" s="78"/>
      <c r="POP95" s="78"/>
      <c r="POQ95" s="78"/>
      <c r="POR95" s="78"/>
      <c r="POS95" s="78"/>
      <c r="POT95" s="78"/>
      <c r="POU95" s="78"/>
      <c r="POV95" s="78"/>
      <c r="POW95" s="78"/>
      <c r="POX95" s="78"/>
      <c r="POY95" s="78"/>
      <c r="POZ95" s="78"/>
      <c r="PPA95" s="78"/>
      <c r="PPB95" s="78"/>
      <c r="PPC95" s="78"/>
      <c r="PPD95" s="78"/>
      <c r="PPE95" s="78"/>
      <c r="PPF95" s="78"/>
      <c r="PPG95" s="78"/>
      <c r="PPH95" s="78"/>
      <c r="PPI95" s="78"/>
      <c r="PPJ95" s="78"/>
      <c r="PPK95" s="78"/>
      <c r="PPL95" s="78"/>
      <c r="PPM95" s="78"/>
      <c r="PPN95" s="78"/>
      <c r="PPO95" s="78"/>
      <c r="PPP95" s="78"/>
      <c r="PPQ95" s="78"/>
      <c r="PPR95" s="78"/>
      <c r="PPS95" s="78"/>
      <c r="PPT95" s="78"/>
      <c r="PPU95" s="78"/>
      <c r="PPV95" s="78"/>
      <c r="PPW95" s="78"/>
      <c r="PPX95" s="78"/>
      <c r="PPY95" s="78"/>
      <c r="PPZ95" s="78"/>
      <c r="PQA95" s="78"/>
      <c r="PQB95" s="78"/>
      <c r="PQC95" s="78"/>
      <c r="PQD95" s="78"/>
      <c r="PQE95" s="78"/>
      <c r="PQF95" s="78"/>
      <c r="PQG95" s="78"/>
      <c r="PQH95" s="78"/>
      <c r="PQI95" s="78"/>
      <c r="PQJ95" s="78"/>
      <c r="PQK95" s="78"/>
      <c r="PQL95" s="78"/>
      <c r="PQM95" s="78"/>
      <c r="PQN95" s="78"/>
      <c r="PQO95" s="78"/>
      <c r="PQP95" s="78"/>
      <c r="PQQ95" s="78"/>
      <c r="PQR95" s="78"/>
      <c r="PQS95" s="78"/>
      <c r="PQT95" s="78"/>
      <c r="PQU95" s="78"/>
      <c r="PQV95" s="78"/>
      <c r="PQW95" s="78"/>
      <c r="PQX95" s="78"/>
      <c r="PQY95" s="78"/>
      <c r="PQZ95" s="78"/>
      <c r="PRA95" s="78"/>
      <c r="PRB95" s="78"/>
      <c r="PRC95" s="78"/>
      <c r="PRD95" s="78"/>
      <c r="PRE95" s="78"/>
      <c r="PRF95" s="78"/>
      <c r="PRG95" s="78"/>
      <c r="PRH95" s="78"/>
      <c r="PRI95" s="78"/>
      <c r="PRJ95" s="78"/>
      <c r="PRK95" s="78"/>
      <c r="PRL95" s="78"/>
      <c r="PRM95" s="78"/>
      <c r="PRN95" s="78"/>
      <c r="PRO95" s="78"/>
      <c r="PRP95" s="78"/>
      <c r="PRQ95" s="78"/>
      <c r="PRR95" s="78"/>
      <c r="PRS95" s="78"/>
      <c r="PRT95" s="78"/>
      <c r="PRU95" s="78"/>
      <c r="PRV95" s="78"/>
      <c r="PRW95" s="78"/>
      <c r="PRX95" s="78"/>
      <c r="PRY95" s="78"/>
      <c r="PRZ95" s="78"/>
      <c r="PSA95" s="78"/>
      <c r="PSB95" s="78"/>
      <c r="PSC95" s="78"/>
      <c r="PSD95" s="78"/>
      <c r="PSE95" s="78"/>
      <c r="PSF95" s="78"/>
      <c r="PSG95" s="78"/>
      <c r="PSH95" s="78"/>
      <c r="PSI95" s="78"/>
      <c r="PSJ95" s="78"/>
      <c r="PSK95" s="78"/>
      <c r="PSL95" s="78"/>
      <c r="PSM95" s="78"/>
      <c r="PSN95" s="78"/>
      <c r="PSO95" s="78"/>
      <c r="PSP95" s="78"/>
      <c r="PSQ95" s="78"/>
      <c r="PSR95" s="78"/>
      <c r="PSS95" s="78"/>
      <c r="PST95" s="78"/>
      <c r="PSU95" s="78"/>
      <c r="PSV95" s="78"/>
      <c r="PSW95" s="78"/>
      <c r="PSX95" s="78"/>
      <c r="PSY95" s="78"/>
      <c r="PSZ95" s="78"/>
      <c r="PTA95" s="78"/>
      <c r="PTB95" s="78"/>
      <c r="PTC95" s="78"/>
      <c r="PTD95" s="78"/>
      <c r="PTE95" s="78"/>
      <c r="PTF95" s="78"/>
      <c r="PTG95" s="78"/>
      <c r="PTH95" s="78"/>
      <c r="PTI95" s="78"/>
      <c r="PTJ95" s="78"/>
      <c r="PTK95" s="78"/>
      <c r="PTL95" s="78"/>
      <c r="PTM95" s="78"/>
      <c r="PTN95" s="78"/>
      <c r="PTO95" s="78"/>
      <c r="PTP95" s="78"/>
      <c r="PTQ95" s="78"/>
      <c r="PTR95" s="78"/>
      <c r="PTS95" s="78"/>
      <c r="PTT95" s="78"/>
      <c r="PTU95" s="78"/>
      <c r="PTV95" s="78"/>
      <c r="PTW95" s="78"/>
      <c r="PTX95" s="78"/>
      <c r="PTY95" s="78"/>
      <c r="PTZ95" s="78"/>
      <c r="PUA95" s="78"/>
      <c r="PUB95" s="78"/>
      <c r="PUC95" s="78"/>
      <c r="PUD95" s="78"/>
      <c r="PUE95" s="78"/>
      <c r="PUF95" s="78"/>
      <c r="PUG95" s="78"/>
      <c r="PUH95" s="78"/>
      <c r="PUI95" s="78"/>
      <c r="PUJ95" s="78"/>
      <c r="PUK95" s="78"/>
      <c r="PUL95" s="78"/>
      <c r="PUM95" s="78"/>
      <c r="PUN95" s="78"/>
      <c r="PUO95" s="78"/>
      <c r="PUP95" s="78"/>
      <c r="PUQ95" s="78"/>
      <c r="PUR95" s="78"/>
      <c r="PUS95" s="78"/>
      <c r="PUT95" s="78"/>
      <c r="PUU95" s="78"/>
      <c r="PUV95" s="78"/>
      <c r="PUW95" s="78"/>
      <c r="PUX95" s="78"/>
      <c r="PUY95" s="78"/>
      <c r="PUZ95" s="78"/>
      <c r="PVA95" s="78"/>
      <c r="PVB95" s="78"/>
      <c r="PVC95" s="78"/>
      <c r="PVD95" s="78"/>
      <c r="PVE95" s="78"/>
      <c r="PVF95" s="78"/>
      <c r="PVG95" s="78"/>
      <c r="PVH95" s="78"/>
      <c r="PVI95" s="78"/>
      <c r="PVJ95" s="78"/>
      <c r="PVK95" s="78"/>
      <c r="PVL95" s="78"/>
      <c r="PVM95" s="78"/>
      <c r="PVN95" s="78"/>
      <c r="PVO95" s="78"/>
      <c r="PVP95" s="78"/>
      <c r="PVQ95" s="78"/>
      <c r="PVR95" s="78"/>
      <c r="PVS95" s="78"/>
      <c r="PVT95" s="78"/>
      <c r="PVU95" s="78"/>
      <c r="PVV95" s="78"/>
      <c r="PVW95" s="78"/>
      <c r="PVX95" s="78"/>
      <c r="PVY95" s="78"/>
      <c r="PVZ95" s="78"/>
      <c r="PWA95" s="78"/>
      <c r="PWB95" s="78"/>
      <c r="PWC95" s="78"/>
      <c r="PWD95" s="78"/>
      <c r="PWE95" s="78"/>
      <c r="PWF95" s="78"/>
      <c r="PWG95" s="78"/>
      <c r="PWH95" s="78"/>
      <c r="PWI95" s="78"/>
      <c r="PWJ95" s="78"/>
      <c r="PWK95" s="78"/>
      <c r="PWL95" s="78"/>
      <c r="PWM95" s="78"/>
      <c r="PWN95" s="78"/>
      <c r="PWO95" s="78"/>
      <c r="PWP95" s="78"/>
      <c r="PWQ95" s="78"/>
      <c r="PWR95" s="78"/>
      <c r="PWS95" s="78"/>
      <c r="PWT95" s="78"/>
      <c r="PWU95" s="78"/>
      <c r="PWV95" s="78"/>
      <c r="PWW95" s="78"/>
      <c r="PWX95" s="78"/>
      <c r="PWY95" s="78"/>
      <c r="PWZ95" s="78"/>
      <c r="PXA95" s="78"/>
      <c r="PXB95" s="78"/>
      <c r="PXC95" s="78"/>
      <c r="PXD95" s="78"/>
      <c r="PXE95" s="78"/>
      <c r="PXF95" s="78"/>
      <c r="PXG95" s="78"/>
      <c r="PXH95" s="78"/>
      <c r="PXI95" s="78"/>
      <c r="PXJ95" s="78"/>
      <c r="PXK95" s="78"/>
      <c r="PXL95" s="78"/>
      <c r="PXM95" s="78"/>
      <c r="PXN95" s="78"/>
      <c r="PXO95" s="78"/>
      <c r="PXP95" s="78"/>
      <c r="PXQ95" s="78"/>
      <c r="PXR95" s="78"/>
      <c r="PXS95" s="78"/>
      <c r="PXT95" s="78"/>
      <c r="PXU95" s="78"/>
      <c r="PXV95" s="78"/>
      <c r="PXW95" s="78"/>
      <c r="PXX95" s="78"/>
      <c r="PXY95" s="78"/>
      <c r="PXZ95" s="78"/>
      <c r="PYA95" s="78"/>
      <c r="PYB95" s="78"/>
      <c r="PYC95" s="78"/>
      <c r="PYD95" s="78"/>
      <c r="PYE95" s="78"/>
      <c r="PYF95" s="78"/>
      <c r="PYG95" s="78"/>
      <c r="PYH95" s="78"/>
      <c r="PYI95" s="78"/>
      <c r="PYJ95" s="78"/>
      <c r="PYK95" s="78"/>
      <c r="PYL95" s="78"/>
      <c r="PYM95" s="78"/>
      <c r="PYN95" s="78"/>
      <c r="PYO95" s="78"/>
      <c r="PYP95" s="78"/>
      <c r="PYQ95" s="78"/>
      <c r="PYR95" s="78"/>
      <c r="PYS95" s="78"/>
      <c r="PYT95" s="78"/>
      <c r="PYU95" s="78"/>
      <c r="PYV95" s="78"/>
      <c r="PYW95" s="78"/>
      <c r="PYX95" s="78"/>
      <c r="PYY95" s="78"/>
      <c r="PYZ95" s="78"/>
      <c r="PZA95" s="78"/>
      <c r="PZB95" s="78"/>
      <c r="PZC95" s="78"/>
      <c r="PZD95" s="78"/>
      <c r="PZE95" s="78"/>
      <c r="PZF95" s="78"/>
      <c r="PZG95" s="78"/>
      <c r="PZH95" s="78"/>
      <c r="PZI95" s="78"/>
      <c r="PZJ95" s="78"/>
      <c r="PZK95" s="78"/>
      <c r="PZL95" s="78"/>
      <c r="PZM95" s="78"/>
      <c r="PZN95" s="78"/>
      <c r="PZO95" s="78"/>
      <c r="PZP95" s="78"/>
      <c r="PZQ95" s="78"/>
      <c r="PZR95" s="78"/>
      <c r="PZS95" s="78"/>
      <c r="PZT95" s="78"/>
      <c r="PZU95" s="78"/>
      <c r="PZV95" s="78"/>
      <c r="PZW95" s="78"/>
      <c r="PZX95" s="78"/>
      <c r="PZY95" s="78"/>
      <c r="PZZ95" s="78"/>
      <c r="QAA95" s="78"/>
      <c r="QAB95" s="78"/>
      <c r="QAC95" s="78"/>
      <c r="QAD95" s="78"/>
      <c r="QAE95" s="78"/>
      <c r="QAF95" s="78"/>
      <c r="QAG95" s="78"/>
      <c r="QAH95" s="78"/>
      <c r="QAI95" s="78"/>
      <c r="QAJ95" s="78"/>
      <c r="QAK95" s="78"/>
      <c r="QAL95" s="78"/>
      <c r="QAM95" s="78"/>
      <c r="QAN95" s="78"/>
      <c r="QAO95" s="78"/>
      <c r="QAP95" s="78"/>
      <c r="QAQ95" s="78"/>
      <c r="QAR95" s="78"/>
      <c r="QAS95" s="78"/>
      <c r="QAT95" s="78"/>
      <c r="QAU95" s="78"/>
      <c r="QAV95" s="78"/>
      <c r="QAW95" s="78"/>
      <c r="QAX95" s="78"/>
      <c r="QAY95" s="78"/>
      <c r="QAZ95" s="78"/>
      <c r="QBA95" s="78"/>
      <c r="QBB95" s="78"/>
      <c r="QBC95" s="78"/>
      <c r="QBD95" s="78"/>
      <c r="QBE95" s="78"/>
      <c r="QBF95" s="78"/>
      <c r="QBG95" s="78"/>
      <c r="QBH95" s="78"/>
      <c r="QBI95" s="78"/>
      <c r="QBJ95" s="78"/>
      <c r="QBK95" s="78"/>
      <c r="QBL95" s="78"/>
      <c r="QBM95" s="78"/>
      <c r="QBN95" s="78"/>
      <c r="QBO95" s="78"/>
      <c r="QBP95" s="78"/>
      <c r="QBQ95" s="78"/>
      <c r="QBR95" s="78"/>
      <c r="QBS95" s="78"/>
      <c r="QBT95" s="78"/>
      <c r="QBU95" s="78"/>
      <c r="QBV95" s="78"/>
      <c r="QBW95" s="78"/>
      <c r="QBX95" s="78"/>
      <c r="QBY95" s="78"/>
      <c r="QBZ95" s="78"/>
      <c r="QCA95" s="78"/>
      <c r="QCB95" s="78"/>
      <c r="QCC95" s="78"/>
      <c r="QCD95" s="78"/>
      <c r="QCE95" s="78"/>
      <c r="QCF95" s="78"/>
      <c r="QCG95" s="78"/>
      <c r="QCH95" s="78"/>
      <c r="QCI95" s="78"/>
      <c r="QCJ95" s="78"/>
      <c r="QCK95" s="78"/>
      <c r="QCL95" s="78"/>
      <c r="QCM95" s="78"/>
      <c r="QCN95" s="78"/>
      <c r="QCO95" s="78"/>
      <c r="QCP95" s="78"/>
      <c r="QCQ95" s="78"/>
      <c r="QCR95" s="78"/>
      <c r="QCS95" s="78"/>
      <c r="QCT95" s="78"/>
      <c r="QCU95" s="78"/>
      <c r="QCV95" s="78"/>
      <c r="QCW95" s="78"/>
      <c r="QCX95" s="78"/>
      <c r="QCY95" s="78"/>
      <c r="QCZ95" s="78"/>
      <c r="QDA95" s="78"/>
      <c r="QDB95" s="78"/>
      <c r="QDC95" s="78"/>
      <c r="QDD95" s="78"/>
      <c r="QDE95" s="78"/>
      <c r="QDF95" s="78"/>
      <c r="QDG95" s="78"/>
      <c r="QDH95" s="78"/>
      <c r="QDI95" s="78"/>
      <c r="QDJ95" s="78"/>
      <c r="QDK95" s="78"/>
      <c r="QDL95" s="78"/>
      <c r="QDM95" s="78"/>
      <c r="QDN95" s="78"/>
      <c r="QDO95" s="78"/>
      <c r="QDP95" s="78"/>
      <c r="QDQ95" s="78"/>
      <c r="QDR95" s="78"/>
      <c r="QDS95" s="78"/>
      <c r="QDT95" s="78"/>
      <c r="QDU95" s="78"/>
      <c r="QDV95" s="78"/>
      <c r="QDW95" s="78"/>
      <c r="QDX95" s="78"/>
      <c r="QDY95" s="78"/>
      <c r="QDZ95" s="78"/>
      <c r="QEA95" s="78"/>
      <c r="QEB95" s="78"/>
      <c r="QEC95" s="78"/>
      <c r="QED95" s="78"/>
      <c r="QEE95" s="78"/>
      <c r="QEF95" s="78"/>
      <c r="QEG95" s="78"/>
      <c r="QEH95" s="78"/>
      <c r="QEI95" s="78"/>
      <c r="QEJ95" s="78"/>
      <c r="QEK95" s="78"/>
      <c r="QEL95" s="78"/>
      <c r="QEM95" s="78"/>
      <c r="QEN95" s="78"/>
      <c r="QEO95" s="78"/>
      <c r="QEP95" s="78"/>
      <c r="QEQ95" s="78"/>
      <c r="QER95" s="78"/>
      <c r="QES95" s="78"/>
      <c r="QET95" s="78"/>
      <c r="QEU95" s="78"/>
      <c r="QEV95" s="78"/>
      <c r="QEW95" s="78"/>
      <c r="QEX95" s="78"/>
      <c r="QEY95" s="78"/>
      <c r="QEZ95" s="78"/>
      <c r="QFA95" s="78"/>
      <c r="QFB95" s="78"/>
      <c r="QFC95" s="78"/>
      <c r="QFD95" s="78"/>
      <c r="QFE95" s="78"/>
      <c r="QFF95" s="78"/>
      <c r="QFG95" s="78"/>
      <c r="QFH95" s="78"/>
      <c r="QFI95" s="78"/>
      <c r="QFJ95" s="78"/>
      <c r="QFK95" s="78"/>
      <c r="QFL95" s="78"/>
      <c r="QFM95" s="78"/>
      <c r="QFN95" s="78"/>
      <c r="QFO95" s="78"/>
      <c r="QFP95" s="78"/>
      <c r="QFQ95" s="78"/>
      <c r="QFR95" s="78"/>
      <c r="QFS95" s="78"/>
      <c r="QFT95" s="78"/>
      <c r="QFU95" s="78"/>
      <c r="QFV95" s="78"/>
      <c r="QFW95" s="78"/>
      <c r="QFX95" s="78"/>
      <c r="QFY95" s="78"/>
      <c r="QFZ95" s="78"/>
      <c r="QGA95" s="78"/>
      <c r="QGB95" s="78"/>
      <c r="QGC95" s="78"/>
      <c r="QGD95" s="78"/>
      <c r="QGE95" s="78"/>
      <c r="QGF95" s="78"/>
      <c r="QGG95" s="78"/>
      <c r="QGH95" s="78"/>
      <c r="QGI95" s="78"/>
      <c r="QGJ95" s="78"/>
      <c r="QGK95" s="78"/>
      <c r="QGL95" s="78"/>
      <c r="QGM95" s="78"/>
      <c r="QGN95" s="78"/>
      <c r="QGO95" s="78"/>
      <c r="QGP95" s="78"/>
      <c r="QGQ95" s="78"/>
      <c r="QGR95" s="78"/>
      <c r="QGS95" s="78"/>
      <c r="QGT95" s="78"/>
      <c r="QGU95" s="78"/>
      <c r="QGV95" s="78"/>
      <c r="QGW95" s="78"/>
      <c r="QGX95" s="78"/>
      <c r="QGY95" s="78"/>
      <c r="QGZ95" s="78"/>
      <c r="QHA95" s="78"/>
      <c r="QHB95" s="78"/>
      <c r="QHC95" s="78"/>
      <c r="QHD95" s="78"/>
      <c r="QHE95" s="78"/>
      <c r="QHF95" s="78"/>
      <c r="QHG95" s="78"/>
      <c r="QHH95" s="78"/>
      <c r="QHI95" s="78"/>
      <c r="QHJ95" s="78"/>
      <c r="QHK95" s="78"/>
      <c r="QHL95" s="78"/>
      <c r="QHM95" s="78"/>
      <c r="QHN95" s="78"/>
      <c r="QHO95" s="78"/>
      <c r="QHP95" s="78"/>
      <c r="QHQ95" s="78"/>
      <c r="QHR95" s="78"/>
      <c r="QHS95" s="78"/>
      <c r="QHT95" s="78"/>
      <c r="QHU95" s="78"/>
      <c r="QHV95" s="78"/>
      <c r="QHW95" s="78"/>
      <c r="QHX95" s="78"/>
      <c r="QHY95" s="78"/>
      <c r="QHZ95" s="78"/>
      <c r="QIA95" s="78"/>
      <c r="QIB95" s="78"/>
      <c r="QIC95" s="78"/>
      <c r="QID95" s="78"/>
      <c r="QIE95" s="78"/>
      <c r="QIF95" s="78"/>
      <c r="QIG95" s="78"/>
      <c r="QIH95" s="78"/>
      <c r="QII95" s="78"/>
      <c r="QIJ95" s="78"/>
      <c r="QIK95" s="78"/>
      <c r="QIL95" s="78"/>
      <c r="QIM95" s="78"/>
      <c r="QIN95" s="78"/>
      <c r="QIO95" s="78"/>
      <c r="QIP95" s="78"/>
      <c r="QIQ95" s="78"/>
      <c r="QIR95" s="78"/>
      <c r="QIS95" s="78"/>
      <c r="QIT95" s="78"/>
      <c r="QIU95" s="78"/>
      <c r="QIV95" s="78"/>
      <c r="QIW95" s="78"/>
      <c r="QIX95" s="78"/>
      <c r="QIY95" s="78"/>
      <c r="QIZ95" s="78"/>
      <c r="QJA95" s="78"/>
      <c r="QJB95" s="78"/>
      <c r="QJC95" s="78"/>
      <c r="QJD95" s="78"/>
      <c r="QJE95" s="78"/>
      <c r="QJF95" s="78"/>
      <c r="QJG95" s="78"/>
      <c r="QJH95" s="78"/>
      <c r="QJI95" s="78"/>
      <c r="QJJ95" s="78"/>
      <c r="QJK95" s="78"/>
      <c r="QJL95" s="78"/>
      <c r="QJM95" s="78"/>
      <c r="QJN95" s="78"/>
      <c r="QJO95" s="78"/>
      <c r="QJP95" s="78"/>
      <c r="QJQ95" s="78"/>
      <c r="QJR95" s="78"/>
      <c r="QJS95" s="78"/>
      <c r="QJT95" s="78"/>
      <c r="QJU95" s="78"/>
      <c r="QJV95" s="78"/>
      <c r="QJW95" s="78"/>
      <c r="QJX95" s="78"/>
      <c r="QJY95" s="78"/>
      <c r="QJZ95" s="78"/>
      <c r="QKA95" s="78"/>
      <c r="QKB95" s="78"/>
      <c r="QKC95" s="78"/>
      <c r="QKD95" s="78"/>
      <c r="QKE95" s="78"/>
      <c r="QKF95" s="78"/>
      <c r="QKG95" s="78"/>
      <c r="QKH95" s="78"/>
      <c r="QKI95" s="78"/>
      <c r="QKJ95" s="78"/>
      <c r="QKK95" s="78"/>
      <c r="QKL95" s="78"/>
      <c r="QKM95" s="78"/>
      <c r="QKN95" s="78"/>
      <c r="QKO95" s="78"/>
      <c r="QKP95" s="78"/>
      <c r="QKQ95" s="78"/>
      <c r="QKR95" s="78"/>
      <c r="QKS95" s="78"/>
      <c r="QKT95" s="78"/>
      <c r="QKU95" s="78"/>
      <c r="QKV95" s="78"/>
      <c r="QKW95" s="78"/>
      <c r="QKX95" s="78"/>
      <c r="QKY95" s="78"/>
      <c r="QKZ95" s="78"/>
      <c r="QLA95" s="78"/>
      <c r="QLB95" s="78"/>
      <c r="QLC95" s="78"/>
      <c r="QLD95" s="78"/>
      <c r="QLE95" s="78"/>
      <c r="QLF95" s="78"/>
      <c r="QLG95" s="78"/>
      <c r="QLH95" s="78"/>
      <c r="QLI95" s="78"/>
      <c r="QLJ95" s="78"/>
      <c r="QLK95" s="78"/>
      <c r="QLL95" s="78"/>
      <c r="QLM95" s="78"/>
      <c r="QLN95" s="78"/>
      <c r="QLO95" s="78"/>
      <c r="QLP95" s="78"/>
      <c r="QLQ95" s="78"/>
      <c r="QLR95" s="78"/>
      <c r="QLS95" s="78"/>
      <c r="QLT95" s="78"/>
      <c r="QLU95" s="78"/>
      <c r="QLV95" s="78"/>
      <c r="QLW95" s="78"/>
      <c r="QLX95" s="78"/>
      <c r="QLY95" s="78"/>
      <c r="QLZ95" s="78"/>
      <c r="QMA95" s="78"/>
      <c r="QMB95" s="78"/>
      <c r="QMC95" s="78"/>
      <c r="QMD95" s="78"/>
      <c r="QME95" s="78"/>
      <c r="QMF95" s="78"/>
      <c r="QMG95" s="78"/>
      <c r="QMH95" s="78"/>
      <c r="QMI95" s="78"/>
      <c r="QMJ95" s="78"/>
      <c r="QMK95" s="78"/>
      <c r="QML95" s="78"/>
      <c r="QMM95" s="78"/>
      <c r="QMN95" s="78"/>
      <c r="QMO95" s="78"/>
      <c r="QMP95" s="78"/>
      <c r="QMQ95" s="78"/>
      <c r="QMR95" s="78"/>
      <c r="QMS95" s="78"/>
      <c r="QMT95" s="78"/>
      <c r="QMU95" s="78"/>
      <c r="QMV95" s="78"/>
      <c r="QMW95" s="78"/>
      <c r="QMX95" s="78"/>
      <c r="QMY95" s="78"/>
      <c r="QMZ95" s="78"/>
      <c r="QNA95" s="78"/>
      <c r="QNB95" s="78"/>
      <c r="QNC95" s="78"/>
      <c r="QND95" s="78"/>
      <c r="QNE95" s="78"/>
      <c r="QNF95" s="78"/>
      <c r="QNG95" s="78"/>
      <c r="QNH95" s="78"/>
      <c r="QNI95" s="78"/>
      <c r="QNJ95" s="78"/>
      <c r="QNK95" s="78"/>
      <c r="QNL95" s="78"/>
      <c r="QNM95" s="78"/>
      <c r="QNN95" s="78"/>
      <c r="QNO95" s="78"/>
      <c r="QNP95" s="78"/>
      <c r="QNQ95" s="78"/>
      <c r="QNR95" s="78"/>
      <c r="QNS95" s="78"/>
      <c r="QNT95" s="78"/>
      <c r="QNU95" s="78"/>
      <c r="QNV95" s="78"/>
      <c r="QNW95" s="78"/>
      <c r="QNX95" s="78"/>
      <c r="QNY95" s="78"/>
      <c r="QNZ95" s="78"/>
      <c r="QOA95" s="78"/>
      <c r="QOB95" s="78"/>
      <c r="QOC95" s="78"/>
      <c r="QOD95" s="78"/>
      <c r="QOE95" s="78"/>
      <c r="QOF95" s="78"/>
      <c r="QOG95" s="78"/>
      <c r="QOH95" s="78"/>
      <c r="QOI95" s="78"/>
      <c r="QOJ95" s="78"/>
      <c r="QOK95" s="78"/>
      <c r="QOL95" s="78"/>
      <c r="QOM95" s="78"/>
      <c r="QON95" s="78"/>
      <c r="QOO95" s="78"/>
      <c r="QOP95" s="78"/>
      <c r="QOQ95" s="78"/>
      <c r="QOR95" s="78"/>
      <c r="QOS95" s="78"/>
      <c r="QOT95" s="78"/>
      <c r="QOU95" s="78"/>
      <c r="QOV95" s="78"/>
      <c r="QOW95" s="78"/>
      <c r="QOX95" s="78"/>
      <c r="QOY95" s="78"/>
      <c r="QOZ95" s="78"/>
      <c r="QPA95" s="78"/>
      <c r="QPB95" s="78"/>
      <c r="QPC95" s="78"/>
      <c r="QPD95" s="78"/>
      <c r="QPE95" s="78"/>
      <c r="QPF95" s="78"/>
      <c r="QPG95" s="78"/>
      <c r="QPH95" s="78"/>
      <c r="QPI95" s="78"/>
      <c r="QPJ95" s="78"/>
      <c r="QPK95" s="78"/>
      <c r="QPL95" s="78"/>
      <c r="QPM95" s="78"/>
      <c r="QPN95" s="78"/>
      <c r="QPO95" s="78"/>
      <c r="QPP95" s="78"/>
      <c r="QPQ95" s="78"/>
      <c r="QPR95" s="78"/>
      <c r="QPS95" s="78"/>
      <c r="QPT95" s="78"/>
      <c r="QPU95" s="78"/>
      <c r="QPV95" s="78"/>
      <c r="QPW95" s="78"/>
      <c r="QPX95" s="78"/>
      <c r="QPY95" s="78"/>
      <c r="QPZ95" s="78"/>
      <c r="QQA95" s="78"/>
      <c r="QQB95" s="78"/>
      <c r="QQC95" s="78"/>
      <c r="QQD95" s="78"/>
      <c r="QQE95" s="78"/>
      <c r="QQF95" s="78"/>
      <c r="QQG95" s="78"/>
      <c r="QQH95" s="78"/>
      <c r="QQI95" s="78"/>
      <c r="QQJ95" s="78"/>
      <c r="QQK95" s="78"/>
      <c r="QQL95" s="78"/>
      <c r="QQM95" s="78"/>
      <c r="QQN95" s="78"/>
      <c r="QQO95" s="78"/>
      <c r="QQP95" s="78"/>
      <c r="QQQ95" s="78"/>
      <c r="QQR95" s="78"/>
      <c r="QQS95" s="78"/>
      <c r="QQT95" s="78"/>
      <c r="QQU95" s="78"/>
      <c r="QQV95" s="78"/>
      <c r="QQW95" s="78"/>
      <c r="QQX95" s="78"/>
      <c r="QQY95" s="78"/>
      <c r="QQZ95" s="78"/>
      <c r="QRA95" s="78"/>
      <c r="QRB95" s="78"/>
      <c r="QRC95" s="78"/>
      <c r="QRD95" s="78"/>
      <c r="QRE95" s="78"/>
      <c r="QRF95" s="78"/>
      <c r="QRG95" s="78"/>
      <c r="QRH95" s="78"/>
      <c r="QRI95" s="78"/>
      <c r="QRJ95" s="78"/>
      <c r="QRK95" s="78"/>
      <c r="QRL95" s="78"/>
      <c r="QRM95" s="78"/>
      <c r="QRN95" s="78"/>
      <c r="QRO95" s="78"/>
      <c r="QRP95" s="78"/>
      <c r="QRQ95" s="78"/>
      <c r="QRR95" s="78"/>
      <c r="QRS95" s="78"/>
      <c r="QRT95" s="78"/>
      <c r="QRU95" s="78"/>
      <c r="QRV95" s="78"/>
      <c r="QRW95" s="78"/>
      <c r="QRX95" s="78"/>
      <c r="QRY95" s="78"/>
      <c r="QRZ95" s="78"/>
      <c r="QSA95" s="78"/>
      <c r="QSB95" s="78"/>
      <c r="QSC95" s="78"/>
      <c r="QSD95" s="78"/>
      <c r="QSE95" s="78"/>
      <c r="QSF95" s="78"/>
      <c r="QSG95" s="78"/>
      <c r="QSH95" s="78"/>
      <c r="QSI95" s="78"/>
      <c r="QSJ95" s="78"/>
      <c r="QSK95" s="78"/>
      <c r="QSL95" s="78"/>
      <c r="QSM95" s="78"/>
      <c r="QSN95" s="78"/>
      <c r="QSO95" s="78"/>
      <c r="QSP95" s="78"/>
      <c r="QSQ95" s="78"/>
      <c r="QSR95" s="78"/>
      <c r="QSS95" s="78"/>
      <c r="QST95" s="78"/>
      <c r="QSU95" s="78"/>
      <c r="QSV95" s="78"/>
      <c r="QSW95" s="78"/>
      <c r="QSX95" s="78"/>
      <c r="QSY95" s="78"/>
      <c r="QSZ95" s="78"/>
      <c r="QTA95" s="78"/>
      <c r="QTB95" s="78"/>
      <c r="QTC95" s="78"/>
      <c r="QTD95" s="78"/>
      <c r="QTE95" s="78"/>
      <c r="QTF95" s="78"/>
      <c r="QTG95" s="78"/>
      <c r="QTH95" s="78"/>
      <c r="QTI95" s="78"/>
      <c r="QTJ95" s="78"/>
      <c r="QTK95" s="78"/>
      <c r="QTL95" s="78"/>
      <c r="QTM95" s="78"/>
      <c r="QTN95" s="78"/>
      <c r="QTO95" s="78"/>
      <c r="QTP95" s="78"/>
      <c r="QTQ95" s="78"/>
      <c r="QTR95" s="78"/>
      <c r="QTS95" s="78"/>
      <c r="QTT95" s="78"/>
      <c r="QTU95" s="78"/>
      <c r="QTV95" s="78"/>
      <c r="QTW95" s="78"/>
      <c r="QTX95" s="78"/>
      <c r="QTY95" s="78"/>
      <c r="QTZ95" s="78"/>
      <c r="QUA95" s="78"/>
      <c r="QUB95" s="78"/>
      <c r="QUC95" s="78"/>
      <c r="QUD95" s="78"/>
      <c r="QUE95" s="78"/>
      <c r="QUF95" s="78"/>
      <c r="QUG95" s="78"/>
      <c r="QUH95" s="78"/>
      <c r="QUI95" s="78"/>
      <c r="QUJ95" s="78"/>
      <c r="QUK95" s="78"/>
      <c r="QUL95" s="78"/>
      <c r="QUM95" s="78"/>
      <c r="QUN95" s="78"/>
      <c r="QUO95" s="78"/>
      <c r="QUP95" s="78"/>
      <c r="QUQ95" s="78"/>
      <c r="QUR95" s="78"/>
      <c r="QUS95" s="78"/>
      <c r="QUT95" s="78"/>
      <c r="QUU95" s="78"/>
      <c r="QUV95" s="78"/>
      <c r="QUW95" s="78"/>
      <c r="QUX95" s="78"/>
      <c r="QUY95" s="78"/>
      <c r="QUZ95" s="78"/>
      <c r="QVA95" s="78"/>
      <c r="QVB95" s="78"/>
      <c r="QVC95" s="78"/>
      <c r="QVD95" s="78"/>
      <c r="QVE95" s="78"/>
      <c r="QVF95" s="78"/>
      <c r="QVG95" s="78"/>
      <c r="QVH95" s="78"/>
      <c r="QVI95" s="78"/>
      <c r="QVJ95" s="78"/>
      <c r="QVK95" s="78"/>
      <c r="QVL95" s="78"/>
      <c r="QVM95" s="78"/>
      <c r="QVN95" s="78"/>
      <c r="QVO95" s="78"/>
      <c r="QVP95" s="78"/>
      <c r="QVQ95" s="78"/>
      <c r="QVR95" s="78"/>
      <c r="QVS95" s="78"/>
      <c r="QVT95" s="78"/>
      <c r="QVU95" s="78"/>
      <c r="QVV95" s="78"/>
      <c r="QVW95" s="78"/>
      <c r="QVX95" s="78"/>
      <c r="QVY95" s="78"/>
      <c r="QVZ95" s="78"/>
      <c r="QWA95" s="78"/>
      <c r="QWB95" s="78"/>
      <c r="QWC95" s="78"/>
      <c r="QWD95" s="78"/>
      <c r="QWE95" s="78"/>
      <c r="QWF95" s="78"/>
      <c r="QWG95" s="78"/>
      <c r="QWH95" s="78"/>
      <c r="QWI95" s="78"/>
      <c r="QWJ95" s="78"/>
      <c r="QWK95" s="78"/>
      <c r="QWL95" s="78"/>
      <c r="QWM95" s="78"/>
      <c r="QWN95" s="78"/>
      <c r="QWO95" s="78"/>
      <c r="QWP95" s="78"/>
      <c r="QWQ95" s="78"/>
      <c r="QWR95" s="78"/>
      <c r="QWS95" s="78"/>
      <c r="QWT95" s="78"/>
      <c r="QWU95" s="78"/>
      <c r="QWV95" s="78"/>
      <c r="QWW95" s="78"/>
      <c r="QWX95" s="78"/>
      <c r="QWY95" s="78"/>
      <c r="QWZ95" s="78"/>
      <c r="QXA95" s="78"/>
      <c r="QXB95" s="78"/>
      <c r="QXC95" s="78"/>
      <c r="QXD95" s="78"/>
      <c r="QXE95" s="78"/>
      <c r="QXF95" s="78"/>
      <c r="QXG95" s="78"/>
      <c r="QXH95" s="78"/>
      <c r="QXI95" s="78"/>
      <c r="QXJ95" s="78"/>
      <c r="QXK95" s="78"/>
      <c r="QXL95" s="78"/>
      <c r="QXM95" s="78"/>
      <c r="QXN95" s="78"/>
      <c r="QXO95" s="78"/>
      <c r="QXP95" s="78"/>
      <c r="QXQ95" s="78"/>
      <c r="QXR95" s="78"/>
      <c r="QXS95" s="78"/>
      <c r="QXT95" s="78"/>
      <c r="QXU95" s="78"/>
      <c r="QXV95" s="78"/>
      <c r="QXW95" s="78"/>
      <c r="QXX95" s="78"/>
      <c r="QXY95" s="78"/>
      <c r="QXZ95" s="78"/>
      <c r="QYA95" s="78"/>
      <c r="QYB95" s="78"/>
      <c r="QYC95" s="78"/>
      <c r="QYD95" s="78"/>
      <c r="QYE95" s="78"/>
      <c r="QYF95" s="78"/>
      <c r="QYG95" s="78"/>
      <c r="QYH95" s="78"/>
      <c r="QYI95" s="78"/>
      <c r="QYJ95" s="78"/>
      <c r="QYK95" s="78"/>
      <c r="QYL95" s="78"/>
      <c r="QYM95" s="78"/>
      <c r="QYN95" s="78"/>
      <c r="QYO95" s="78"/>
      <c r="QYP95" s="78"/>
      <c r="QYQ95" s="78"/>
      <c r="QYR95" s="78"/>
      <c r="QYS95" s="78"/>
      <c r="QYT95" s="78"/>
      <c r="QYU95" s="78"/>
      <c r="QYV95" s="78"/>
      <c r="QYW95" s="78"/>
      <c r="QYX95" s="78"/>
      <c r="QYY95" s="78"/>
      <c r="QYZ95" s="78"/>
      <c r="QZA95" s="78"/>
      <c r="QZB95" s="78"/>
      <c r="QZC95" s="78"/>
      <c r="QZD95" s="78"/>
      <c r="QZE95" s="78"/>
      <c r="QZF95" s="78"/>
      <c r="QZG95" s="78"/>
      <c r="QZH95" s="78"/>
      <c r="QZI95" s="78"/>
      <c r="QZJ95" s="78"/>
      <c r="QZK95" s="78"/>
      <c r="QZL95" s="78"/>
      <c r="QZM95" s="78"/>
      <c r="QZN95" s="78"/>
      <c r="QZO95" s="78"/>
      <c r="QZP95" s="78"/>
      <c r="QZQ95" s="78"/>
      <c r="QZR95" s="78"/>
      <c r="QZS95" s="78"/>
      <c r="QZT95" s="78"/>
      <c r="QZU95" s="78"/>
      <c r="QZV95" s="78"/>
      <c r="QZW95" s="78"/>
      <c r="QZX95" s="78"/>
      <c r="QZY95" s="78"/>
      <c r="QZZ95" s="78"/>
      <c r="RAA95" s="78"/>
      <c r="RAB95" s="78"/>
      <c r="RAC95" s="78"/>
      <c r="RAD95" s="78"/>
      <c r="RAE95" s="78"/>
      <c r="RAF95" s="78"/>
      <c r="RAG95" s="78"/>
      <c r="RAH95" s="78"/>
      <c r="RAI95" s="78"/>
      <c r="RAJ95" s="78"/>
      <c r="RAK95" s="78"/>
      <c r="RAL95" s="78"/>
      <c r="RAM95" s="78"/>
      <c r="RAN95" s="78"/>
      <c r="RAO95" s="78"/>
      <c r="RAP95" s="78"/>
      <c r="RAQ95" s="78"/>
      <c r="RAR95" s="78"/>
      <c r="RAS95" s="78"/>
      <c r="RAT95" s="78"/>
      <c r="RAU95" s="78"/>
      <c r="RAV95" s="78"/>
      <c r="RAW95" s="78"/>
      <c r="RAX95" s="78"/>
      <c r="RAY95" s="78"/>
      <c r="RAZ95" s="78"/>
      <c r="RBA95" s="78"/>
      <c r="RBB95" s="78"/>
      <c r="RBC95" s="78"/>
      <c r="RBD95" s="78"/>
      <c r="RBE95" s="78"/>
      <c r="RBF95" s="78"/>
      <c r="RBG95" s="78"/>
      <c r="RBH95" s="78"/>
      <c r="RBI95" s="78"/>
      <c r="RBJ95" s="78"/>
      <c r="RBK95" s="78"/>
      <c r="RBL95" s="78"/>
      <c r="RBM95" s="78"/>
      <c r="RBN95" s="78"/>
      <c r="RBO95" s="78"/>
      <c r="RBP95" s="78"/>
      <c r="RBQ95" s="78"/>
      <c r="RBR95" s="78"/>
      <c r="RBS95" s="78"/>
      <c r="RBT95" s="78"/>
      <c r="RBU95" s="78"/>
      <c r="RBV95" s="78"/>
      <c r="RBW95" s="78"/>
      <c r="RBX95" s="78"/>
      <c r="RBY95" s="78"/>
      <c r="RBZ95" s="78"/>
      <c r="RCA95" s="78"/>
      <c r="RCB95" s="78"/>
      <c r="RCC95" s="78"/>
      <c r="RCD95" s="78"/>
      <c r="RCE95" s="78"/>
      <c r="RCF95" s="78"/>
      <c r="RCG95" s="78"/>
      <c r="RCH95" s="78"/>
      <c r="RCI95" s="78"/>
      <c r="RCJ95" s="78"/>
      <c r="RCK95" s="78"/>
      <c r="RCL95" s="78"/>
      <c r="RCM95" s="78"/>
      <c r="RCN95" s="78"/>
      <c r="RCO95" s="78"/>
      <c r="RCP95" s="78"/>
      <c r="RCQ95" s="78"/>
      <c r="RCR95" s="78"/>
      <c r="RCS95" s="78"/>
      <c r="RCT95" s="78"/>
      <c r="RCU95" s="78"/>
      <c r="RCV95" s="78"/>
      <c r="RCW95" s="78"/>
      <c r="RCX95" s="78"/>
      <c r="RCY95" s="78"/>
      <c r="RCZ95" s="78"/>
      <c r="RDA95" s="78"/>
      <c r="RDB95" s="78"/>
      <c r="RDC95" s="78"/>
      <c r="RDD95" s="78"/>
      <c r="RDE95" s="78"/>
      <c r="RDF95" s="78"/>
      <c r="RDG95" s="78"/>
      <c r="RDH95" s="78"/>
      <c r="RDI95" s="78"/>
      <c r="RDJ95" s="78"/>
      <c r="RDK95" s="78"/>
      <c r="RDL95" s="78"/>
      <c r="RDM95" s="78"/>
      <c r="RDN95" s="78"/>
      <c r="RDO95" s="78"/>
      <c r="RDP95" s="78"/>
      <c r="RDQ95" s="78"/>
      <c r="RDR95" s="78"/>
      <c r="RDS95" s="78"/>
      <c r="RDT95" s="78"/>
      <c r="RDU95" s="78"/>
      <c r="RDV95" s="78"/>
      <c r="RDW95" s="78"/>
      <c r="RDX95" s="78"/>
      <c r="RDY95" s="78"/>
      <c r="RDZ95" s="78"/>
      <c r="REA95" s="78"/>
      <c r="REB95" s="78"/>
      <c r="REC95" s="78"/>
      <c r="RED95" s="78"/>
      <c r="REE95" s="78"/>
      <c r="REF95" s="78"/>
      <c r="REG95" s="78"/>
      <c r="REH95" s="78"/>
      <c r="REI95" s="78"/>
      <c r="REJ95" s="78"/>
      <c r="REK95" s="78"/>
      <c r="REL95" s="78"/>
      <c r="REM95" s="78"/>
      <c r="REN95" s="78"/>
      <c r="REO95" s="78"/>
      <c r="REP95" s="78"/>
      <c r="REQ95" s="78"/>
      <c r="RER95" s="78"/>
      <c r="RES95" s="78"/>
      <c r="RET95" s="78"/>
      <c r="REU95" s="78"/>
      <c r="REV95" s="78"/>
      <c r="REW95" s="78"/>
      <c r="REX95" s="78"/>
      <c r="REY95" s="78"/>
      <c r="REZ95" s="78"/>
      <c r="RFA95" s="78"/>
      <c r="RFB95" s="78"/>
      <c r="RFC95" s="78"/>
      <c r="RFD95" s="78"/>
      <c r="RFE95" s="78"/>
      <c r="RFF95" s="78"/>
      <c r="RFG95" s="78"/>
      <c r="RFH95" s="78"/>
      <c r="RFI95" s="78"/>
      <c r="RFJ95" s="78"/>
      <c r="RFK95" s="78"/>
      <c r="RFL95" s="78"/>
      <c r="RFM95" s="78"/>
      <c r="RFN95" s="78"/>
      <c r="RFO95" s="78"/>
      <c r="RFP95" s="78"/>
      <c r="RFQ95" s="78"/>
      <c r="RFR95" s="78"/>
      <c r="RFS95" s="78"/>
      <c r="RFT95" s="78"/>
      <c r="RFU95" s="78"/>
      <c r="RFV95" s="78"/>
      <c r="RFW95" s="78"/>
      <c r="RFX95" s="78"/>
      <c r="RFY95" s="78"/>
      <c r="RFZ95" s="78"/>
      <c r="RGA95" s="78"/>
      <c r="RGB95" s="78"/>
      <c r="RGC95" s="78"/>
      <c r="RGD95" s="78"/>
      <c r="RGE95" s="78"/>
      <c r="RGF95" s="78"/>
      <c r="RGG95" s="78"/>
      <c r="RGH95" s="78"/>
      <c r="RGI95" s="78"/>
      <c r="RGJ95" s="78"/>
      <c r="RGK95" s="78"/>
      <c r="RGL95" s="78"/>
      <c r="RGM95" s="78"/>
      <c r="RGN95" s="78"/>
      <c r="RGO95" s="78"/>
      <c r="RGP95" s="78"/>
      <c r="RGQ95" s="78"/>
      <c r="RGR95" s="78"/>
      <c r="RGS95" s="78"/>
      <c r="RGT95" s="78"/>
      <c r="RGU95" s="78"/>
      <c r="RGV95" s="78"/>
      <c r="RGW95" s="78"/>
      <c r="RGX95" s="78"/>
      <c r="RGY95" s="78"/>
      <c r="RGZ95" s="78"/>
      <c r="RHA95" s="78"/>
      <c r="RHB95" s="78"/>
      <c r="RHC95" s="78"/>
      <c r="RHD95" s="78"/>
      <c r="RHE95" s="78"/>
      <c r="RHF95" s="78"/>
      <c r="RHG95" s="78"/>
      <c r="RHH95" s="78"/>
      <c r="RHI95" s="78"/>
      <c r="RHJ95" s="78"/>
      <c r="RHK95" s="78"/>
      <c r="RHL95" s="78"/>
      <c r="RHM95" s="78"/>
      <c r="RHN95" s="78"/>
      <c r="RHO95" s="78"/>
      <c r="RHP95" s="78"/>
      <c r="RHQ95" s="78"/>
      <c r="RHR95" s="78"/>
      <c r="RHS95" s="78"/>
      <c r="RHT95" s="78"/>
      <c r="RHU95" s="78"/>
      <c r="RHV95" s="78"/>
      <c r="RHW95" s="78"/>
      <c r="RHX95" s="78"/>
      <c r="RHY95" s="78"/>
      <c r="RHZ95" s="78"/>
      <c r="RIA95" s="78"/>
      <c r="RIB95" s="78"/>
      <c r="RIC95" s="78"/>
      <c r="RID95" s="78"/>
      <c r="RIE95" s="78"/>
      <c r="RIF95" s="78"/>
      <c r="RIG95" s="78"/>
      <c r="RIH95" s="78"/>
      <c r="RII95" s="78"/>
      <c r="RIJ95" s="78"/>
      <c r="RIK95" s="78"/>
      <c r="RIL95" s="78"/>
      <c r="RIM95" s="78"/>
      <c r="RIN95" s="78"/>
      <c r="RIO95" s="78"/>
      <c r="RIP95" s="78"/>
      <c r="RIQ95" s="78"/>
      <c r="RIR95" s="78"/>
      <c r="RIS95" s="78"/>
      <c r="RIT95" s="78"/>
      <c r="RIU95" s="78"/>
      <c r="RIV95" s="78"/>
      <c r="RIW95" s="78"/>
      <c r="RIX95" s="78"/>
      <c r="RIY95" s="78"/>
      <c r="RIZ95" s="78"/>
      <c r="RJA95" s="78"/>
      <c r="RJB95" s="78"/>
      <c r="RJC95" s="78"/>
      <c r="RJD95" s="78"/>
      <c r="RJE95" s="78"/>
      <c r="RJF95" s="78"/>
      <c r="RJG95" s="78"/>
      <c r="RJH95" s="78"/>
      <c r="RJI95" s="78"/>
      <c r="RJJ95" s="78"/>
      <c r="RJK95" s="78"/>
      <c r="RJL95" s="78"/>
      <c r="RJM95" s="78"/>
      <c r="RJN95" s="78"/>
      <c r="RJO95" s="78"/>
      <c r="RJP95" s="78"/>
      <c r="RJQ95" s="78"/>
      <c r="RJR95" s="78"/>
      <c r="RJS95" s="78"/>
      <c r="RJT95" s="78"/>
      <c r="RJU95" s="78"/>
      <c r="RJV95" s="78"/>
      <c r="RJW95" s="78"/>
      <c r="RJX95" s="78"/>
      <c r="RJY95" s="78"/>
      <c r="RJZ95" s="78"/>
      <c r="RKA95" s="78"/>
      <c r="RKB95" s="78"/>
      <c r="RKC95" s="78"/>
      <c r="RKD95" s="78"/>
      <c r="RKE95" s="78"/>
      <c r="RKF95" s="78"/>
      <c r="RKG95" s="78"/>
      <c r="RKH95" s="78"/>
      <c r="RKI95" s="78"/>
      <c r="RKJ95" s="78"/>
      <c r="RKK95" s="78"/>
      <c r="RKL95" s="78"/>
      <c r="RKM95" s="78"/>
      <c r="RKN95" s="78"/>
      <c r="RKO95" s="78"/>
      <c r="RKP95" s="78"/>
      <c r="RKQ95" s="78"/>
      <c r="RKR95" s="78"/>
      <c r="RKS95" s="78"/>
      <c r="RKT95" s="78"/>
      <c r="RKU95" s="78"/>
      <c r="RKV95" s="78"/>
      <c r="RKW95" s="78"/>
      <c r="RKX95" s="78"/>
      <c r="RKY95" s="78"/>
      <c r="RKZ95" s="78"/>
      <c r="RLA95" s="78"/>
      <c r="RLB95" s="78"/>
      <c r="RLC95" s="78"/>
      <c r="RLD95" s="78"/>
      <c r="RLE95" s="78"/>
      <c r="RLF95" s="78"/>
      <c r="RLG95" s="78"/>
      <c r="RLH95" s="78"/>
      <c r="RLI95" s="78"/>
      <c r="RLJ95" s="78"/>
      <c r="RLK95" s="78"/>
      <c r="RLL95" s="78"/>
      <c r="RLM95" s="78"/>
      <c r="RLN95" s="78"/>
      <c r="RLO95" s="78"/>
      <c r="RLP95" s="78"/>
      <c r="RLQ95" s="78"/>
      <c r="RLR95" s="78"/>
      <c r="RLS95" s="78"/>
      <c r="RLT95" s="78"/>
      <c r="RLU95" s="78"/>
      <c r="RLV95" s="78"/>
      <c r="RLW95" s="78"/>
      <c r="RLX95" s="78"/>
      <c r="RLY95" s="78"/>
      <c r="RLZ95" s="78"/>
      <c r="RMA95" s="78"/>
      <c r="RMB95" s="78"/>
      <c r="RMC95" s="78"/>
      <c r="RMD95" s="78"/>
      <c r="RME95" s="78"/>
      <c r="RMF95" s="78"/>
      <c r="RMG95" s="78"/>
      <c r="RMH95" s="78"/>
      <c r="RMI95" s="78"/>
      <c r="RMJ95" s="78"/>
      <c r="RMK95" s="78"/>
      <c r="RML95" s="78"/>
      <c r="RMM95" s="78"/>
      <c r="RMN95" s="78"/>
      <c r="RMO95" s="78"/>
      <c r="RMP95" s="78"/>
      <c r="RMQ95" s="78"/>
      <c r="RMR95" s="78"/>
      <c r="RMS95" s="78"/>
      <c r="RMT95" s="78"/>
      <c r="RMU95" s="78"/>
      <c r="RMV95" s="78"/>
      <c r="RMW95" s="78"/>
      <c r="RMX95" s="78"/>
      <c r="RMY95" s="78"/>
      <c r="RMZ95" s="78"/>
      <c r="RNA95" s="78"/>
      <c r="RNB95" s="78"/>
      <c r="RNC95" s="78"/>
      <c r="RND95" s="78"/>
      <c r="RNE95" s="78"/>
      <c r="RNF95" s="78"/>
      <c r="RNG95" s="78"/>
      <c r="RNH95" s="78"/>
      <c r="RNI95" s="78"/>
      <c r="RNJ95" s="78"/>
      <c r="RNK95" s="78"/>
      <c r="RNL95" s="78"/>
      <c r="RNM95" s="78"/>
      <c r="RNN95" s="78"/>
      <c r="RNO95" s="78"/>
      <c r="RNP95" s="78"/>
      <c r="RNQ95" s="78"/>
      <c r="RNR95" s="78"/>
      <c r="RNS95" s="78"/>
      <c r="RNT95" s="78"/>
      <c r="RNU95" s="78"/>
      <c r="RNV95" s="78"/>
      <c r="RNW95" s="78"/>
      <c r="RNX95" s="78"/>
      <c r="RNY95" s="78"/>
      <c r="RNZ95" s="78"/>
      <c r="ROA95" s="78"/>
      <c r="ROB95" s="78"/>
      <c r="ROC95" s="78"/>
      <c r="ROD95" s="78"/>
      <c r="ROE95" s="78"/>
      <c r="ROF95" s="78"/>
      <c r="ROG95" s="78"/>
      <c r="ROH95" s="78"/>
      <c r="ROI95" s="78"/>
      <c r="ROJ95" s="78"/>
      <c r="ROK95" s="78"/>
      <c r="ROL95" s="78"/>
      <c r="ROM95" s="78"/>
      <c r="RON95" s="78"/>
      <c r="ROO95" s="78"/>
      <c r="ROP95" s="78"/>
      <c r="ROQ95" s="78"/>
      <c r="ROR95" s="78"/>
      <c r="ROS95" s="78"/>
      <c r="ROT95" s="78"/>
      <c r="ROU95" s="78"/>
      <c r="ROV95" s="78"/>
      <c r="ROW95" s="78"/>
      <c r="ROX95" s="78"/>
      <c r="ROY95" s="78"/>
      <c r="ROZ95" s="78"/>
      <c r="RPA95" s="78"/>
      <c r="RPB95" s="78"/>
      <c r="RPC95" s="78"/>
      <c r="RPD95" s="78"/>
      <c r="RPE95" s="78"/>
      <c r="RPF95" s="78"/>
      <c r="RPG95" s="78"/>
      <c r="RPH95" s="78"/>
      <c r="RPI95" s="78"/>
      <c r="RPJ95" s="78"/>
      <c r="RPK95" s="78"/>
      <c r="RPL95" s="78"/>
      <c r="RPM95" s="78"/>
      <c r="RPN95" s="78"/>
      <c r="RPO95" s="78"/>
      <c r="RPP95" s="78"/>
      <c r="RPQ95" s="78"/>
      <c r="RPR95" s="78"/>
      <c r="RPS95" s="78"/>
      <c r="RPT95" s="78"/>
      <c r="RPU95" s="78"/>
      <c r="RPV95" s="78"/>
      <c r="RPW95" s="78"/>
      <c r="RPX95" s="78"/>
      <c r="RPY95" s="78"/>
      <c r="RPZ95" s="78"/>
      <c r="RQA95" s="78"/>
      <c r="RQB95" s="78"/>
      <c r="RQC95" s="78"/>
      <c r="RQD95" s="78"/>
      <c r="RQE95" s="78"/>
      <c r="RQF95" s="78"/>
      <c r="RQG95" s="78"/>
      <c r="RQH95" s="78"/>
      <c r="RQI95" s="78"/>
      <c r="RQJ95" s="78"/>
      <c r="RQK95" s="78"/>
      <c r="RQL95" s="78"/>
      <c r="RQM95" s="78"/>
      <c r="RQN95" s="78"/>
      <c r="RQO95" s="78"/>
      <c r="RQP95" s="78"/>
      <c r="RQQ95" s="78"/>
      <c r="RQR95" s="78"/>
      <c r="RQS95" s="78"/>
      <c r="RQT95" s="78"/>
      <c r="RQU95" s="78"/>
      <c r="RQV95" s="78"/>
      <c r="RQW95" s="78"/>
      <c r="RQX95" s="78"/>
      <c r="RQY95" s="78"/>
      <c r="RQZ95" s="78"/>
      <c r="RRA95" s="78"/>
      <c r="RRB95" s="78"/>
      <c r="RRC95" s="78"/>
      <c r="RRD95" s="78"/>
      <c r="RRE95" s="78"/>
      <c r="RRF95" s="78"/>
      <c r="RRG95" s="78"/>
      <c r="RRH95" s="78"/>
      <c r="RRI95" s="78"/>
      <c r="RRJ95" s="78"/>
      <c r="RRK95" s="78"/>
      <c r="RRL95" s="78"/>
      <c r="RRM95" s="78"/>
      <c r="RRN95" s="78"/>
      <c r="RRO95" s="78"/>
      <c r="RRP95" s="78"/>
      <c r="RRQ95" s="78"/>
      <c r="RRR95" s="78"/>
      <c r="RRS95" s="78"/>
      <c r="RRT95" s="78"/>
      <c r="RRU95" s="78"/>
      <c r="RRV95" s="78"/>
      <c r="RRW95" s="78"/>
      <c r="RRX95" s="78"/>
      <c r="RRY95" s="78"/>
      <c r="RRZ95" s="78"/>
      <c r="RSA95" s="78"/>
      <c r="RSB95" s="78"/>
      <c r="RSC95" s="78"/>
      <c r="RSD95" s="78"/>
      <c r="RSE95" s="78"/>
      <c r="RSF95" s="78"/>
      <c r="RSG95" s="78"/>
      <c r="RSH95" s="78"/>
      <c r="RSI95" s="78"/>
      <c r="RSJ95" s="78"/>
      <c r="RSK95" s="78"/>
      <c r="RSL95" s="78"/>
      <c r="RSM95" s="78"/>
      <c r="RSN95" s="78"/>
      <c r="RSO95" s="78"/>
      <c r="RSP95" s="78"/>
      <c r="RSQ95" s="78"/>
      <c r="RSR95" s="78"/>
      <c r="RSS95" s="78"/>
      <c r="RST95" s="78"/>
      <c r="RSU95" s="78"/>
      <c r="RSV95" s="78"/>
      <c r="RSW95" s="78"/>
      <c r="RSX95" s="78"/>
      <c r="RSY95" s="78"/>
      <c r="RSZ95" s="78"/>
      <c r="RTA95" s="78"/>
      <c r="RTB95" s="78"/>
      <c r="RTC95" s="78"/>
      <c r="RTD95" s="78"/>
      <c r="RTE95" s="78"/>
      <c r="RTF95" s="78"/>
      <c r="RTG95" s="78"/>
      <c r="RTH95" s="78"/>
      <c r="RTI95" s="78"/>
      <c r="RTJ95" s="78"/>
      <c r="RTK95" s="78"/>
      <c r="RTL95" s="78"/>
      <c r="RTM95" s="78"/>
      <c r="RTN95" s="78"/>
      <c r="RTO95" s="78"/>
      <c r="RTP95" s="78"/>
      <c r="RTQ95" s="78"/>
      <c r="RTR95" s="78"/>
      <c r="RTS95" s="78"/>
      <c r="RTT95" s="78"/>
      <c r="RTU95" s="78"/>
      <c r="RTV95" s="78"/>
      <c r="RTW95" s="78"/>
      <c r="RTX95" s="78"/>
      <c r="RTY95" s="78"/>
      <c r="RTZ95" s="78"/>
      <c r="RUA95" s="78"/>
      <c r="RUB95" s="78"/>
      <c r="RUC95" s="78"/>
      <c r="RUD95" s="78"/>
      <c r="RUE95" s="78"/>
      <c r="RUF95" s="78"/>
      <c r="RUG95" s="78"/>
      <c r="RUH95" s="78"/>
      <c r="RUI95" s="78"/>
      <c r="RUJ95" s="78"/>
      <c r="RUK95" s="78"/>
      <c r="RUL95" s="78"/>
      <c r="RUM95" s="78"/>
      <c r="RUN95" s="78"/>
      <c r="RUO95" s="78"/>
      <c r="RUP95" s="78"/>
      <c r="RUQ95" s="78"/>
      <c r="RUR95" s="78"/>
      <c r="RUS95" s="78"/>
      <c r="RUT95" s="78"/>
      <c r="RUU95" s="78"/>
      <c r="RUV95" s="78"/>
      <c r="RUW95" s="78"/>
      <c r="RUX95" s="78"/>
      <c r="RUY95" s="78"/>
      <c r="RUZ95" s="78"/>
      <c r="RVA95" s="78"/>
      <c r="RVB95" s="78"/>
      <c r="RVC95" s="78"/>
      <c r="RVD95" s="78"/>
      <c r="RVE95" s="78"/>
      <c r="RVF95" s="78"/>
      <c r="RVG95" s="78"/>
      <c r="RVH95" s="78"/>
      <c r="RVI95" s="78"/>
      <c r="RVJ95" s="78"/>
      <c r="RVK95" s="78"/>
      <c r="RVL95" s="78"/>
      <c r="RVM95" s="78"/>
      <c r="RVN95" s="78"/>
      <c r="RVO95" s="78"/>
      <c r="RVP95" s="78"/>
      <c r="RVQ95" s="78"/>
      <c r="RVR95" s="78"/>
      <c r="RVS95" s="78"/>
      <c r="RVT95" s="78"/>
      <c r="RVU95" s="78"/>
      <c r="RVV95" s="78"/>
      <c r="RVW95" s="78"/>
      <c r="RVX95" s="78"/>
      <c r="RVY95" s="78"/>
      <c r="RVZ95" s="78"/>
      <c r="RWA95" s="78"/>
      <c r="RWB95" s="78"/>
      <c r="RWC95" s="78"/>
      <c r="RWD95" s="78"/>
      <c r="RWE95" s="78"/>
      <c r="RWF95" s="78"/>
      <c r="RWG95" s="78"/>
      <c r="RWH95" s="78"/>
      <c r="RWI95" s="78"/>
      <c r="RWJ95" s="78"/>
      <c r="RWK95" s="78"/>
      <c r="RWL95" s="78"/>
      <c r="RWM95" s="78"/>
      <c r="RWN95" s="78"/>
      <c r="RWO95" s="78"/>
      <c r="RWP95" s="78"/>
      <c r="RWQ95" s="78"/>
      <c r="RWR95" s="78"/>
      <c r="RWS95" s="78"/>
      <c r="RWT95" s="78"/>
      <c r="RWU95" s="78"/>
      <c r="RWV95" s="78"/>
      <c r="RWW95" s="78"/>
      <c r="RWX95" s="78"/>
      <c r="RWY95" s="78"/>
      <c r="RWZ95" s="78"/>
      <c r="RXA95" s="78"/>
      <c r="RXB95" s="78"/>
      <c r="RXC95" s="78"/>
      <c r="RXD95" s="78"/>
      <c r="RXE95" s="78"/>
      <c r="RXF95" s="78"/>
      <c r="RXG95" s="78"/>
      <c r="RXH95" s="78"/>
      <c r="RXI95" s="78"/>
      <c r="RXJ95" s="78"/>
      <c r="RXK95" s="78"/>
      <c r="RXL95" s="78"/>
      <c r="RXM95" s="78"/>
      <c r="RXN95" s="78"/>
      <c r="RXO95" s="78"/>
      <c r="RXP95" s="78"/>
      <c r="RXQ95" s="78"/>
      <c r="RXR95" s="78"/>
      <c r="RXS95" s="78"/>
      <c r="RXT95" s="78"/>
      <c r="RXU95" s="78"/>
      <c r="RXV95" s="78"/>
      <c r="RXW95" s="78"/>
      <c r="RXX95" s="78"/>
      <c r="RXY95" s="78"/>
      <c r="RXZ95" s="78"/>
      <c r="RYA95" s="78"/>
      <c r="RYB95" s="78"/>
      <c r="RYC95" s="78"/>
      <c r="RYD95" s="78"/>
      <c r="RYE95" s="78"/>
      <c r="RYF95" s="78"/>
      <c r="RYG95" s="78"/>
      <c r="RYH95" s="78"/>
      <c r="RYI95" s="78"/>
      <c r="RYJ95" s="78"/>
      <c r="RYK95" s="78"/>
      <c r="RYL95" s="78"/>
      <c r="RYM95" s="78"/>
      <c r="RYN95" s="78"/>
      <c r="RYO95" s="78"/>
      <c r="RYP95" s="78"/>
      <c r="RYQ95" s="78"/>
      <c r="RYR95" s="78"/>
      <c r="RYS95" s="78"/>
      <c r="RYT95" s="78"/>
      <c r="RYU95" s="78"/>
      <c r="RYV95" s="78"/>
      <c r="RYW95" s="78"/>
      <c r="RYX95" s="78"/>
      <c r="RYY95" s="78"/>
      <c r="RYZ95" s="78"/>
      <c r="RZA95" s="78"/>
      <c r="RZB95" s="78"/>
      <c r="RZC95" s="78"/>
      <c r="RZD95" s="78"/>
      <c r="RZE95" s="78"/>
      <c r="RZF95" s="78"/>
      <c r="RZG95" s="78"/>
      <c r="RZH95" s="78"/>
      <c r="RZI95" s="78"/>
      <c r="RZJ95" s="78"/>
      <c r="RZK95" s="78"/>
      <c r="RZL95" s="78"/>
      <c r="RZM95" s="78"/>
      <c r="RZN95" s="78"/>
      <c r="RZO95" s="78"/>
      <c r="RZP95" s="78"/>
      <c r="RZQ95" s="78"/>
      <c r="RZR95" s="78"/>
      <c r="RZS95" s="78"/>
      <c r="RZT95" s="78"/>
      <c r="RZU95" s="78"/>
      <c r="RZV95" s="78"/>
      <c r="RZW95" s="78"/>
      <c r="RZX95" s="78"/>
      <c r="RZY95" s="78"/>
      <c r="RZZ95" s="78"/>
      <c r="SAA95" s="78"/>
      <c r="SAB95" s="78"/>
      <c r="SAC95" s="78"/>
      <c r="SAD95" s="78"/>
      <c r="SAE95" s="78"/>
      <c r="SAF95" s="78"/>
      <c r="SAG95" s="78"/>
      <c r="SAH95" s="78"/>
      <c r="SAI95" s="78"/>
      <c r="SAJ95" s="78"/>
      <c r="SAK95" s="78"/>
      <c r="SAL95" s="78"/>
      <c r="SAM95" s="78"/>
      <c r="SAN95" s="78"/>
      <c r="SAO95" s="78"/>
      <c r="SAP95" s="78"/>
      <c r="SAQ95" s="78"/>
      <c r="SAR95" s="78"/>
      <c r="SAS95" s="78"/>
      <c r="SAT95" s="78"/>
      <c r="SAU95" s="78"/>
      <c r="SAV95" s="78"/>
      <c r="SAW95" s="78"/>
      <c r="SAX95" s="78"/>
      <c r="SAY95" s="78"/>
      <c r="SAZ95" s="78"/>
      <c r="SBA95" s="78"/>
      <c r="SBB95" s="78"/>
      <c r="SBC95" s="78"/>
      <c r="SBD95" s="78"/>
      <c r="SBE95" s="78"/>
      <c r="SBF95" s="78"/>
      <c r="SBG95" s="78"/>
      <c r="SBH95" s="78"/>
      <c r="SBI95" s="78"/>
      <c r="SBJ95" s="78"/>
      <c r="SBK95" s="78"/>
      <c r="SBL95" s="78"/>
      <c r="SBM95" s="78"/>
      <c r="SBN95" s="78"/>
      <c r="SBO95" s="78"/>
      <c r="SBP95" s="78"/>
      <c r="SBQ95" s="78"/>
      <c r="SBR95" s="78"/>
      <c r="SBS95" s="78"/>
      <c r="SBT95" s="78"/>
      <c r="SBU95" s="78"/>
      <c r="SBV95" s="78"/>
      <c r="SBW95" s="78"/>
      <c r="SBX95" s="78"/>
      <c r="SBY95" s="78"/>
      <c r="SBZ95" s="78"/>
      <c r="SCA95" s="78"/>
      <c r="SCB95" s="78"/>
      <c r="SCC95" s="78"/>
      <c r="SCD95" s="78"/>
      <c r="SCE95" s="78"/>
      <c r="SCF95" s="78"/>
      <c r="SCG95" s="78"/>
      <c r="SCH95" s="78"/>
      <c r="SCI95" s="78"/>
      <c r="SCJ95" s="78"/>
      <c r="SCK95" s="78"/>
      <c r="SCL95" s="78"/>
      <c r="SCM95" s="78"/>
      <c r="SCN95" s="78"/>
      <c r="SCO95" s="78"/>
      <c r="SCP95" s="78"/>
      <c r="SCQ95" s="78"/>
      <c r="SCR95" s="78"/>
      <c r="SCS95" s="78"/>
      <c r="SCT95" s="78"/>
      <c r="SCU95" s="78"/>
      <c r="SCV95" s="78"/>
      <c r="SCW95" s="78"/>
      <c r="SCX95" s="78"/>
      <c r="SCY95" s="78"/>
      <c r="SCZ95" s="78"/>
      <c r="SDA95" s="78"/>
      <c r="SDB95" s="78"/>
      <c r="SDC95" s="78"/>
      <c r="SDD95" s="78"/>
      <c r="SDE95" s="78"/>
      <c r="SDF95" s="78"/>
      <c r="SDG95" s="78"/>
      <c r="SDH95" s="78"/>
      <c r="SDI95" s="78"/>
      <c r="SDJ95" s="78"/>
      <c r="SDK95" s="78"/>
      <c r="SDL95" s="78"/>
      <c r="SDM95" s="78"/>
      <c r="SDN95" s="78"/>
      <c r="SDO95" s="78"/>
      <c r="SDP95" s="78"/>
      <c r="SDQ95" s="78"/>
      <c r="SDR95" s="78"/>
      <c r="SDS95" s="78"/>
      <c r="SDT95" s="78"/>
      <c r="SDU95" s="78"/>
      <c r="SDV95" s="78"/>
      <c r="SDW95" s="78"/>
      <c r="SDX95" s="78"/>
      <c r="SDY95" s="78"/>
      <c r="SDZ95" s="78"/>
      <c r="SEA95" s="78"/>
      <c r="SEB95" s="78"/>
      <c r="SEC95" s="78"/>
      <c r="SED95" s="78"/>
      <c r="SEE95" s="78"/>
      <c r="SEF95" s="78"/>
      <c r="SEG95" s="78"/>
      <c r="SEH95" s="78"/>
      <c r="SEI95" s="78"/>
      <c r="SEJ95" s="78"/>
      <c r="SEK95" s="78"/>
      <c r="SEL95" s="78"/>
      <c r="SEM95" s="78"/>
      <c r="SEN95" s="78"/>
      <c r="SEO95" s="78"/>
      <c r="SEP95" s="78"/>
      <c r="SEQ95" s="78"/>
      <c r="SER95" s="78"/>
      <c r="SES95" s="78"/>
      <c r="SET95" s="78"/>
      <c r="SEU95" s="78"/>
      <c r="SEV95" s="78"/>
      <c r="SEW95" s="78"/>
      <c r="SEX95" s="78"/>
      <c r="SEY95" s="78"/>
      <c r="SEZ95" s="78"/>
      <c r="SFA95" s="78"/>
      <c r="SFB95" s="78"/>
      <c r="SFC95" s="78"/>
      <c r="SFD95" s="78"/>
      <c r="SFE95" s="78"/>
      <c r="SFF95" s="78"/>
      <c r="SFG95" s="78"/>
      <c r="SFH95" s="78"/>
      <c r="SFI95" s="78"/>
      <c r="SFJ95" s="78"/>
      <c r="SFK95" s="78"/>
      <c r="SFL95" s="78"/>
      <c r="SFM95" s="78"/>
      <c r="SFN95" s="78"/>
      <c r="SFO95" s="78"/>
      <c r="SFP95" s="78"/>
      <c r="SFQ95" s="78"/>
      <c r="SFR95" s="78"/>
      <c r="SFS95" s="78"/>
      <c r="SFT95" s="78"/>
      <c r="SFU95" s="78"/>
      <c r="SFV95" s="78"/>
      <c r="SFW95" s="78"/>
      <c r="SFX95" s="78"/>
      <c r="SFY95" s="78"/>
      <c r="SFZ95" s="78"/>
      <c r="SGA95" s="78"/>
      <c r="SGB95" s="78"/>
      <c r="SGC95" s="78"/>
      <c r="SGD95" s="78"/>
      <c r="SGE95" s="78"/>
      <c r="SGF95" s="78"/>
      <c r="SGG95" s="78"/>
      <c r="SGH95" s="78"/>
      <c r="SGI95" s="78"/>
      <c r="SGJ95" s="78"/>
      <c r="SGK95" s="78"/>
      <c r="SGL95" s="78"/>
      <c r="SGM95" s="78"/>
      <c r="SGN95" s="78"/>
      <c r="SGO95" s="78"/>
      <c r="SGP95" s="78"/>
      <c r="SGQ95" s="78"/>
      <c r="SGR95" s="78"/>
      <c r="SGS95" s="78"/>
      <c r="SGT95" s="78"/>
      <c r="SGU95" s="78"/>
      <c r="SGV95" s="78"/>
      <c r="SGW95" s="78"/>
      <c r="SGX95" s="78"/>
      <c r="SGY95" s="78"/>
      <c r="SGZ95" s="78"/>
      <c r="SHA95" s="78"/>
      <c r="SHB95" s="78"/>
      <c r="SHC95" s="78"/>
      <c r="SHD95" s="78"/>
      <c r="SHE95" s="78"/>
      <c r="SHF95" s="78"/>
      <c r="SHG95" s="78"/>
      <c r="SHH95" s="78"/>
      <c r="SHI95" s="78"/>
      <c r="SHJ95" s="78"/>
      <c r="SHK95" s="78"/>
      <c r="SHL95" s="78"/>
      <c r="SHM95" s="78"/>
      <c r="SHN95" s="78"/>
      <c r="SHO95" s="78"/>
      <c r="SHP95" s="78"/>
      <c r="SHQ95" s="78"/>
      <c r="SHR95" s="78"/>
      <c r="SHS95" s="78"/>
      <c r="SHT95" s="78"/>
      <c r="SHU95" s="78"/>
      <c r="SHV95" s="78"/>
      <c r="SHW95" s="78"/>
      <c r="SHX95" s="78"/>
      <c r="SHY95" s="78"/>
      <c r="SHZ95" s="78"/>
      <c r="SIA95" s="78"/>
      <c r="SIB95" s="78"/>
      <c r="SIC95" s="78"/>
      <c r="SID95" s="78"/>
      <c r="SIE95" s="78"/>
      <c r="SIF95" s="78"/>
      <c r="SIG95" s="78"/>
      <c r="SIH95" s="78"/>
      <c r="SII95" s="78"/>
      <c r="SIJ95" s="78"/>
      <c r="SIK95" s="78"/>
      <c r="SIL95" s="78"/>
      <c r="SIM95" s="78"/>
      <c r="SIN95" s="78"/>
      <c r="SIO95" s="78"/>
      <c r="SIP95" s="78"/>
      <c r="SIQ95" s="78"/>
      <c r="SIR95" s="78"/>
      <c r="SIS95" s="78"/>
      <c r="SIT95" s="78"/>
      <c r="SIU95" s="78"/>
      <c r="SIV95" s="78"/>
      <c r="SIW95" s="78"/>
      <c r="SIX95" s="78"/>
      <c r="SIY95" s="78"/>
      <c r="SIZ95" s="78"/>
      <c r="SJA95" s="78"/>
      <c r="SJB95" s="78"/>
      <c r="SJC95" s="78"/>
      <c r="SJD95" s="78"/>
      <c r="SJE95" s="78"/>
      <c r="SJF95" s="78"/>
      <c r="SJG95" s="78"/>
      <c r="SJH95" s="78"/>
      <c r="SJI95" s="78"/>
      <c r="SJJ95" s="78"/>
      <c r="SJK95" s="78"/>
      <c r="SJL95" s="78"/>
      <c r="SJM95" s="78"/>
      <c r="SJN95" s="78"/>
      <c r="SJO95" s="78"/>
      <c r="SJP95" s="78"/>
      <c r="SJQ95" s="78"/>
      <c r="SJR95" s="78"/>
      <c r="SJS95" s="78"/>
      <c r="SJT95" s="78"/>
      <c r="SJU95" s="78"/>
      <c r="SJV95" s="78"/>
      <c r="SJW95" s="78"/>
      <c r="SJX95" s="78"/>
      <c r="SJY95" s="78"/>
      <c r="SJZ95" s="78"/>
      <c r="SKA95" s="78"/>
      <c r="SKB95" s="78"/>
      <c r="SKC95" s="78"/>
      <c r="SKD95" s="78"/>
      <c r="SKE95" s="78"/>
      <c r="SKF95" s="78"/>
      <c r="SKG95" s="78"/>
      <c r="SKH95" s="78"/>
      <c r="SKI95" s="78"/>
      <c r="SKJ95" s="78"/>
      <c r="SKK95" s="78"/>
      <c r="SKL95" s="78"/>
      <c r="SKM95" s="78"/>
      <c r="SKN95" s="78"/>
      <c r="SKO95" s="78"/>
      <c r="SKP95" s="78"/>
      <c r="SKQ95" s="78"/>
      <c r="SKR95" s="78"/>
      <c r="SKS95" s="78"/>
      <c r="SKT95" s="78"/>
      <c r="SKU95" s="78"/>
      <c r="SKV95" s="78"/>
      <c r="SKW95" s="78"/>
      <c r="SKX95" s="78"/>
      <c r="SKY95" s="78"/>
      <c r="SKZ95" s="78"/>
      <c r="SLA95" s="78"/>
      <c r="SLB95" s="78"/>
      <c r="SLC95" s="78"/>
      <c r="SLD95" s="78"/>
      <c r="SLE95" s="78"/>
      <c r="SLF95" s="78"/>
      <c r="SLG95" s="78"/>
      <c r="SLH95" s="78"/>
      <c r="SLI95" s="78"/>
      <c r="SLJ95" s="78"/>
      <c r="SLK95" s="78"/>
      <c r="SLL95" s="78"/>
      <c r="SLM95" s="78"/>
      <c r="SLN95" s="78"/>
      <c r="SLO95" s="78"/>
      <c r="SLP95" s="78"/>
      <c r="SLQ95" s="78"/>
      <c r="SLR95" s="78"/>
      <c r="SLS95" s="78"/>
      <c r="SLT95" s="78"/>
      <c r="SLU95" s="78"/>
      <c r="SLV95" s="78"/>
      <c r="SLW95" s="78"/>
      <c r="SLX95" s="78"/>
      <c r="SLY95" s="78"/>
      <c r="SLZ95" s="78"/>
      <c r="SMA95" s="78"/>
      <c r="SMB95" s="78"/>
      <c r="SMC95" s="78"/>
      <c r="SMD95" s="78"/>
      <c r="SME95" s="78"/>
      <c r="SMF95" s="78"/>
      <c r="SMG95" s="78"/>
      <c r="SMH95" s="78"/>
      <c r="SMI95" s="78"/>
      <c r="SMJ95" s="78"/>
      <c r="SMK95" s="78"/>
      <c r="SML95" s="78"/>
      <c r="SMM95" s="78"/>
      <c r="SMN95" s="78"/>
      <c r="SMO95" s="78"/>
      <c r="SMP95" s="78"/>
      <c r="SMQ95" s="78"/>
      <c r="SMR95" s="78"/>
      <c r="SMS95" s="78"/>
      <c r="SMT95" s="78"/>
      <c r="SMU95" s="78"/>
      <c r="SMV95" s="78"/>
      <c r="SMW95" s="78"/>
      <c r="SMX95" s="78"/>
      <c r="SMY95" s="78"/>
      <c r="SMZ95" s="78"/>
      <c r="SNA95" s="78"/>
      <c r="SNB95" s="78"/>
      <c r="SNC95" s="78"/>
      <c r="SND95" s="78"/>
      <c r="SNE95" s="78"/>
      <c r="SNF95" s="78"/>
      <c r="SNG95" s="78"/>
      <c r="SNH95" s="78"/>
      <c r="SNI95" s="78"/>
      <c r="SNJ95" s="78"/>
      <c r="SNK95" s="78"/>
      <c r="SNL95" s="78"/>
      <c r="SNM95" s="78"/>
      <c r="SNN95" s="78"/>
      <c r="SNO95" s="78"/>
      <c r="SNP95" s="78"/>
      <c r="SNQ95" s="78"/>
      <c r="SNR95" s="78"/>
      <c r="SNS95" s="78"/>
      <c r="SNT95" s="78"/>
      <c r="SNU95" s="78"/>
      <c r="SNV95" s="78"/>
      <c r="SNW95" s="78"/>
      <c r="SNX95" s="78"/>
      <c r="SNY95" s="78"/>
      <c r="SNZ95" s="78"/>
      <c r="SOA95" s="78"/>
      <c r="SOB95" s="78"/>
      <c r="SOC95" s="78"/>
      <c r="SOD95" s="78"/>
      <c r="SOE95" s="78"/>
      <c r="SOF95" s="78"/>
      <c r="SOG95" s="78"/>
      <c r="SOH95" s="78"/>
      <c r="SOI95" s="78"/>
      <c r="SOJ95" s="78"/>
      <c r="SOK95" s="78"/>
      <c r="SOL95" s="78"/>
      <c r="SOM95" s="78"/>
      <c r="SON95" s="78"/>
      <c r="SOO95" s="78"/>
      <c r="SOP95" s="78"/>
      <c r="SOQ95" s="78"/>
      <c r="SOR95" s="78"/>
      <c r="SOS95" s="78"/>
      <c r="SOT95" s="78"/>
      <c r="SOU95" s="78"/>
      <c r="SOV95" s="78"/>
      <c r="SOW95" s="78"/>
      <c r="SOX95" s="78"/>
      <c r="SOY95" s="78"/>
      <c r="SOZ95" s="78"/>
      <c r="SPA95" s="78"/>
      <c r="SPB95" s="78"/>
      <c r="SPC95" s="78"/>
      <c r="SPD95" s="78"/>
      <c r="SPE95" s="78"/>
      <c r="SPF95" s="78"/>
      <c r="SPG95" s="78"/>
      <c r="SPH95" s="78"/>
      <c r="SPI95" s="78"/>
      <c r="SPJ95" s="78"/>
      <c r="SPK95" s="78"/>
      <c r="SPL95" s="78"/>
      <c r="SPM95" s="78"/>
      <c r="SPN95" s="78"/>
      <c r="SPO95" s="78"/>
      <c r="SPP95" s="78"/>
      <c r="SPQ95" s="78"/>
      <c r="SPR95" s="78"/>
      <c r="SPS95" s="78"/>
      <c r="SPT95" s="78"/>
      <c r="SPU95" s="78"/>
      <c r="SPV95" s="78"/>
      <c r="SPW95" s="78"/>
      <c r="SPX95" s="78"/>
      <c r="SPY95" s="78"/>
      <c r="SPZ95" s="78"/>
      <c r="SQA95" s="78"/>
      <c r="SQB95" s="78"/>
      <c r="SQC95" s="78"/>
      <c r="SQD95" s="78"/>
      <c r="SQE95" s="78"/>
      <c r="SQF95" s="78"/>
      <c r="SQG95" s="78"/>
      <c r="SQH95" s="78"/>
      <c r="SQI95" s="78"/>
      <c r="SQJ95" s="78"/>
      <c r="SQK95" s="78"/>
      <c r="SQL95" s="78"/>
      <c r="SQM95" s="78"/>
      <c r="SQN95" s="78"/>
      <c r="SQO95" s="78"/>
      <c r="SQP95" s="78"/>
      <c r="SQQ95" s="78"/>
      <c r="SQR95" s="78"/>
      <c r="SQS95" s="78"/>
      <c r="SQT95" s="78"/>
      <c r="SQU95" s="78"/>
      <c r="SQV95" s="78"/>
      <c r="SQW95" s="78"/>
      <c r="SQX95" s="78"/>
      <c r="SQY95" s="78"/>
      <c r="SQZ95" s="78"/>
      <c r="SRA95" s="78"/>
      <c r="SRB95" s="78"/>
      <c r="SRC95" s="78"/>
      <c r="SRD95" s="78"/>
      <c r="SRE95" s="78"/>
      <c r="SRF95" s="78"/>
      <c r="SRG95" s="78"/>
      <c r="SRH95" s="78"/>
      <c r="SRI95" s="78"/>
      <c r="SRJ95" s="78"/>
      <c r="SRK95" s="78"/>
      <c r="SRL95" s="78"/>
      <c r="SRM95" s="78"/>
      <c r="SRN95" s="78"/>
      <c r="SRO95" s="78"/>
      <c r="SRP95" s="78"/>
      <c r="SRQ95" s="78"/>
      <c r="SRR95" s="78"/>
      <c r="SRS95" s="78"/>
      <c r="SRT95" s="78"/>
      <c r="SRU95" s="78"/>
      <c r="SRV95" s="78"/>
      <c r="SRW95" s="78"/>
      <c r="SRX95" s="78"/>
      <c r="SRY95" s="78"/>
      <c r="SRZ95" s="78"/>
      <c r="SSA95" s="78"/>
      <c r="SSB95" s="78"/>
      <c r="SSC95" s="78"/>
      <c r="SSD95" s="78"/>
      <c r="SSE95" s="78"/>
      <c r="SSF95" s="78"/>
      <c r="SSG95" s="78"/>
      <c r="SSH95" s="78"/>
      <c r="SSI95" s="78"/>
      <c r="SSJ95" s="78"/>
      <c r="SSK95" s="78"/>
      <c r="SSL95" s="78"/>
      <c r="SSM95" s="78"/>
      <c r="SSN95" s="78"/>
      <c r="SSO95" s="78"/>
      <c r="SSP95" s="78"/>
      <c r="SSQ95" s="78"/>
      <c r="SSR95" s="78"/>
      <c r="SSS95" s="78"/>
      <c r="SST95" s="78"/>
      <c r="SSU95" s="78"/>
      <c r="SSV95" s="78"/>
      <c r="SSW95" s="78"/>
      <c r="SSX95" s="78"/>
      <c r="SSY95" s="78"/>
      <c r="SSZ95" s="78"/>
      <c r="STA95" s="78"/>
      <c r="STB95" s="78"/>
      <c r="STC95" s="78"/>
      <c r="STD95" s="78"/>
      <c r="STE95" s="78"/>
      <c r="STF95" s="78"/>
      <c r="STG95" s="78"/>
      <c r="STH95" s="78"/>
      <c r="STI95" s="78"/>
      <c r="STJ95" s="78"/>
      <c r="STK95" s="78"/>
      <c r="STL95" s="78"/>
      <c r="STM95" s="78"/>
      <c r="STN95" s="78"/>
      <c r="STO95" s="78"/>
      <c r="STP95" s="78"/>
      <c r="STQ95" s="78"/>
      <c r="STR95" s="78"/>
      <c r="STS95" s="78"/>
      <c r="STT95" s="78"/>
      <c r="STU95" s="78"/>
      <c r="STV95" s="78"/>
      <c r="STW95" s="78"/>
      <c r="STX95" s="78"/>
      <c r="STY95" s="78"/>
      <c r="STZ95" s="78"/>
      <c r="SUA95" s="78"/>
      <c r="SUB95" s="78"/>
      <c r="SUC95" s="78"/>
      <c r="SUD95" s="78"/>
      <c r="SUE95" s="78"/>
      <c r="SUF95" s="78"/>
      <c r="SUG95" s="78"/>
      <c r="SUH95" s="78"/>
      <c r="SUI95" s="78"/>
      <c r="SUJ95" s="78"/>
      <c r="SUK95" s="78"/>
      <c r="SUL95" s="78"/>
      <c r="SUM95" s="78"/>
      <c r="SUN95" s="78"/>
      <c r="SUO95" s="78"/>
      <c r="SUP95" s="78"/>
      <c r="SUQ95" s="78"/>
      <c r="SUR95" s="78"/>
      <c r="SUS95" s="78"/>
      <c r="SUT95" s="78"/>
      <c r="SUU95" s="78"/>
      <c r="SUV95" s="78"/>
      <c r="SUW95" s="78"/>
      <c r="SUX95" s="78"/>
      <c r="SUY95" s="78"/>
      <c r="SUZ95" s="78"/>
      <c r="SVA95" s="78"/>
      <c r="SVB95" s="78"/>
      <c r="SVC95" s="78"/>
      <c r="SVD95" s="78"/>
      <c r="SVE95" s="78"/>
      <c r="SVF95" s="78"/>
      <c r="SVG95" s="78"/>
      <c r="SVH95" s="78"/>
      <c r="SVI95" s="78"/>
      <c r="SVJ95" s="78"/>
      <c r="SVK95" s="78"/>
      <c r="SVL95" s="78"/>
      <c r="SVM95" s="78"/>
      <c r="SVN95" s="78"/>
      <c r="SVO95" s="78"/>
      <c r="SVP95" s="78"/>
      <c r="SVQ95" s="78"/>
      <c r="SVR95" s="78"/>
      <c r="SVS95" s="78"/>
      <c r="SVT95" s="78"/>
      <c r="SVU95" s="78"/>
      <c r="SVV95" s="78"/>
      <c r="SVW95" s="78"/>
      <c r="SVX95" s="78"/>
      <c r="SVY95" s="78"/>
      <c r="SVZ95" s="78"/>
      <c r="SWA95" s="78"/>
      <c r="SWB95" s="78"/>
      <c r="SWC95" s="78"/>
      <c r="SWD95" s="78"/>
      <c r="SWE95" s="78"/>
      <c r="SWF95" s="78"/>
      <c r="SWG95" s="78"/>
      <c r="SWH95" s="78"/>
      <c r="SWI95" s="78"/>
      <c r="SWJ95" s="78"/>
      <c r="SWK95" s="78"/>
      <c r="SWL95" s="78"/>
      <c r="SWM95" s="78"/>
      <c r="SWN95" s="78"/>
      <c r="SWO95" s="78"/>
      <c r="SWP95" s="78"/>
      <c r="SWQ95" s="78"/>
      <c r="SWR95" s="78"/>
      <c r="SWS95" s="78"/>
      <c r="SWT95" s="78"/>
      <c r="SWU95" s="78"/>
      <c r="SWV95" s="78"/>
      <c r="SWW95" s="78"/>
      <c r="SWX95" s="78"/>
      <c r="SWY95" s="78"/>
      <c r="SWZ95" s="78"/>
      <c r="SXA95" s="78"/>
      <c r="SXB95" s="78"/>
      <c r="SXC95" s="78"/>
      <c r="SXD95" s="78"/>
      <c r="SXE95" s="78"/>
      <c r="SXF95" s="78"/>
      <c r="SXG95" s="78"/>
      <c r="SXH95" s="78"/>
      <c r="SXI95" s="78"/>
      <c r="SXJ95" s="78"/>
      <c r="SXK95" s="78"/>
      <c r="SXL95" s="78"/>
      <c r="SXM95" s="78"/>
      <c r="SXN95" s="78"/>
      <c r="SXO95" s="78"/>
      <c r="SXP95" s="78"/>
      <c r="SXQ95" s="78"/>
      <c r="SXR95" s="78"/>
      <c r="SXS95" s="78"/>
      <c r="SXT95" s="78"/>
      <c r="SXU95" s="78"/>
      <c r="SXV95" s="78"/>
      <c r="SXW95" s="78"/>
      <c r="SXX95" s="78"/>
      <c r="SXY95" s="78"/>
      <c r="SXZ95" s="78"/>
      <c r="SYA95" s="78"/>
      <c r="SYB95" s="78"/>
      <c r="SYC95" s="78"/>
      <c r="SYD95" s="78"/>
      <c r="SYE95" s="78"/>
      <c r="SYF95" s="78"/>
      <c r="SYG95" s="78"/>
      <c r="SYH95" s="78"/>
      <c r="SYI95" s="78"/>
      <c r="SYJ95" s="78"/>
      <c r="SYK95" s="78"/>
      <c r="SYL95" s="78"/>
      <c r="SYM95" s="78"/>
      <c r="SYN95" s="78"/>
      <c r="SYO95" s="78"/>
      <c r="SYP95" s="78"/>
      <c r="SYQ95" s="78"/>
      <c r="SYR95" s="78"/>
      <c r="SYS95" s="78"/>
      <c r="SYT95" s="78"/>
      <c r="SYU95" s="78"/>
      <c r="SYV95" s="78"/>
      <c r="SYW95" s="78"/>
      <c r="SYX95" s="78"/>
      <c r="SYY95" s="78"/>
      <c r="SYZ95" s="78"/>
      <c r="SZA95" s="78"/>
      <c r="SZB95" s="78"/>
      <c r="SZC95" s="78"/>
      <c r="SZD95" s="78"/>
      <c r="SZE95" s="78"/>
      <c r="SZF95" s="78"/>
      <c r="SZG95" s="78"/>
      <c r="SZH95" s="78"/>
      <c r="SZI95" s="78"/>
      <c r="SZJ95" s="78"/>
      <c r="SZK95" s="78"/>
      <c r="SZL95" s="78"/>
      <c r="SZM95" s="78"/>
      <c r="SZN95" s="78"/>
      <c r="SZO95" s="78"/>
      <c r="SZP95" s="78"/>
      <c r="SZQ95" s="78"/>
      <c r="SZR95" s="78"/>
      <c r="SZS95" s="78"/>
      <c r="SZT95" s="78"/>
      <c r="SZU95" s="78"/>
      <c r="SZV95" s="78"/>
      <c r="SZW95" s="78"/>
      <c r="SZX95" s="78"/>
      <c r="SZY95" s="78"/>
      <c r="SZZ95" s="78"/>
      <c r="TAA95" s="78"/>
      <c r="TAB95" s="78"/>
      <c r="TAC95" s="78"/>
      <c r="TAD95" s="78"/>
      <c r="TAE95" s="78"/>
      <c r="TAF95" s="78"/>
      <c r="TAG95" s="78"/>
      <c r="TAH95" s="78"/>
      <c r="TAI95" s="78"/>
      <c r="TAJ95" s="78"/>
      <c r="TAK95" s="78"/>
      <c r="TAL95" s="78"/>
      <c r="TAM95" s="78"/>
      <c r="TAN95" s="78"/>
      <c r="TAO95" s="78"/>
      <c r="TAP95" s="78"/>
      <c r="TAQ95" s="78"/>
      <c r="TAR95" s="78"/>
      <c r="TAS95" s="78"/>
      <c r="TAT95" s="78"/>
      <c r="TAU95" s="78"/>
      <c r="TAV95" s="78"/>
      <c r="TAW95" s="78"/>
      <c r="TAX95" s="78"/>
      <c r="TAY95" s="78"/>
      <c r="TAZ95" s="78"/>
      <c r="TBA95" s="78"/>
      <c r="TBB95" s="78"/>
      <c r="TBC95" s="78"/>
      <c r="TBD95" s="78"/>
      <c r="TBE95" s="78"/>
      <c r="TBF95" s="78"/>
      <c r="TBG95" s="78"/>
      <c r="TBH95" s="78"/>
      <c r="TBI95" s="78"/>
      <c r="TBJ95" s="78"/>
      <c r="TBK95" s="78"/>
      <c r="TBL95" s="78"/>
      <c r="TBM95" s="78"/>
      <c r="TBN95" s="78"/>
      <c r="TBO95" s="78"/>
      <c r="TBP95" s="78"/>
      <c r="TBQ95" s="78"/>
      <c r="TBR95" s="78"/>
      <c r="TBS95" s="78"/>
      <c r="TBT95" s="78"/>
      <c r="TBU95" s="78"/>
      <c r="TBV95" s="78"/>
      <c r="TBW95" s="78"/>
      <c r="TBX95" s="78"/>
      <c r="TBY95" s="78"/>
      <c r="TBZ95" s="78"/>
      <c r="TCA95" s="78"/>
      <c r="TCB95" s="78"/>
      <c r="TCC95" s="78"/>
      <c r="TCD95" s="78"/>
      <c r="TCE95" s="78"/>
      <c r="TCF95" s="78"/>
      <c r="TCG95" s="78"/>
      <c r="TCH95" s="78"/>
      <c r="TCI95" s="78"/>
      <c r="TCJ95" s="78"/>
      <c r="TCK95" s="78"/>
      <c r="TCL95" s="78"/>
      <c r="TCM95" s="78"/>
      <c r="TCN95" s="78"/>
      <c r="TCO95" s="78"/>
      <c r="TCP95" s="78"/>
      <c r="TCQ95" s="78"/>
      <c r="TCR95" s="78"/>
      <c r="TCS95" s="78"/>
      <c r="TCT95" s="78"/>
      <c r="TCU95" s="78"/>
      <c r="TCV95" s="78"/>
      <c r="TCW95" s="78"/>
      <c r="TCX95" s="78"/>
      <c r="TCY95" s="78"/>
      <c r="TCZ95" s="78"/>
      <c r="TDA95" s="78"/>
      <c r="TDB95" s="78"/>
      <c r="TDC95" s="78"/>
      <c r="TDD95" s="78"/>
      <c r="TDE95" s="78"/>
      <c r="TDF95" s="78"/>
      <c r="TDG95" s="78"/>
      <c r="TDH95" s="78"/>
      <c r="TDI95" s="78"/>
      <c r="TDJ95" s="78"/>
      <c r="TDK95" s="78"/>
      <c r="TDL95" s="78"/>
      <c r="TDM95" s="78"/>
      <c r="TDN95" s="78"/>
      <c r="TDO95" s="78"/>
      <c r="TDP95" s="78"/>
      <c r="TDQ95" s="78"/>
      <c r="TDR95" s="78"/>
      <c r="TDS95" s="78"/>
      <c r="TDT95" s="78"/>
      <c r="TDU95" s="78"/>
      <c r="TDV95" s="78"/>
      <c r="TDW95" s="78"/>
      <c r="TDX95" s="78"/>
      <c r="TDY95" s="78"/>
      <c r="TDZ95" s="78"/>
      <c r="TEA95" s="78"/>
      <c r="TEB95" s="78"/>
      <c r="TEC95" s="78"/>
      <c r="TED95" s="78"/>
      <c r="TEE95" s="78"/>
      <c r="TEF95" s="78"/>
      <c r="TEG95" s="78"/>
      <c r="TEH95" s="78"/>
      <c r="TEI95" s="78"/>
      <c r="TEJ95" s="78"/>
      <c r="TEK95" s="78"/>
      <c r="TEL95" s="78"/>
      <c r="TEM95" s="78"/>
      <c r="TEN95" s="78"/>
      <c r="TEO95" s="78"/>
      <c r="TEP95" s="78"/>
      <c r="TEQ95" s="78"/>
      <c r="TER95" s="78"/>
      <c r="TES95" s="78"/>
      <c r="TET95" s="78"/>
      <c r="TEU95" s="78"/>
      <c r="TEV95" s="78"/>
      <c r="TEW95" s="78"/>
      <c r="TEX95" s="78"/>
      <c r="TEY95" s="78"/>
      <c r="TEZ95" s="78"/>
      <c r="TFA95" s="78"/>
      <c r="TFB95" s="78"/>
      <c r="TFC95" s="78"/>
      <c r="TFD95" s="78"/>
      <c r="TFE95" s="78"/>
      <c r="TFF95" s="78"/>
      <c r="TFG95" s="78"/>
      <c r="TFH95" s="78"/>
      <c r="TFI95" s="78"/>
      <c r="TFJ95" s="78"/>
      <c r="TFK95" s="78"/>
      <c r="TFL95" s="78"/>
      <c r="TFM95" s="78"/>
      <c r="TFN95" s="78"/>
      <c r="TFO95" s="78"/>
      <c r="TFP95" s="78"/>
      <c r="TFQ95" s="78"/>
      <c r="TFR95" s="78"/>
      <c r="TFS95" s="78"/>
      <c r="TFT95" s="78"/>
      <c r="TFU95" s="78"/>
      <c r="TFV95" s="78"/>
      <c r="TFW95" s="78"/>
      <c r="TFX95" s="78"/>
      <c r="TFY95" s="78"/>
      <c r="TFZ95" s="78"/>
      <c r="TGA95" s="78"/>
      <c r="TGB95" s="78"/>
      <c r="TGC95" s="78"/>
      <c r="TGD95" s="78"/>
      <c r="TGE95" s="78"/>
      <c r="TGF95" s="78"/>
      <c r="TGG95" s="78"/>
      <c r="TGH95" s="78"/>
      <c r="TGI95" s="78"/>
      <c r="TGJ95" s="78"/>
      <c r="TGK95" s="78"/>
      <c r="TGL95" s="78"/>
      <c r="TGM95" s="78"/>
      <c r="TGN95" s="78"/>
      <c r="TGO95" s="78"/>
      <c r="TGP95" s="78"/>
      <c r="TGQ95" s="78"/>
      <c r="TGR95" s="78"/>
      <c r="TGS95" s="78"/>
      <c r="TGT95" s="78"/>
      <c r="TGU95" s="78"/>
      <c r="TGV95" s="78"/>
      <c r="TGW95" s="78"/>
      <c r="TGX95" s="78"/>
      <c r="TGY95" s="78"/>
      <c r="TGZ95" s="78"/>
      <c r="THA95" s="78"/>
      <c r="THB95" s="78"/>
      <c r="THC95" s="78"/>
      <c r="THD95" s="78"/>
      <c r="THE95" s="78"/>
      <c r="THF95" s="78"/>
      <c r="THG95" s="78"/>
      <c r="THH95" s="78"/>
      <c r="THI95" s="78"/>
      <c r="THJ95" s="78"/>
      <c r="THK95" s="78"/>
      <c r="THL95" s="78"/>
      <c r="THM95" s="78"/>
      <c r="THN95" s="78"/>
      <c r="THO95" s="78"/>
      <c r="THP95" s="78"/>
      <c r="THQ95" s="78"/>
      <c r="THR95" s="78"/>
      <c r="THS95" s="78"/>
      <c r="THT95" s="78"/>
      <c r="THU95" s="78"/>
      <c r="THV95" s="78"/>
      <c r="THW95" s="78"/>
      <c r="THX95" s="78"/>
      <c r="THY95" s="78"/>
      <c r="THZ95" s="78"/>
      <c r="TIA95" s="78"/>
      <c r="TIB95" s="78"/>
      <c r="TIC95" s="78"/>
      <c r="TID95" s="78"/>
      <c r="TIE95" s="78"/>
      <c r="TIF95" s="78"/>
      <c r="TIG95" s="78"/>
      <c r="TIH95" s="78"/>
      <c r="TII95" s="78"/>
      <c r="TIJ95" s="78"/>
      <c r="TIK95" s="78"/>
      <c r="TIL95" s="78"/>
      <c r="TIM95" s="78"/>
      <c r="TIN95" s="78"/>
      <c r="TIO95" s="78"/>
      <c r="TIP95" s="78"/>
      <c r="TIQ95" s="78"/>
      <c r="TIR95" s="78"/>
      <c r="TIS95" s="78"/>
      <c r="TIT95" s="78"/>
      <c r="TIU95" s="78"/>
      <c r="TIV95" s="78"/>
      <c r="TIW95" s="78"/>
      <c r="TIX95" s="78"/>
      <c r="TIY95" s="78"/>
      <c r="TIZ95" s="78"/>
      <c r="TJA95" s="78"/>
      <c r="TJB95" s="78"/>
      <c r="TJC95" s="78"/>
      <c r="TJD95" s="78"/>
      <c r="TJE95" s="78"/>
      <c r="TJF95" s="78"/>
      <c r="TJG95" s="78"/>
      <c r="TJH95" s="78"/>
      <c r="TJI95" s="78"/>
      <c r="TJJ95" s="78"/>
      <c r="TJK95" s="78"/>
      <c r="TJL95" s="78"/>
      <c r="TJM95" s="78"/>
      <c r="TJN95" s="78"/>
      <c r="TJO95" s="78"/>
      <c r="TJP95" s="78"/>
      <c r="TJQ95" s="78"/>
      <c r="TJR95" s="78"/>
      <c r="TJS95" s="78"/>
      <c r="TJT95" s="78"/>
      <c r="TJU95" s="78"/>
      <c r="TJV95" s="78"/>
      <c r="TJW95" s="78"/>
      <c r="TJX95" s="78"/>
      <c r="TJY95" s="78"/>
      <c r="TJZ95" s="78"/>
      <c r="TKA95" s="78"/>
      <c r="TKB95" s="78"/>
      <c r="TKC95" s="78"/>
      <c r="TKD95" s="78"/>
      <c r="TKE95" s="78"/>
      <c r="TKF95" s="78"/>
      <c r="TKG95" s="78"/>
      <c r="TKH95" s="78"/>
      <c r="TKI95" s="78"/>
      <c r="TKJ95" s="78"/>
      <c r="TKK95" s="78"/>
      <c r="TKL95" s="78"/>
      <c r="TKM95" s="78"/>
      <c r="TKN95" s="78"/>
      <c r="TKO95" s="78"/>
      <c r="TKP95" s="78"/>
      <c r="TKQ95" s="78"/>
      <c r="TKR95" s="78"/>
      <c r="TKS95" s="78"/>
      <c r="TKT95" s="78"/>
      <c r="TKU95" s="78"/>
      <c r="TKV95" s="78"/>
      <c r="TKW95" s="78"/>
      <c r="TKX95" s="78"/>
      <c r="TKY95" s="78"/>
      <c r="TKZ95" s="78"/>
      <c r="TLA95" s="78"/>
      <c r="TLB95" s="78"/>
      <c r="TLC95" s="78"/>
      <c r="TLD95" s="78"/>
      <c r="TLE95" s="78"/>
      <c r="TLF95" s="78"/>
      <c r="TLG95" s="78"/>
      <c r="TLH95" s="78"/>
      <c r="TLI95" s="78"/>
      <c r="TLJ95" s="78"/>
      <c r="TLK95" s="78"/>
      <c r="TLL95" s="78"/>
      <c r="TLM95" s="78"/>
      <c r="TLN95" s="78"/>
      <c r="TLO95" s="78"/>
      <c r="TLP95" s="78"/>
      <c r="TLQ95" s="78"/>
      <c r="TLR95" s="78"/>
      <c r="TLS95" s="78"/>
      <c r="TLT95" s="78"/>
      <c r="TLU95" s="78"/>
      <c r="TLV95" s="78"/>
      <c r="TLW95" s="78"/>
      <c r="TLX95" s="78"/>
      <c r="TLY95" s="78"/>
      <c r="TLZ95" s="78"/>
      <c r="TMA95" s="78"/>
      <c r="TMB95" s="78"/>
      <c r="TMC95" s="78"/>
      <c r="TMD95" s="78"/>
      <c r="TME95" s="78"/>
      <c r="TMF95" s="78"/>
      <c r="TMG95" s="78"/>
      <c r="TMH95" s="78"/>
      <c r="TMI95" s="78"/>
      <c r="TMJ95" s="78"/>
      <c r="TMK95" s="78"/>
      <c r="TML95" s="78"/>
      <c r="TMM95" s="78"/>
      <c r="TMN95" s="78"/>
      <c r="TMO95" s="78"/>
      <c r="TMP95" s="78"/>
      <c r="TMQ95" s="78"/>
      <c r="TMR95" s="78"/>
      <c r="TMS95" s="78"/>
      <c r="TMT95" s="78"/>
      <c r="TMU95" s="78"/>
      <c r="TMV95" s="78"/>
      <c r="TMW95" s="78"/>
      <c r="TMX95" s="78"/>
      <c r="TMY95" s="78"/>
      <c r="TMZ95" s="78"/>
      <c r="TNA95" s="78"/>
      <c r="TNB95" s="78"/>
      <c r="TNC95" s="78"/>
      <c r="TND95" s="78"/>
      <c r="TNE95" s="78"/>
      <c r="TNF95" s="78"/>
      <c r="TNG95" s="78"/>
      <c r="TNH95" s="78"/>
      <c r="TNI95" s="78"/>
      <c r="TNJ95" s="78"/>
      <c r="TNK95" s="78"/>
      <c r="TNL95" s="78"/>
      <c r="TNM95" s="78"/>
      <c r="TNN95" s="78"/>
      <c r="TNO95" s="78"/>
      <c r="TNP95" s="78"/>
      <c r="TNQ95" s="78"/>
      <c r="TNR95" s="78"/>
      <c r="TNS95" s="78"/>
      <c r="TNT95" s="78"/>
      <c r="TNU95" s="78"/>
      <c r="TNV95" s="78"/>
      <c r="TNW95" s="78"/>
      <c r="TNX95" s="78"/>
      <c r="TNY95" s="78"/>
      <c r="TNZ95" s="78"/>
      <c r="TOA95" s="78"/>
      <c r="TOB95" s="78"/>
      <c r="TOC95" s="78"/>
      <c r="TOD95" s="78"/>
      <c r="TOE95" s="78"/>
      <c r="TOF95" s="78"/>
      <c r="TOG95" s="78"/>
      <c r="TOH95" s="78"/>
      <c r="TOI95" s="78"/>
      <c r="TOJ95" s="78"/>
      <c r="TOK95" s="78"/>
      <c r="TOL95" s="78"/>
      <c r="TOM95" s="78"/>
      <c r="TON95" s="78"/>
      <c r="TOO95" s="78"/>
      <c r="TOP95" s="78"/>
      <c r="TOQ95" s="78"/>
      <c r="TOR95" s="78"/>
      <c r="TOS95" s="78"/>
      <c r="TOT95" s="78"/>
      <c r="TOU95" s="78"/>
      <c r="TOV95" s="78"/>
      <c r="TOW95" s="78"/>
      <c r="TOX95" s="78"/>
      <c r="TOY95" s="78"/>
      <c r="TOZ95" s="78"/>
      <c r="TPA95" s="78"/>
      <c r="TPB95" s="78"/>
      <c r="TPC95" s="78"/>
      <c r="TPD95" s="78"/>
      <c r="TPE95" s="78"/>
      <c r="TPF95" s="78"/>
      <c r="TPG95" s="78"/>
      <c r="TPH95" s="78"/>
      <c r="TPI95" s="78"/>
      <c r="TPJ95" s="78"/>
      <c r="TPK95" s="78"/>
      <c r="TPL95" s="78"/>
      <c r="TPM95" s="78"/>
      <c r="TPN95" s="78"/>
      <c r="TPO95" s="78"/>
      <c r="TPP95" s="78"/>
      <c r="TPQ95" s="78"/>
      <c r="TPR95" s="78"/>
      <c r="TPS95" s="78"/>
      <c r="TPT95" s="78"/>
      <c r="TPU95" s="78"/>
      <c r="TPV95" s="78"/>
      <c r="TPW95" s="78"/>
      <c r="TPX95" s="78"/>
      <c r="TPY95" s="78"/>
      <c r="TPZ95" s="78"/>
      <c r="TQA95" s="78"/>
      <c r="TQB95" s="78"/>
      <c r="TQC95" s="78"/>
      <c r="TQD95" s="78"/>
      <c r="TQE95" s="78"/>
      <c r="TQF95" s="78"/>
      <c r="TQG95" s="78"/>
      <c r="TQH95" s="78"/>
      <c r="TQI95" s="78"/>
      <c r="TQJ95" s="78"/>
      <c r="TQK95" s="78"/>
      <c r="TQL95" s="78"/>
      <c r="TQM95" s="78"/>
      <c r="TQN95" s="78"/>
      <c r="TQO95" s="78"/>
      <c r="TQP95" s="78"/>
      <c r="TQQ95" s="78"/>
      <c r="TQR95" s="78"/>
      <c r="TQS95" s="78"/>
      <c r="TQT95" s="78"/>
      <c r="TQU95" s="78"/>
      <c r="TQV95" s="78"/>
      <c r="TQW95" s="78"/>
      <c r="TQX95" s="78"/>
      <c r="TQY95" s="78"/>
      <c r="TQZ95" s="78"/>
      <c r="TRA95" s="78"/>
      <c r="TRB95" s="78"/>
      <c r="TRC95" s="78"/>
      <c r="TRD95" s="78"/>
      <c r="TRE95" s="78"/>
      <c r="TRF95" s="78"/>
      <c r="TRG95" s="78"/>
      <c r="TRH95" s="78"/>
      <c r="TRI95" s="78"/>
      <c r="TRJ95" s="78"/>
      <c r="TRK95" s="78"/>
      <c r="TRL95" s="78"/>
      <c r="TRM95" s="78"/>
      <c r="TRN95" s="78"/>
      <c r="TRO95" s="78"/>
      <c r="TRP95" s="78"/>
      <c r="TRQ95" s="78"/>
      <c r="TRR95" s="78"/>
      <c r="TRS95" s="78"/>
      <c r="TRT95" s="78"/>
      <c r="TRU95" s="78"/>
      <c r="TRV95" s="78"/>
      <c r="TRW95" s="78"/>
      <c r="TRX95" s="78"/>
      <c r="TRY95" s="78"/>
      <c r="TRZ95" s="78"/>
      <c r="TSA95" s="78"/>
      <c r="TSB95" s="78"/>
      <c r="TSC95" s="78"/>
      <c r="TSD95" s="78"/>
      <c r="TSE95" s="78"/>
      <c r="TSF95" s="78"/>
      <c r="TSG95" s="78"/>
      <c r="TSH95" s="78"/>
      <c r="TSI95" s="78"/>
      <c r="TSJ95" s="78"/>
      <c r="TSK95" s="78"/>
      <c r="TSL95" s="78"/>
      <c r="TSM95" s="78"/>
      <c r="TSN95" s="78"/>
      <c r="TSO95" s="78"/>
      <c r="TSP95" s="78"/>
      <c r="TSQ95" s="78"/>
      <c r="TSR95" s="78"/>
      <c r="TSS95" s="78"/>
      <c r="TST95" s="78"/>
      <c r="TSU95" s="78"/>
      <c r="TSV95" s="78"/>
      <c r="TSW95" s="78"/>
      <c r="TSX95" s="78"/>
      <c r="TSY95" s="78"/>
      <c r="TSZ95" s="78"/>
      <c r="TTA95" s="78"/>
      <c r="TTB95" s="78"/>
      <c r="TTC95" s="78"/>
      <c r="TTD95" s="78"/>
      <c r="TTE95" s="78"/>
      <c r="TTF95" s="78"/>
      <c r="TTG95" s="78"/>
      <c r="TTH95" s="78"/>
      <c r="TTI95" s="78"/>
      <c r="TTJ95" s="78"/>
      <c r="TTK95" s="78"/>
      <c r="TTL95" s="78"/>
      <c r="TTM95" s="78"/>
      <c r="TTN95" s="78"/>
      <c r="TTO95" s="78"/>
      <c r="TTP95" s="78"/>
      <c r="TTQ95" s="78"/>
      <c r="TTR95" s="78"/>
      <c r="TTS95" s="78"/>
      <c r="TTT95" s="78"/>
      <c r="TTU95" s="78"/>
      <c r="TTV95" s="78"/>
      <c r="TTW95" s="78"/>
      <c r="TTX95" s="78"/>
      <c r="TTY95" s="78"/>
      <c r="TTZ95" s="78"/>
      <c r="TUA95" s="78"/>
      <c r="TUB95" s="78"/>
      <c r="TUC95" s="78"/>
      <c r="TUD95" s="78"/>
      <c r="TUE95" s="78"/>
      <c r="TUF95" s="78"/>
      <c r="TUG95" s="78"/>
      <c r="TUH95" s="78"/>
      <c r="TUI95" s="78"/>
      <c r="TUJ95" s="78"/>
      <c r="TUK95" s="78"/>
      <c r="TUL95" s="78"/>
      <c r="TUM95" s="78"/>
      <c r="TUN95" s="78"/>
      <c r="TUO95" s="78"/>
      <c r="TUP95" s="78"/>
      <c r="TUQ95" s="78"/>
      <c r="TUR95" s="78"/>
      <c r="TUS95" s="78"/>
      <c r="TUT95" s="78"/>
      <c r="TUU95" s="78"/>
      <c r="TUV95" s="78"/>
      <c r="TUW95" s="78"/>
      <c r="TUX95" s="78"/>
      <c r="TUY95" s="78"/>
      <c r="TUZ95" s="78"/>
      <c r="TVA95" s="78"/>
      <c r="TVB95" s="78"/>
      <c r="TVC95" s="78"/>
      <c r="TVD95" s="78"/>
      <c r="TVE95" s="78"/>
      <c r="TVF95" s="78"/>
      <c r="TVG95" s="78"/>
      <c r="TVH95" s="78"/>
      <c r="TVI95" s="78"/>
      <c r="TVJ95" s="78"/>
      <c r="TVK95" s="78"/>
      <c r="TVL95" s="78"/>
      <c r="TVM95" s="78"/>
      <c r="TVN95" s="78"/>
      <c r="TVO95" s="78"/>
      <c r="TVP95" s="78"/>
      <c r="TVQ95" s="78"/>
      <c r="TVR95" s="78"/>
      <c r="TVS95" s="78"/>
      <c r="TVT95" s="78"/>
      <c r="TVU95" s="78"/>
      <c r="TVV95" s="78"/>
      <c r="TVW95" s="78"/>
      <c r="TVX95" s="78"/>
      <c r="TVY95" s="78"/>
      <c r="TVZ95" s="78"/>
      <c r="TWA95" s="78"/>
      <c r="TWB95" s="78"/>
      <c r="TWC95" s="78"/>
      <c r="TWD95" s="78"/>
      <c r="TWE95" s="78"/>
      <c r="TWF95" s="78"/>
      <c r="TWG95" s="78"/>
      <c r="TWH95" s="78"/>
      <c r="TWI95" s="78"/>
      <c r="TWJ95" s="78"/>
      <c r="TWK95" s="78"/>
      <c r="TWL95" s="78"/>
      <c r="TWM95" s="78"/>
      <c r="TWN95" s="78"/>
      <c r="TWO95" s="78"/>
      <c r="TWP95" s="78"/>
      <c r="TWQ95" s="78"/>
      <c r="TWR95" s="78"/>
      <c r="TWS95" s="78"/>
      <c r="TWT95" s="78"/>
      <c r="TWU95" s="78"/>
      <c r="TWV95" s="78"/>
      <c r="TWW95" s="78"/>
      <c r="TWX95" s="78"/>
      <c r="TWY95" s="78"/>
      <c r="TWZ95" s="78"/>
      <c r="TXA95" s="78"/>
      <c r="TXB95" s="78"/>
      <c r="TXC95" s="78"/>
      <c r="TXD95" s="78"/>
      <c r="TXE95" s="78"/>
      <c r="TXF95" s="78"/>
      <c r="TXG95" s="78"/>
      <c r="TXH95" s="78"/>
      <c r="TXI95" s="78"/>
      <c r="TXJ95" s="78"/>
      <c r="TXK95" s="78"/>
      <c r="TXL95" s="78"/>
      <c r="TXM95" s="78"/>
      <c r="TXN95" s="78"/>
      <c r="TXO95" s="78"/>
      <c r="TXP95" s="78"/>
      <c r="TXQ95" s="78"/>
      <c r="TXR95" s="78"/>
      <c r="TXS95" s="78"/>
      <c r="TXT95" s="78"/>
      <c r="TXU95" s="78"/>
      <c r="TXV95" s="78"/>
      <c r="TXW95" s="78"/>
      <c r="TXX95" s="78"/>
      <c r="TXY95" s="78"/>
      <c r="TXZ95" s="78"/>
      <c r="TYA95" s="78"/>
      <c r="TYB95" s="78"/>
      <c r="TYC95" s="78"/>
      <c r="TYD95" s="78"/>
      <c r="TYE95" s="78"/>
      <c r="TYF95" s="78"/>
      <c r="TYG95" s="78"/>
      <c r="TYH95" s="78"/>
      <c r="TYI95" s="78"/>
      <c r="TYJ95" s="78"/>
      <c r="TYK95" s="78"/>
      <c r="TYL95" s="78"/>
      <c r="TYM95" s="78"/>
      <c r="TYN95" s="78"/>
      <c r="TYO95" s="78"/>
      <c r="TYP95" s="78"/>
      <c r="TYQ95" s="78"/>
      <c r="TYR95" s="78"/>
      <c r="TYS95" s="78"/>
      <c r="TYT95" s="78"/>
      <c r="TYU95" s="78"/>
      <c r="TYV95" s="78"/>
      <c r="TYW95" s="78"/>
      <c r="TYX95" s="78"/>
      <c r="TYY95" s="78"/>
      <c r="TYZ95" s="78"/>
      <c r="TZA95" s="78"/>
      <c r="TZB95" s="78"/>
      <c r="TZC95" s="78"/>
      <c r="TZD95" s="78"/>
      <c r="TZE95" s="78"/>
      <c r="TZF95" s="78"/>
      <c r="TZG95" s="78"/>
      <c r="TZH95" s="78"/>
      <c r="TZI95" s="78"/>
      <c r="TZJ95" s="78"/>
      <c r="TZK95" s="78"/>
      <c r="TZL95" s="78"/>
      <c r="TZM95" s="78"/>
      <c r="TZN95" s="78"/>
      <c r="TZO95" s="78"/>
      <c r="TZP95" s="78"/>
      <c r="TZQ95" s="78"/>
      <c r="TZR95" s="78"/>
      <c r="TZS95" s="78"/>
      <c r="TZT95" s="78"/>
      <c r="TZU95" s="78"/>
      <c r="TZV95" s="78"/>
      <c r="TZW95" s="78"/>
      <c r="TZX95" s="78"/>
      <c r="TZY95" s="78"/>
      <c r="TZZ95" s="78"/>
      <c r="UAA95" s="78"/>
      <c r="UAB95" s="78"/>
      <c r="UAC95" s="78"/>
      <c r="UAD95" s="78"/>
      <c r="UAE95" s="78"/>
      <c r="UAF95" s="78"/>
      <c r="UAG95" s="78"/>
      <c r="UAH95" s="78"/>
      <c r="UAI95" s="78"/>
      <c r="UAJ95" s="78"/>
      <c r="UAK95" s="78"/>
      <c r="UAL95" s="78"/>
      <c r="UAM95" s="78"/>
      <c r="UAN95" s="78"/>
      <c r="UAO95" s="78"/>
      <c r="UAP95" s="78"/>
      <c r="UAQ95" s="78"/>
      <c r="UAR95" s="78"/>
      <c r="UAS95" s="78"/>
      <c r="UAT95" s="78"/>
      <c r="UAU95" s="78"/>
      <c r="UAV95" s="78"/>
      <c r="UAW95" s="78"/>
      <c r="UAX95" s="78"/>
      <c r="UAY95" s="78"/>
      <c r="UAZ95" s="78"/>
      <c r="UBA95" s="78"/>
      <c r="UBB95" s="78"/>
      <c r="UBC95" s="78"/>
      <c r="UBD95" s="78"/>
      <c r="UBE95" s="78"/>
      <c r="UBF95" s="78"/>
      <c r="UBG95" s="78"/>
      <c r="UBH95" s="78"/>
      <c r="UBI95" s="78"/>
      <c r="UBJ95" s="78"/>
      <c r="UBK95" s="78"/>
      <c r="UBL95" s="78"/>
      <c r="UBM95" s="78"/>
      <c r="UBN95" s="78"/>
      <c r="UBO95" s="78"/>
      <c r="UBP95" s="78"/>
      <c r="UBQ95" s="78"/>
      <c r="UBR95" s="78"/>
      <c r="UBS95" s="78"/>
      <c r="UBT95" s="78"/>
      <c r="UBU95" s="78"/>
      <c r="UBV95" s="78"/>
      <c r="UBW95" s="78"/>
      <c r="UBX95" s="78"/>
      <c r="UBY95" s="78"/>
      <c r="UBZ95" s="78"/>
      <c r="UCA95" s="78"/>
      <c r="UCB95" s="78"/>
      <c r="UCC95" s="78"/>
      <c r="UCD95" s="78"/>
      <c r="UCE95" s="78"/>
      <c r="UCF95" s="78"/>
      <c r="UCG95" s="78"/>
      <c r="UCH95" s="78"/>
      <c r="UCI95" s="78"/>
      <c r="UCJ95" s="78"/>
      <c r="UCK95" s="78"/>
      <c r="UCL95" s="78"/>
      <c r="UCM95" s="78"/>
      <c r="UCN95" s="78"/>
      <c r="UCO95" s="78"/>
      <c r="UCP95" s="78"/>
      <c r="UCQ95" s="78"/>
      <c r="UCR95" s="78"/>
      <c r="UCS95" s="78"/>
      <c r="UCT95" s="78"/>
      <c r="UCU95" s="78"/>
      <c r="UCV95" s="78"/>
      <c r="UCW95" s="78"/>
      <c r="UCX95" s="78"/>
      <c r="UCY95" s="78"/>
      <c r="UCZ95" s="78"/>
      <c r="UDA95" s="78"/>
      <c r="UDB95" s="78"/>
      <c r="UDC95" s="78"/>
      <c r="UDD95" s="78"/>
      <c r="UDE95" s="78"/>
      <c r="UDF95" s="78"/>
      <c r="UDG95" s="78"/>
      <c r="UDH95" s="78"/>
      <c r="UDI95" s="78"/>
      <c r="UDJ95" s="78"/>
      <c r="UDK95" s="78"/>
      <c r="UDL95" s="78"/>
      <c r="UDM95" s="78"/>
      <c r="UDN95" s="78"/>
      <c r="UDO95" s="78"/>
      <c r="UDP95" s="78"/>
      <c r="UDQ95" s="78"/>
      <c r="UDR95" s="78"/>
      <c r="UDS95" s="78"/>
      <c r="UDT95" s="78"/>
      <c r="UDU95" s="78"/>
      <c r="UDV95" s="78"/>
      <c r="UDW95" s="78"/>
      <c r="UDX95" s="78"/>
      <c r="UDY95" s="78"/>
      <c r="UDZ95" s="78"/>
      <c r="UEA95" s="78"/>
      <c r="UEB95" s="78"/>
      <c r="UEC95" s="78"/>
      <c r="UED95" s="78"/>
      <c r="UEE95" s="78"/>
      <c r="UEF95" s="78"/>
      <c r="UEG95" s="78"/>
      <c r="UEH95" s="78"/>
      <c r="UEI95" s="78"/>
      <c r="UEJ95" s="78"/>
      <c r="UEK95" s="78"/>
      <c r="UEL95" s="78"/>
      <c r="UEM95" s="78"/>
      <c r="UEN95" s="78"/>
      <c r="UEO95" s="78"/>
      <c r="UEP95" s="78"/>
      <c r="UEQ95" s="78"/>
      <c r="UER95" s="78"/>
      <c r="UES95" s="78"/>
      <c r="UET95" s="78"/>
      <c r="UEU95" s="78"/>
      <c r="UEV95" s="78"/>
      <c r="UEW95" s="78"/>
      <c r="UEX95" s="78"/>
      <c r="UEY95" s="78"/>
      <c r="UEZ95" s="78"/>
      <c r="UFA95" s="78"/>
      <c r="UFB95" s="78"/>
      <c r="UFC95" s="78"/>
      <c r="UFD95" s="78"/>
      <c r="UFE95" s="78"/>
      <c r="UFF95" s="78"/>
      <c r="UFG95" s="78"/>
      <c r="UFH95" s="78"/>
      <c r="UFI95" s="78"/>
      <c r="UFJ95" s="78"/>
      <c r="UFK95" s="78"/>
      <c r="UFL95" s="78"/>
      <c r="UFM95" s="78"/>
      <c r="UFN95" s="78"/>
      <c r="UFO95" s="78"/>
      <c r="UFP95" s="78"/>
      <c r="UFQ95" s="78"/>
      <c r="UFR95" s="78"/>
      <c r="UFS95" s="78"/>
      <c r="UFT95" s="78"/>
      <c r="UFU95" s="78"/>
      <c r="UFV95" s="78"/>
      <c r="UFW95" s="78"/>
      <c r="UFX95" s="78"/>
      <c r="UFY95" s="78"/>
      <c r="UFZ95" s="78"/>
      <c r="UGA95" s="78"/>
      <c r="UGB95" s="78"/>
      <c r="UGC95" s="78"/>
      <c r="UGD95" s="78"/>
      <c r="UGE95" s="78"/>
      <c r="UGF95" s="78"/>
      <c r="UGG95" s="78"/>
      <c r="UGH95" s="78"/>
      <c r="UGI95" s="78"/>
      <c r="UGJ95" s="78"/>
      <c r="UGK95" s="78"/>
      <c r="UGL95" s="78"/>
      <c r="UGM95" s="78"/>
      <c r="UGN95" s="78"/>
      <c r="UGO95" s="78"/>
      <c r="UGP95" s="78"/>
      <c r="UGQ95" s="78"/>
      <c r="UGR95" s="78"/>
      <c r="UGS95" s="78"/>
      <c r="UGT95" s="78"/>
      <c r="UGU95" s="78"/>
      <c r="UGV95" s="78"/>
      <c r="UGW95" s="78"/>
      <c r="UGX95" s="78"/>
      <c r="UGY95" s="78"/>
      <c r="UGZ95" s="78"/>
      <c r="UHA95" s="78"/>
      <c r="UHB95" s="78"/>
      <c r="UHC95" s="78"/>
      <c r="UHD95" s="78"/>
      <c r="UHE95" s="78"/>
      <c r="UHF95" s="78"/>
      <c r="UHG95" s="78"/>
      <c r="UHH95" s="78"/>
      <c r="UHI95" s="78"/>
      <c r="UHJ95" s="78"/>
      <c r="UHK95" s="78"/>
      <c r="UHL95" s="78"/>
      <c r="UHM95" s="78"/>
      <c r="UHN95" s="78"/>
      <c r="UHO95" s="78"/>
      <c r="UHP95" s="78"/>
      <c r="UHQ95" s="78"/>
      <c r="UHR95" s="78"/>
      <c r="UHS95" s="78"/>
      <c r="UHT95" s="78"/>
      <c r="UHU95" s="78"/>
      <c r="UHV95" s="78"/>
      <c r="UHW95" s="78"/>
      <c r="UHX95" s="78"/>
      <c r="UHY95" s="78"/>
      <c r="UHZ95" s="78"/>
      <c r="UIA95" s="78"/>
      <c r="UIB95" s="78"/>
      <c r="UIC95" s="78"/>
      <c r="UID95" s="78"/>
      <c r="UIE95" s="78"/>
      <c r="UIF95" s="78"/>
      <c r="UIG95" s="78"/>
      <c r="UIH95" s="78"/>
      <c r="UII95" s="78"/>
      <c r="UIJ95" s="78"/>
      <c r="UIK95" s="78"/>
      <c r="UIL95" s="78"/>
      <c r="UIM95" s="78"/>
      <c r="UIN95" s="78"/>
      <c r="UIO95" s="78"/>
      <c r="UIP95" s="78"/>
      <c r="UIQ95" s="78"/>
      <c r="UIR95" s="78"/>
      <c r="UIS95" s="78"/>
      <c r="UIT95" s="78"/>
      <c r="UIU95" s="78"/>
      <c r="UIV95" s="78"/>
      <c r="UIW95" s="78"/>
      <c r="UIX95" s="78"/>
      <c r="UIY95" s="78"/>
      <c r="UIZ95" s="78"/>
      <c r="UJA95" s="78"/>
      <c r="UJB95" s="78"/>
      <c r="UJC95" s="78"/>
      <c r="UJD95" s="78"/>
      <c r="UJE95" s="78"/>
      <c r="UJF95" s="78"/>
      <c r="UJG95" s="78"/>
      <c r="UJH95" s="78"/>
      <c r="UJI95" s="78"/>
      <c r="UJJ95" s="78"/>
      <c r="UJK95" s="78"/>
      <c r="UJL95" s="78"/>
      <c r="UJM95" s="78"/>
      <c r="UJN95" s="78"/>
      <c r="UJO95" s="78"/>
      <c r="UJP95" s="78"/>
      <c r="UJQ95" s="78"/>
      <c r="UJR95" s="78"/>
      <c r="UJS95" s="78"/>
      <c r="UJT95" s="78"/>
      <c r="UJU95" s="78"/>
      <c r="UJV95" s="78"/>
      <c r="UJW95" s="78"/>
      <c r="UJX95" s="78"/>
      <c r="UJY95" s="78"/>
      <c r="UJZ95" s="78"/>
      <c r="UKA95" s="78"/>
      <c r="UKB95" s="78"/>
      <c r="UKC95" s="78"/>
      <c r="UKD95" s="78"/>
      <c r="UKE95" s="78"/>
      <c r="UKF95" s="78"/>
      <c r="UKG95" s="78"/>
      <c r="UKH95" s="78"/>
      <c r="UKI95" s="78"/>
      <c r="UKJ95" s="78"/>
      <c r="UKK95" s="78"/>
      <c r="UKL95" s="78"/>
      <c r="UKM95" s="78"/>
      <c r="UKN95" s="78"/>
      <c r="UKO95" s="78"/>
      <c r="UKP95" s="78"/>
      <c r="UKQ95" s="78"/>
      <c r="UKR95" s="78"/>
      <c r="UKS95" s="78"/>
      <c r="UKT95" s="78"/>
      <c r="UKU95" s="78"/>
      <c r="UKV95" s="78"/>
      <c r="UKW95" s="78"/>
      <c r="UKX95" s="78"/>
      <c r="UKY95" s="78"/>
      <c r="UKZ95" s="78"/>
      <c r="ULA95" s="78"/>
      <c r="ULB95" s="78"/>
      <c r="ULC95" s="78"/>
      <c r="ULD95" s="78"/>
      <c r="ULE95" s="78"/>
      <c r="ULF95" s="78"/>
      <c r="ULG95" s="78"/>
      <c r="ULH95" s="78"/>
      <c r="ULI95" s="78"/>
      <c r="ULJ95" s="78"/>
      <c r="ULK95" s="78"/>
      <c r="ULL95" s="78"/>
      <c r="ULM95" s="78"/>
      <c r="ULN95" s="78"/>
      <c r="ULO95" s="78"/>
      <c r="ULP95" s="78"/>
      <c r="ULQ95" s="78"/>
      <c r="ULR95" s="78"/>
      <c r="ULS95" s="78"/>
      <c r="ULT95" s="78"/>
      <c r="ULU95" s="78"/>
      <c r="ULV95" s="78"/>
      <c r="ULW95" s="78"/>
      <c r="ULX95" s="78"/>
      <c r="ULY95" s="78"/>
      <c r="ULZ95" s="78"/>
      <c r="UMA95" s="78"/>
      <c r="UMB95" s="78"/>
      <c r="UMC95" s="78"/>
      <c r="UMD95" s="78"/>
      <c r="UME95" s="78"/>
      <c r="UMF95" s="78"/>
      <c r="UMG95" s="78"/>
      <c r="UMH95" s="78"/>
      <c r="UMI95" s="78"/>
      <c r="UMJ95" s="78"/>
      <c r="UMK95" s="78"/>
      <c r="UML95" s="78"/>
      <c r="UMM95" s="78"/>
      <c r="UMN95" s="78"/>
      <c r="UMO95" s="78"/>
      <c r="UMP95" s="78"/>
      <c r="UMQ95" s="78"/>
      <c r="UMR95" s="78"/>
      <c r="UMS95" s="78"/>
      <c r="UMT95" s="78"/>
      <c r="UMU95" s="78"/>
      <c r="UMV95" s="78"/>
      <c r="UMW95" s="78"/>
      <c r="UMX95" s="78"/>
      <c r="UMY95" s="78"/>
      <c r="UMZ95" s="78"/>
      <c r="UNA95" s="78"/>
      <c r="UNB95" s="78"/>
      <c r="UNC95" s="78"/>
      <c r="UND95" s="78"/>
      <c r="UNE95" s="78"/>
      <c r="UNF95" s="78"/>
      <c r="UNG95" s="78"/>
      <c r="UNH95" s="78"/>
      <c r="UNI95" s="78"/>
      <c r="UNJ95" s="78"/>
      <c r="UNK95" s="78"/>
      <c r="UNL95" s="78"/>
      <c r="UNM95" s="78"/>
      <c r="UNN95" s="78"/>
      <c r="UNO95" s="78"/>
      <c r="UNP95" s="78"/>
      <c r="UNQ95" s="78"/>
      <c r="UNR95" s="78"/>
      <c r="UNS95" s="78"/>
      <c r="UNT95" s="78"/>
      <c r="UNU95" s="78"/>
      <c r="UNV95" s="78"/>
      <c r="UNW95" s="78"/>
      <c r="UNX95" s="78"/>
      <c r="UNY95" s="78"/>
      <c r="UNZ95" s="78"/>
      <c r="UOA95" s="78"/>
      <c r="UOB95" s="78"/>
      <c r="UOC95" s="78"/>
      <c r="UOD95" s="78"/>
      <c r="UOE95" s="78"/>
      <c r="UOF95" s="78"/>
      <c r="UOG95" s="78"/>
      <c r="UOH95" s="78"/>
      <c r="UOI95" s="78"/>
      <c r="UOJ95" s="78"/>
      <c r="UOK95" s="78"/>
      <c r="UOL95" s="78"/>
      <c r="UOM95" s="78"/>
      <c r="UON95" s="78"/>
      <c r="UOO95" s="78"/>
      <c r="UOP95" s="78"/>
      <c r="UOQ95" s="78"/>
      <c r="UOR95" s="78"/>
      <c r="UOS95" s="78"/>
      <c r="UOT95" s="78"/>
      <c r="UOU95" s="78"/>
      <c r="UOV95" s="78"/>
      <c r="UOW95" s="78"/>
      <c r="UOX95" s="78"/>
      <c r="UOY95" s="78"/>
      <c r="UOZ95" s="78"/>
      <c r="UPA95" s="78"/>
      <c r="UPB95" s="78"/>
      <c r="UPC95" s="78"/>
      <c r="UPD95" s="78"/>
      <c r="UPE95" s="78"/>
      <c r="UPF95" s="78"/>
      <c r="UPG95" s="78"/>
      <c r="UPH95" s="78"/>
      <c r="UPI95" s="78"/>
      <c r="UPJ95" s="78"/>
      <c r="UPK95" s="78"/>
      <c r="UPL95" s="78"/>
      <c r="UPM95" s="78"/>
      <c r="UPN95" s="78"/>
      <c r="UPO95" s="78"/>
      <c r="UPP95" s="78"/>
      <c r="UPQ95" s="78"/>
      <c r="UPR95" s="78"/>
      <c r="UPS95" s="78"/>
      <c r="UPT95" s="78"/>
      <c r="UPU95" s="78"/>
      <c r="UPV95" s="78"/>
      <c r="UPW95" s="78"/>
      <c r="UPX95" s="78"/>
      <c r="UPY95" s="78"/>
      <c r="UPZ95" s="78"/>
      <c r="UQA95" s="78"/>
      <c r="UQB95" s="78"/>
      <c r="UQC95" s="78"/>
      <c r="UQD95" s="78"/>
      <c r="UQE95" s="78"/>
      <c r="UQF95" s="78"/>
      <c r="UQG95" s="78"/>
      <c r="UQH95" s="78"/>
      <c r="UQI95" s="78"/>
      <c r="UQJ95" s="78"/>
      <c r="UQK95" s="78"/>
      <c r="UQL95" s="78"/>
      <c r="UQM95" s="78"/>
      <c r="UQN95" s="78"/>
      <c r="UQO95" s="78"/>
      <c r="UQP95" s="78"/>
      <c r="UQQ95" s="78"/>
      <c r="UQR95" s="78"/>
      <c r="UQS95" s="78"/>
      <c r="UQT95" s="78"/>
      <c r="UQU95" s="78"/>
      <c r="UQV95" s="78"/>
      <c r="UQW95" s="78"/>
      <c r="UQX95" s="78"/>
      <c r="UQY95" s="78"/>
      <c r="UQZ95" s="78"/>
      <c r="URA95" s="78"/>
      <c r="URB95" s="78"/>
      <c r="URC95" s="78"/>
      <c r="URD95" s="78"/>
      <c r="URE95" s="78"/>
      <c r="URF95" s="78"/>
      <c r="URG95" s="78"/>
      <c r="URH95" s="78"/>
      <c r="URI95" s="78"/>
      <c r="URJ95" s="78"/>
      <c r="URK95" s="78"/>
      <c r="URL95" s="78"/>
      <c r="URM95" s="78"/>
      <c r="URN95" s="78"/>
      <c r="URO95" s="78"/>
      <c r="URP95" s="78"/>
      <c r="URQ95" s="78"/>
      <c r="URR95" s="78"/>
      <c r="URS95" s="78"/>
      <c r="URT95" s="78"/>
      <c r="URU95" s="78"/>
      <c r="URV95" s="78"/>
      <c r="URW95" s="78"/>
      <c r="URX95" s="78"/>
      <c r="URY95" s="78"/>
      <c r="URZ95" s="78"/>
      <c r="USA95" s="78"/>
      <c r="USB95" s="78"/>
      <c r="USC95" s="78"/>
      <c r="USD95" s="78"/>
      <c r="USE95" s="78"/>
      <c r="USF95" s="78"/>
      <c r="USG95" s="78"/>
      <c r="USH95" s="78"/>
      <c r="USI95" s="78"/>
      <c r="USJ95" s="78"/>
      <c r="USK95" s="78"/>
      <c r="USL95" s="78"/>
      <c r="USM95" s="78"/>
      <c r="USN95" s="78"/>
      <c r="USO95" s="78"/>
      <c r="USP95" s="78"/>
      <c r="USQ95" s="78"/>
      <c r="USR95" s="78"/>
      <c r="USS95" s="78"/>
      <c r="UST95" s="78"/>
      <c r="USU95" s="78"/>
      <c r="USV95" s="78"/>
      <c r="USW95" s="78"/>
      <c r="USX95" s="78"/>
      <c r="USY95" s="78"/>
      <c r="USZ95" s="78"/>
      <c r="UTA95" s="78"/>
      <c r="UTB95" s="78"/>
      <c r="UTC95" s="78"/>
      <c r="UTD95" s="78"/>
      <c r="UTE95" s="78"/>
      <c r="UTF95" s="78"/>
      <c r="UTG95" s="78"/>
      <c r="UTH95" s="78"/>
      <c r="UTI95" s="78"/>
      <c r="UTJ95" s="78"/>
      <c r="UTK95" s="78"/>
      <c r="UTL95" s="78"/>
      <c r="UTM95" s="78"/>
      <c r="UTN95" s="78"/>
      <c r="UTO95" s="78"/>
      <c r="UTP95" s="78"/>
      <c r="UTQ95" s="78"/>
      <c r="UTR95" s="78"/>
      <c r="UTS95" s="78"/>
      <c r="UTT95" s="78"/>
      <c r="UTU95" s="78"/>
      <c r="UTV95" s="78"/>
      <c r="UTW95" s="78"/>
      <c r="UTX95" s="78"/>
      <c r="UTY95" s="78"/>
      <c r="UTZ95" s="78"/>
      <c r="UUA95" s="78"/>
      <c r="UUB95" s="78"/>
      <c r="UUC95" s="78"/>
      <c r="UUD95" s="78"/>
      <c r="UUE95" s="78"/>
      <c r="UUF95" s="78"/>
      <c r="UUG95" s="78"/>
      <c r="UUH95" s="78"/>
      <c r="UUI95" s="78"/>
      <c r="UUJ95" s="78"/>
      <c r="UUK95" s="78"/>
      <c r="UUL95" s="78"/>
      <c r="UUM95" s="78"/>
      <c r="UUN95" s="78"/>
      <c r="UUO95" s="78"/>
      <c r="UUP95" s="78"/>
      <c r="UUQ95" s="78"/>
      <c r="UUR95" s="78"/>
      <c r="UUS95" s="78"/>
      <c r="UUT95" s="78"/>
      <c r="UUU95" s="78"/>
      <c r="UUV95" s="78"/>
      <c r="UUW95" s="78"/>
      <c r="UUX95" s="78"/>
      <c r="UUY95" s="78"/>
      <c r="UUZ95" s="78"/>
      <c r="UVA95" s="78"/>
      <c r="UVB95" s="78"/>
      <c r="UVC95" s="78"/>
      <c r="UVD95" s="78"/>
      <c r="UVE95" s="78"/>
      <c r="UVF95" s="78"/>
      <c r="UVG95" s="78"/>
      <c r="UVH95" s="78"/>
      <c r="UVI95" s="78"/>
      <c r="UVJ95" s="78"/>
      <c r="UVK95" s="78"/>
      <c r="UVL95" s="78"/>
      <c r="UVM95" s="78"/>
      <c r="UVN95" s="78"/>
      <c r="UVO95" s="78"/>
      <c r="UVP95" s="78"/>
      <c r="UVQ95" s="78"/>
      <c r="UVR95" s="78"/>
      <c r="UVS95" s="78"/>
      <c r="UVT95" s="78"/>
      <c r="UVU95" s="78"/>
      <c r="UVV95" s="78"/>
      <c r="UVW95" s="78"/>
      <c r="UVX95" s="78"/>
      <c r="UVY95" s="78"/>
      <c r="UVZ95" s="78"/>
      <c r="UWA95" s="78"/>
      <c r="UWB95" s="78"/>
      <c r="UWC95" s="78"/>
      <c r="UWD95" s="78"/>
      <c r="UWE95" s="78"/>
      <c r="UWF95" s="78"/>
      <c r="UWG95" s="78"/>
      <c r="UWH95" s="78"/>
      <c r="UWI95" s="78"/>
      <c r="UWJ95" s="78"/>
      <c r="UWK95" s="78"/>
      <c r="UWL95" s="78"/>
      <c r="UWM95" s="78"/>
      <c r="UWN95" s="78"/>
      <c r="UWO95" s="78"/>
      <c r="UWP95" s="78"/>
      <c r="UWQ95" s="78"/>
      <c r="UWR95" s="78"/>
      <c r="UWS95" s="78"/>
      <c r="UWT95" s="78"/>
      <c r="UWU95" s="78"/>
      <c r="UWV95" s="78"/>
      <c r="UWW95" s="78"/>
      <c r="UWX95" s="78"/>
      <c r="UWY95" s="78"/>
      <c r="UWZ95" s="78"/>
      <c r="UXA95" s="78"/>
      <c r="UXB95" s="78"/>
      <c r="UXC95" s="78"/>
      <c r="UXD95" s="78"/>
      <c r="UXE95" s="78"/>
      <c r="UXF95" s="78"/>
      <c r="UXG95" s="78"/>
      <c r="UXH95" s="78"/>
      <c r="UXI95" s="78"/>
      <c r="UXJ95" s="78"/>
      <c r="UXK95" s="78"/>
      <c r="UXL95" s="78"/>
      <c r="UXM95" s="78"/>
      <c r="UXN95" s="78"/>
      <c r="UXO95" s="78"/>
      <c r="UXP95" s="78"/>
      <c r="UXQ95" s="78"/>
      <c r="UXR95" s="78"/>
      <c r="UXS95" s="78"/>
      <c r="UXT95" s="78"/>
      <c r="UXU95" s="78"/>
      <c r="UXV95" s="78"/>
      <c r="UXW95" s="78"/>
      <c r="UXX95" s="78"/>
      <c r="UXY95" s="78"/>
      <c r="UXZ95" s="78"/>
      <c r="UYA95" s="78"/>
      <c r="UYB95" s="78"/>
      <c r="UYC95" s="78"/>
      <c r="UYD95" s="78"/>
      <c r="UYE95" s="78"/>
      <c r="UYF95" s="78"/>
      <c r="UYG95" s="78"/>
      <c r="UYH95" s="78"/>
      <c r="UYI95" s="78"/>
      <c r="UYJ95" s="78"/>
      <c r="UYK95" s="78"/>
      <c r="UYL95" s="78"/>
      <c r="UYM95" s="78"/>
      <c r="UYN95" s="78"/>
      <c r="UYO95" s="78"/>
      <c r="UYP95" s="78"/>
      <c r="UYQ95" s="78"/>
      <c r="UYR95" s="78"/>
      <c r="UYS95" s="78"/>
      <c r="UYT95" s="78"/>
      <c r="UYU95" s="78"/>
      <c r="UYV95" s="78"/>
      <c r="UYW95" s="78"/>
      <c r="UYX95" s="78"/>
      <c r="UYY95" s="78"/>
      <c r="UYZ95" s="78"/>
      <c r="UZA95" s="78"/>
      <c r="UZB95" s="78"/>
      <c r="UZC95" s="78"/>
      <c r="UZD95" s="78"/>
      <c r="UZE95" s="78"/>
      <c r="UZF95" s="78"/>
      <c r="UZG95" s="78"/>
      <c r="UZH95" s="78"/>
      <c r="UZI95" s="78"/>
      <c r="UZJ95" s="78"/>
      <c r="UZK95" s="78"/>
      <c r="UZL95" s="78"/>
      <c r="UZM95" s="78"/>
      <c r="UZN95" s="78"/>
      <c r="UZO95" s="78"/>
      <c r="UZP95" s="78"/>
      <c r="UZQ95" s="78"/>
      <c r="UZR95" s="78"/>
      <c r="UZS95" s="78"/>
      <c r="UZT95" s="78"/>
      <c r="UZU95" s="78"/>
      <c r="UZV95" s="78"/>
      <c r="UZW95" s="78"/>
      <c r="UZX95" s="78"/>
      <c r="UZY95" s="78"/>
      <c r="UZZ95" s="78"/>
      <c r="VAA95" s="78"/>
      <c r="VAB95" s="78"/>
      <c r="VAC95" s="78"/>
      <c r="VAD95" s="78"/>
      <c r="VAE95" s="78"/>
      <c r="VAF95" s="78"/>
      <c r="VAG95" s="78"/>
      <c r="VAH95" s="78"/>
      <c r="VAI95" s="78"/>
      <c r="VAJ95" s="78"/>
      <c r="VAK95" s="78"/>
      <c r="VAL95" s="78"/>
      <c r="VAM95" s="78"/>
      <c r="VAN95" s="78"/>
      <c r="VAO95" s="78"/>
      <c r="VAP95" s="78"/>
      <c r="VAQ95" s="78"/>
      <c r="VAR95" s="78"/>
      <c r="VAS95" s="78"/>
      <c r="VAT95" s="78"/>
      <c r="VAU95" s="78"/>
      <c r="VAV95" s="78"/>
      <c r="VAW95" s="78"/>
      <c r="VAX95" s="78"/>
      <c r="VAY95" s="78"/>
      <c r="VAZ95" s="78"/>
      <c r="VBA95" s="78"/>
      <c r="VBB95" s="78"/>
      <c r="VBC95" s="78"/>
      <c r="VBD95" s="78"/>
      <c r="VBE95" s="78"/>
      <c r="VBF95" s="78"/>
      <c r="VBG95" s="78"/>
      <c r="VBH95" s="78"/>
      <c r="VBI95" s="78"/>
      <c r="VBJ95" s="78"/>
      <c r="VBK95" s="78"/>
      <c r="VBL95" s="78"/>
      <c r="VBM95" s="78"/>
      <c r="VBN95" s="78"/>
      <c r="VBO95" s="78"/>
      <c r="VBP95" s="78"/>
      <c r="VBQ95" s="78"/>
      <c r="VBR95" s="78"/>
      <c r="VBS95" s="78"/>
      <c r="VBT95" s="78"/>
      <c r="VBU95" s="78"/>
      <c r="VBV95" s="78"/>
      <c r="VBW95" s="78"/>
      <c r="VBX95" s="78"/>
      <c r="VBY95" s="78"/>
      <c r="VBZ95" s="78"/>
      <c r="VCA95" s="78"/>
      <c r="VCB95" s="78"/>
      <c r="VCC95" s="78"/>
      <c r="VCD95" s="78"/>
      <c r="VCE95" s="78"/>
      <c r="VCF95" s="78"/>
      <c r="VCG95" s="78"/>
      <c r="VCH95" s="78"/>
      <c r="VCI95" s="78"/>
      <c r="VCJ95" s="78"/>
      <c r="VCK95" s="78"/>
      <c r="VCL95" s="78"/>
      <c r="VCM95" s="78"/>
      <c r="VCN95" s="78"/>
      <c r="VCO95" s="78"/>
      <c r="VCP95" s="78"/>
      <c r="VCQ95" s="78"/>
      <c r="VCR95" s="78"/>
      <c r="VCS95" s="78"/>
      <c r="VCT95" s="78"/>
      <c r="VCU95" s="78"/>
      <c r="VCV95" s="78"/>
      <c r="VCW95" s="78"/>
      <c r="VCX95" s="78"/>
      <c r="VCY95" s="78"/>
      <c r="VCZ95" s="78"/>
      <c r="VDA95" s="78"/>
      <c r="VDB95" s="78"/>
      <c r="VDC95" s="78"/>
      <c r="VDD95" s="78"/>
      <c r="VDE95" s="78"/>
      <c r="VDF95" s="78"/>
      <c r="VDG95" s="78"/>
      <c r="VDH95" s="78"/>
      <c r="VDI95" s="78"/>
      <c r="VDJ95" s="78"/>
      <c r="VDK95" s="78"/>
      <c r="VDL95" s="78"/>
      <c r="VDM95" s="78"/>
      <c r="VDN95" s="78"/>
      <c r="VDO95" s="78"/>
      <c r="VDP95" s="78"/>
      <c r="VDQ95" s="78"/>
      <c r="VDR95" s="78"/>
      <c r="VDS95" s="78"/>
      <c r="VDT95" s="78"/>
      <c r="VDU95" s="78"/>
      <c r="VDV95" s="78"/>
      <c r="VDW95" s="78"/>
      <c r="VDX95" s="78"/>
      <c r="VDY95" s="78"/>
      <c r="VDZ95" s="78"/>
      <c r="VEA95" s="78"/>
      <c r="VEB95" s="78"/>
      <c r="VEC95" s="78"/>
      <c r="VED95" s="78"/>
      <c r="VEE95" s="78"/>
      <c r="VEF95" s="78"/>
      <c r="VEG95" s="78"/>
      <c r="VEH95" s="78"/>
      <c r="VEI95" s="78"/>
      <c r="VEJ95" s="78"/>
      <c r="VEK95" s="78"/>
      <c r="VEL95" s="78"/>
      <c r="VEM95" s="78"/>
      <c r="VEN95" s="78"/>
      <c r="VEO95" s="78"/>
      <c r="VEP95" s="78"/>
      <c r="VEQ95" s="78"/>
      <c r="VER95" s="78"/>
      <c r="VES95" s="78"/>
      <c r="VET95" s="78"/>
      <c r="VEU95" s="78"/>
      <c r="VEV95" s="78"/>
      <c r="VEW95" s="78"/>
      <c r="VEX95" s="78"/>
      <c r="VEY95" s="78"/>
      <c r="VEZ95" s="78"/>
      <c r="VFA95" s="78"/>
      <c r="VFB95" s="78"/>
      <c r="VFC95" s="78"/>
      <c r="VFD95" s="78"/>
      <c r="VFE95" s="78"/>
      <c r="VFF95" s="78"/>
      <c r="VFG95" s="78"/>
      <c r="VFH95" s="78"/>
      <c r="VFI95" s="78"/>
      <c r="VFJ95" s="78"/>
      <c r="VFK95" s="78"/>
      <c r="VFL95" s="78"/>
      <c r="VFM95" s="78"/>
      <c r="VFN95" s="78"/>
      <c r="VFO95" s="78"/>
      <c r="VFP95" s="78"/>
      <c r="VFQ95" s="78"/>
      <c r="VFR95" s="78"/>
      <c r="VFS95" s="78"/>
      <c r="VFT95" s="78"/>
      <c r="VFU95" s="78"/>
      <c r="VFV95" s="78"/>
      <c r="VFW95" s="78"/>
      <c r="VFX95" s="78"/>
      <c r="VFY95" s="78"/>
      <c r="VFZ95" s="78"/>
      <c r="VGA95" s="78"/>
      <c r="VGB95" s="78"/>
      <c r="VGC95" s="78"/>
      <c r="VGD95" s="78"/>
      <c r="VGE95" s="78"/>
      <c r="VGF95" s="78"/>
      <c r="VGG95" s="78"/>
      <c r="VGH95" s="78"/>
      <c r="VGI95" s="78"/>
      <c r="VGJ95" s="78"/>
      <c r="VGK95" s="78"/>
      <c r="VGL95" s="78"/>
      <c r="VGM95" s="78"/>
      <c r="VGN95" s="78"/>
      <c r="VGO95" s="78"/>
      <c r="VGP95" s="78"/>
      <c r="VGQ95" s="78"/>
      <c r="VGR95" s="78"/>
      <c r="VGS95" s="78"/>
      <c r="VGT95" s="78"/>
      <c r="VGU95" s="78"/>
      <c r="VGV95" s="78"/>
      <c r="VGW95" s="78"/>
      <c r="VGX95" s="78"/>
      <c r="VGY95" s="78"/>
      <c r="VGZ95" s="78"/>
      <c r="VHA95" s="78"/>
      <c r="VHB95" s="78"/>
      <c r="VHC95" s="78"/>
      <c r="VHD95" s="78"/>
      <c r="VHE95" s="78"/>
      <c r="VHF95" s="78"/>
      <c r="VHG95" s="78"/>
      <c r="VHH95" s="78"/>
      <c r="VHI95" s="78"/>
      <c r="VHJ95" s="78"/>
      <c r="VHK95" s="78"/>
      <c r="VHL95" s="78"/>
      <c r="VHM95" s="78"/>
      <c r="VHN95" s="78"/>
      <c r="VHO95" s="78"/>
      <c r="VHP95" s="78"/>
      <c r="VHQ95" s="78"/>
      <c r="VHR95" s="78"/>
      <c r="VHS95" s="78"/>
      <c r="VHT95" s="78"/>
      <c r="VHU95" s="78"/>
      <c r="VHV95" s="78"/>
      <c r="VHW95" s="78"/>
      <c r="VHX95" s="78"/>
      <c r="VHY95" s="78"/>
      <c r="VHZ95" s="78"/>
      <c r="VIA95" s="78"/>
      <c r="VIB95" s="78"/>
      <c r="VIC95" s="78"/>
      <c r="VID95" s="78"/>
      <c r="VIE95" s="78"/>
      <c r="VIF95" s="78"/>
      <c r="VIG95" s="78"/>
      <c r="VIH95" s="78"/>
      <c r="VII95" s="78"/>
      <c r="VIJ95" s="78"/>
      <c r="VIK95" s="78"/>
      <c r="VIL95" s="78"/>
      <c r="VIM95" s="78"/>
      <c r="VIN95" s="78"/>
      <c r="VIO95" s="78"/>
      <c r="VIP95" s="78"/>
      <c r="VIQ95" s="78"/>
      <c r="VIR95" s="78"/>
      <c r="VIS95" s="78"/>
      <c r="VIT95" s="78"/>
      <c r="VIU95" s="78"/>
      <c r="VIV95" s="78"/>
      <c r="VIW95" s="78"/>
      <c r="VIX95" s="78"/>
      <c r="VIY95" s="78"/>
      <c r="VIZ95" s="78"/>
      <c r="VJA95" s="78"/>
      <c r="VJB95" s="78"/>
      <c r="VJC95" s="78"/>
      <c r="VJD95" s="78"/>
      <c r="VJE95" s="78"/>
      <c r="VJF95" s="78"/>
      <c r="VJG95" s="78"/>
      <c r="VJH95" s="78"/>
      <c r="VJI95" s="78"/>
      <c r="VJJ95" s="78"/>
      <c r="VJK95" s="78"/>
      <c r="VJL95" s="78"/>
      <c r="VJM95" s="78"/>
      <c r="VJN95" s="78"/>
      <c r="VJO95" s="78"/>
      <c r="VJP95" s="78"/>
      <c r="VJQ95" s="78"/>
      <c r="VJR95" s="78"/>
      <c r="VJS95" s="78"/>
      <c r="VJT95" s="78"/>
      <c r="VJU95" s="78"/>
      <c r="VJV95" s="78"/>
      <c r="VJW95" s="78"/>
      <c r="VJX95" s="78"/>
      <c r="VJY95" s="78"/>
      <c r="VJZ95" s="78"/>
      <c r="VKA95" s="78"/>
      <c r="VKB95" s="78"/>
      <c r="VKC95" s="78"/>
      <c r="VKD95" s="78"/>
      <c r="VKE95" s="78"/>
      <c r="VKF95" s="78"/>
      <c r="VKG95" s="78"/>
      <c r="VKH95" s="78"/>
      <c r="VKI95" s="78"/>
      <c r="VKJ95" s="78"/>
      <c r="VKK95" s="78"/>
      <c r="VKL95" s="78"/>
      <c r="VKM95" s="78"/>
      <c r="VKN95" s="78"/>
      <c r="VKO95" s="78"/>
      <c r="VKP95" s="78"/>
      <c r="VKQ95" s="78"/>
      <c r="VKR95" s="78"/>
      <c r="VKS95" s="78"/>
      <c r="VKT95" s="78"/>
      <c r="VKU95" s="78"/>
      <c r="VKV95" s="78"/>
      <c r="VKW95" s="78"/>
      <c r="VKX95" s="78"/>
      <c r="VKY95" s="78"/>
      <c r="VKZ95" s="78"/>
      <c r="VLA95" s="78"/>
      <c r="VLB95" s="78"/>
      <c r="VLC95" s="78"/>
      <c r="VLD95" s="78"/>
      <c r="VLE95" s="78"/>
      <c r="VLF95" s="78"/>
      <c r="VLG95" s="78"/>
      <c r="VLH95" s="78"/>
      <c r="VLI95" s="78"/>
      <c r="VLJ95" s="78"/>
      <c r="VLK95" s="78"/>
      <c r="VLL95" s="78"/>
      <c r="VLM95" s="78"/>
      <c r="VLN95" s="78"/>
      <c r="VLO95" s="78"/>
      <c r="VLP95" s="78"/>
      <c r="VLQ95" s="78"/>
      <c r="VLR95" s="78"/>
      <c r="VLS95" s="78"/>
      <c r="VLT95" s="78"/>
      <c r="VLU95" s="78"/>
      <c r="VLV95" s="78"/>
      <c r="VLW95" s="78"/>
      <c r="VLX95" s="78"/>
      <c r="VLY95" s="78"/>
      <c r="VLZ95" s="78"/>
      <c r="VMA95" s="78"/>
      <c r="VMB95" s="78"/>
      <c r="VMC95" s="78"/>
      <c r="VMD95" s="78"/>
      <c r="VME95" s="78"/>
      <c r="VMF95" s="78"/>
      <c r="VMG95" s="78"/>
      <c r="VMH95" s="78"/>
      <c r="VMI95" s="78"/>
      <c r="VMJ95" s="78"/>
      <c r="VMK95" s="78"/>
      <c r="VML95" s="78"/>
      <c r="VMM95" s="78"/>
      <c r="VMN95" s="78"/>
      <c r="VMO95" s="78"/>
      <c r="VMP95" s="78"/>
      <c r="VMQ95" s="78"/>
      <c r="VMR95" s="78"/>
      <c r="VMS95" s="78"/>
      <c r="VMT95" s="78"/>
      <c r="VMU95" s="78"/>
      <c r="VMV95" s="78"/>
      <c r="VMW95" s="78"/>
      <c r="VMX95" s="78"/>
      <c r="VMY95" s="78"/>
      <c r="VMZ95" s="78"/>
      <c r="VNA95" s="78"/>
      <c r="VNB95" s="78"/>
      <c r="VNC95" s="78"/>
      <c r="VND95" s="78"/>
      <c r="VNE95" s="78"/>
      <c r="VNF95" s="78"/>
      <c r="VNG95" s="78"/>
      <c r="VNH95" s="78"/>
      <c r="VNI95" s="78"/>
      <c r="VNJ95" s="78"/>
      <c r="VNK95" s="78"/>
      <c r="VNL95" s="78"/>
      <c r="VNM95" s="78"/>
      <c r="VNN95" s="78"/>
      <c r="VNO95" s="78"/>
      <c r="VNP95" s="78"/>
      <c r="VNQ95" s="78"/>
      <c r="VNR95" s="78"/>
      <c r="VNS95" s="78"/>
      <c r="VNT95" s="78"/>
      <c r="VNU95" s="78"/>
      <c r="VNV95" s="78"/>
      <c r="VNW95" s="78"/>
      <c r="VNX95" s="78"/>
      <c r="VNY95" s="78"/>
      <c r="VNZ95" s="78"/>
      <c r="VOA95" s="78"/>
      <c r="VOB95" s="78"/>
      <c r="VOC95" s="78"/>
      <c r="VOD95" s="78"/>
      <c r="VOE95" s="78"/>
      <c r="VOF95" s="78"/>
      <c r="VOG95" s="78"/>
      <c r="VOH95" s="78"/>
      <c r="VOI95" s="78"/>
      <c r="VOJ95" s="78"/>
      <c r="VOK95" s="78"/>
      <c r="VOL95" s="78"/>
      <c r="VOM95" s="78"/>
      <c r="VON95" s="78"/>
      <c r="VOO95" s="78"/>
      <c r="VOP95" s="78"/>
      <c r="VOQ95" s="78"/>
      <c r="VOR95" s="78"/>
      <c r="VOS95" s="78"/>
      <c r="VOT95" s="78"/>
      <c r="VOU95" s="78"/>
      <c r="VOV95" s="78"/>
      <c r="VOW95" s="78"/>
      <c r="VOX95" s="78"/>
      <c r="VOY95" s="78"/>
      <c r="VOZ95" s="78"/>
      <c r="VPA95" s="78"/>
      <c r="VPB95" s="78"/>
      <c r="VPC95" s="78"/>
      <c r="VPD95" s="78"/>
      <c r="VPE95" s="78"/>
      <c r="VPF95" s="78"/>
      <c r="VPG95" s="78"/>
      <c r="VPH95" s="78"/>
      <c r="VPI95" s="78"/>
      <c r="VPJ95" s="78"/>
      <c r="VPK95" s="78"/>
      <c r="VPL95" s="78"/>
      <c r="VPM95" s="78"/>
      <c r="VPN95" s="78"/>
      <c r="VPO95" s="78"/>
      <c r="VPP95" s="78"/>
      <c r="VPQ95" s="78"/>
      <c r="VPR95" s="78"/>
      <c r="VPS95" s="78"/>
      <c r="VPT95" s="78"/>
      <c r="VPU95" s="78"/>
      <c r="VPV95" s="78"/>
      <c r="VPW95" s="78"/>
      <c r="VPX95" s="78"/>
      <c r="VPY95" s="78"/>
      <c r="VPZ95" s="78"/>
      <c r="VQA95" s="78"/>
      <c r="VQB95" s="78"/>
      <c r="VQC95" s="78"/>
      <c r="VQD95" s="78"/>
      <c r="VQE95" s="78"/>
      <c r="VQF95" s="78"/>
      <c r="VQG95" s="78"/>
      <c r="VQH95" s="78"/>
      <c r="VQI95" s="78"/>
      <c r="VQJ95" s="78"/>
      <c r="VQK95" s="78"/>
      <c r="VQL95" s="78"/>
      <c r="VQM95" s="78"/>
      <c r="VQN95" s="78"/>
      <c r="VQO95" s="78"/>
      <c r="VQP95" s="78"/>
      <c r="VQQ95" s="78"/>
      <c r="VQR95" s="78"/>
      <c r="VQS95" s="78"/>
      <c r="VQT95" s="78"/>
      <c r="VQU95" s="78"/>
      <c r="VQV95" s="78"/>
      <c r="VQW95" s="78"/>
      <c r="VQX95" s="78"/>
      <c r="VQY95" s="78"/>
      <c r="VQZ95" s="78"/>
      <c r="VRA95" s="78"/>
      <c r="VRB95" s="78"/>
      <c r="VRC95" s="78"/>
      <c r="VRD95" s="78"/>
      <c r="VRE95" s="78"/>
      <c r="VRF95" s="78"/>
      <c r="VRG95" s="78"/>
      <c r="VRH95" s="78"/>
      <c r="VRI95" s="78"/>
      <c r="VRJ95" s="78"/>
      <c r="VRK95" s="78"/>
      <c r="VRL95" s="78"/>
      <c r="VRM95" s="78"/>
      <c r="VRN95" s="78"/>
      <c r="VRO95" s="78"/>
      <c r="VRP95" s="78"/>
      <c r="VRQ95" s="78"/>
      <c r="VRR95" s="78"/>
      <c r="VRS95" s="78"/>
      <c r="VRT95" s="78"/>
      <c r="VRU95" s="78"/>
      <c r="VRV95" s="78"/>
      <c r="VRW95" s="78"/>
      <c r="VRX95" s="78"/>
      <c r="VRY95" s="78"/>
      <c r="VRZ95" s="78"/>
      <c r="VSA95" s="78"/>
      <c r="VSB95" s="78"/>
      <c r="VSC95" s="78"/>
      <c r="VSD95" s="78"/>
      <c r="VSE95" s="78"/>
      <c r="VSF95" s="78"/>
      <c r="VSG95" s="78"/>
      <c r="VSH95" s="78"/>
      <c r="VSI95" s="78"/>
      <c r="VSJ95" s="78"/>
      <c r="VSK95" s="78"/>
      <c r="VSL95" s="78"/>
      <c r="VSM95" s="78"/>
      <c r="VSN95" s="78"/>
      <c r="VSO95" s="78"/>
      <c r="VSP95" s="78"/>
      <c r="VSQ95" s="78"/>
      <c r="VSR95" s="78"/>
      <c r="VSS95" s="78"/>
      <c r="VST95" s="78"/>
      <c r="VSU95" s="78"/>
      <c r="VSV95" s="78"/>
      <c r="VSW95" s="78"/>
      <c r="VSX95" s="78"/>
      <c r="VSY95" s="78"/>
      <c r="VSZ95" s="78"/>
      <c r="VTA95" s="78"/>
      <c r="VTB95" s="78"/>
      <c r="VTC95" s="78"/>
      <c r="VTD95" s="78"/>
      <c r="VTE95" s="78"/>
      <c r="VTF95" s="78"/>
      <c r="VTG95" s="78"/>
      <c r="VTH95" s="78"/>
      <c r="VTI95" s="78"/>
      <c r="VTJ95" s="78"/>
      <c r="VTK95" s="78"/>
      <c r="VTL95" s="78"/>
      <c r="VTM95" s="78"/>
      <c r="VTN95" s="78"/>
      <c r="VTO95" s="78"/>
      <c r="VTP95" s="78"/>
      <c r="VTQ95" s="78"/>
      <c r="VTR95" s="78"/>
      <c r="VTS95" s="78"/>
      <c r="VTT95" s="78"/>
      <c r="VTU95" s="78"/>
      <c r="VTV95" s="78"/>
      <c r="VTW95" s="78"/>
      <c r="VTX95" s="78"/>
      <c r="VTY95" s="78"/>
      <c r="VTZ95" s="78"/>
      <c r="VUA95" s="78"/>
      <c r="VUB95" s="78"/>
      <c r="VUC95" s="78"/>
      <c r="VUD95" s="78"/>
      <c r="VUE95" s="78"/>
      <c r="VUF95" s="78"/>
      <c r="VUG95" s="78"/>
      <c r="VUH95" s="78"/>
      <c r="VUI95" s="78"/>
      <c r="VUJ95" s="78"/>
      <c r="VUK95" s="78"/>
      <c r="VUL95" s="78"/>
      <c r="VUM95" s="78"/>
      <c r="VUN95" s="78"/>
      <c r="VUO95" s="78"/>
      <c r="VUP95" s="78"/>
      <c r="VUQ95" s="78"/>
      <c r="VUR95" s="78"/>
      <c r="VUS95" s="78"/>
      <c r="VUT95" s="78"/>
      <c r="VUU95" s="78"/>
      <c r="VUV95" s="78"/>
      <c r="VUW95" s="78"/>
      <c r="VUX95" s="78"/>
      <c r="VUY95" s="78"/>
      <c r="VUZ95" s="78"/>
      <c r="VVA95" s="78"/>
      <c r="VVB95" s="78"/>
      <c r="VVC95" s="78"/>
      <c r="VVD95" s="78"/>
      <c r="VVE95" s="78"/>
      <c r="VVF95" s="78"/>
      <c r="VVG95" s="78"/>
      <c r="VVH95" s="78"/>
      <c r="VVI95" s="78"/>
      <c r="VVJ95" s="78"/>
      <c r="VVK95" s="78"/>
      <c r="VVL95" s="78"/>
      <c r="VVM95" s="78"/>
      <c r="VVN95" s="78"/>
      <c r="VVO95" s="78"/>
      <c r="VVP95" s="78"/>
      <c r="VVQ95" s="78"/>
      <c r="VVR95" s="78"/>
      <c r="VVS95" s="78"/>
      <c r="VVT95" s="78"/>
      <c r="VVU95" s="78"/>
      <c r="VVV95" s="78"/>
      <c r="VVW95" s="78"/>
      <c r="VVX95" s="78"/>
      <c r="VVY95" s="78"/>
      <c r="VVZ95" s="78"/>
      <c r="VWA95" s="78"/>
      <c r="VWB95" s="78"/>
      <c r="VWC95" s="78"/>
      <c r="VWD95" s="78"/>
      <c r="VWE95" s="78"/>
      <c r="VWF95" s="78"/>
      <c r="VWG95" s="78"/>
      <c r="VWH95" s="78"/>
      <c r="VWI95" s="78"/>
      <c r="VWJ95" s="78"/>
      <c r="VWK95" s="78"/>
      <c r="VWL95" s="78"/>
      <c r="VWM95" s="78"/>
      <c r="VWN95" s="78"/>
      <c r="VWO95" s="78"/>
      <c r="VWP95" s="78"/>
      <c r="VWQ95" s="78"/>
      <c r="VWR95" s="78"/>
      <c r="VWS95" s="78"/>
      <c r="VWT95" s="78"/>
      <c r="VWU95" s="78"/>
      <c r="VWV95" s="78"/>
      <c r="VWW95" s="78"/>
      <c r="VWX95" s="78"/>
      <c r="VWY95" s="78"/>
      <c r="VWZ95" s="78"/>
      <c r="VXA95" s="78"/>
      <c r="VXB95" s="78"/>
      <c r="VXC95" s="78"/>
      <c r="VXD95" s="78"/>
      <c r="VXE95" s="78"/>
      <c r="VXF95" s="78"/>
      <c r="VXG95" s="78"/>
      <c r="VXH95" s="78"/>
      <c r="VXI95" s="78"/>
      <c r="VXJ95" s="78"/>
      <c r="VXK95" s="78"/>
      <c r="VXL95" s="78"/>
      <c r="VXM95" s="78"/>
      <c r="VXN95" s="78"/>
      <c r="VXO95" s="78"/>
      <c r="VXP95" s="78"/>
      <c r="VXQ95" s="78"/>
      <c r="VXR95" s="78"/>
      <c r="VXS95" s="78"/>
      <c r="VXT95" s="78"/>
      <c r="VXU95" s="78"/>
      <c r="VXV95" s="78"/>
      <c r="VXW95" s="78"/>
      <c r="VXX95" s="78"/>
      <c r="VXY95" s="78"/>
      <c r="VXZ95" s="78"/>
      <c r="VYA95" s="78"/>
      <c r="VYB95" s="78"/>
      <c r="VYC95" s="78"/>
      <c r="VYD95" s="78"/>
      <c r="VYE95" s="78"/>
      <c r="VYF95" s="78"/>
      <c r="VYG95" s="78"/>
      <c r="VYH95" s="78"/>
      <c r="VYI95" s="78"/>
      <c r="VYJ95" s="78"/>
      <c r="VYK95" s="78"/>
      <c r="VYL95" s="78"/>
      <c r="VYM95" s="78"/>
      <c r="VYN95" s="78"/>
      <c r="VYO95" s="78"/>
      <c r="VYP95" s="78"/>
      <c r="VYQ95" s="78"/>
      <c r="VYR95" s="78"/>
      <c r="VYS95" s="78"/>
      <c r="VYT95" s="78"/>
      <c r="VYU95" s="78"/>
      <c r="VYV95" s="78"/>
      <c r="VYW95" s="78"/>
      <c r="VYX95" s="78"/>
      <c r="VYY95" s="78"/>
      <c r="VYZ95" s="78"/>
      <c r="VZA95" s="78"/>
      <c r="VZB95" s="78"/>
      <c r="VZC95" s="78"/>
      <c r="VZD95" s="78"/>
      <c r="VZE95" s="78"/>
      <c r="VZF95" s="78"/>
      <c r="VZG95" s="78"/>
      <c r="VZH95" s="78"/>
      <c r="VZI95" s="78"/>
      <c r="VZJ95" s="78"/>
      <c r="VZK95" s="78"/>
      <c r="VZL95" s="78"/>
      <c r="VZM95" s="78"/>
      <c r="VZN95" s="78"/>
      <c r="VZO95" s="78"/>
      <c r="VZP95" s="78"/>
      <c r="VZQ95" s="78"/>
      <c r="VZR95" s="78"/>
      <c r="VZS95" s="78"/>
      <c r="VZT95" s="78"/>
      <c r="VZU95" s="78"/>
      <c r="VZV95" s="78"/>
      <c r="VZW95" s="78"/>
      <c r="VZX95" s="78"/>
      <c r="VZY95" s="78"/>
      <c r="VZZ95" s="78"/>
      <c r="WAA95" s="78"/>
      <c r="WAB95" s="78"/>
      <c r="WAC95" s="78"/>
      <c r="WAD95" s="78"/>
      <c r="WAE95" s="78"/>
      <c r="WAF95" s="78"/>
      <c r="WAG95" s="78"/>
      <c r="WAH95" s="78"/>
      <c r="WAI95" s="78"/>
      <c r="WAJ95" s="78"/>
      <c r="WAK95" s="78"/>
      <c r="WAL95" s="78"/>
      <c r="WAM95" s="78"/>
      <c r="WAN95" s="78"/>
      <c r="WAO95" s="78"/>
      <c r="WAP95" s="78"/>
      <c r="WAQ95" s="78"/>
      <c r="WAR95" s="78"/>
      <c r="WAS95" s="78"/>
      <c r="WAT95" s="78"/>
      <c r="WAU95" s="78"/>
      <c r="WAV95" s="78"/>
      <c r="WAW95" s="78"/>
      <c r="WAX95" s="78"/>
      <c r="WAY95" s="78"/>
      <c r="WAZ95" s="78"/>
      <c r="WBA95" s="78"/>
      <c r="WBB95" s="78"/>
      <c r="WBC95" s="78"/>
      <c r="WBD95" s="78"/>
      <c r="WBE95" s="78"/>
      <c r="WBF95" s="78"/>
      <c r="WBG95" s="78"/>
      <c r="WBH95" s="78"/>
      <c r="WBI95" s="78"/>
      <c r="WBJ95" s="78"/>
      <c r="WBK95" s="78"/>
      <c r="WBL95" s="78"/>
      <c r="WBM95" s="78"/>
      <c r="WBN95" s="78"/>
      <c r="WBO95" s="78"/>
      <c r="WBP95" s="78"/>
      <c r="WBQ95" s="78"/>
      <c r="WBR95" s="78"/>
      <c r="WBS95" s="78"/>
      <c r="WBT95" s="78"/>
      <c r="WBU95" s="78"/>
      <c r="WBV95" s="78"/>
      <c r="WBW95" s="78"/>
      <c r="WBX95" s="78"/>
      <c r="WBY95" s="78"/>
      <c r="WBZ95" s="78"/>
      <c r="WCA95" s="78"/>
      <c r="WCB95" s="78"/>
      <c r="WCC95" s="78"/>
      <c r="WCD95" s="78"/>
      <c r="WCE95" s="78"/>
      <c r="WCF95" s="78"/>
      <c r="WCG95" s="78"/>
      <c r="WCH95" s="78"/>
      <c r="WCI95" s="78"/>
      <c r="WCJ95" s="78"/>
      <c r="WCK95" s="78"/>
      <c r="WCL95" s="78"/>
      <c r="WCM95" s="78"/>
      <c r="WCN95" s="78"/>
      <c r="WCO95" s="78"/>
      <c r="WCP95" s="78"/>
      <c r="WCQ95" s="78"/>
      <c r="WCR95" s="78"/>
      <c r="WCS95" s="78"/>
      <c r="WCT95" s="78"/>
      <c r="WCU95" s="78"/>
      <c r="WCV95" s="78"/>
      <c r="WCW95" s="78"/>
      <c r="WCX95" s="78"/>
      <c r="WCY95" s="78"/>
      <c r="WCZ95" s="78"/>
      <c r="WDA95" s="78"/>
      <c r="WDB95" s="78"/>
      <c r="WDC95" s="78"/>
      <c r="WDD95" s="78"/>
      <c r="WDE95" s="78"/>
      <c r="WDF95" s="78"/>
      <c r="WDG95" s="78"/>
      <c r="WDH95" s="78"/>
      <c r="WDI95" s="78"/>
      <c r="WDJ95" s="78"/>
      <c r="WDK95" s="78"/>
      <c r="WDL95" s="78"/>
      <c r="WDM95" s="78"/>
      <c r="WDN95" s="78"/>
      <c r="WDO95" s="78"/>
      <c r="WDP95" s="78"/>
      <c r="WDQ95" s="78"/>
      <c r="WDR95" s="78"/>
      <c r="WDS95" s="78"/>
      <c r="WDT95" s="78"/>
      <c r="WDU95" s="78"/>
      <c r="WDV95" s="78"/>
      <c r="WDW95" s="78"/>
      <c r="WDX95" s="78"/>
      <c r="WDY95" s="78"/>
      <c r="WDZ95" s="78"/>
      <c r="WEA95" s="78"/>
      <c r="WEB95" s="78"/>
      <c r="WEC95" s="78"/>
      <c r="WED95" s="78"/>
      <c r="WEE95" s="78"/>
      <c r="WEF95" s="78"/>
      <c r="WEG95" s="78"/>
      <c r="WEH95" s="78"/>
      <c r="WEI95" s="78"/>
      <c r="WEJ95" s="78"/>
      <c r="WEK95" s="78"/>
      <c r="WEL95" s="78"/>
      <c r="WEM95" s="78"/>
      <c r="WEN95" s="78"/>
      <c r="WEO95" s="78"/>
      <c r="WEP95" s="78"/>
      <c r="WEQ95" s="78"/>
      <c r="WER95" s="78"/>
      <c r="WES95" s="78"/>
      <c r="WET95" s="78"/>
      <c r="WEU95" s="78"/>
      <c r="WEV95" s="78"/>
      <c r="WEW95" s="78"/>
      <c r="WEX95" s="78"/>
      <c r="WEY95" s="78"/>
      <c r="WEZ95" s="78"/>
      <c r="WFA95" s="78"/>
      <c r="WFB95" s="78"/>
      <c r="WFC95" s="78"/>
      <c r="WFD95" s="78"/>
      <c r="WFE95" s="78"/>
      <c r="WFF95" s="78"/>
      <c r="WFG95" s="78"/>
      <c r="WFH95" s="78"/>
      <c r="WFI95" s="78"/>
      <c r="WFJ95" s="78"/>
      <c r="WFK95" s="78"/>
      <c r="WFL95" s="78"/>
      <c r="WFM95" s="78"/>
      <c r="WFN95" s="78"/>
      <c r="WFO95" s="78"/>
      <c r="WFP95" s="78"/>
      <c r="WFQ95" s="78"/>
      <c r="WFR95" s="78"/>
      <c r="WFS95" s="78"/>
      <c r="WFT95" s="78"/>
      <c r="WFU95" s="78"/>
      <c r="WFV95" s="78"/>
      <c r="WFW95" s="78"/>
      <c r="WFX95" s="78"/>
      <c r="WFY95" s="78"/>
      <c r="WFZ95" s="78"/>
      <c r="WGA95" s="78"/>
      <c r="WGB95" s="78"/>
      <c r="WGC95" s="78"/>
      <c r="WGD95" s="78"/>
      <c r="WGE95" s="78"/>
      <c r="WGF95" s="78"/>
      <c r="WGG95" s="78"/>
      <c r="WGH95" s="78"/>
      <c r="WGI95" s="78"/>
      <c r="WGJ95" s="78"/>
      <c r="WGK95" s="78"/>
      <c r="WGL95" s="78"/>
      <c r="WGM95" s="78"/>
      <c r="WGN95" s="78"/>
      <c r="WGO95" s="78"/>
      <c r="WGP95" s="78"/>
      <c r="WGQ95" s="78"/>
      <c r="WGR95" s="78"/>
      <c r="WGS95" s="78"/>
      <c r="WGT95" s="78"/>
      <c r="WGU95" s="78"/>
      <c r="WGV95" s="78"/>
      <c r="WGW95" s="78"/>
      <c r="WGX95" s="78"/>
      <c r="WGY95" s="78"/>
      <c r="WGZ95" s="78"/>
      <c r="WHA95" s="78"/>
      <c r="WHB95" s="78"/>
      <c r="WHC95" s="78"/>
      <c r="WHD95" s="78"/>
      <c r="WHE95" s="78"/>
      <c r="WHF95" s="78"/>
      <c r="WHG95" s="78"/>
      <c r="WHH95" s="78"/>
      <c r="WHI95" s="78"/>
      <c r="WHJ95" s="78"/>
      <c r="WHK95" s="78"/>
      <c r="WHL95" s="78"/>
      <c r="WHM95" s="78"/>
      <c r="WHN95" s="78"/>
      <c r="WHO95" s="78"/>
      <c r="WHP95" s="78"/>
      <c r="WHQ95" s="78"/>
      <c r="WHR95" s="78"/>
      <c r="WHS95" s="78"/>
      <c r="WHT95" s="78"/>
      <c r="WHU95" s="78"/>
      <c r="WHV95" s="78"/>
      <c r="WHW95" s="78"/>
      <c r="WHX95" s="78"/>
      <c r="WHY95" s="78"/>
      <c r="WHZ95" s="78"/>
      <c r="WIA95" s="78"/>
      <c r="WIB95" s="78"/>
      <c r="WIC95" s="78"/>
      <c r="WID95" s="78"/>
      <c r="WIE95" s="78"/>
      <c r="WIF95" s="78"/>
      <c r="WIG95" s="78"/>
      <c r="WIH95" s="78"/>
      <c r="WII95" s="78"/>
      <c r="WIJ95" s="78"/>
      <c r="WIK95" s="78"/>
      <c r="WIL95" s="78"/>
      <c r="WIM95" s="78"/>
      <c r="WIN95" s="78"/>
      <c r="WIO95" s="78"/>
      <c r="WIP95" s="78"/>
      <c r="WIQ95" s="78"/>
      <c r="WIR95" s="78"/>
      <c r="WIS95" s="78"/>
      <c r="WIT95" s="78"/>
      <c r="WIU95" s="78"/>
      <c r="WIV95" s="78"/>
      <c r="WIW95" s="78"/>
      <c r="WIX95" s="78"/>
      <c r="WIY95" s="78"/>
      <c r="WIZ95" s="78"/>
      <c r="WJA95" s="78"/>
      <c r="WJB95" s="78"/>
      <c r="WJC95" s="78"/>
      <c r="WJD95" s="78"/>
      <c r="WJE95" s="78"/>
      <c r="WJF95" s="78"/>
      <c r="WJG95" s="78"/>
      <c r="WJH95" s="78"/>
      <c r="WJI95" s="78"/>
      <c r="WJJ95" s="78"/>
      <c r="WJK95" s="78"/>
      <c r="WJL95" s="78"/>
      <c r="WJM95" s="78"/>
      <c r="WJN95" s="78"/>
      <c r="WJO95" s="78"/>
      <c r="WJP95" s="78"/>
      <c r="WJQ95" s="78"/>
      <c r="WJR95" s="78"/>
      <c r="WJS95" s="78"/>
      <c r="WJT95" s="78"/>
      <c r="WJU95" s="78"/>
      <c r="WJV95" s="78"/>
      <c r="WJW95" s="78"/>
      <c r="WJX95" s="78"/>
      <c r="WJY95" s="78"/>
      <c r="WJZ95" s="78"/>
      <c r="WKA95" s="78"/>
      <c r="WKB95" s="78"/>
      <c r="WKC95" s="78"/>
      <c r="WKD95" s="78"/>
      <c r="WKE95" s="78"/>
      <c r="WKF95" s="78"/>
      <c r="WKG95" s="78"/>
      <c r="WKH95" s="78"/>
      <c r="WKI95" s="78"/>
      <c r="WKJ95" s="78"/>
      <c r="WKK95" s="78"/>
      <c r="WKL95" s="78"/>
      <c r="WKM95" s="78"/>
      <c r="WKN95" s="78"/>
      <c r="WKO95" s="78"/>
      <c r="WKP95" s="78"/>
      <c r="WKQ95" s="78"/>
      <c r="WKR95" s="78"/>
      <c r="WKS95" s="78"/>
      <c r="WKT95" s="78"/>
      <c r="WKU95" s="78"/>
      <c r="WKV95" s="78"/>
      <c r="WKW95" s="78"/>
      <c r="WKX95" s="78"/>
      <c r="WKY95" s="78"/>
      <c r="WKZ95" s="78"/>
      <c r="WLA95" s="78"/>
      <c r="WLB95" s="78"/>
      <c r="WLC95" s="78"/>
      <c r="WLD95" s="78"/>
      <c r="WLE95" s="78"/>
      <c r="WLF95" s="78"/>
      <c r="WLG95" s="78"/>
      <c r="WLH95" s="78"/>
      <c r="WLI95" s="78"/>
      <c r="WLJ95" s="78"/>
      <c r="WLK95" s="78"/>
      <c r="WLL95" s="78"/>
      <c r="WLM95" s="78"/>
      <c r="WLN95" s="78"/>
      <c r="WLO95" s="78"/>
      <c r="WLP95" s="78"/>
      <c r="WLQ95" s="78"/>
      <c r="WLR95" s="78"/>
      <c r="WLS95" s="78"/>
      <c r="WLT95" s="78"/>
      <c r="WLU95" s="78"/>
      <c r="WLV95" s="78"/>
      <c r="WLW95" s="78"/>
      <c r="WLX95" s="78"/>
      <c r="WLY95" s="78"/>
      <c r="WLZ95" s="78"/>
      <c r="WMA95" s="78"/>
      <c r="WMB95" s="78"/>
      <c r="WMC95" s="78"/>
      <c r="WMD95" s="78"/>
      <c r="WME95" s="78"/>
      <c r="WMF95" s="78"/>
      <c r="WMG95" s="78"/>
      <c r="WMH95" s="78"/>
      <c r="WMI95" s="78"/>
      <c r="WMJ95" s="78"/>
      <c r="WMK95" s="78"/>
      <c r="WML95" s="78"/>
      <c r="WMM95" s="78"/>
      <c r="WMN95" s="78"/>
      <c r="WMO95" s="78"/>
      <c r="WMP95" s="78"/>
      <c r="WMQ95" s="78"/>
      <c r="WMR95" s="78"/>
      <c r="WMS95" s="78"/>
      <c r="WMT95" s="78"/>
      <c r="WMU95" s="78"/>
      <c r="WMV95" s="78"/>
      <c r="WMW95" s="78"/>
      <c r="WMX95" s="78"/>
      <c r="WMY95" s="78"/>
      <c r="WMZ95" s="78"/>
      <c r="WNA95" s="78"/>
      <c r="WNB95" s="78"/>
      <c r="WNC95" s="78"/>
      <c r="WND95" s="78"/>
      <c r="WNE95" s="78"/>
      <c r="WNF95" s="78"/>
      <c r="WNG95" s="78"/>
      <c r="WNH95" s="78"/>
      <c r="WNI95" s="78"/>
      <c r="WNJ95" s="78"/>
      <c r="WNK95" s="78"/>
      <c r="WNL95" s="78"/>
      <c r="WNM95" s="78"/>
      <c r="WNN95" s="78"/>
      <c r="WNO95" s="78"/>
      <c r="WNP95" s="78"/>
      <c r="WNQ95" s="78"/>
      <c r="WNR95" s="78"/>
      <c r="WNS95" s="78"/>
      <c r="WNT95" s="78"/>
      <c r="WNU95" s="78"/>
      <c r="WNV95" s="78"/>
      <c r="WNW95" s="78"/>
      <c r="WNX95" s="78"/>
      <c r="WNY95" s="78"/>
      <c r="WNZ95" s="78"/>
      <c r="WOA95" s="78"/>
      <c r="WOB95" s="78"/>
      <c r="WOC95" s="78"/>
      <c r="WOD95" s="78"/>
      <c r="WOE95" s="78"/>
      <c r="WOF95" s="78"/>
      <c r="WOG95" s="78"/>
      <c r="WOH95" s="78"/>
      <c r="WOI95" s="78"/>
      <c r="WOJ95" s="78"/>
      <c r="WOK95" s="78"/>
      <c r="WOL95" s="78"/>
      <c r="WOM95" s="78"/>
      <c r="WON95" s="78"/>
      <c r="WOO95" s="78"/>
      <c r="WOP95" s="78"/>
      <c r="WOQ95" s="78"/>
      <c r="WOR95" s="78"/>
      <c r="WOS95" s="78"/>
      <c r="WOT95" s="78"/>
      <c r="WOU95" s="78"/>
      <c r="WOV95" s="78"/>
      <c r="WOW95" s="78"/>
      <c r="WOX95" s="78"/>
      <c r="WOY95" s="78"/>
      <c r="WOZ95" s="78"/>
      <c r="WPA95" s="78"/>
      <c r="WPB95" s="78"/>
      <c r="WPC95" s="78"/>
      <c r="WPD95" s="78"/>
      <c r="WPE95" s="78"/>
      <c r="WPF95" s="78"/>
      <c r="WPG95" s="78"/>
      <c r="WPH95" s="78"/>
      <c r="WPI95" s="78"/>
      <c r="WPJ95" s="78"/>
      <c r="WPK95" s="78"/>
      <c r="WPL95" s="78"/>
      <c r="WPM95" s="78"/>
      <c r="WPN95" s="78"/>
      <c r="WPO95" s="78"/>
      <c r="WPP95" s="78"/>
      <c r="WPQ95" s="78"/>
      <c r="WPR95" s="78"/>
      <c r="WPS95" s="78"/>
      <c r="WPT95" s="78"/>
      <c r="WPU95" s="78"/>
      <c r="WPV95" s="78"/>
      <c r="WPW95" s="78"/>
      <c r="WPX95" s="78"/>
      <c r="WPY95" s="78"/>
      <c r="WPZ95" s="78"/>
      <c r="WQA95" s="78"/>
      <c r="WQB95" s="78"/>
      <c r="WQC95" s="78"/>
      <c r="WQD95" s="78"/>
      <c r="WQE95" s="78"/>
      <c r="WQF95" s="78"/>
      <c r="WQG95" s="78"/>
      <c r="WQH95" s="78"/>
      <c r="WQI95" s="78"/>
      <c r="WQJ95" s="78"/>
      <c r="WQK95" s="78"/>
      <c r="WQL95" s="78"/>
      <c r="WQM95" s="78"/>
      <c r="WQN95" s="78"/>
      <c r="WQO95" s="78"/>
      <c r="WQP95" s="78"/>
      <c r="WQQ95" s="78"/>
      <c r="WQR95" s="78"/>
      <c r="WQS95" s="78"/>
      <c r="WQT95" s="78"/>
      <c r="WQU95" s="78"/>
      <c r="WQV95" s="78"/>
      <c r="WQW95" s="78"/>
      <c r="WQX95" s="78"/>
      <c r="WQY95" s="78"/>
      <c r="WQZ95" s="78"/>
      <c r="WRA95" s="78"/>
      <c r="WRB95" s="78"/>
      <c r="WRC95" s="78"/>
      <c r="WRD95" s="78"/>
      <c r="WRE95" s="78"/>
      <c r="WRF95" s="78"/>
      <c r="WRG95" s="78"/>
      <c r="WRH95" s="78"/>
      <c r="WRI95" s="78"/>
      <c r="WRJ95" s="78"/>
      <c r="WRK95" s="78"/>
      <c r="WRL95" s="78"/>
      <c r="WRM95" s="78"/>
      <c r="WRN95" s="78"/>
      <c r="WRO95" s="78"/>
      <c r="WRP95" s="78"/>
      <c r="WRQ95" s="78"/>
      <c r="WRR95" s="78"/>
      <c r="WRS95" s="78"/>
      <c r="WRT95" s="78"/>
      <c r="WRU95" s="78"/>
      <c r="WRV95" s="78"/>
      <c r="WRW95" s="78"/>
    </row>
    <row r="96" spans="1:16039" s="75" customFormat="1" ht="30" hidden="1" customHeight="1" x14ac:dyDescent="0.2">
      <c r="A96" s="77"/>
      <c r="C96" s="79"/>
      <c r="D96" s="79"/>
      <c r="F96" s="641" t="s">
        <v>126</v>
      </c>
      <c r="G96" s="642"/>
      <c r="H96" s="79"/>
    </row>
    <row r="97" spans="1:241" s="78" customFormat="1" ht="30" hidden="1" customHeight="1" x14ac:dyDescent="0.2">
      <c r="A97" s="77"/>
      <c r="C97" s="79"/>
      <c r="D97" s="79"/>
      <c r="E97" s="79"/>
      <c r="F97" s="127" t="s">
        <v>120</v>
      </c>
      <c r="G97" s="127" t="s">
        <v>121</v>
      </c>
      <c r="S97" s="77"/>
      <c r="T97" s="77"/>
      <c r="AB97" s="75"/>
      <c r="AC97" s="75"/>
      <c r="AD97" s="75"/>
      <c r="AE97" s="75"/>
      <c r="AF97" s="75"/>
      <c r="AG97" s="75"/>
      <c r="AH97" s="75"/>
      <c r="AJ97" s="77"/>
      <c r="AK97" s="77"/>
      <c r="AQ97" s="77"/>
      <c r="AS97" s="75"/>
      <c r="AT97" s="75"/>
      <c r="AU97" s="75"/>
      <c r="AV97" s="75"/>
      <c r="AW97" s="75"/>
      <c r="AX97" s="75"/>
      <c r="AY97" s="75"/>
      <c r="BA97" s="77"/>
      <c r="BB97" s="77"/>
      <c r="BJ97" s="75"/>
      <c r="BK97" s="75"/>
      <c r="BL97" s="75"/>
      <c r="BM97" s="75"/>
      <c r="BN97" s="75"/>
      <c r="BO97" s="75"/>
      <c r="BP97" s="75"/>
      <c r="BR97" s="77"/>
      <c r="BS97" s="77"/>
      <c r="CA97" s="75"/>
      <c r="CB97" s="75"/>
      <c r="CC97" s="75"/>
      <c r="CD97" s="75"/>
      <c r="CE97" s="75"/>
      <c r="CF97" s="75"/>
      <c r="CG97" s="75"/>
      <c r="CI97" s="77"/>
      <c r="CJ97" s="77"/>
      <c r="CR97" s="75"/>
      <c r="CS97" s="75"/>
      <c r="CT97" s="75"/>
      <c r="CU97" s="75"/>
      <c r="CV97" s="75"/>
      <c r="CW97" s="75"/>
      <c r="CX97" s="75"/>
      <c r="CZ97" s="77"/>
      <c r="DA97" s="77"/>
      <c r="DI97" s="75"/>
      <c r="DJ97" s="75"/>
      <c r="DK97" s="75"/>
      <c r="DL97" s="75"/>
      <c r="DM97" s="75"/>
      <c r="DN97" s="75"/>
      <c r="DO97" s="75"/>
      <c r="DQ97" s="77"/>
      <c r="DR97" s="77"/>
      <c r="DZ97" s="75"/>
      <c r="EA97" s="75"/>
      <c r="EB97" s="75"/>
      <c r="EC97" s="75"/>
      <c r="ED97" s="75"/>
      <c r="EE97" s="75"/>
      <c r="EF97" s="75"/>
      <c r="EH97" s="77"/>
      <c r="EI97" s="77"/>
      <c r="EQ97" s="75"/>
      <c r="ER97" s="75"/>
      <c r="ES97" s="75"/>
      <c r="ET97" s="75"/>
      <c r="EU97" s="75"/>
      <c r="EV97" s="75"/>
      <c r="EW97" s="75"/>
      <c r="EY97" s="77"/>
      <c r="EZ97" s="77"/>
      <c r="FH97" s="75"/>
      <c r="FI97" s="75"/>
      <c r="FJ97" s="75"/>
      <c r="FK97" s="75"/>
      <c r="FL97" s="75"/>
      <c r="FM97" s="75"/>
      <c r="FN97" s="75"/>
      <c r="FP97" s="77"/>
      <c r="FQ97" s="77"/>
      <c r="FY97" s="75"/>
      <c r="FZ97" s="75"/>
      <c r="GA97" s="75"/>
      <c r="GB97" s="75"/>
      <c r="GC97" s="75"/>
      <c r="GD97" s="75"/>
      <c r="GE97" s="75"/>
      <c r="GG97" s="77"/>
      <c r="GH97" s="77"/>
      <c r="GP97" s="75"/>
      <c r="GQ97" s="75"/>
      <c r="GR97" s="75"/>
      <c r="GS97" s="75"/>
      <c r="GT97" s="75"/>
      <c r="GU97" s="75"/>
      <c r="GV97" s="75"/>
      <c r="GX97" s="77"/>
      <c r="GY97" s="77"/>
      <c r="HG97" s="75"/>
      <c r="HH97" s="75"/>
      <c r="HI97" s="75"/>
      <c r="HJ97" s="75"/>
      <c r="HK97" s="75"/>
      <c r="HL97" s="75"/>
      <c r="HM97" s="75"/>
      <c r="HO97" s="77"/>
      <c r="HP97" s="77"/>
      <c r="HX97" s="75"/>
      <c r="HY97" s="75"/>
      <c r="HZ97" s="75"/>
      <c r="IA97" s="75"/>
      <c r="IB97" s="75"/>
      <c r="IC97" s="75"/>
      <c r="ID97" s="75"/>
      <c r="IF97" s="77"/>
      <c r="IG97" s="77"/>
    </row>
    <row r="98" spans="1:241" s="78" customFormat="1" ht="66" hidden="1" customHeight="1" x14ac:dyDescent="0.2">
      <c r="A98" s="128"/>
      <c r="C98" s="643" t="s">
        <v>127</v>
      </c>
      <c r="D98" s="644"/>
      <c r="E98" s="120" t="s">
        <v>163</v>
      </c>
      <c r="F98" s="129">
        <v>16</v>
      </c>
      <c r="G98" s="129">
        <v>17</v>
      </c>
      <c r="K98" s="132" t="s">
        <v>122</v>
      </c>
      <c r="L98" s="132"/>
      <c r="M98" s="161" t="s">
        <v>48</v>
      </c>
      <c r="S98" s="77"/>
      <c r="T98" s="77"/>
      <c r="AB98" s="75"/>
      <c r="AC98" s="75"/>
      <c r="AD98" s="75"/>
      <c r="AE98" s="75"/>
      <c r="AF98" s="75"/>
      <c r="AG98" s="75"/>
      <c r="AH98" s="75"/>
      <c r="AJ98" s="77"/>
      <c r="AK98" s="77"/>
      <c r="AQ98" s="77"/>
      <c r="AS98" s="75"/>
      <c r="AT98" s="75"/>
      <c r="AU98" s="75"/>
      <c r="AV98" s="75"/>
      <c r="AW98" s="75"/>
      <c r="AX98" s="75"/>
      <c r="AY98" s="75"/>
      <c r="BA98" s="77"/>
      <c r="BB98" s="77"/>
      <c r="BJ98" s="75"/>
      <c r="BK98" s="75"/>
      <c r="BL98" s="75"/>
      <c r="BM98" s="75"/>
      <c r="BN98" s="75"/>
      <c r="BO98" s="75"/>
      <c r="BP98" s="75"/>
      <c r="BR98" s="77"/>
      <c r="BS98" s="77"/>
      <c r="CA98" s="75"/>
      <c r="CB98" s="75"/>
      <c r="CC98" s="75"/>
      <c r="CD98" s="75"/>
      <c r="CE98" s="75"/>
      <c r="CF98" s="75"/>
      <c r="CG98" s="75"/>
      <c r="CI98" s="77"/>
      <c r="CJ98" s="77"/>
      <c r="CR98" s="75"/>
      <c r="CS98" s="75"/>
      <c r="CT98" s="75"/>
      <c r="CU98" s="75"/>
      <c r="CV98" s="75"/>
      <c r="CW98" s="75"/>
      <c r="CX98" s="75"/>
      <c r="CZ98" s="77"/>
      <c r="DA98" s="77"/>
      <c r="DI98" s="75"/>
      <c r="DJ98" s="75"/>
      <c r="DK98" s="75"/>
      <c r="DL98" s="75"/>
      <c r="DM98" s="75"/>
      <c r="DN98" s="75"/>
      <c r="DO98" s="75"/>
      <c r="DQ98" s="77"/>
      <c r="DR98" s="77"/>
      <c r="DZ98" s="75"/>
      <c r="EA98" s="75"/>
      <c r="EB98" s="75"/>
      <c r="EC98" s="75"/>
      <c r="ED98" s="75"/>
      <c r="EE98" s="75"/>
      <c r="EF98" s="75"/>
      <c r="EH98" s="77"/>
      <c r="EI98" s="77"/>
      <c r="EQ98" s="75"/>
      <c r="ER98" s="75"/>
      <c r="ES98" s="75"/>
      <c r="ET98" s="75"/>
      <c r="EU98" s="75"/>
      <c r="EV98" s="75"/>
      <c r="EW98" s="75"/>
      <c r="EY98" s="77"/>
      <c r="EZ98" s="77"/>
      <c r="FH98" s="75"/>
      <c r="FI98" s="75"/>
      <c r="FJ98" s="75"/>
      <c r="FK98" s="75"/>
      <c r="FL98" s="75"/>
      <c r="FM98" s="75"/>
      <c r="FN98" s="75"/>
      <c r="FP98" s="77"/>
      <c r="FQ98" s="77"/>
      <c r="FY98" s="75"/>
      <c r="FZ98" s="75"/>
      <c r="GA98" s="75"/>
      <c r="GB98" s="75"/>
      <c r="GC98" s="75"/>
      <c r="GD98" s="75"/>
      <c r="GE98" s="75"/>
      <c r="GG98" s="77"/>
      <c r="GH98" s="77"/>
      <c r="GP98" s="75"/>
      <c r="GQ98" s="75"/>
      <c r="GR98" s="75"/>
      <c r="GS98" s="75"/>
      <c r="GT98" s="75"/>
      <c r="GU98" s="75"/>
      <c r="GV98" s="75"/>
      <c r="GX98" s="77"/>
      <c r="GY98" s="77"/>
      <c r="HG98" s="75"/>
      <c r="HH98" s="75"/>
      <c r="HI98" s="75"/>
      <c r="HJ98" s="75"/>
      <c r="HK98" s="75"/>
      <c r="HL98" s="75"/>
      <c r="HM98" s="75"/>
      <c r="HO98" s="77"/>
      <c r="HP98" s="77"/>
      <c r="HX98" s="75"/>
      <c r="HY98" s="75"/>
      <c r="HZ98" s="75"/>
      <c r="IA98" s="75"/>
      <c r="IB98" s="75"/>
      <c r="IC98" s="75"/>
      <c r="ID98" s="75"/>
      <c r="IF98" s="77"/>
      <c r="IG98" s="77"/>
    </row>
    <row r="99" spans="1:241" s="78" customFormat="1" ht="30" hidden="1" customHeight="1" x14ac:dyDescent="0.2">
      <c r="A99" s="128"/>
      <c r="C99" s="119">
        <v>1</v>
      </c>
      <c r="D99" s="121" t="str">
        <f>VLOOKUP(C99,LISTA_OFERENTES,2,FALSE)</f>
        <v>CONCRETOS Y MEZCLAS S.A</v>
      </c>
      <c r="E99" s="130">
        <f t="shared" ref="E99:E115" ca="1" si="964">INDIRECT(F99,TRUE)</f>
        <v>470423856</v>
      </c>
      <c r="F99" s="122" t="str">
        <f>ADDRESS(82,G99,1,1)</f>
        <v>$P$82</v>
      </c>
      <c r="G99" s="122">
        <f>F98</f>
        <v>16</v>
      </c>
      <c r="K99" s="119">
        <v>1</v>
      </c>
      <c r="L99" s="121" t="str">
        <f t="shared" ref="L99:L115" si="965">VLOOKUP(K99,LISTA_OFERENTES,2,FALSE)</f>
        <v>CONCRETOS Y MEZCLAS S.A</v>
      </c>
      <c r="M99" s="119" t="str">
        <f>IF(HLOOKUP(K99,VER_UNI,2,FALSE)="OK","H","NH")</f>
        <v>H</v>
      </c>
      <c r="S99" s="77"/>
      <c r="T99" s="77"/>
      <c r="AB99" s="75"/>
      <c r="AC99" s="75"/>
      <c r="AD99" s="75"/>
      <c r="AE99" s="75"/>
      <c r="AF99" s="75"/>
      <c r="AG99" s="75"/>
      <c r="AH99" s="75"/>
      <c r="AJ99" s="77"/>
      <c r="AK99" s="77"/>
      <c r="AQ99" s="77"/>
      <c r="AS99" s="75"/>
      <c r="AT99" s="75"/>
      <c r="AU99" s="75"/>
      <c r="AV99" s="75"/>
      <c r="AW99" s="75"/>
      <c r="AX99" s="75"/>
      <c r="AY99" s="75"/>
      <c r="BA99" s="77"/>
      <c r="BB99" s="77"/>
      <c r="BJ99" s="75"/>
      <c r="BK99" s="75"/>
      <c r="BL99" s="75"/>
      <c r="BM99" s="75"/>
      <c r="BN99" s="75"/>
      <c r="BO99" s="75"/>
      <c r="BP99" s="75"/>
      <c r="BR99" s="77"/>
      <c r="BS99" s="77"/>
      <c r="CA99" s="75"/>
      <c r="CB99" s="75"/>
      <c r="CC99" s="75"/>
      <c r="CD99" s="75"/>
      <c r="CE99" s="75"/>
      <c r="CF99" s="75"/>
      <c r="CG99" s="75"/>
      <c r="CI99" s="77"/>
      <c r="CJ99" s="77"/>
      <c r="CR99" s="75"/>
      <c r="CS99" s="75"/>
      <c r="CT99" s="75"/>
      <c r="CU99" s="75"/>
      <c r="CV99" s="75"/>
      <c r="CW99" s="75"/>
      <c r="CX99" s="75"/>
      <c r="CZ99" s="77"/>
      <c r="DA99" s="77"/>
      <c r="DI99" s="75"/>
      <c r="DJ99" s="75"/>
      <c r="DK99" s="75"/>
      <c r="DL99" s="75"/>
      <c r="DM99" s="75"/>
      <c r="DN99" s="75"/>
      <c r="DO99" s="75"/>
      <c r="DQ99" s="77"/>
      <c r="DR99" s="77"/>
      <c r="DZ99" s="75"/>
      <c r="EA99" s="75"/>
      <c r="EB99" s="75"/>
      <c r="EC99" s="75"/>
      <c r="ED99" s="75"/>
      <c r="EE99" s="75"/>
      <c r="EF99" s="75"/>
      <c r="EH99" s="77"/>
      <c r="EI99" s="77"/>
      <c r="EQ99" s="75"/>
      <c r="ER99" s="75"/>
      <c r="ES99" s="75"/>
      <c r="ET99" s="75"/>
      <c r="EU99" s="75"/>
      <c r="EV99" s="75"/>
      <c r="EW99" s="75"/>
      <c r="EY99" s="77"/>
      <c r="EZ99" s="77"/>
      <c r="FH99" s="75"/>
      <c r="FI99" s="75"/>
      <c r="FJ99" s="75"/>
      <c r="FK99" s="75"/>
      <c r="FL99" s="75"/>
      <c r="FM99" s="75"/>
      <c r="FN99" s="75"/>
      <c r="FP99" s="77"/>
      <c r="FQ99" s="77"/>
      <c r="FY99" s="75"/>
      <c r="FZ99" s="75"/>
      <c r="GA99" s="75"/>
      <c r="GB99" s="75"/>
      <c r="GC99" s="75"/>
      <c r="GD99" s="75"/>
      <c r="GE99" s="75"/>
      <c r="GG99" s="77"/>
      <c r="GH99" s="77"/>
      <c r="GP99" s="75"/>
      <c r="GQ99" s="75"/>
      <c r="GR99" s="75"/>
      <c r="GS99" s="75"/>
      <c r="GT99" s="75"/>
      <c r="GU99" s="75"/>
      <c r="GV99" s="75"/>
      <c r="GX99" s="77"/>
      <c r="GY99" s="77"/>
      <c r="HG99" s="75"/>
      <c r="HH99" s="75"/>
      <c r="HI99" s="75"/>
      <c r="HJ99" s="75"/>
      <c r="HK99" s="75"/>
      <c r="HL99" s="75"/>
      <c r="HM99" s="75"/>
      <c r="HO99" s="77"/>
      <c r="HP99" s="77"/>
      <c r="HX99" s="75"/>
      <c r="HY99" s="75"/>
      <c r="HZ99" s="75"/>
      <c r="IA99" s="75"/>
      <c r="IB99" s="75"/>
      <c r="IC99" s="75"/>
      <c r="ID99" s="75"/>
      <c r="IF99" s="77"/>
      <c r="IG99" s="77"/>
    </row>
    <row r="100" spans="1:241" s="78" customFormat="1" ht="30" hidden="1" customHeight="1" x14ac:dyDescent="0.2">
      <c r="A100" s="128"/>
      <c r="C100" s="119">
        <v>2</v>
      </c>
      <c r="D100" s="121" t="str">
        <f t="shared" ref="D100:D115" si="966">VLOOKUP(C100,LISTA_OFERENTES,2,FALSE)</f>
        <v>INGAP S.A.S</v>
      </c>
      <c r="E100" s="130">
        <f t="shared" ca="1" si="964"/>
        <v>491373559</v>
      </c>
      <c r="F100" s="122" t="str">
        <f t="shared" ref="F100:F115" si="967">ADDRESS(82,G100,1,1)</f>
        <v>$AG$82</v>
      </c>
      <c r="G100" s="131">
        <f>G99+$G$98</f>
        <v>33</v>
      </c>
      <c r="K100" s="119">
        <v>2</v>
      </c>
      <c r="L100" s="121" t="str">
        <f t="shared" si="965"/>
        <v>INGAP S.A.S</v>
      </c>
      <c r="M100" s="119" t="str">
        <f t="shared" ref="M100:M115" si="968">IF(HLOOKUP(K100,VER_UNI,2,FALSE)="OK","H","NH")</f>
        <v>H</v>
      </c>
      <c r="S100" s="77"/>
      <c r="T100" s="77"/>
      <c r="AB100" s="75"/>
      <c r="AC100" s="75"/>
      <c r="AD100" s="75"/>
      <c r="AE100" s="75"/>
      <c r="AF100" s="75"/>
      <c r="AG100" s="75"/>
      <c r="AH100" s="75"/>
      <c r="AJ100" s="77"/>
      <c r="AK100" s="77"/>
      <c r="AQ100" s="77"/>
      <c r="AS100" s="75"/>
      <c r="AT100" s="75"/>
      <c r="AU100" s="75"/>
      <c r="AV100" s="75"/>
      <c r="AW100" s="75"/>
      <c r="AX100" s="75"/>
      <c r="AY100" s="75"/>
      <c r="BA100" s="77"/>
      <c r="BB100" s="77"/>
      <c r="BJ100" s="75"/>
      <c r="BK100" s="75"/>
      <c r="BL100" s="75"/>
      <c r="BM100" s="75"/>
      <c r="BN100" s="75"/>
      <c r="BO100" s="75"/>
      <c r="BP100" s="75"/>
      <c r="BR100" s="77"/>
      <c r="BS100" s="77"/>
      <c r="CA100" s="75"/>
      <c r="CB100" s="75"/>
      <c r="CC100" s="75"/>
      <c r="CD100" s="75"/>
      <c r="CE100" s="75"/>
      <c r="CF100" s="75"/>
      <c r="CG100" s="75"/>
      <c r="CI100" s="77"/>
      <c r="CJ100" s="77"/>
      <c r="CR100" s="75"/>
      <c r="CS100" s="75"/>
      <c r="CT100" s="75"/>
      <c r="CU100" s="75"/>
      <c r="CV100" s="75"/>
      <c r="CW100" s="75"/>
      <c r="CX100" s="75"/>
      <c r="CZ100" s="77"/>
      <c r="DA100" s="77"/>
      <c r="DI100" s="75"/>
      <c r="DJ100" s="75"/>
      <c r="DK100" s="75"/>
      <c r="DL100" s="75"/>
      <c r="DM100" s="75"/>
      <c r="DN100" s="75"/>
      <c r="DO100" s="75"/>
      <c r="DQ100" s="77"/>
      <c r="DR100" s="77"/>
      <c r="DZ100" s="75"/>
      <c r="EA100" s="75"/>
      <c r="EB100" s="75"/>
      <c r="EC100" s="75"/>
      <c r="ED100" s="75"/>
      <c r="EE100" s="75"/>
      <c r="EF100" s="75"/>
      <c r="EH100" s="77"/>
      <c r="EI100" s="77"/>
      <c r="EQ100" s="75"/>
      <c r="ER100" s="75"/>
      <c r="ES100" s="75"/>
      <c r="ET100" s="75"/>
      <c r="EU100" s="75"/>
      <c r="EV100" s="75"/>
      <c r="EW100" s="75"/>
      <c r="EY100" s="77"/>
      <c r="EZ100" s="77"/>
      <c r="FH100" s="75"/>
      <c r="FI100" s="75"/>
      <c r="FJ100" s="75"/>
      <c r="FK100" s="75"/>
      <c r="FL100" s="75"/>
      <c r="FM100" s="75"/>
      <c r="FN100" s="75"/>
      <c r="FP100" s="77"/>
      <c r="FQ100" s="77"/>
      <c r="FY100" s="75"/>
      <c r="FZ100" s="75"/>
      <c r="GA100" s="75"/>
      <c r="GB100" s="75"/>
      <c r="GC100" s="75"/>
      <c r="GD100" s="75"/>
      <c r="GE100" s="75"/>
      <c r="GG100" s="77"/>
      <c r="GH100" s="77"/>
      <c r="GP100" s="75"/>
      <c r="GQ100" s="75"/>
      <c r="GR100" s="75"/>
      <c r="GS100" s="75"/>
      <c r="GT100" s="75"/>
      <c r="GU100" s="75"/>
      <c r="GV100" s="75"/>
      <c r="GX100" s="77"/>
      <c r="GY100" s="77"/>
      <c r="HG100" s="75"/>
      <c r="HH100" s="75"/>
      <c r="HI100" s="75"/>
      <c r="HJ100" s="75"/>
      <c r="HK100" s="75"/>
      <c r="HL100" s="75"/>
      <c r="HM100" s="75"/>
      <c r="HO100" s="77"/>
      <c r="HP100" s="77"/>
      <c r="HX100" s="75"/>
      <c r="HY100" s="75"/>
      <c r="HZ100" s="75"/>
      <c r="IA100" s="75"/>
      <c r="IB100" s="75"/>
      <c r="IC100" s="75"/>
      <c r="ID100" s="75"/>
      <c r="IF100" s="77"/>
      <c r="IG100" s="77"/>
    </row>
    <row r="101" spans="1:241" s="78" customFormat="1" ht="30" hidden="1" customHeight="1" x14ac:dyDescent="0.2">
      <c r="A101" s="128"/>
      <c r="C101" s="119">
        <v>3</v>
      </c>
      <c r="D101" s="121" t="str">
        <f t="shared" si="966"/>
        <v xml:space="preserve">VIACOL INGENIEROS CONTRATISTAS </v>
      </c>
      <c r="E101" s="130">
        <f t="shared" ca="1" si="964"/>
        <v>489082150</v>
      </c>
      <c r="F101" s="122" t="str">
        <f t="shared" si="967"/>
        <v>$AX$82</v>
      </c>
      <c r="G101" s="131">
        <f t="shared" ref="G101:G115" si="969">G100+$G$98</f>
        <v>50</v>
      </c>
      <c r="K101" s="119">
        <v>3</v>
      </c>
      <c r="L101" s="121" t="str">
        <f t="shared" si="965"/>
        <v xml:space="preserve">VIACOL INGENIEROS CONTRATISTAS </v>
      </c>
      <c r="M101" s="119" t="str">
        <f t="shared" si="968"/>
        <v>H</v>
      </c>
      <c r="S101" s="77"/>
      <c r="T101" s="77"/>
      <c r="AB101" s="75"/>
      <c r="AC101" s="75"/>
      <c r="AD101" s="75"/>
      <c r="AE101" s="75"/>
      <c r="AF101" s="75"/>
      <c r="AG101" s="75"/>
      <c r="AH101" s="75"/>
      <c r="AJ101" s="77"/>
      <c r="AK101" s="77"/>
      <c r="AQ101" s="77"/>
      <c r="AS101" s="75"/>
      <c r="AT101" s="75"/>
      <c r="AU101" s="75"/>
      <c r="AV101" s="75"/>
      <c r="AW101" s="75"/>
      <c r="AX101" s="75"/>
      <c r="AY101" s="75"/>
      <c r="BA101" s="77"/>
      <c r="BB101" s="77"/>
      <c r="BJ101" s="75"/>
      <c r="BK101" s="75"/>
      <c r="BL101" s="75"/>
      <c r="BM101" s="75"/>
      <c r="BN101" s="75"/>
      <c r="BO101" s="75"/>
      <c r="BP101" s="75"/>
      <c r="BR101" s="77"/>
      <c r="BS101" s="77"/>
      <c r="CA101" s="75"/>
      <c r="CB101" s="75"/>
      <c r="CC101" s="75"/>
      <c r="CD101" s="75"/>
      <c r="CE101" s="75"/>
      <c r="CF101" s="75"/>
      <c r="CG101" s="75"/>
      <c r="CI101" s="77"/>
      <c r="CJ101" s="77"/>
      <c r="CR101" s="75"/>
      <c r="CS101" s="75"/>
      <c r="CT101" s="75"/>
      <c r="CU101" s="75"/>
      <c r="CV101" s="75"/>
      <c r="CW101" s="75"/>
      <c r="CX101" s="75"/>
      <c r="CZ101" s="77"/>
      <c r="DA101" s="77"/>
      <c r="DI101" s="75"/>
      <c r="DJ101" s="75"/>
      <c r="DK101" s="75"/>
      <c r="DL101" s="75"/>
      <c r="DM101" s="75"/>
      <c r="DN101" s="75"/>
      <c r="DO101" s="75"/>
      <c r="DQ101" s="77"/>
      <c r="DR101" s="77"/>
      <c r="DZ101" s="75"/>
      <c r="EA101" s="75"/>
      <c r="EB101" s="75"/>
      <c r="EC101" s="75"/>
      <c r="ED101" s="75"/>
      <c r="EE101" s="75"/>
      <c r="EF101" s="75"/>
      <c r="EH101" s="77"/>
      <c r="EI101" s="77"/>
      <c r="EQ101" s="75"/>
      <c r="ER101" s="75"/>
      <c r="ES101" s="75"/>
      <c r="ET101" s="75"/>
      <c r="EU101" s="75"/>
      <c r="EV101" s="75"/>
      <c r="EW101" s="75"/>
      <c r="EY101" s="77"/>
      <c r="EZ101" s="77"/>
      <c r="FH101" s="75"/>
      <c r="FI101" s="75"/>
      <c r="FJ101" s="75"/>
      <c r="FK101" s="75"/>
      <c r="FL101" s="75"/>
      <c r="FM101" s="75"/>
      <c r="FN101" s="75"/>
      <c r="FP101" s="77"/>
      <c r="FQ101" s="77"/>
      <c r="FY101" s="75"/>
      <c r="FZ101" s="75"/>
      <c r="GA101" s="75"/>
      <c r="GB101" s="75"/>
      <c r="GC101" s="75"/>
      <c r="GD101" s="75"/>
      <c r="GE101" s="75"/>
      <c r="GG101" s="77"/>
      <c r="GH101" s="77"/>
      <c r="GP101" s="75"/>
      <c r="GQ101" s="75"/>
      <c r="GR101" s="75"/>
      <c r="GS101" s="75"/>
      <c r="GT101" s="75"/>
      <c r="GU101" s="75"/>
      <c r="GV101" s="75"/>
      <c r="GX101" s="77"/>
      <c r="GY101" s="77"/>
      <c r="HG101" s="75"/>
      <c r="HH101" s="75"/>
      <c r="HI101" s="75"/>
      <c r="HJ101" s="75"/>
      <c r="HK101" s="75"/>
      <c r="HL101" s="75"/>
      <c r="HM101" s="75"/>
      <c r="HO101" s="77"/>
      <c r="HP101" s="77"/>
      <c r="HX101" s="75"/>
      <c r="HY101" s="75"/>
      <c r="HZ101" s="75"/>
      <c r="IA101" s="75"/>
      <c r="IB101" s="75"/>
      <c r="IC101" s="75"/>
      <c r="ID101" s="75"/>
      <c r="IF101" s="77"/>
      <c r="IG101" s="77"/>
    </row>
    <row r="102" spans="1:241" s="78" customFormat="1" ht="30" hidden="1" customHeight="1" x14ac:dyDescent="0.2">
      <c r="A102" s="128"/>
      <c r="C102" s="119">
        <v>4</v>
      </c>
      <c r="D102" s="121" t="str">
        <f t="shared" si="966"/>
        <v>CÉSAR AUGUSTO GIRALDO ATEHORTÚA</v>
      </c>
      <c r="E102" s="130">
        <f t="shared" ca="1" si="964"/>
        <v>496892200</v>
      </c>
      <c r="F102" s="122" t="str">
        <f t="shared" si="967"/>
        <v>$BO$82</v>
      </c>
      <c r="G102" s="131">
        <f t="shared" si="969"/>
        <v>67</v>
      </c>
      <c r="K102" s="119">
        <v>4</v>
      </c>
      <c r="L102" s="121" t="str">
        <f t="shared" si="965"/>
        <v>CÉSAR AUGUSTO GIRALDO ATEHORTÚA</v>
      </c>
      <c r="M102" s="119" t="str">
        <f t="shared" si="968"/>
        <v>H</v>
      </c>
      <c r="S102" s="77"/>
      <c r="T102" s="77"/>
      <c r="AB102" s="75"/>
      <c r="AC102" s="75"/>
      <c r="AD102" s="75"/>
      <c r="AE102" s="75"/>
      <c r="AF102" s="75"/>
      <c r="AG102" s="75"/>
      <c r="AH102" s="75"/>
      <c r="AJ102" s="77"/>
      <c r="AK102" s="77"/>
      <c r="AQ102" s="77"/>
      <c r="AS102" s="75"/>
      <c r="AT102" s="75"/>
      <c r="AU102" s="75"/>
      <c r="AV102" s="75"/>
      <c r="AW102" s="75"/>
      <c r="AX102" s="75"/>
      <c r="AY102" s="75"/>
      <c r="BA102" s="77"/>
      <c r="BB102" s="77"/>
      <c r="BJ102" s="75"/>
      <c r="BK102" s="75"/>
      <c r="BL102" s="75"/>
      <c r="BM102" s="75"/>
      <c r="BN102" s="75"/>
      <c r="BO102" s="75"/>
      <c r="BP102" s="75"/>
      <c r="BR102" s="77"/>
      <c r="BS102" s="77"/>
      <c r="CA102" s="75"/>
      <c r="CB102" s="75"/>
      <c r="CC102" s="75"/>
      <c r="CD102" s="75"/>
      <c r="CE102" s="75"/>
      <c r="CF102" s="75"/>
      <c r="CG102" s="75"/>
      <c r="CI102" s="77"/>
      <c r="CJ102" s="77"/>
      <c r="CR102" s="75"/>
      <c r="CS102" s="75"/>
      <c r="CT102" s="75"/>
      <c r="CU102" s="75"/>
      <c r="CV102" s="75"/>
      <c r="CW102" s="75"/>
      <c r="CX102" s="75"/>
      <c r="CZ102" s="77"/>
      <c r="DA102" s="77"/>
      <c r="DI102" s="75"/>
      <c r="DJ102" s="75"/>
      <c r="DK102" s="75"/>
      <c r="DL102" s="75"/>
      <c r="DM102" s="75"/>
      <c r="DN102" s="75"/>
      <c r="DO102" s="75"/>
      <c r="DQ102" s="77"/>
      <c r="DR102" s="77"/>
      <c r="DZ102" s="75"/>
      <c r="EA102" s="75"/>
      <c r="EB102" s="75"/>
      <c r="EC102" s="75"/>
      <c r="ED102" s="75"/>
      <c r="EE102" s="75"/>
      <c r="EF102" s="75"/>
      <c r="EH102" s="77"/>
      <c r="EI102" s="77"/>
      <c r="EQ102" s="75"/>
      <c r="ER102" s="75"/>
      <c r="ES102" s="75"/>
      <c r="ET102" s="75"/>
      <c r="EU102" s="75"/>
      <c r="EV102" s="75"/>
      <c r="EW102" s="75"/>
      <c r="EY102" s="77"/>
      <c r="EZ102" s="77"/>
      <c r="FH102" s="75"/>
      <c r="FI102" s="75"/>
      <c r="FJ102" s="75"/>
      <c r="FK102" s="75"/>
      <c r="FL102" s="75"/>
      <c r="FM102" s="75"/>
      <c r="FN102" s="75"/>
      <c r="FP102" s="77"/>
      <c r="FQ102" s="77"/>
      <c r="FY102" s="75"/>
      <c r="FZ102" s="75"/>
      <c r="GA102" s="75"/>
      <c r="GB102" s="75"/>
      <c r="GC102" s="75"/>
      <c r="GD102" s="75"/>
      <c r="GE102" s="75"/>
      <c r="GG102" s="77"/>
      <c r="GH102" s="77"/>
      <c r="GP102" s="75"/>
      <c r="GQ102" s="75"/>
      <c r="GR102" s="75"/>
      <c r="GS102" s="75"/>
      <c r="GT102" s="75"/>
      <c r="GU102" s="75"/>
      <c r="GV102" s="75"/>
      <c r="GX102" s="77"/>
      <c r="GY102" s="77"/>
      <c r="HG102" s="75"/>
      <c r="HH102" s="75"/>
      <c r="HI102" s="75"/>
      <c r="HJ102" s="75"/>
      <c r="HK102" s="75"/>
      <c r="HL102" s="75"/>
      <c r="HM102" s="75"/>
      <c r="HO102" s="77"/>
      <c r="HP102" s="77"/>
      <c r="HX102" s="75"/>
      <c r="HY102" s="75"/>
      <c r="HZ102" s="75"/>
      <c r="IA102" s="75"/>
      <c r="IB102" s="75"/>
      <c r="IC102" s="75"/>
      <c r="ID102" s="75"/>
      <c r="IF102" s="77"/>
      <c r="IG102" s="77"/>
    </row>
    <row r="103" spans="1:241" s="78" customFormat="1" ht="30" hidden="1" customHeight="1" x14ac:dyDescent="0.2">
      <c r="A103" s="128"/>
      <c r="C103" s="119">
        <v>5</v>
      </c>
      <c r="D103" s="121" t="str">
        <f t="shared" si="966"/>
        <v>JUAN CARLOS RESTREPO GUTIERREZ</v>
      </c>
      <c r="E103" s="130">
        <f t="shared" ca="1" si="964"/>
        <v>492533698</v>
      </c>
      <c r="F103" s="122" t="str">
        <f t="shared" si="967"/>
        <v>$CF$82</v>
      </c>
      <c r="G103" s="131">
        <f t="shared" si="969"/>
        <v>84</v>
      </c>
      <c r="K103" s="119">
        <v>5</v>
      </c>
      <c r="L103" s="121" t="str">
        <f t="shared" si="965"/>
        <v>JUAN CARLOS RESTREPO GUTIERREZ</v>
      </c>
      <c r="M103" s="119" t="str">
        <f t="shared" si="968"/>
        <v>H</v>
      </c>
      <c r="AB103" s="75"/>
      <c r="AC103" s="75"/>
      <c r="AD103" s="75"/>
      <c r="AE103" s="75"/>
      <c r="AF103" s="75"/>
      <c r="AG103" s="75"/>
      <c r="AH103" s="75"/>
      <c r="AS103" s="75"/>
      <c r="AT103" s="75"/>
      <c r="AU103" s="75"/>
      <c r="AV103" s="75"/>
      <c r="AW103" s="75"/>
      <c r="AX103" s="75"/>
      <c r="AY103" s="75"/>
      <c r="BJ103" s="75"/>
      <c r="BK103" s="75"/>
      <c r="BL103" s="75"/>
      <c r="BM103" s="75"/>
      <c r="BN103" s="75"/>
      <c r="BO103" s="75"/>
      <c r="BP103" s="75"/>
      <c r="CA103" s="75"/>
      <c r="CB103" s="75"/>
      <c r="CC103" s="75"/>
      <c r="CD103" s="75"/>
      <c r="CE103" s="75"/>
      <c r="CF103" s="75"/>
      <c r="CG103" s="75"/>
      <c r="CR103" s="75"/>
      <c r="CS103" s="75"/>
      <c r="CT103" s="75"/>
      <c r="CU103" s="75"/>
      <c r="CV103" s="75"/>
      <c r="CW103" s="75"/>
      <c r="CX103" s="75"/>
      <c r="DI103" s="75"/>
      <c r="DJ103" s="75"/>
      <c r="DK103" s="75"/>
      <c r="DL103" s="75"/>
      <c r="DM103" s="75"/>
      <c r="DN103" s="75"/>
      <c r="DO103" s="75"/>
      <c r="DZ103" s="75"/>
      <c r="EA103" s="75"/>
      <c r="EB103" s="75"/>
      <c r="EC103" s="75"/>
      <c r="ED103" s="75"/>
      <c r="EE103" s="75"/>
      <c r="EF103" s="75"/>
      <c r="EQ103" s="75"/>
      <c r="ER103" s="75"/>
      <c r="ES103" s="75"/>
      <c r="ET103" s="75"/>
      <c r="EU103" s="75"/>
      <c r="EV103" s="75"/>
      <c r="EW103" s="75"/>
      <c r="FH103" s="75"/>
      <c r="FI103" s="75"/>
      <c r="FJ103" s="75"/>
      <c r="FK103" s="75"/>
      <c r="FL103" s="75"/>
      <c r="FM103" s="75"/>
      <c r="FN103" s="75"/>
      <c r="FY103" s="75"/>
      <c r="FZ103" s="75"/>
      <c r="GA103" s="75"/>
      <c r="GB103" s="75"/>
      <c r="GC103" s="75"/>
      <c r="GD103" s="75"/>
      <c r="GE103" s="75"/>
      <c r="GP103" s="75"/>
      <c r="GQ103" s="75"/>
      <c r="GR103" s="75"/>
      <c r="GS103" s="75"/>
      <c r="GT103" s="75"/>
      <c r="GU103" s="75"/>
      <c r="GV103" s="75"/>
      <c r="HG103" s="75"/>
      <c r="HH103" s="75"/>
      <c r="HI103" s="75"/>
      <c r="HJ103" s="75"/>
      <c r="HK103" s="75"/>
      <c r="HL103" s="75"/>
      <c r="HM103" s="75"/>
      <c r="HX103" s="75"/>
      <c r="HY103" s="75"/>
      <c r="HZ103" s="75"/>
      <c r="IA103" s="75"/>
      <c r="IB103" s="75"/>
      <c r="IC103" s="75"/>
      <c r="ID103" s="75"/>
    </row>
    <row r="104" spans="1:241" s="78" customFormat="1" ht="30" hidden="1" customHeight="1" x14ac:dyDescent="0.2">
      <c r="A104" s="128"/>
      <c r="C104" s="119">
        <v>6</v>
      </c>
      <c r="D104" s="121" t="str">
        <f t="shared" si="966"/>
        <v>ANGELA MARÍA CÁRDENAS ZAPATA</v>
      </c>
      <c r="E104" s="130">
        <f t="shared" ca="1" si="964"/>
        <v>493698540</v>
      </c>
      <c r="F104" s="122" t="str">
        <f t="shared" si="967"/>
        <v>$CW$82</v>
      </c>
      <c r="G104" s="131">
        <f t="shared" si="969"/>
        <v>101</v>
      </c>
      <c r="K104" s="119">
        <v>6</v>
      </c>
      <c r="L104" s="121" t="str">
        <f t="shared" si="965"/>
        <v>ANGELA MARÍA CÁRDENAS ZAPATA</v>
      </c>
      <c r="M104" s="119" t="str">
        <f t="shared" si="968"/>
        <v>H</v>
      </c>
      <c r="AB104" s="75"/>
      <c r="AC104" s="75"/>
      <c r="AD104" s="75"/>
      <c r="AE104" s="75"/>
      <c r="AF104" s="75"/>
      <c r="AG104" s="75"/>
      <c r="AH104" s="75"/>
      <c r="AS104" s="75"/>
      <c r="AT104" s="75"/>
      <c r="AU104" s="75"/>
      <c r="AV104" s="75"/>
      <c r="AW104" s="75"/>
      <c r="AX104" s="75"/>
      <c r="AY104" s="75"/>
      <c r="BJ104" s="75"/>
      <c r="BK104" s="75"/>
      <c r="BL104" s="75"/>
      <c r="BM104" s="75"/>
      <c r="BN104" s="75"/>
      <c r="BO104" s="75"/>
      <c r="BP104" s="75"/>
      <c r="CA104" s="75"/>
      <c r="CB104" s="75"/>
      <c r="CC104" s="75"/>
      <c r="CD104" s="75"/>
      <c r="CE104" s="75"/>
      <c r="CF104" s="75"/>
      <c r="CG104" s="75"/>
      <c r="CR104" s="75"/>
      <c r="CS104" s="75"/>
      <c r="CT104" s="75"/>
      <c r="CU104" s="75"/>
      <c r="CV104" s="75"/>
      <c r="CW104" s="75"/>
      <c r="CX104" s="75"/>
      <c r="DI104" s="75"/>
      <c r="DJ104" s="75"/>
      <c r="DK104" s="75"/>
      <c r="DL104" s="75"/>
      <c r="DM104" s="75"/>
      <c r="DN104" s="75"/>
      <c r="DO104" s="75"/>
      <c r="DZ104" s="75"/>
      <c r="EA104" s="75"/>
      <c r="EB104" s="75"/>
      <c r="EC104" s="75"/>
      <c r="ED104" s="75"/>
      <c r="EE104" s="75"/>
      <c r="EF104" s="75"/>
      <c r="EQ104" s="75"/>
      <c r="ER104" s="75"/>
      <c r="ES104" s="75"/>
      <c r="ET104" s="75"/>
      <c r="EU104" s="75"/>
      <c r="EV104" s="75"/>
      <c r="EW104" s="75"/>
      <c r="FH104" s="75"/>
      <c r="FI104" s="75"/>
      <c r="FJ104" s="75"/>
      <c r="FK104" s="75"/>
      <c r="FL104" s="75"/>
      <c r="FM104" s="75"/>
      <c r="FN104" s="75"/>
      <c r="FY104" s="75"/>
      <c r="FZ104" s="75"/>
      <c r="GA104" s="75"/>
      <c r="GB104" s="75"/>
      <c r="GC104" s="75"/>
      <c r="GD104" s="75"/>
      <c r="GE104" s="75"/>
      <c r="GP104" s="75"/>
      <c r="GQ104" s="75"/>
      <c r="GR104" s="75"/>
      <c r="GS104" s="75"/>
      <c r="GT104" s="75"/>
      <c r="GU104" s="75"/>
      <c r="GV104" s="75"/>
      <c r="HG104" s="75"/>
      <c r="HH104" s="75"/>
      <c r="HI104" s="75"/>
      <c r="HJ104" s="75"/>
      <c r="HK104" s="75"/>
      <c r="HL104" s="75"/>
      <c r="HM104" s="75"/>
      <c r="HX104" s="75"/>
      <c r="HY104" s="75"/>
      <c r="HZ104" s="75"/>
      <c r="IA104" s="75"/>
      <c r="IB104" s="75"/>
      <c r="IC104" s="75"/>
      <c r="ID104" s="75"/>
    </row>
    <row r="105" spans="1:241" s="78" customFormat="1" ht="30" hidden="1" customHeight="1" x14ac:dyDescent="0.2">
      <c r="A105" s="128"/>
      <c r="C105" s="119">
        <v>7</v>
      </c>
      <c r="D105" s="121" t="str">
        <f t="shared" si="966"/>
        <v>ASEM S.A.S</v>
      </c>
      <c r="E105" s="130">
        <f t="shared" ca="1" si="964"/>
        <v>499520972</v>
      </c>
      <c r="F105" s="122" t="str">
        <f t="shared" si="967"/>
        <v>$DN$82</v>
      </c>
      <c r="G105" s="131">
        <f t="shared" si="969"/>
        <v>118</v>
      </c>
      <c r="K105" s="119">
        <v>7</v>
      </c>
      <c r="L105" s="121" t="str">
        <f t="shared" si="965"/>
        <v>ASEM S.A.S</v>
      </c>
      <c r="M105" s="119" t="str">
        <f t="shared" si="968"/>
        <v>H</v>
      </c>
      <c r="AB105" s="75"/>
      <c r="AC105" s="75"/>
      <c r="AD105" s="75"/>
      <c r="AE105" s="75"/>
      <c r="AF105" s="75"/>
      <c r="AG105" s="75"/>
      <c r="AH105" s="75"/>
      <c r="AS105" s="75"/>
      <c r="AT105" s="75"/>
      <c r="AU105" s="75"/>
      <c r="AV105" s="75"/>
      <c r="AW105" s="75"/>
      <c r="AX105" s="75"/>
      <c r="AY105" s="75"/>
      <c r="BJ105" s="75"/>
      <c r="BK105" s="75"/>
      <c r="BL105" s="75"/>
      <c r="BM105" s="75"/>
      <c r="BN105" s="75"/>
      <c r="BO105" s="75"/>
      <c r="BP105" s="75"/>
      <c r="CA105" s="75"/>
      <c r="CB105" s="75"/>
      <c r="CC105" s="75"/>
      <c r="CD105" s="75"/>
      <c r="CE105" s="75"/>
      <c r="CF105" s="75"/>
      <c r="CG105" s="75"/>
      <c r="CR105" s="75"/>
      <c r="CS105" s="75"/>
      <c r="CT105" s="75"/>
      <c r="CU105" s="75"/>
      <c r="CV105" s="75"/>
      <c r="CW105" s="75"/>
      <c r="CX105" s="75"/>
      <c r="DI105" s="75"/>
      <c r="DJ105" s="75"/>
      <c r="DK105" s="75"/>
      <c r="DL105" s="75"/>
      <c r="DM105" s="75"/>
      <c r="DN105" s="75"/>
      <c r="DO105" s="75"/>
      <c r="DZ105" s="75"/>
      <c r="EA105" s="75"/>
      <c r="EB105" s="75"/>
      <c r="EC105" s="75"/>
      <c r="ED105" s="75"/>
      <c r="EE105" s="75"/>
      <c r="EF105" s="75"/>
      <c r="EQ105" s="75"/>
      <c r="ER105" s="75"/>
      <c r="ES105" s="75"/>
      <c r="ET105" s="75"/>
      <c r="EU105" s="75"/>
      <c r="EV105" s="75"/>
      <c r="EW105" s="75"/>
      <c r="FH105" s="75"/>
      <c r="FI105" s="75"/>
      <c r="FJ105" s="75"/>
      <c r="FK105" s="75"/>
      <c r="FL105" s="75"/>
      <c r="FM105" s="75"/>
      <c r="FN105" s="75"/>
      <c r="FY105" s="75"/>
      <c r="FZ105" s="75"/>
      <c r="GA105" s="75"/>
      <c r="GB105" s="75"/>
      <c r="GC105" s="75"/>
      <c r="GD105" s="75"/>
      <c r="GE105" s="75"/>
      <c r="GP105" s="75"/>
      <c r="GQ105" s="75"/>
      <c r="GR105" s="75"/>
      <c r="GS105" s="75"/>
      <c r="GT105" s="75"/>
      <c r="GU105" s="75"/>
      <c r="GV105" s="75"/>
      <c r="HG105" s="75"/>
      <c r="HH105" s="75"/>
      <c r="HI105" s="75"/>
      <c r="HJ105" s="75"/>
      <c r="HK105" s="75"/>
      <c r="HL105" s="75"/>
      <c r="HM105" s="75"/>
      <c r="HX105" s="75"/>
      <c r="HY105" s="75"/>
      <c r="HZ105" s="75"/>
      <c r="IA105" s="75"/>
      <c r="IB105" s="75"/>
      <c r="IC105" s="75"/>
      <c r="ID105" s="75"/>
    </row>
    <row r="106" spans="1:241" s="78" customFormat="1" ht="30" hidden="1" customHeight="1" x14ac:dyDescent="0.2">
      <c r="A106" s="128"/>
      <c r="C106" s="119">
        <v>8</v>
      </c>
      <c r="D106" s="121" t="str">
        <f t="shared" si="966"/>
        <v>LUIS CARLOS PARRA VELASQUEZ</v>
      </c>
      <c r="E106" s="130">
        <f t="shared" ca="1" si="964"/>
        <v>484238930</v>
      </c>
      <c r="F106" s="122" t="str">
        <f t="shared" si="967"/>
        <v>$EE$82</v>
      </c>
      <c r="G106" s="131">
        <f t="shared" si="969"/>
        <v>135</v>
      </c>
      <c r="K106" s="119">
        <v>8</v>
      </c>
      <c r="L106" s="121" t="str">
        <f t="shared" si="965"/>
        <v>LUIS CARLOS PARRA VELASQUEZ</v>
      </c>
      <c r="M106" s="119" t="str">
        <f t="shared" si="968"/>
        <v>H</v>
      </c>
      <c r="AB106" s="75"/>
      <c r="AC106" s="75"/>
      <c r="AD106" s="75"/>
      <c r="AE106" s="75"/>
      <c r="AF106" s="75"/>
      <c r="AG106" s="75"/>
      <c r="AH106" s="75"/>
      <c r="AS106" s="75"/>
      <c r="AT106" s="75"/>
      <c r="AU106" s="75"/>
      <c r="AV106" s="75"/>
      <c r="AW106" s="75"/>
      <c r="AX106" s="75"/>
      <c r="AY106" s="75"/>
      <c r="BJ106" s="75"/>
      <c r="BK106" s="75"/>
      <c r="BL106" s="75"/>
      <c r="BM106" s="75"/>
      <c r="BN106" s="75"/>
      <c r="BO106" s="75"/>
      <c r="BP106" s="75"/>
      <c r="CA106" s="75"/>
      <c r="CB106" s="75"/>
      <c r="CC106" s="75"/>
      <c r="CD106" s="75"/>
      <c r="CE106" s="75"/>
      <c r="CF106" s="75"/>
      <c r="CG106" s="75"/>
      <c r="CR106" s="75"/>
      <c r="CS106" s="75"/>
      <c r="CT106" s="75"/>
      <c r="CU106" s="75"/>
      <c r="CV106" s="75"/>
      <c r="CW106" s="75"/>
      <c r="CX106" s="75"/>
      <c r="DI106" s="75"/>
      <c r="DJ106" s="75"/>
      <c r="DK106" s="75"/>
      <c r="DL106" s="75"/>
      <c r="DM106" s="75"/>
      <c r="DN106" s="75"/>
      <c r="DO106" s="75"/>
      <c r="DZ106" s="75"/>
      <c r="EA106" s="75"/>
      <c r="EB106" s="75"/>
      <c r="EC106" s="75"/>
      <c r="ED106" s="75"/>
      <c r="EE106" s="75"/>
      <c r="EF106" s="75"/>
      <c r="EQ106" s="75"/>
      <c r="ER106" s="75"/>
      <c r="ES106" s="75"/>
      <c r="ET106" s="75"/>
      <c r="EU106" s="75"/>
      <c r="EV106" s="75"/>
      <c r="EW106" s="75"/>
      <c r="FH106" s="75"/>
      <c r="FI106" s="75"/>
      <c r="FJ106" s="75"/>
      <c r="FK106" s="75"/>
      <c r="FL106" s="75"/>
      <c r="FM106" s="75"/>
      <c r="FN106" s="75"/>
      <c r="FY106" s="75"/>
      <c r="FZ106" s="75"/>
      <c r="GA106" s="75"/>
      <c r="GB106" s="75"/>
      <c r="GC106" s="75"/>
      <c r="GD106" s="75"/>
      <c r="GE106" s="75"/>
      <c r="GP106" s="75"/>
      <c r="GQ106" s="75"/>
      <c r="GR106" s="75"/>
      <c r="GS106" s="75"/>
      <c r="GT106" s="75"/>
      <c r="GU106" s="75"/>
      <c r="GV106" s="75"/>
      <c r="HG106" s="75"/>
      <c r="HH106" s="75"/>
      <c r="HI106" s="75"/>
      <c r="HJ106" s="75"/>
      <c r="HK106" s="75"/>
      <c r="HL106" s="75"/>
      <c r="HM106" s="75"/>
      <c r="HX106" s="75"/>
      <c r="HY106" s="75"/>
      <c r="HZ106" s="75"/>
      <c r="IA106" s="75"/>
      <c r="IB106" s="75"/>
      <c r="IC106" s="75"/>
      <c r="ID106" s="75"/>
    </row>
    <row r="107" spans="1:241" s="78" customFormat="1" ht="30" hidden="1" customHeight="1" x14ac:dyDescent="0.2">
      <c r="A107" s="128"/>
      <c r="C107" s="119">
        <v>9</v>
      </c>
      <c r="D107" s="121" t="str">
        <f t="shared" si="966"/>
        <v>KA S.A.</v>
      </c>
      <c r="E107" s="130">
        <f t="shared" ca="1" si="964"/>
        <v>490529016</v>
      </c>
      <c r="F107" s="122" t="str">
        <f t="shared" si="967"/>
        <v>$EV$82</v>
      </c>
      <c r="G107" s="131">
        <f t="shared" si="969"/>
        <v>152</v>
      </c>
      <c r="K107" s="119">
        <v>9</v>
      </c>
      <c r="L107" s="121" t="str">
        <f t="shared" si="965"/>
        <v>KA S.A.</v>
      </c>
      <c r="M107" s="119" t="str">
        <f t="shared" si="968"/>
        <v>H</v>
      </c>
      <c r="AB107" s="75"/>
      <c r="AC107" s="75"/>
      <c r="AD107" s="75"/>
      <c r="AE107" s="75"/>
      <c r="AF107" s="75"/>
      <c r="AG107" s="75"/>
      <c r="AH107" s="75"/>
      <c r="AS107" s="75"/>
      <c r="AT107" s="75"/>
      <c r="AU107" s="75"/>
      <c r="AV107" s="75"/>
      <c r="AW107" s="75"/>
      <c r="AX107" s="75"/>
      <c r="AY107" s="75"/>
      <c r="BJ107" s="75"/>
      <c r="BK107" s="75"/>
      <c r="BL107" s="75"/>
      <c r="BM107" s="75"/>
      <c r="BN107" s="75"/>
      <c r="BO107" s="75"/>
      <c r="BP107" s="75"/>
      <c r="CA107" s="75"/>
      <c r="CB107" s="75"/>
      <c r="CC107" s="75"/>
      <c r="CD107" s="75"/>
      <c r="CE107" s="75"/>
      <c r="CF107" s="75"/>
      <c r="CG107" s="75"/>
      <c r="CR107" s="75"/>
      <c r="CS107" s="75"/>
      <c r="CT107" s="75"/>
      <c r="CU107" s="75"/>
      <c r="CV107" s="75"/>
      <c r="CW107" s="75"/>
      <c r="CX107" s="75"/>
      <c r="DI107" s="75"/>
      <c r="DJ107" s="75"/>
      <c r="DK107" s="75"/>
      <c r="DL107" s="75"/>
      <c r="DM107" s="75"/>
      <c r="DN107" s="75"/>
      <c r="DO107" s="75"/>
      <c r="DZ107" s="75"/>
      <c r="EA107" s="75"/>
      <c r="EB107" s="75"/>
      <c r="EC107" s="75"/>
      <c r="ED107" s="75"/>
      <c r="EE107" s="75"/>
      <c r="EF107" s="75"/>
      <c r="EQ107" s="75"/>
      <c r="ER107" s="75"/>
      <c r="ES107" s="75"/>
      <c r="ET107" s="75"/>
      <c r="EU107" s="75"/>
      <c r="EV107" s="75"/>
      <c r="EW107" s="75"/>
      <c r="FH107" s="75"/>
      <c r="FI107" s="75"/>
      <c r="FJ107" s="75"/>
      <c r="FK107" s="75"/>
      <c r="FL107" s="75"/>
      <c r="FM107" s="75"/>
      <c r="FN107" s="75"/>
      <c r="FY107" s="75"/>
      <c r="FZ107" s="75"/>
      <c r="GA107" s="75"/>
      <c r="GB107" s="75"/>
      <c r="GC107" s="75"/>
      <c r="GD107" s="75"/>
      <c r="GE107" s="75"/>
      <c r="GP107" s="75"/>
      <c r="GQ107" s="75"/>
      <c r="GR107" s="75"/>
      <c r="GS107" s="75"/>
      <c r="GT107" s="75"/>
      <c r="GU107" s="75"/>
      <c r="GV107" s="75"/>
      <c r="HG107" s="75"/>
      <c r="HH107" s="75"/>
      <c r="HI107" s="75"/>
      <c r="HJ107" s="75"/>
      <c r="HK107" s="75"/>
      <c r="HL107" s="75"/>
      <c r="HM107" s="75"/>
      <c r="HX107" s="75"/>
      <c r="HY107" s="75"/>
      <c r="HZ107" s="75"/>
      <c r="IA107" s="75"/>
      <c r="IB107" s="75"/>
      <c r="IC107" s="75"/>
      <c r="ID107" s="75"/>
    </row>
    <row r="108" spans="1:241" s="78" customFormat="1" ht="30" hidden="1" customHeight="1" x14ac:dyDescent="0.2">
      <c r="A108" s="128"/>
      <c r="C108" s="119">
        <v>10</v>
      </c>
      <c r="D108" s="121" t="str">
        <f t="shared" si="966"/>
        <v xml:space="preserve">DANIEL JOSE NIEVES VERGARA </v>
      </c>
      <c r="E108" s="130">
        <f t="shared" ca="1" si="964"/>
        <v>499810262</v>
      </c>
      <c r="F108" s="122" t="str">
        <f t="shared" si="967"/>
        <v>$FM$82</v>
      </c>
      <c r="G108" s="131">
        <f t="shared" si="969"/>
        <v>169</v>
      </c>
      <c r="K108" s="119">
        <v>10</v>
      </c>
      <c r="L108" s="121" t="str">
        <f t="shared" si="965"/>
        <v xml:space="preserve">DANIEL JOSE NIEVES VERGARA </v>
      </c>
      <c r="M108" s="119" t="str">
        <f t="shared" si="968"/>
        <v>H</v>
      </c>
      <c r="AB108" s="75"/>
      <c r="AC108" s="75"/>
      <c r="AD108" s="75"/>
      <c r="AE108" s="75"/>
      <c r="AF108" s="75"/>
      <c r="AG108" s="75"/>
      <c r="AH108" s="75"/>
      <c r="AS108" s="75"/>
      <c r="AT108" s="75"/>
      <c r="AU108" s="75"/>
      <c r="AV108" s="75"/>
      <c r="AW108" s="75"/>
      <c r="AX108" s="75"/>
      <c r="AY108" s="75"/>
      <c r="BJ108" s="75"/>
      <c r="BK108" s="75"/>
      <c r="BL108" s="75"/>
      <c r="BM108" s="75"/>
      <c r="BN108" s="75"/>
      <c r="BO108" s="75"/>
      <c r="BP108" s="75"/>
      <c r="CA108" s="75"/>
      <c r="CB108" s="75"/>
      <c r="CC108" s="75"/>
      <c r="CD108" s="75"/>
      <c r="CE108" s="75"/>
      <c r="CF108" s="75"/>
      <c r="CG108" s="75"/>
      <c r="CR108" s="75"/>
      <c r="CS108" s="75"/>
      <c r="CT108" s="75"/>
      <c r="CU108" s="75"/>
      <c r="CV108" s="75"/>
      <c r="CW108" s="75"/>
      <c r="CX108" s="75"/>
      <c r="DI108" s="75"/>
      <c r="DJ108" s="75"/>
      <c r="DK108" s="75"/>
      <c r="DL108" s="75"/>
      <c r="DM108" s="75"/>
      <c r="DN108" s="75"/>
      <c r="DO108" s="75"/>
      <c r="DZ108" s="75"/>
      <c r="EA108" s="75"/>
      <c r="EB108" s="75"/>
      <c r="EC108" s="75"/>
      <c r="ED108" s="75"/>
      <c r="EE108" s="75"/>
      <c r="EF108" s="75"/>
      <c r="EQ108" s="75"/>
      <c r="ER108" s="75"/>
      <c r="ES108" s="75"/>
      <c r="ET108" s="75"/>
      <c r="EU108" s="75"/>
      <c r="EV108" s="75"/>
      <c r="EW108" s="75"/>
      <c r="FH108" s="75"/>
      <c r="FI108" s="75"/>
      <c r="FJ108" s="75"/>
      <c r="FK108" s="75"/>
      <c r="FL108" s="75"/>
      <c r="FM108" s="75"/>
      <c r="FN108" s="75"/>
      <c r="FY108" s="75"/>
      <c r="FZ108" s="75"/>
      <c r="GA108" s="75"/>
      <c r="GB108" s="75"/>
      <c r="GC108" s="75"/>
      <c r="GD108" s="75"/>
      <c r="GE108" s="75"/>
      <c r="GP108" s="75"/>
      <c r="GQ108" s="75"/>
      <c r="GR108" s="75"/>
      <c r="GS108" s="75"/>
      <c r="GT108" s="75"/>
      <c r="GU108" s="75"/>
      <c r="GV108" s="75"/>
      <c r="HG108" s="75"/>
      <c r="HH108" s="75"/>
      <c r="HI108" s="75"/>
      <c r="HJ108" s="75"/>
      <c r="HK108" s="75"/>
      <c r="HL108" s="75"/>
      <c r="HM108" s="75"/>
      <c r="HX108" s="75"/>
      <c r="HY108" s="75"/>
      <c r="HZ108" s="75"/>
      <c r="IA108" s="75"/>
      <c r="IB108" s="75"/>
      <c r="IC108" s="75"/>
      <c r="ID108" s="75"/>
    </row>
    <row r="109" spans="1:241" s="78" customFormat="1" ht="30" hidden="1" customHeight="1" x14ac:dyDescent="0.2">
      <c r="A109" s="128"/>
      <c r="C109" s="119">
        <v>11</v>
      </c>
      <c r="D109" s="121" t="str">
        <f t="shared" si="966"/>
        <v xml:space="preserve">CARLOS ANDRES ACEBEDO ESCOBAR </v>
      </c>
      <c r="E109" s="130">
        <f t="shared" ca="1" si="964"/>
        <v>497389629</v>
      </c>
      <c r="F109" s="122" t="str">
        <f t="shared" si="967"/>
        <v>$GD$82</v>
      </c>
      <c r="G109" s="131">
        <f t="shared" si="969"/>
        <v>186</v>
      </c>
      <c r="K109" s="119">
        <v>11</v>
      </c>
      <c r="L109" s="121" t="str">
        <f t="shared" si="965"/>
        <v xml:space="preserve">CARLOS ANDRES ACEBEDO ESCOBAR </v>
      </c>
      <c r="M109" s="119" t="str">
        <f t="shared" si="968"/>
        <v>H</v>
      </c>
      <c r="AB109" s="75"/>
      <c r="AC109" s="75"/>
      <c r="AD109" s="75"/>
      <c r="AE109" s="75"/>
      <c r="AF109" s="75"/>
      <c r="AG109" s="75"/>
      <c r="AH109" s="75"/>
      <c r="AS109" s="75"/>
      <c r="AT109" s="75"/>
      <c r="AU109" s="75"/>
      <c r="AV109" s="75"/>
      <c r="AW109" s="75"/>
      <c r="AX109" s="75"/>
      <c r="AY109" s="75"/>
      <c r="BJ109" s="75"/>
      <c r="BK109" s="75"/>
      <c r="BL109" s="75"/>
      <c r="BM109" s="75"/>
      <c r="BN109" s="75"/>
      <c r="BO109" s="75"/>
      <c r="BP109" s="75"/>
      <c r="CA109" s="75"/>
      <c r="CB109" s="75"/>
      <c r="CC109" s="75"/>
      <c r="CD109" s="75"/>
      <c r="CE109" s="75"/>
      <c r="CF109" s="75"/>
      <c r="CG109" s="75"/>
      <c r="CR109" s="75"/>
      <c r="CS109" s="75"/>
      <c r="CT109" s="75"/>
      <c r="CU109" s="75"/>
      <c r="CV109" s="75"/>
      <c r="CW109" s="75"/>
      <c r="CX109" s="75"/>
      <c r="DI109" s="75"/>
      <c r="DJ109" s="75"/>
      <c r="DK109" s="75"/>
      <c r="DL109" s="75"/>
      <c r="DM109" s="75"/>
      <c r="DN109" s="75"/>
      <c r="DO109" s="75"/>
      <c r="DZ109" s="75"/>
      <c r="EA109" s="75"/>
      <c r="EB109" s="75"/>
      <c r="EC109" s="75"/>
      <c r="ED109" s="75"/>
      <c r="EE109" s="75"/>
      <c r="EF109" s="75"/>
      <c r="EQ109" s="75"/>
      <c r="ER109" s="75"/>
      <c r="ES109" s="75"/>
      <c r="ET109" s="75"/>
      <c r="EU109" s="75"/>
      <c r="EV109" s="75"/>
      <c r="EW109" s="75"/>
      <c r="FH109" s="75"/>
      <c r="FI109" s="75"/>
      <c r="FJ109" s="75"/>
      <c r="FK109" s="75"/>
      <c r="FL109" s="75"/>
      <c r="FM109" s="75"/>
      <c r="FN109" s="75"/>
      <c r="FY109" s="75"/>
      <c r="FZ109" s="75"/>
      <c r="GA109" s="75"/>
      <c r="GB109" s="75"/>
      <c r="GC109" s="75"/>
      <c r="GD109" s="75"/>
      <c r="GE109" s="75"/>
      <c r="GP109" s="75"/>
      <c r="GQ109" s="75"/>
      <c r="GR109" s="75"/>
      <c r="GS109" s="75"/>
      <c r="GT109" s="75"/>
      <c r="GU109" s="75"/>
      <c r="GV109" s="75"/>
      <c r="HG109" s="75"/>
      <c r="HH109" s="75"/>
      <c r="HI109" s="75"/>
      <c r="HJ109" s="75"/>
      <c r="HK109" s="75"/>
      <c r="HL109" s="75"/>
      <c r="HM109" s="75"/>
      <c r="HX109" s="75"/>
      <c r="HY109" s="75"/>
      <c r="HZ109" s="75"/>
      <c r="IA109" s="75"/>
      <c r="IB109" s="75"/>
      <c r="IC109" s="75"/>
      <c r="ID109" s="75"/>
    </row>
    <row r="110" spans="1:241" s="78" customFormat="1" ht="30" hidden="1" customHeight="1" x14ac:dyDescent="0.2">
      <c r="A110" s="128"/>
      <c r="C110" s="119">
        <v>12</v>
      </c>
      <c r="D110" s="121" t="str">
        <f t="shared" si="966"/>
        <v>CONDEIN S.A.S</v>
      </c>
      <c r="E110" s="130">
        <f t="shared" ca="1" si="964"/>
        <v>477981348</v>
      </c>
      <c r="F110" s="122" t="str">
        <f t="shared" si="967"/>
        <v>$GU$82</v>
      </c>
      <c r="G110" s="131">
        <f t="shared" si="969"/>
        <v>203</v>
      </c>
      <c r="K110" s="119">
        <v>12</v>
      </c>
      <c r="L110" s="121" t="str">
        <f t="shared" si="965"/>
        <v>CONDEIN S.A.S</v>
      </c>
      <c r="M110" s="119" t="str">
        <f t="shared" si="968"/>
        <v>H</v>
      </c>
      <c r="AB110" s="75"/>
      <c r="AC110" s="75"/>
      <c r="AD110" s="75"/>
      <c r="AE110" s="75"/>
      <c r="AF110" s="75"/>
      <c r="AG110" s="75"/>
      <c r="AH110" s="75"/>
      <c r="AS110" s="75"/>
      <c r="AT110" s="75"/>
      <c r="AU110" s="75"/>
      <c r="AV110" s="75"/>
      <c r="AW110" s="75"/>
      <c r="AX110" s="75"/>
      <c r="AY110" s="75"/>
      <c r="BJ110" s="75"/>
      <c r="BK110" s="75"/>
      <c r="BL110" s="75"/>
      <c r="BM110" s="75"/>
      <c r="BN110" s="75"/>
      <c r="BO110" s="75"/>
      <c r="BP110" s="75"/>
      <c r="CA110" s="75"/>
      <c r="CB110" s="75"/>
      <c r="CC110" s="75"/>
      <c r="CD110" s="75"/>
      <c r="CE110" s="75"/>
      <c r="CF110" s="75"/>
      <c r="CG110" s="75"/>
      <c r="CR110" s="75"/>
      <c r="CS110" s="75"/>
      <c r="CT110" s="75"/>
      <c r="CU110" s="75"/>
      <c r="CV110" s="75"/>
      <c r="CW110" s="75"/>
      <c r="CX110" s="75"/>
      <c r="DI110" s="75"/>
      <c r="DJ110" s="75"/>
      <c r="DK110" s="75"/>
      <c r="DL110" s="75"/>
      <c r="DM110" s="75"/>
      <c r="DN110" s="75"/>
      <c r="DO110" s="75"/>
      <c r="DZ110" s="75"/>
      <c r="EA110" s="75"/>
      <c r="EB110" s="75"/>
      <c r="EC110" s="75"/>
      <c r="ED110" s="75"/>
      <c r="EE110" s="75"/>
      <c r="EF110" s="75"/>
      <c r="EQ110" s="75"/>
      <c r="ER110" s="75"/>
      <c r="ES110" s="75"/>
      <c r="ET110" s="75"/>
      <c r="EU110" s="75"/>
      <c r="EV110" s="75"/>
      <c r="EW110" s="75"/>
      <c r="FH110" s="75"/>
      <c r="FI110" s="75"/>
      <c r="FJ110" s="75"/>
      <c r="FK110" s="75"/>
      <c r="FL110" s="75"/>
      <c r="FM110" s="75"/>
      <c r="FN110" s="75"/>
      <c r="FY110" s="75"/>
      <c r="FZ110" s="75"/>
      <c r="GA110" s="75"/>
      <c r="GB110" s="75"/>
      <c r="GC110" s="75"/>
      <c r="GD110" s="75"/>
      <c r="GE110" s="75"/>
      <c r="GP110" s="75"/>
      <c r="GQ110" s="75"/>
      <c r="GR110" s="75"/>
      <c r="GS110" s="75"/>
      <c r="GT110" s="75"/>
      <c r="GU110" s="75"/>
      <c r="GV110" s="75"/>
      <c r="HG110" s="75"/>
      <c r="HH110" s="75"/>
      <c r="HI110" s="75"/>
      <c r="HJ110" s="75"/>
      <c r="HK110" s="75"/>
      <c r="HL110" s="75"/>
      <c r="HM110" s="75"/>
      <c r="HX110" s="75"/>
      <c r="HY110" s="75"/>
      <c r="HZ110" s="75"/>
      <c r="IA110" s="75"/>
      <c r="IB110" s="75"/>
      <c r="IC110" s="75"/>
      <c r="ID110" s="75"/>
    </row>
    <row r="111" spans="1:241" s="78" customFormat="1" ht="30" hidden="1" customHeight="1" x14ac:dyDescent="0.2">
      <c r="A111" s="128"/>
      <c r="C111" s="119">
        <v>13</v>
      </c>
      <c r="D111" s="121" t="str">
        <f t="shared" si="966"/>
        <v>CONSTRUVALORES S.A.S</v>
      </c>
      <c r="E111" s="130">
        <f t="shared" ca="1" si="964"/>
        <v>545352963</v>
      </c>
      <c r="F111" s="122" t="str">
        <f t="shared" si="967"/>
        <v>$HL$82</v>
      </c>
      <c r="G111" s="131">
        <f t="shared" si="969"/>
        <v>220</v>
      </c>
      <c r="K111" s="119">
        <v>13</v>
      </c>
      <c r="L111" s="121" t="str">
        <f t="shared" si="965"/>
        <v>CONSTRUVALORES S.A.S</v>
      </c>
      <c r="M111" s="119" t="str">
        <f t="shared" si="968"/>
        <v>NH</v>
      </c>
      <c r="AB111" s="75"/>
      <c r="AC111" s="75"/>
      <c r="AD111" s="75"/>
      <c r="AE111" s="75"/>
      <c r="AF111" s="75"/>
      <c r="AG111" s="75"/>
      <c r="AH111" s="75"/>
      <c r="AS111" s="75"/>
      <c r="AT111" s="75"/>
      <c r="AU111" s="75"/>
      <c r="AV111" s="75"/>
      <c r="AW111" s="75"/>
      <c r="AX111" s="75"/>
      <c r="AY111" s="75"/>
      <c r="BJ111" s="75"/>
      <c r="BK111" s="75"/>
      <c r="BL111" s="75"/>
      <c r="BM111" s="75"/>
      <c r="BN111" s="75"/>
      <c r="BO111" s="75"/>
      <c r="BP111" s="75"/>
      <c r="CA111" s="75"/>
      <c r="CB111" s="75"/>
      <c r="CC111" s="75"/>
      <c r="CD111" s="75"/>
      <c r="CE111" s="75"/>
      <c r="CF111" s="75"/>
      <c r="CG111" s="75"/>
      <c r="CR111" s="75"/>
      <c r="CS111" s="75"/>
      <c r="CT111" s="75"/>
      <c r="CU111" s="75"/>
      <c r="CV111" s="75"/>
      <c r="CW111" s="75"/>
      <c r="CX111" s="75"/>
      <c r="DI111" s="75"/>
      <c r="DJ111" s="75"/>
      <c r="DK111" s="75"/>
      <c r="DL111" s="75"/>
      <c r="DM111" s="75"/>
      <c r="DN111" s="75"/>
      <c r="DO111" s="75"/>
      <c r="DZ111" s="75"/>
      <c r="EA111" s="75"/>
      <c r="EB111" s="75"/>
      <c r="EC111" s="75"/>
      <c r="ED111" s="75"/>
      <c r="EE111" s="75"/>
      <c r="EF111" s="75"/>
      <c r="EQ111" s="75"/>
      <c r="ER111" s="75"/>
      <c r="ES111" s="75"/>
      <c r="ET111" s="75"/>
      <c r="EU111" s="75"/>
      <c r="EV111" s="75"/>
      <c r="EW111" s="75"/>
      <c r="FH111" s="75"/>
      <c r="FI111" s="75"/>
      <c r="FJ111" s="75"/>
      <c r="FK111" s="75"/>
      <c r="FL111" s="75"/>
      <c r="FM111" s="75"/>
      <c r="FN111" s="75"/>
      <c r="FY111" s="75"/>
      <c r="FZ111" s="75"/>
      <c r="GA111" s="75"/>
      <c r="GB111" s="75"/>
      <c r="GC111" s="75"/>
      <c r="GD111" s="75"/>
      <c r="GE111" s="75"/>
      <c r="GP111" s="75"/>
      <c r="GQ111" s="75"/>
      <c r="GR111" s="75"/>
      <c r="GS111" s="75"/>
      <c r="GT111" s="75"/>
      <c r="GU111" s="75"/>
      <c r="GV111" s="75"/>
      <c r="HG111" s="75"/>
      <c r="HH111" s="75"/>
      <c r="HI111" s="75"/>
      <c r="HJ111" s="75"/>
      <c r="HK111" s="75"/>
      <c r="HL111" s="75"/>
      <c r="HM111" s="75"/>
      <c r="HX111" s="75"/>
      <c r="HY111" s="75"/>
      <c r="HZ111" s="75"/>
      <c r="IA111" s="75"/>
      <c r="IB111" s="75"/>
      <c r="IC111" s="75"/>
      <c r="ID111" s="75"/>
    </row>
    <row r="112" spans="1:241" s="78" customFormat="1" ht="30" hidden="1" customHeight="1" x14ac:dyDescent="0.2">
      <c r="A112" s="128"/>
      <c r="C112" s="119">
        <v>14</v>
      </c>
      <c r="D112" s="121" t="str">
        <f t="shared" si="966"/>
        <v>WILLIAMS.CO S.A.S</v>
      </c>
      <c r="E112" s="130">
        <f t="shared" ca="1" si="964"/>
        <v>490294479</v>
      </c>
      <c r="F112" s="122" t="str">
        <f t="shared" si="967"/>
        <v>$IC$82</v>
      </c>
      <c r="G112" s="131">
        <f t="shared" si="969"/>
        <v>237</v>
      </c>
      <c r="K112" s="119">
        <v>14</v>
      </c>
      <c r="L112" s="121" t="str">
        <f t="shared" si="965"/>
        <v>WILLIAMS.CO S.A.S</v>
      </c>
      <c r="M112" s="119" t="str">
        <f t="shared" si="968"/>
        <v>H</v>
      </c>
      <c r="AB112" s="75"/>
      <c r="AC112" s="75"/>
      <c r="AD112" s="75"/>
      <c r="AE112" s="75"/>
      <c r="AF112" s="75"/>
      <c r="AG112" s="75"/>
      <c r="AH112" s="75"/>
      <c r="AS112" s="75"/>
      <c r="AT112" s="75"/>
      <c r="AU112" s="75"/>
      <c r="AV112" s="75"/>
      <c r="AW112" s="75"/>
      <c r="AX112" s="75"/>
      <c r="AY112" s="75"/>
      <c r="BJ112" s="75"/>
      <c r="BK112" s="75"/>
      <c r="BL112" s="75"/>
      <c r="BM112" s="75"/>
      <c r="BN112" s="75"/>
      <c r="BO112" s="75"/>
      <c r="BP112" s="75"/>
      <c r="CA112" s="75"/>
      <c r="CB112" s="75"/>
      <c r="CC112" s="75"/>
      <c r="CD112" s="75"/>
      <c r="CE112" s="75"/>
      <c r="CF112" s="75"/>
      <c r="CG112" s="75"/>
      <c r="CR112" s="75"/>
      <c r="CS112" s="75"/>
      <c r="CT112" s="75"/>
      <c r="CU112" s="75"/>
      <c r="CV112" s="75"/>
      <c r="CW112" s="75"/>
      <c r="CX112" s="75"/>
      <c r="DI112" s="75"/>
      <c r="DJ112" s="75"/>
      <c r="DK112" s="75"/>
      <c r="DL112" s="75"/>
      <c r="DM112" s="75"/>
      <c r="DN112" s="75"/>
      <c r="DO112" s="75"/>
      <c r="DZ112" s="75"/>
      <c r="EA112" s="75"/>
      <c r="EB112" s="75"/>
      <c r="EC112" s="75"/>
      <c r="ED112" s="75"/>
      <c r="EE112" s="75"/>
      <c r="EF112" s="75"/>
      <c r="EQ112" s="75"/>
      <c r="ER112" s="75"/>
      <c r="ES112" s="75"/>
      <c r="ET112" s="75"/>
      <c r="EU112" s="75"/>
      <c r="EV112" s="75"/>
      <c r="EW112" s="75"/>
      <c r="FH112" s="75"/>
      <c r="FI112" s="75"/>
      <c r="FJ112" s="75"/>
      <c r="FK112" s="75"/>
      <c r="FL112" s="75"/>
      <c r="FM112" s="75"/>
      <c r="FN112" s="75"/>
      <c r="FY112" s="75"/>
      <c r="FZ112" s="75"/>
      <c r="GA112" s="75"/>
      <c r="GB112" s="75"/>
      <c r="GC112" s="75"/>
      <c r="GD112" s="75"/>
      <c r="GE112" s="75"/>
      <c r="GP112" s="75"/>
      <c r="GQ112" s="75"/>
      <c r="GR112" s="75"/>
      <c r="GS112" s="75"/>
      <c r="GT112" s="75"/>
      <c r="GU112" s="75"/>
      <c r="GV112" s="75"/>
      <c r="HG112" s="75"/>
      <c r="HH112" s="75"/>
      <c r="HI112" s="75"/>
      <c r="HJ112" s="75"/>
      <c r="HK112" s="75"/>
      <c r="HL112" s="75"/>
      <c r="HM112" s="75"/>
      <c r="HX112" s="75"/>
      <c r="HY112" s="75"/>
      <c r="HZ112" s="75"/>
      <c r="IA112" s="75"/>
      <c r="IB112" s="75"/>
      <c r="IC112" s="75"/>
      <c r="ID112" s="75"/>
    </row>
    <row r="113" spans="1:246" s="78" customFormat="1" ht="30" hidden="1" customHeight="1" x14ac:dyDescent="0.2">
      <c r="A113" s="128"/>
      <c r="C113" s="119">
        <v>15</v>
      </c>
      <c r="D113" s="121">
        <f t="shared" si="966"/>
        <v>0</v>
      </c>
      <c r="E113" s="130">
        <f t="shared" ca="1" si="964"/>
        <v>0</v>
      </c>
      <c r="F113" s="122" t="str">
        <f t="shared" si="967"/>
        <v>$IT$82</v>
      </c>
      <c r="G113" s="131">
        <f t="shared" si="969"/>
        <v>254</v>
      </c>
      <c r="K113" s="119">
        <v>15</v>
      </c>
      <c r="L113" s="121">
        <f t="shared" si="965"/>
        <v>0</v>
      </c>
      <c r="M113" s="119" t="e">
        <f t="shared" si="968"/>
        <v>#N/A</v>
      </c>
      <c r="AB113" s="75"/>
      <c r="AC113" s="75"/>
      <c r="AD113" s="75"/>
      <c r="AE113" s="75"/>
      <c r="AF113" s="75"/>
      <c r="AG113" s="75"/>
      <c r="AH113" s="75"/>
      <c r="AS113" s="75"/>
      <c r="AT113" s="75"/>
      <c r="AU113" s="75"/>
      <c r="AV113" s="75"/>
      <c r="AW113" s="75"/>
      <c r="AX113" s="75"/>
      <c r="AY113" s="75"/>
      <c r="BJ113" s="75"/>
      <c r="BK113" s="75"/>
      <c r="BL113" s="75"/>
      <c r="BM113" s="75"/>
      <c r="BN113" s="75"/>
      <c r="BO113" s="75"/>
      <c r="BP113" s="75"/>
      <c r="CA113" s="75"/>
      <c r="CB113" s="75"/>
      <c r="CC113" s="75"/>
      <c r="CD113" s="75"/>
      <c r="CE113" s="75"/>
      <c r="CF113" s="75"/>
      <c r="CG113" s="75"/>
      <c r="CR113" s="75"/>
      <c r="CS113" s="75"/>
      <c r="CT113" s="75"/>
      <c r="CU113" s="75"/>
      <c r="CV113" s="75"/>
      <c r="CW113" s="75"/>
      <c r="CX113" s="75"/>
      <c r="DI113" s="75"/>
      <c r="DJ113" s="75"/>
      <c r="DK113" s="75"/>
      <c r="DL113" s="75"/>
      <c r="DM113" s="75"/>
      <c r="DN113" s="75"/>
      <c r="DO113" s="75"/>
      <c r="DZ113" s="75"/>
      <c r="EA113" s="75"/>
      <c r="EB113" s="75"/>
      <c r="EC113" s="75"/>
      <c r="ED113" s="75"/>
      <c r="EE113" s="75"/>
      <c r="EF113" s="75"/>
      <c r="EQ113" s="75"/>
      <c r="ER113" s="75"/>
      <c r="ES113" s="75"/>
      <c r="ET113" s="75"/>
      <c r="EU113" s="75"/>
      <c r="EV113" s="75"/>
      <c r="EW113" s="75"/>
      <c r="FH113" s="75"/>
      <c r="FI113" s="75"/>
      <c r="FJ113" s="75"/>
      <c r="FK113" s="75"/>
      <c r="FL113" s="75"/>
      <c r="FM113" s="75"/>
      <c r="FN113" s="75"/>
      <c r="FY113" s="75"/>
      <c r="FZ113" s="75"/>
      <c r="GA113" s="75"/>
      <c r="GB113" s="75"/>
      <c r="GC113" s="75"/>
      <c r="GD113" s="75"/>
      <c r="GE113" s="75"/>
      <c r="GP113" s="75"/>
      <c r="GQ113" s="75"/>
      <c r="GR113" s="75"/>
      <c r="GS113" s="75"/>
      <c r="GT113" s="75"/>
      <c r="GU113" s="75"/>
      <c r="GV113" s="75"/>
      <c r="HG113" s="75"/>
      <c r="HH113" s="75"/>
      <c r="HI113" s="75"/>
      <c r="HJ113" s="75"/>
      <c r="HK113" s="75"/>
      <c r="HL113" s="75"/>
      <c r="HM113" s="75"/>
      <c r="HX113" s="75"/>
      <c r="HY113" s="75"/>
      <c r="HZ113" s="75"/>
      <c r="IA113" s="75"/>
      <c r="IB113" s="75"/>
      <c r="IC113" s="75"/>
      <c r="ID113" s="75"/>
    </row>
    <row r="114" spans="1:246" s="78" customFormat="1" ht="30" hidden="1" customHeight="1" x14ac:dyDescent="0.2">
      <c r="A114" s="128"/>
      <c r="C114" s="119">
        <v>16</v>
      </c>
      <c r="D114" s="121">
        <f t="shared" si="966"/>
        <v>0</v>
      </c>
      <c r="E114" s="130">
        <f t="shared" ca="1" si="964"/>
        <v>0</v>
      </c>
      <c r="F114" s="122" t="str">
        <f t="shared" si="967"/>
        <v>$JK$82</v>
      </c>
      <c r="G114" s="131">
        <f t="shared" si="969"/>
        <v>271</v>
      </c>
      <c r="K114" s="119">
        <v>16</v>
      </c>
      <c r="L114" s="121">
        <f t="shared" si="965"/>
        <v>0</v>
      </c>
      <c r="M114" s="119" t="e">
        <f t="shared" si="968"/>
        <v>#N/A</v>
      </c>
      <c r="AB114" s="75"/>
      <c r="AC114" s="75"/>
      <c r="AD114" s="75"/>
      <c r="AE114" s="75"/>
      <c r="AF114" s="75"/>
      <c r="AG114" s="75"/>
      <c r="AH114" s="75"/>
      <c r="AS114" s="75"/>
      <c r="AT114" s="75"/>
      <c r="AU114" s="75"/>
      <c r="AV114" s="75"/>
      <c r="AW114" s="75"/>
      <c r="AX114" s="75"/>
      <c r="AY114" s="75"/>
      <c r="BJ114" s="75"/>
      <c r="BK114" s="75"/>
      <c r="BL114" s="75"/>
      <c r="BM114" s="75"/>
      <c r="BN114" s="75"/>
      <c r="BO114" s="75"/>
      <c r="BP114" s="75"/>
      <c r="CA114" s="75"/>
      <c r="CB114" s="75"/>
      <c r="CC114" s="75"/>
      <c r="CD114" s="75"/>
      <c r="CE114" s="75"/>
      <c r="CF114" s="75"/>
      <c r="CG114" s="75"/>
      <c r="CR114" s="75"/>
      <c r="CS114" s="75"/>
      <c r="CT114" s="75"/>
      <c r="CU114" s="75"/>
      <c r="CV114" s="75"/>
      <c r="CW114" s="75"/>
      <c r="CX114" s="75"/>
      <c r="DI114" s="75"/>
      <c r="DJ114" s="75"/>
      <c r="DK114" s="75"/>
      <c r="DL114" s="75"/>
      <c r="DM114" s="75"/>
      <c r="DN114" s="75"/>
      <c r="DO114" s="75"/>
      <c r="DZ114" s="75"/>
      <c r="EA114" s="75"/>
      <c r="EB114" s="75"/>
      <c r="EC114" s="75"/>
      <c r="ED114" s="75"/>
      <c r="EE114" s="75"/>
      <c r="EF114" s="75"/>
      <c r="EQ114" s="75"/>
      <c r="ER114" s="75"/>
      <c r="ES114" s="75"/>
      <c r="ET114" s="75"/>
      <c r="EU114" s="75"/>
      <c r="EV114" s="75"/>
      <c r="EW114" s="75"/>
      <c r="FH114" s="75"/>
      <c r="FI114" s="75"/>
      <c r="FJ114" s="75"/>
      <c r="FK114" s="75"/>
      <c r="FL114" s="75"/>
      <c r="FM114" s="75"/>
      <c r="FN114" s="75"/>
      <c r="FY114" s="75"/>
      <c r="FZ114" s="75"/>
      <c r="GA114" s="75"/>
      <c r="GB114" s="75"/>
      <c r="GC114" s="75"/>
      <c r="GD114" s="75"/>
      <c r="GE114" s="75"/>
      <c r="GP114" s="75"/>
      <c r="GQ114" s="75"/>
      <c r="GR114" s="75"/>
      <c r="GS114" s="75"/>
      <c r="GT114" s="75"/>
      <c r="GU114" s="75"/>
      <c r="GV114" s="75"/>
      <c r="HG114" s="75"/>
      <c r="HH114" s="75"/>
      <c r="HI114" s="75"/>
      <c r="HJ114" s="75"/>
      <c r="HK114" s="75"/>
      <c r="HL114" s="75"/>
      <c r="HM114" s="75"/>
      <c r="HX114" s="75"/>
      <c r="HY114" s="75"/>
      <c r="HZ114" s="75"/>
      <c r="IA114" s="75"/>
      <c r="IB114" s="75"/>
      <c r="IC114" s="75"/>
      <c r="ID114" s="75"/>
    </row>
    <row r="115" spans="1:246" s="78" customFormat="1" ht="30" hidden="1" customHeight="1" x14ac:dyDescent="0.2">
      <c r="A115" s="128"/>
      <c r="C115" s="119">
        <v>17</v>
      </c>
      <c r="D115" s="121">
        <f t="shared" si="966"/>
        <v>0</v>
      </c>
      <c r="E115" s="130">
        <f t="shared" ca="1" si="964"/>
        <v>0</v>
      </c>
      <c r="F115" s="122" t="str">
        <f t="shared" si="967"/>
        <v>$KB$82</v>
      </c>
      <c r="G115" s="131">
        <f t="shared" si="969"/>
        <v>288</v>
      </c>
      <c r="K115" s="119">
        <v>17</v>
      </c>
      <c r="L115" s="121">
        <f t="shared" si="965"/>
        <v>0</v>
      </c>
      <c r="M115" s="119" t="e">
        <f t="shared" si="968"/>
        <v>#N/A</v>
      </c>
      <c r="AB115" s="75"/>
      <c r="AC115" s="75"/>
      <c r="AD115" s="75"/>
      <c r="AE115" s="75"/>
      <c r="AF115" s="75"/>
      <c r="AG115" s="75"/>
      <c r="AH115" s="75"/>
      <c r="AS115" s="75"/>
      <c r="AT115" s="75"/>
      <c r="AU115" s="75"/>
      <c r="AV115" s="75"/>
      <c r="AW115" s="75"/>
      <c r="AX115" s="75"/>
      <c r="AY115" s="75"/>
      <c r="BJ115" s="75"/>
      <c r="BK115" s="75"/>
      <c r="BL115" s="75"/>
      <c r="BM115" s="75"/>
      <c r="BN115" s="75"/>
      <c r="BO115" s="75"/>
      <c r="BP115" s="75"/>
      <c r="CA115" s="75"/>
      <c r="CB115" s="75"/>
      <c r="CC115" s="75"/>
      <c r="CD115" s="75"/>
      <c r="CE115" s="75"/>
      <c r="CF115" s="75"/>
      <c r="CG115" s="75"/>
      <c r="CR115" s="75"/>
      <c r="CS115" s="75"/>
      <c r="CT115" s="75"/>
      <c r="CU115" s="75"/>
      <c r="CV115" s="75"/>
      <c r="CW115" s="75"/>
      <c r="CX115" s="75"/>
      <c r="DI115" s="75"/>
      <c r="DJ115" s="75"/>
      <c r="DK115" s="75"/>
      <c r="DL115" s="75"/>
      <c r="DM115" s="75"/>
      <c r="DN115" s="75"/>
      <c r="DO115" s="75"/>
      <c r="DZ115" s="75"/>
      <c r="EA115" s="75"/>
      <c r="EB115" s="75"/>
      <c r="EC115" s="75"/>
      <c r="ED115" s="75"/>
      <c r="EE115" s="75"/>
      <c r="EF115" s="75"/>
      <c r="EQ115" s="75"/>
      <c r="ER115" s="75"/>
      <c r="ES115" s="75"/>
      <c r="ET115" s="75"/>
      <c r="EU115" s="75"/>
      <c r="EV115" s="75"/>
      <c r="EW115" s="75"/>
      <c r="FH115" s="75"/>
      <c r="FI115" s="75"/>
      <c r="FJ115" s="75"/>
      <c r="FK115" s="75"/>
      <c r="FL115" s="75"/>
      <c r="FM115" s="75"/>
      <c r="FN115" s="75"/>
      <c r="FY115" s="75"/>
      <c r="FZ115" s="75"/>
      <c r="GA115" s="75"/>
      <c r="GB115" s="75"/>
      <c r="GC115" s="75"/>
      <c r="GD115" s="75"/>
      <c r="GE115" s="75"/>
      <c r="GP115" s="75"/>
      <c r="GQ115" s="75"/>
      <c r="GR115" s="75"/>
      <c r="GS115" s="75"/>
      <c r="GT115" s="75"/>
      <c r="GU115" s="75"/>
      <c r="GV115" s="75"/>
      <c r="HG115" s="75"/>
      <c r="HH115" s="75"/>
      <c r="HI115" s="75"/>
      <c r="HJ115" s="75"/>
      <c r="HK115" s="75"/>
      <c r="HL115" s="75"/>
      <c r="HM115" s="75"/>
      <c r="HX115" s="75"/>
      <c r="HY115" s="75"/>
      <c r="HZ115" s="75"/>
      <c r="IA115" s="75"/>
      <c r="IB115" s="75"/>
      <c r="IC115" s="75"/>
      <c r="ID115" s="75"/>
    </row>
    <row r="116" spans="1:246" hidden="1" x14ac:dyDescent="0.2">
      <c r="Q116" s="78"/>
      <c r="R116" s="78"/>
      <c r="S116" s="78"/>
      <c r="T116" s="78"/>
      <c r="U116" s="78"/>
      <c r="V116" s="78"/>
      <c r="W116" s="78"/>
      <c r="X116" s="78"/>
      <c r="Y116" s="78"/>
      <c r="AH116" s="78"/>
      <c r="AI116" s="78"/>
      <c r="AJ116" s="78"/>
      <c r="AK116" s="78"/>
      <c r="AL116" s="78"/>
      <c r="AM116" s="78"/>
      <c r="AN116" s="78"/>
      <c r="AO116" s="78"/>
      <c r="AP116" s="78"/>
      <c r="AY116" s="78"/>
      <c r="AZ116" s="78"/>
      <c r="BA116" s="78"/>
      <c r="BB116" s="78"/>
      <c r="BC116" s="78"/>
      <c r="BD116" s="78"/>
      <c r="BE116" s="78"/>
      <c r="BF116" s="78"/>
      <c r="BG116" s="78"/>
      <c r="BP116" s="78"/>
      <c r="BQ116" s="78"/>
      <c r="BR116" s="78"/>
      <c r="BS116" s="78"/>
      <c r="BT116" s="78"/>
      <c r="BU116" s="78"/>
      <c r="BV116" s="78"/>
      <c r="BW116" s="78"/>
      <c r="BX116" s="78"/>
      <c r="CG116" s="78"/>
      <c r="CH116" s="78"/>
      <c r="CI116" s="78"/>
      <c r="CJ116" s="78"/>
      <c r="CK116" s="78"/>
      <c r="CL116" s="78"/>
      <c r="CM116" s="78"/>
      <c r="CN116" s="78"/>
      <c r="CO116" s="78"/>
      <c r="CX116" s="78"/>
      <c r="CY116" s="78"/>
      <c r="CZ116" s="78"/>
      <c r="DA116" s="78"/>
      <c r="DB116" s="78"/>
      <c r="DC116" s="78"/>
      <c r="DD116" s="78"/>
      <c r="DE116" s="78"/>
      <c r="DF116" s="78"/>
      <c r="DO116" s="78"/>
      <c r="DP116" s="78"/>
      <c r="DQ116" s="78"/>
      <c r="DR116" s="78"/>
      <c r="DS116" s="78"/>
      <c r="DT116" s="78"/>
      <c r="DU116" s="78"/>
      <c r="DV116" s="78"/>
      <c r="DW116" s="78"/>
      <c r="EF116" s="78"/>
      <c r="EG116" s="78"/>
      <c r="EH116" s="78"/>
      <c r="EI116" s="78"/>
      <c r="EJ116" s="78"/>
      <c r="EK116" s="78"/>
      <c r="EL116" s="78"/>
      <c r="EM116" s="78"/>
      <c r="EN116" s="78"/>
      <c r="EW116" s="78"/>
      <c r="EX116" s="78"/>
      <c r="EY116" s="78"/>
      <c r="EZ116" s="78"/>
      <c r="FA116" s="78"/>
      <c r="FB116" s="78"/>
      <c r="FC116" s="78"/>
      <c r="FD116" s="78"/>
      <c r="FE116" s="78"/>
      <c r="FN116" s="78"/>
      <c r="FO116" s="78"/>
      <c r="FP116" s="78"/>
      <c r="FQ116" s="78"/>
      <c r="FR116" s="78"/>
      <c r="FS116" s="78"/>
      <c r="FT116" s="78"/>
      <c r="FU116" s="78"/>
      <c r="FV116" s="78"/>
      <c r="GE116" s="78"/>
      <c r="GF116" s="78"/>
      <c r="GG116" s="78"/>
      <c r="GH116" s="78"/>
      <c r="GI116" s="78"/>
      <c r="GJ116" s="78"/>
      <c r="GK116" s="78"/>
      <c r="GL116" s="78"/>
      <c r="GM116" s="78"/>
      <c r="GV116" s="78"/>
      <c r="GW116" s="78"/>
      <c r="GX116" s="78"/>
      <c r="GY116" s="78"/>
      <c r="GZ116" s="78"/>
      <c r="HA116" s="78"/>
      <c r="HB116" s="78"/>
      <c r="HC116" s="78"/>
      <c r="HD116" s="78"/>
      <c r="HM116" s="78"/>
      <c r="HN116" s="78"/>
      <c r="HO116" s="78"/>
      <c r="HP116" s="78"/>
      <c r="HQ116" s="78"/>
      <c r="HR116" s="78"/>
      <c r="HS116" s="78"/>
      <c r="HT116" s="78"/>
      <c r="HU116" s="78"/>
      <c r="ID116" s="78"/>
      <c r="IE116" s="78"/>
      <c r="IF116" s="78"/>
      <c r="IG116" s="78"/>
      <c r="IH116" s="78"/>
      <c r="II116" s="78"/>
      <c r="IJ116" s="78"/>
      <c r="IK116" s="78"/>
      <c r="IL116" s="78"/>
    </row>
    <row r="117" spans="1:246" hidden="1" x14ac:dyDescent="0.2">
      <c r="Q117" s="78"/>
      <c r="R117" s="78"/>
      <c r="S117" s="78"/>
      <c r="T117" s="78"/>
      <c r="U117" s="78"/>
      <c r="V117" s="78"/>
      <c r="W117" s="78"/>
      <c r="X117" s="78"/>
      <c r="Y117" s="78"/>
      <c r="AH117" s="78"/>
      <c r="AI117" s="78"/>
      <c r="AJ117" s="78"/>
      <c r="AK117" s="78"/>
      <c r="AL117" s="78"/>
      <c r="AM117" s="78"/>
      <c r="AN117" s="78"/>
      <c r="AO117" s="78"/>
      <c r="AP117" s="78"/>
      <c r="AY117" s="78"/>
      <c r="AZ117" s="78"/>
      <c r="BA117" s="78"/>
      <c r="BB117" s="78"/>
      <c r="BC117" s="78"/>
      <c r="BD117" s="78"/>
      <c r="BE117" s="78"/>
      <c r="BF117" s="78"/>
      <c r="BG117" s="78"/>
      <c r="BP117" s="78"/>
      <c r="BQ117" s="78"/>
      <c r="BR117" s="78"/>
      <c r="BS117" s="78"/>
      <c r="BT117" s="78"/>
      <c r="BU117" s="78"/>
      <c r="BV117" s="78"/>
      <c r="BW117" s="78"/>
      <c r="BX117" s="78"/>
      <c r="CG117" s="78"/>
      <c r="CH117" s="78"/>
      <c r="CI117" s="78"/>
      <c r="CJ117" s="78"/>
      <c r="CK117" s="78"/>
      <c r="CL117" s="78"/>
      <c r="CM117" s="78"/>
      <c r="CN117" s="78"/>
      <c r="CO117" s="78"/>
      <c r="CX117" s="78"/>
      <c r="CY117" s="78"/>
      <c r="CZ117" s="78"/>
      <c r="DA117" s="78"/>
      <c r="DB117" s="78"/>
      <c r="DC117" s="78"/>
      <c r="DD117" s="78"/>
      <c r="DE117" s="78"/>
      <c r="DF117" s="78"/>
      <c r="DO117" s="78"/>
      <c r="DP117" s="78"/>
      <c r="DQ117" s="78"/>
      <c r="DR117" s="78"/>
      <c r="DS117" s="78"/>
      <c r="DT117" s="78"/>
      <c r="DU117" s="78"/>
      <c r="DV117" s="78"/>
      <c r="DW117" s="78"/>
      <c r="EF117" s="78"/>
      <c r="EG117" s="78"/>
      <c r="EH117" s="78"/>
      <c r="EI117" s="78"/>
      <c r="EJ117" s="78"/>
      <c r="EK117" s="78"/>
      <c r="EL117" s="78"/>
      <c r="EM117" s="78"/>
      <c r="EN117" s="78"/>
      <c r="EW117" s="78"/>
      <c r="EX117" s="78"/>
      <c r="EY117" s="78"/>
      <c r="EZ117" s="78"/>
      <c r="FA117" s="78"/>
      <c r="FB117" s="78"/>
      <c r="FC117" s="78"/>
      <c r="FD117" s="78"/>
      <c r="FE117" s="78"/>
      <c r="FN117" s="78"/>
      <c r="FO117" s="78"/>
      <c r="FP117" s="78"/>
      <c r="FQ117" s="78"/>
      <c r="FR117" s="78"/>
      <c r="FS117" s="78"/>
      <c r="FT117" s="78"/>
      <c r="FU117" s="78"/>
      <c r="FV117" s="78"/>
      <c r="GE117" s="78"/>
      <c r="GF117" s="78"/>
      <c r="GG117" s="78"/>
      <c r="GH117" s="78"/>
      <c r="GI117" s="78"/>
      <c r="GJ117" s="78"/>
      <c r="GK117" s="78"/>
      <c r="GL117" s="78"/>
      <c r="GM117" s="78"/>
      <c r="GV117" s="78"/>
      <c r="GW117" s="78"/>
      <c r="GX117" s="78"/>
      <c r="GY117" s="78"/>
      <c r="GZ117" s="78"/>
      <c r="HA117" s="78"/>
      <c r="HB117" s="78"/>
      <c r="HC117" s="78"/>
      <c r="HD117" s="78"/>
      <c r="HM117" s="78"/>
      <c r="HN117" s="78"/>
      <c r="HO117" s="78"/>
      <c r="HP117" s="78"/>
      <c r="HQ117" s="78"/>
      <c r="HR117" s="78"/>
      <c r="HS117" s="78"/>
      <c r="HT117" s="78"/>
      <c r="HU117" s="78"/>
      <c r="ID117" s="78"/>
      <c r="IE117" s="78"/>
      <c r="IF117" s="78"/>
      <c r="IG117" s="78"/>
      <c r="IH117" s="78"/>
      <c r="II117" s="78"/>
      <c r="IJ117" s="78"/>
      <c r="IK117" s="78"/>
      <c r="IL117" s="78"/>
    </row>
    <row r="118" spans="1:246" hidden="1" x14ac:dyDescent="0.2">
      <c r="Q118" s="78"/>
      <c r="R118" s="78"/>
      <c r="S118" s="78"/>
      <c r="T118" s="78"/>
      <c r="U118" s="78"/>
      <c r="V118" s="78"/>
      <c r="W118" s="78"/>
      <c r="X118" s="78"/>
      <c r="Y118" s="78"/>
      <c r="AH118" s="78"/>
      <c r="AI118" s="78"/>
      <c r="AJ118" s="78"/>
      <c r="AK118" s="78"/>
      <c r="AL118" s="78"/>
      <c r="AM118" s="78"/>
      <c r="AN118" s="78"/>
      <c r="AO118" s="78"/>
      <c r="AP118" s="78"/>
      <c r="AY118" s="78"/>
      <c r="AZ118" s="78"/>
      <c r="BA118" s="78"/>
      <c r="BB118" s="78"/>
      <c r="BC118" s="78"/>
      <c r="BD118" s="78"/>
      <c r="BE118" s="78"/>
      <c r="BF118" s="78"/>
      <c r="BG118" s="78"/>
      <c r="BP118" s="78"/>
      <c r="BQ118" s="78"/>
      <c r="BR118" s="78"/>
      <c r="BS118" s="78"/>
      <c r="BT118" s="78"/>
      <c r="BU118" s="78"/>
      <c r="BV118" s="78"/>
      <c r="BW118" s="78"/>
      <c r="BX118" s="78"/>
      <c r="CG118" s="78"/>
      <c r="CH118" s="78"/>
      <c r="CI118" s="78"/>
      <c r="CJ118" s="78"/>
      <c r="CK118" s="78"/>
      <c r="CL118" s="78"/>
      <c r="CM118" s="78"/>
      <c r="CN118" s="78"/>
      <c r="CO118" s="78"/>
      <c r="CX118" s="78"/>
      <c r="CY118" s="78"/>
      <c r="CZ118" s="78"/>
      <c r="DA118" s="78"/>
      <c r="DB118" s="78"/>
      <c r="DC118" s="78"/>
      <c r="DD118" s="78"/>
      <c r="DE118" s="78"/>
      <c r="DF118" s="78"/>
      <c r="DO118" s="78"/>
      <c r="DP118" s="78"/>
      <c r="DQ118" s="78"/>
      <c r="DR118" s="78"/>
      <c r="DS118" s="78"/>
      <c r="DT118" s="78"/>
      <c r="DU118" s="78"/>
      <c r="DV118" s="78"/>
      <c r="DW118" s="78"/>
      <c r="EF118" s="78"/>
      <c r="EG118" s="78"/>
      <c r="EH118" s="78"/>
      <c r="EI118" s="78"/>
      <c r="EJ118" s="78"/>
      <c r="EK118" s="78"/>
      <c r="EL118" s="78"/>
      <c r="EM118" s="78"/>
      <c r="EN118" s="78"/>
      <c r="EW118" s="78"/>
      <c r="EX118" s="78"/>
      <c r="EY118" s="78"/>
      <c r="EZ118" s="78"/>
      <c r="FA118" s="78"/>
      <c r="FB118" s="78"/>
      <c r="FC118" s="78"/>
      <c r="FD118" s="78"/>
      <c r="FE118" s="78"/>
      <c r="FN118" s="78"/>
      <c r="FO118" s="78"/>
      <c r="FP118" s="78"/>
      <c r="FQ118" s="78"/>
      <c r="FR118" s="78"/>
      <c r="FS118" s="78"/>
      <c r="FT118" s="78"/>
      <c r="FU118" s="78"/>
      <c r="FV118" s="78"/>
      <c r="GE118" s="78"/>
      <c r="GF118" s="78"/>
      <c r="GG118" s="78"/>
      <c r="GH118" s="78"/>
      <c r="GI118" s="78"/>
      <c r="GJ118" s="78"/>
      <c r="GK118" s="78"/>
      <c r="GL118" s="78"/>
      <c r="GM118" s="78"/>
      <c r="GV118" s="78"/>
      <c r="GW118" s="78"/>
      <c r="GX118" s="78"/>
      <c r="GY118" s="78"/>
      <c r="GZ118" s="78"/>
      <c r="HA118" s="78"/>
      <c r="HB118" s="78"/>
      <c r="HC118" s="78"/>
      <c r="HD118" s="78"/>
      <c r="HM118" s="78"/>
      <c r="HN118" s="78"/>
      <c r="HO118" s="78"/>
      <c r="HP118" s="78"/>
      <c r="HQ118" s="78"/>
      <c r="HR118" s="78"/>
      <c r="HS118" s="78"/>
      <c r="HT118" s="78"/>
      <c r="HU118" s="78"/>
      <c r="ID118" s="78"/>
      <c r="IE118" s="78"/>
      <c r="IF118" s="78"/>
      <c r="IG118" s="78"/>
      <c r="IH118" s="78"/>
      <c r="II118" s="78"/>
      <c r="IJ118" s="78"/>
      <c r="IK118" s="78"/>
      <c r="IL118" s="78"/>
    </row>
    <row r="119" spans="1:246" hidden="1" x14ac:dyDescent="0.2">
      <c r="Q119" s="78"/>
      <c r="R119" s="78"/>
      <c r="S119" s="78"/>
      <c r="T119" s="78"/>
      <c r="U119" s="78"/>
      <c r="V119" s="78"/>
      <c r="W119" s="78"/>
      <c r="X119" s="78"/>
      <c r="Y119" s="78"/>
      <c r="AH119" s="78"/>
      <c r="AI119" s="78"/>
      <c r="AJ119" s="78"/>
      <c r="AK119" s="78"/>
      <c r="AL119" s="78"/>
      <c r="AM119" s="78"/>
      <c r="AN119" s="78"/>
      <c r="AO119" s="78"/>
      <c r="AP119" s="78"/>
      <c r="AY119" s="78"/>
      <c r="AZ119" s="78"/>
      <c r="BA119" s="78"/>
      <c r="BB119" s="78"/>
      <c r="BC119" s="78"/>
      <c r="BD119" s="78"/>
      <c r="BE119" s="78"/>
      <c r="BF119" s="78"/>
      <c r="BG119" s="78"/>
      <c r="BP119" s="78"/>
      <c r="BQ119" s="78"/>
      <c r="BR119" s="78"/>
      <c r="BS119" s="78"/>
      <c r="BT119" s="78"/>
      <c r="BU119" s="78"/>
      <c r="BV119" s="78"/>
      <c r="BW119" s="78"/>
      <c r="BX119" s="78"/>
      <c r="CG119" s="78"/>
      <c r="CH119" s="78"/>
      <c r="CI119" s="78"/>
      <c r="CJ119" s="78"/>
      <c r="CK119" s="78"/>
      <c r="CL119" s="78"/>
      <c r="CM119" s="78"/>
      <c r="CN119" s="78"/>
      <c r="CO119" s="78"/>
      <c r="CX119" s="78"/>
      <c r="CY119" s="78"/>
      <c r="CZ119" s="78"/>
      <c r="DA119" s="78"/>
      <c r="DB119" s="78"/>
      <c r="DC119" s="78"/>
      <c r="DD119" s="78"/>
      <c r="DE119" s="78"/>
      <c r="DF119" s="78"/>
      <c r="DO119" s="78"/>
      <c r="DP119" s="78"/>
      <c r="DQ119" s="78"/>
      <c r="DR119" s="78"/>
      <c r="DS119" s="78"/>
      <c r="DT119" s="78"/>
      <c r="DU119" s="78"/>
      <c r="DV119" s="78"/>
      <c r="DW119" s="78"/>
      <c r="EF119" s="78"/>
      <c r="EG119" s="78"/>
      <c r="EH119" s="78"/>
      <c r="EI119" s="78"/>
      <c r="EJ119" s="78"/>
      <c r="EK119" s="78"/>
      <c r="EL119" s="78"/>
      <c r="EM119" s="78"/>
      <c r="EN119" s="78"/>
      <c r="EW119" s="78"/>
      <c r="EX119" s="78"/>
      <c r="EY119" s="78"/>
      <c r="EZ119" s="78"/>
      <c r="FA119" s="78"/>
      <c r="FB119" s="78"/>
      <c r="FC119" s="78"/>
      <c r="FD119" s="78"/>
      <c r="FE119" s="78"/>
      <c r="FN119" s="78"/>
      <c r="FO119" s="78"/>
      <c r="FP119" s="78"/>
      <c r="FQ119" s="78"/>
      <c r="FR119" s="78"/>
      <c r="FS119" s="78"/>
      <c r="FT119" s="78"/>
      <c r="FU119" s="78"/>
      <c r="FV119" s="78"/>
      <c r="GE119" s="78"/>
      <c r="GF119" s="78"/>
      <c r="GG119" s="78"/>
      <c r="GH119" s="78"/>
      <c r="GI119" s="78"/>
      <c r="GJ119" s="78"/>
      <c r="GK119" s="78"/>
      <c r="GL119" s="78"/>
      <c r="GM119" s="78"/>
      <c r="GV119" s="78"/>
      <c r="GW119" s="78"/>
      <c r="GX119" s="78"/>
      <c r="GY119" s="78"/>
      <c r="GZ119" s="78"/>
      <c r="HA119" s="78"/>
      <c r="HB119" s="78"/>
      <c r="HC119" s="78"/>
      <c r="HD119" s="78"/>
      <c r="HM119" s="78"/>
      <c r="HN119" s="78"/>
      <c r="HO119" s="78"/>
      <c r="HP119" s="78"/>
      <c r="HQ119" s="78"/>
      <c r="HR119" s="78"/>
      <c r="HS119" s="78"/>
      <c r="HT119" s="78"/>
      <c r="HU119" s="78"/>
      <c r="ID119" s="78"/>
      <c r="IE119" s="78"/>
      <c r="IF119" s="78"/>
      <c r="IG119" s="78"/>
      <c r="IH119" s="78"/>
      <c r="II119" s="78"/>
      <c r="IJ119" s="78"/>
      <c r="IK119" s="78"/>
      <c r="IL119" s="78"/>
    </row>
    <row r="120" spans="1:246" hidden="1" x14ac:dyDescent="0.25">
      <c r="C120" s="639" t="s">
        <v>123</v>
      </c>
      <c r="D120" s="640"/>
      <c r="E120" s="79"/>
      <c r="F120" s="79"/>
    </row>
    <row r="121" spans="1:246" ht="30" hidden="1" x14ac:dyDescent="0.2">
      <c r="C121" s="118" t="s">
        <v>120</v>
      </c>
      <c r="D121" s="118" t="s">
        <v>124</v>
      </c>
      <c r="E121" s="79"/>
      <c r="F121" s="79"/>
      <c r="Q121" s="75"/>
      <c r="R121" s="75"/>
      <c r="S121" s="75"/>
      <c r="T121" s="75"/>
      <c r="U121" s="75"/>
      <c r="V121" s="75"/>
      <c r="W121" s="75"/>
      <c r="X121" s="75"/>
      <c r="Y121" s="75"/>
      <c r="AH121" s="75"/>
      <c r="AI121" s="75"/>
      <c r="AJ121" s="75"/>
      <c r="AK121" s="75"/>
      <c r="AL121" s="75"/>
      <c r="AM121" s="75"/>
      <c r="AN121" s="75"/>
      <c r="AO121" s="75"/>
      <c r="AP121" s="75"/>
      <c r="AY121" s="75"/>
      <c r="AZ121" s="75"/>
      <c r="BA121" s="75"/>
      <c r="BB121" s="75"/>
      <c r="BC121" s="75"/>
      <c r="BD121" s="75"/>
      <c r="BE121" s="75"/>
      <c r="BF121" s="75"/>
      <c r="BG121" s="75"/>
      <c r="BP121" s="75"/>
      <c r="BQ121" s="75"/>
      <c r="BR121" s="75"/>
      <c r="BS121" s="75"/>
      <c r="BT121" s="75"/>
      <c r="BU121" s="75"/>
      <c r="BV121" s="75"/>
      <c r="BW121" s="75"/>
      <c r="BX121" s="75"/>
      <c r="CG121" s="75"/>
      <c r="CH121" s="75"/>
      <c r="CI121" s="75"/>
      <c r="CJ121" s="75"/>
      <c r="CK121" s="75"/>
      <c r="CL121" s="75"/>
      <c r="CM121" s="75"/>
      <c r="CN121" s="75"/>
      <c r="CO121" s="75"/>
      <c r="CX121" s="75"/>
      <c r="CY121" s="75"/>
      <c r="CZ121" s="75"/>
      <c r="DA121" s="75"/>
      <c r="DB121" s="75"/>
      <c r="DC121" s="75"/>
      <c r="DD121" s="75"/>
      <c r="DE121" s="75"/>
      <c r="DF121" s="75"/>
      <c r="DO121" s="75"/>
      <c r="DP121" s="75"/>
      <c r="DQ121" s="75"/>
      <c r="DR121" s="75"/>
      <c r="DS121" s="75"/>
      <c r="DT121" s="75"/>
      <c r="DU121" s="75"/>
      <c r="DV121" s="75"/>
      <c r="DW121" s="75"/>
      <c r="EF121" s="75"/>
      <c r="EG121" s="75"/>
      <c r="EH121" s="75"/>
      <c r="EI121" s="75"/>
      <c r="EJ121" s="75"/>
      <c r="EK121" s="75"/>
      <c r="EL121" s="75"/>
      <c r="EM121" s="75"/>
      <c r="EN121" s="75"/>
      <c r="EW121" s="75"/>
      <c r="EX121" s="75"/>
      <c r="EY121" s="75"/>
      <c r="EZ121" s="75"/>
      <c r="FA121" s="75"/>
      <c r="FB121" s="75"/>
      <c r="FC121" s="75"/>
      <c r="FD121" s="75"/>
      <c r="FE121" s="75"/>
      <c r="FN121" s="75"/>
      <c r="FO121" s="75"/>
      <c r="FP121" s="75"/>
      <c r="FQ121" s="75"/>
      <c r="FR121" s="75"/>
      <c r="FS121" s="75"/>
      <c r="FT121" s="75"/>
      <c r="FU121" s="75"/>
      <c r="FV121" s="75"/>
      <c r="GE121" s="75"/>
      <c r="GF121" s="75"/>
      <c r="GG121" s="75"/>
      <c r="GH121" s="75"/>
      <c r="GI121" s="75"/>
      <c r="GJ121" s="75"/>
      <c r="GK121" s="75"/>
      <c r="GL121" s="75"/>
      <c r="GM121" s="75"/>
      <c r="GV121" s="75"/>
      <c r="GW121" s="75"/>
      <c r="GX121" s="75"/>
      <c r="GY121" s="75"/>
      <c r="GZ121" s="75"/>
      <c r="HA121" s="75"/>
      <c r="HB121" s="75"/>
      <c r="HC121" s="75"/>
      <c r="HD121" s="75"/>
      <c r="HM121" s="75"/>
      <c r="HN121" s="75"/>
      <c r="HO121" s="75"/>
      <c r="HP121" s="75"/>
      <c r="HQ121" s="75"/>
      <c r="HR121" s="75"/>
      <c r="HS121" s="75"/>
      <c r="HT121" s="75"/>
      <c r="HU121" s="75"/>
      <c r="ID121" s="75"/>
      <c r="IE121" s="75"/>
      <c r="IF121" s="75"/>
      <c r="IG121" s="75"/>
      <c r="IH121" s="75"/>
      <c r="II121" s="75"/>
      <c r="IJ121" s="75"/>
      <c r="IK121" s="75"/>
      <c r="IL121" s="75"/>
    </row>
    <row r="122" spans="1:246" hidden="1" x14ac:dyDescent="0.2">
      <c r="C122" s="119">
        <v>15</v>
      </c>
      <c r="D122" s="119">
        <v>17</v>
      </c>
      <c r="E122" s="79"/>
      <c r="F122" s="79"/>
    </row>
    <row r="123" spans="1:246" hidden="1" x14ac:dyDescent="0.2">
      <c r="C123" s="79"/>
      <c r="D123" s="79"/>
      <c r="E123" s="79"/>
      <c r="F123" s="79"/>
    </row>
    <row r="124" spans="1:246" hidden="1" x14ac:dyDescent="0.2">
      <c r="C124" s="232" t="s">
        <v>3</v>
      </c>
      <c r="D124" s="120" t="s">
        <v>125</v>
      </c>
      <c r="E124" s="79"/>
      <c r="F124" s="79"/>
    </row>
    <row r="125" spans="1:246" ht="18" hidden="1" x14ac:dyDescent="0.2">
      <c r="C125" s="123">
        <v>1</v>
      </c>
      <c r="D125" s="124">
        <f t="shared" ref="D125:D134" ca="1" si="970">INDIRECT(E125,TRUE)</f>
        <v>0.21589999999999998</v>
      </c>
      <c r="E125" s="125" t="str">
        <f>ADDRESS(88,F125,1,1)</f>
        <v>$O$88</v>
      </c>
      <c r="F125" s="125">
        <f>C122</f>
        <v>15</v>
      </c>
    </row>
    <row r="126" spans="1:246" ht="18" hidden="1" x14ac:dyDescent="0.2">
      <c r="C126" s="123">
        <v>2</v>
      </c>
      <c r="D126" s="124">
        <f t="shared" ca="1" si="970"/>
        <v>0.15</v>
      </c>
      <c r="E126" s="125" t="str">
        <f t="shared" ref="E126:E138" si="971">ADDRESS(88,F126,1,1)</f>
        <v>$AF$88</v>
      </c>
      <c r="F126" s="125">
        <f>F125+$D$122</f>
        <v>32</v>
      </c>
    </row>
    <row r="127" spans="1:246" ht="18" hidden="1" x14ac:dyDescent="0.2">
      <c r="C127" s="123">
        <v>3</v>
      </c>
      <c r="D127" s="124">
        <f t="shared" ca="1" si="970"/>
        <v>0.22</v>
      </c>
      <c r="E127" s="125" t="str">
        <f t="shared" si="971"/>
        <v>$AW$88</v>
      </c>
      <c r="F127" s="125">
        <f t="shared" ref="F127:F138" si="972">F126+$D$122</f>
        <v>49</v>
      </c>
    </row>
    <row r="128" spans="1:246" ht="18" hidden="1" x14ac:dyDescent="0.2">
      <c r="C128" s="123">
        <v>4</v>
      </c>
      <c r="D128" s="124">
        <f t="shared" ca="1" si="970"/>
        <v>0.20500000000000002</v>
      </c>
      <c r="E128" s="125" t="str">
        <f t="shared" si="971"/>
        <v>$BN$88</v>
      </c>
      <c r="F128" s="125">
        <f t="shared" si="972"/>
        <v>66</v>
      </c>
    </row>
    <row r="129" spans="3:6" ht="18" hidden="1" x14ac:dyDescent="0.2">
      <c r="C129" s="123">
        <v>5</v>
      </c>
      <c r="D129" s="124">
        <f t="shared" ca="1" si="970"/>
        <v>0.23399999999999999</v>
      </c>
      <c r="E129" s="125" t="str">
        <f t="shared" si="971"/>
        <v>$CE$88</v>
      </c>
      <c r="F129" s="125">
        <f t="shared" si="972"/>
        <v>83</v>
      </c>
    </row>
    <row r="130" spans="3:6" ht="18" hidden="1" x14ac:dyDescent="0.2">
      <c r="C130" s="123">
        <v>6</v>
      </c>
      <c r="D130" s="124">
        <f t="shared" ca="1" si="970"/>
        <v>0.23299999999999998</v>
      </c>
      <c r="E130" s="125" t="str">
        <f t="shared" si="971"/>
        <v>$CV$88</v>
      </c>
      <c r="F130" s="125">
        <f t="shared" si="972"/>
        <v>100</v>
      </c>
    </row>
    <row r="131" spans="3:6" ht="18" hidden="1" x14ac:dyDescent="0.2">
      <c r="C131" s="123">
        <v>7</v>
      </c>
      <c r="D131" s="124">
        <f t="shared" ca="1" si="970"/>
        <v>0.155</v>
      </c>
      <c r="E131" s="125" t="str">
        <f t="shared" si="971"/>
        <v>$DM$88</v>
      </c>
      <c r="F131" s="125">
        <f t="shared" si="972"/>
        <v>117</v>
      </c>
    </row>
    <row r="132" spans="3:6" ht="18" hidden="1" x14ac:dyDescent="0.2">
      <c r="C132" s="123">
        <v>8</v>
      </c>
      <c r="D132" s="124">
        <f t="shared" ca="1" si="970"/>
        <v>0.15</v>
      </c>
      <c r="E132" s="125" t="str">
        <f t="shared" si="971"/>
        <v>$ED$88</v>
      </c>
      <c r="F132" s="125">
        <f t="shared" si="972"/>
        <v>134</v>
      </c>
    </row>
    <row r="133" spans="3:6" ht="18" hidden="1" x14ac:dyDescent="0.2">
      <c r="C133" s="123">
        <v>9</v>
      </c>
      <c r="D133" s="124">
        <f t="shared" ca="1" si="970"/>
        <v>0.21600000000000003</v>
      </c>
      <c r="E133" s="125" t="str">
        <f t="shared" si="971"/>
        <v>$EU$88</v>
      </c>
      <c r="F133" s="125">
        <f t="shared" si="972"/>
        <v>151</v>
      </c>
    </row>
    <row r="134" spans="3:6" ht="18" hidden="1" x14ac:dyDescent="0.2">
      <c r="C134" s="123">
        <v>10</v>
      </c>
      <c r="D134" s="124">
        <f t="shared" ca="1" si="970"/>
        <v>0.16</v>
      </c>
      <c r="E134" s="125" t="str">
        <f t="shared" si="971"/>
        <v>$FL$88</v>
      </c>
      <c r="F134" s="125">
        <f t="shared" si="972"/>
        <v>168</v>
      </c>
    </row>
    <row r="135" spans="3:6" ht="18" hidden="1" x14ac:dyDescent="0.2">
      <c r="C135" s="123">
        <v>11</v>
      </c>
      <c r="D135" s="124">
        <f t="shared" ref="D135:D138" ca="1" si="973">INDIRECT(E135,TRUE)</f>
        <v>0.23299999999999998</v>
      </c>
      <c r="E135" s="125" t="str">
        <f t="shared" si="971"/>
        <v>$GC$88</v>
      </c>
      <c r="F135" s="125">
        <f t="shared" si="972"/>
        <v>185</v>
      </c>
    </row>
    <row r="136" spans="3:6" ht="18" hidden="1" x14ac:dyDescent="0.2">
      <c r="C136" s="123">
        <v>12</v>
      </c>
      <c r="D136" s="124">
        <f t="shared" ca="1" si="973"/>
        <v>0.23399999999999999</v>
      </c>
      <c r="E136" s="125" t="str">
        <f t="shared" si="971"/>
        <v>$GT$88</v>
      </c>
      <c r="F136" s="125">
        <f t="shared" si="972"/>
        <v>202</v>
      </c>
    </row>
    <row r="137" spans="3:6" ht="18" hidden="1" x14ac:dyDescent="0.2">
      <c r="C137" s="123">
        <v>13</v>
      </c>
      <c r="D137" s="124">
        <f t="shared" ca="1" si="973"/>
        <v>0.21000000000000002</v>
      </c>
      <c r="E137" s="125" t="str">
        <f t="shared" si="971"/>
        <v>$HK$88</v>
      </c>
      <c r="F137" s="125">
        <f t="shared" si="972"/>
        <v>219</v>
      </c>
    </row>
    <row r="138" spans="3:6" ht="18" hidden="1" x14ac:dyDescent="0.2">
      <c r="C138" s="123">
        <v>14</v>
      </c>
      <c r="D138" s="124">
        <f t="shared" ca="1" si="973"/>
        <v>0.13500000000000001</v>
      </c>
      <c r="E138" s="125" t="str">
        <f t="shared" si="971"/>
        <v>$IB$88</v>
      </c>
      <c r="F138" s="125">
        <f t="shared" si="972"/>
        <v>236</v>
      </c>
    </row>
    <row r="139" spans="3:6" hidden="1" x14ac:dyDescent="0.2"/>
    <row r="140" spans="3:6" hidden="1" x14ac:dyDescent="0.2"/>
    <row r="141" spans="3:6" hidden="1" x14ac:dyDescent="0.2"/>
    <row r="142" spans="3:6" hidden="1" x14ac:dyDescent="0.2"/>
    <row r="143" spans="3:6" hidden="1" x14ac:dyDescent="0.2"/>
    <row r="159" spans="17:246" x14ac:dyDescent="0.2">
      <c r="Q159" s="75"/>
      <c r="R159" s="77"/>
      <c r="S159" s="78"/>
      <c r="T159" s="77"/>
      <c r="U159" s="78"/>
      <c r="V159" s="77"/>
      <c r="W159" s="78"/>
      <c r="X159" s="77"/>
      <c r="Y159" s="75"/>
      <c r="AH159" s="75"/>
      <c r="AI159" s="77"/>
      <c r="AJ159" s="78"/>
      <c r="AK159" s="77"/>
      <c r="AL159" s="78"/>
      <c r="AM159" s="77"/>
      <c r="AN159" s="78"/>
      <c r="AO159" s="77"/>
      <c r="AP159" s="75"/>
      <c r="AY159" s="75"/>
      <c r="AZ159" s="77"/>
      <c r="BA159" s="78"/>
      <c r="BB159" s="77"/>
      <c r="BC159" s="78"/>
      <c r="BD159" s="77"/>
      <c r="BE159" s="78"/>
      <c r="BF159" s="77"/>
      <c r="BG159" s="75"/>
      <c r="BP159" s="75"/>
      <c r="BQ159" s="77"/>
      <c r="BR159" s="78"/>
      <c r="BS159" s="77"/>
      <c r="BT159" s="78"/>
      <c r="BU159" s="77"/>
      <c r="BV159" s="78"/>
      <c r="BW159" s="77"/>
      <c r="BX159" s="75"/>
      <c r="CG159" s="75"/>
      <c r="CH159" s="77"/>
      <c r="CI159" s="78"/>
      <c r="CJ159" s="77"/>
      <c r="CK159" s="78"/>
      <c r="CL159" s="77"/>
      <c r="CM159" s="78"/>
      <c r="CN159" s="77"/>
      <c r="CO159" s="75"/>
      <c r="CX159" s="75"/>
      <c r="CY159" s="77"/>
      <c r="CZ159" s="78"/>
      <c r="DA159" s="77"/>
      <c r="DB159" s="78"/>
      <c r="DC159" s="77"/>
      <c r="DD159" s="78"/>
      <c r="DE159" s="77"/>
      <c r="DF159" s="75"/>
      <c r="DO159" s="75"/>
      <c r="DP159" s="77"/>
      <c r="DQ159" s="78"/>
      <c r="DR159" s="77"/>
      <c r="DS159" s="78"/>
      <c r="DT159" s="77"/>
      <c r="DU159" s="78"/>
      <c r="DV159" s="77"/>
      <c r="DW159" s="75"/>
      <c r="EF159" s="75"/>
      <c r="EG159" s="77"/>
      <c r="EH159" s="78"/>
      <c r="EI159" s="77"/>
      <c r="EJ159" s="78"/>
      <c r="EK159" s="77"/>
      <c r="EL159" s="78"/>
      <c r="EM159" s="77"/>
      <c r="EN159" s="75"/>
      <c r="EW159" s="75"/>
      <c r="EX159" s="77"/>
      <c r="EY159" s="78"/>
      <c r="EZ159" s="77"/>
      <c r="FA159" s="78"/>
      <c r="FB159" s="77"/>
      <c r="FC159" s="78"/>
      <c r="FD159" s="77"/>
      <c r="FE159" s="75"/>
      <c r="FN159" s="75"/>
      <c r="FO159" s="77"/>
      <c r="FP159" s="78"/>
      <c r="FQ159" s="77"/>
      <c r="FR159" s="78"/>
      <c r="FS159" s="77"/>
      <c r="FT159" s="78"/>
      <c r="FU159" s="77"/>
      <c r="FV159" s="75"/>
      <c r="GE159" s="75"/>
      <c r="GF159" s="77"/>
      <c r="GG159" s="78"/>
      <c r="GH159" s="77"/>
      <c r="GI159" s="78"/>
      <c r="GJ159" s="77"/>
      <c r="GK159" s="78"/>
      <c r="GL159" s="77"/>
      <c r="GM159" s="75"/>
      <c r="GV159" s="75"/>
      <c r="GW159" s="77"/>
      <c r="GX159" s="78"/>
      <c r="GY159" s="77"/>
      <c r="GZ159" s="78"/>
      <c r="HA159" s="77"/>
      <c r="HB159" s="78"/>
      <c r="HC159" s="77"/>
      <c r="HD159" s="75"/>
      <c r="HM159" s="75"/>
      <c r="HN159" s="77"/>
      <c r="HO159" s="78"/>
      <c r="HP159" s="77"/>
      <c r="HQ159" s="78"/>
      <c r="HR159" s="77"/>
      <c r="HS159" s="78"/>
      <c r="HT159" s="77"/>
      <c r="HU159" s="75"/>
      <c r="ID159" s="75"/>
      <c r="IE159" s="77"/>
      <c r="IF159" s="78"/>
      <c r="IG159" s="77"/>
      <c r="IH159" s="78"/>
      <c r="II159" s="77"/>
      <c r="IJ159" s="78"/>
      <c r="IK159" s="77"/>
      <c r="IL159" s="75"/>
    </row>
    <row r="160" spans="17:246" x14ac:dyDescent="0.2">
      <c r="Q160" s="75"/>
      <c r="R160" s="75"/>
      <c r="S160" s="75"/>
      <c r="T160" s="75"/>
      <c r="U160" s="75"/>
      <c r="V160" s="75"/>
      <c r="W160" s="75"/>
      <c r="X160" s="75"/>
      <c r="Y160" s="75"/>
      <c r="AH160" s="75"/>
      <c r="AI160" s="75"/>
      <c r="AJ160" s="75"/>
      <c r="AK160" s="75"/>
      <c r="AL160" s="75"/>
      <c r="AM160" s="75"/>
      <c r="AN160" s="75"/>
      <c r="AO160" s="75"/>
      <c r="AP160" s="75"/>
      <c r="AY160" s="75"/>
      <c r="AZ160" s="75"/>
      <c r="BA160" s="75"/>
      <c r="BB160" s="75"/>
      <c r="BC160" s="75"/>
      <c r="BD160" s="75"/>
      <c r="BE160" s="75"/>
      <c r="BF160" s="75"/>
      <c r="BG160" s="75"/>
      <c r="BP160" s="75"/>
      <c r="BQ160" s="75"/>
      <c r="BR160" s="75"/>
      <c r="BS160" s="75"/>
      <c r="BT160" s="75"/>
      <c r="BU160" s="75"/>
      <c r="BV160" s="75"/>
      <c r="BW160" s="75"/>
      <c r="BX160" s="75"/>
      <c r="CG160" s="75"/>
      <c r="CH160" s="75"/>
      <c r="CI160" s="75"/>
      <c r="CJ160" s="75"/>
      <c r="CK160" s="75"/>
      <c r="CL160" s="75"/>
      <c r="CM160" s="75"/>
      <c r="CN160" s="75"/>
      <c r="CO160" s="75"/>
      <c r="CX160" s="75"/>
      <c r="CY160" s="75"/>
      <c r="CZ160" s="75"/>
      <c r="DA160" s="75"/>
      <c r="DB160" s="75"/>
      <c r="DC160" s="75"/>
      <c r="DD160" s="75"/>
      <c r="DE160" s="75"/>
      <c r="DF160" s="75"/>
      <c r="DO160" s="75"/>
      <c r="DP160" s="75"/>
      <c r="DQ160" s="75"/>
      <c r="DR160" s="75"/>
      <c r="DS160" s="75"/>
      <c r="DT160" s="75"/>
      <c r="DU160" s="75"/>
      <c r="DV160" s="75"/>
      <c r="DW160" s="75"/>
      <c r="EF160" s="75"/>
      <c r="EG160" s="75"/>
      <c r="EH160" s="75"/>
      <c r="EI160" s="75"/>
      <c r="EJ160" s="75"/>
      <c r="EK160" s="75"/>
      <c r="EL160" s="75"/>
      <c r="EM160" s="75"/>
      <c r="EN160" s="75"/>
      <c r="EW160" s="75"/>
      <c r="EX160" s="75"/>
      <c r="EY160" s="75"/>
      <c r="EZ160" s="75"/>
      <c r="FA160" s="75"/>
      <c r="FB160" s="75"/>
      <c r="FC160" s="75"/>
      <c r="FD160" s="75"/>
      <c r="FE160" s="75"/>
      <c r="FN160" s="75"/>
      <c r="FO160" s="75"/>
      <c r="FP160" s="75"/>
      <c r="FQ160" s="75"/>
      <c r="FR160" s="75"/>
      <c r="FS160" s="75"/>
      <c r="FT160" s="75"/>
      <c r="FU160" s="75"/>
      <c r="FV160" s="75"/>
      <c r="GE160" s="75"/>
      <c r="GF160" s="75"/>
      <c r="GG160" s="75"/>
      <c r="GH160" s="75"/>
      <c r="GI160" s="75"/>
      <c r="GJ160" s="75"/>
      <c r="GK160" s="75"/>
      <c r="GL160" s="75"/>
      <c r="GM160" s="75"/>
      <c r="GV160" s="75"/>
      <c r="GW160" s="75"/>
      <c r="GX160" s="75"/>
      <c r="GY160" s="75"/>
      <c r="GZ160" s="75"/>
      <c r="HA160" s="75"/>
      <c r="HB160" s="75"/>
      <c r="HC160" s="75"/>
      <c r="HD160" s="75"/>
      <c r="HM160" s="75"/>
      <c r="HN160" s="75"/>
      <c r="HO160" s="75"/>
      <c r="HP160" s="75"/>
      <c r="HQ160" s="75"/>
      <c r="HR160" s="75"/>
      <c r="HS160" s="75"/>
      <c r="HT160" s="75"/>
      <c r="HU160" s="75"/>
      <c r="ID160" s="75"/>
      <c r="IE160" s="75"/>
      <c r="IF160" s="75"/>
      <c r="IG160" s="75"/>
      <c r="IH160" s="75"/>
      <c r="II160" s="75"/>
      <c r="IJ160" s="75"/>
      <c r="IK160" s="75"/>
      <c r="IL160" s="75"/>
    </row>
    <row r="161" spans="17:246" x14ac:dyDescent="0.2">
      <c r="Q161" s="78"/>
      <c r="R161" s="77"/>
      <c r="S161" s="78"/>
      <c r="T161" s="77"/>
      <c r="U161" s="78"/>
      <c r="V161" s="77"/>
      <c r="W161" s="78"/>
      <c r="X161" s="77"/>
      <c r="Y161" s="78"/>
      <c r="AH161" s="78"/>
      <c r="AI161" s="77"/>
      <c r="AJ161" s="78"/>
      <c r="AK161" s="77"/>
      <c r="AL161" s="78"/>
      <c r="AM161" s="77"/>
      <c r="AN161" s="78"/>
      <c r="AO161" s="77"/>
      <c r="AP161" s="78"/>
      <c r="AY161" s="78"/>
      <c r="AZ161" s="77"/>
      <c r="BA161" s="78"/>
      <c r="BB161" s="77"/>
      <c r="BC161" s="78"/>
      <c r="BD161" s="77"/>
      <c r="BE161" s="78"/>
      <c r="BF161" s="77"/>
      <c r="BG161" s="78"/>
      <c r="BP161" s="78"/>
      <c r="BQ161" s="77"/>
      <c r="BR161" s="78"/>
      <c r="BS161" s="77"/>
      <c r="BT161" s="78"/>
      <c r="BU161" s="77"/>
      <c r="BV161" s="78"/>
      <c r="BW161" s="77"/>
      <c r="BX161" s="78"/>
      <c r="CG161" s="78"/>
      <c r="CH161" s="77"/>
      <c r="CI161" s="78"/>
      <c r="CJ161" s="77"/>
      <c r="CK161" s="78"/>
      <c r="CL161" s="77"/>
      <c r="CM161" s="78"/>
      <c r="CN161" s="77"/>
      <c r="CO161" s="78"/>
      <c r="CX161" s="78"/>
      <c r="CY161" s="77"/>
      <c r="CZ161" s="78"/>
      <c r="DA161" s="77"/>
      <c r="DB161" s="78"/>
      <c r="DC161" s="77"/>
      <c r="DD161" s="78"/>
      <c r="DE161" s="77"/>
      <c r="DF161" s="78"/>
      <c r="DO161" s="78"/>
      <c r="DP161" s="77"/>
      <c r="DQ161" s="78"/>
      <c r="DR161" s="77"/>
      <c r="DS161" s="78"/>
      <c r="DT161" s="77"/>
      <c r="DU161" s="78"/>
      <c r="DV161" s="77"/>
      <c r="DW161" s="78"/>
      <c r="EF161" s="78"/>
      <c r="EG161" s="77"/>
      <c r="EH161" s="78"/>
      <c r="EI161" s="77"/>
      <c r="EJ161" s="78"/>
      <c r="EK161" s="77"/>
      <c r="EL161" s="78"/>
      <c r="EM161" s="77"/>
      <c r="EN161" s="78"/>
      <c r="EW161" s="78"/>
      <c r="EX161" s="77"/>
      <c r="EY161" s="78"/>
      <c r="EZ161" s="77"/>
      <c r="FA161" s="78"/>
      <c r="FB161" s="77"/>
      <c r="FC161" s="78"/>
      <c r="FD161" s="77"/>
      <c r="FE161" s="78"/>
      <c r="FN161" s="78"/>
      <c r="FO161" s="77"/>
      <c r="FP161" s="78"/>
      <c r="FQ161" s="77"/>
      <c r="FR161" s="78"/>
      <c r="FS161" s="77"/>
      <c r="FT161" s="78"/>
      <c r="FU161" s="77"/>
      <c r="FV161" s="78"/>
      <c r="GE161" s="78"/>
      <c r="GF161" s="77"/>
      <c r="GG161" s="78"/>
      <c r="GH161" s="77"/>
      <c r="GI161" s="78"/>
      <c r="GJ161" s="77"/>
      <c r="GK161" s="78"/>
      <c r="GL161" s="77"/>
      <c r="GM161" s="78"/>
      <c r="GV161" s="78"/>
      <c r="GW161" s="77"/>
      <c r="GX161" s="78"/>
      <c r="GY161" s="77"/>
      <c r="GZ161" s="78"/>
      <c r="HA161" s="77"/>
      <c r="HB161" s="78"/>
      <c r="HC161" s="77"/>
      <c r="HD161" s="78"/>
      <c r="HM161" s="78"/>
      <c r="HN161" s="77"/>
      <c r="HO161" s="78"/>
      <c r="HP161" s="77"/>
      <c r="HQ161" s="78"/>
      <c r="HR161" s="77"/>
      <c r="HS161" s="78"/>
      <c r="HT161" s="77"/>
      <c r="HU161" s="78"/>
      <c r="ID161" s="78"/>
      <c r="IE161" s="77"/>
      <c r="IF161" s="78"/>
      <c r="IG161" s="77"/>
      <c r="IH161" s="78"/>
      <c r="II161" s="77"/>
      <c r="IJ161" s="78"/>
      <c r="IK161" s="77"/>
      <c r="IL161" s="78"/>
    </row>
    <row r="162" spans="17:246" x14ac:dyDescent="0.2">
      <c r="Q162" s="78"/>
      <c r="R162" s="77"/>
      <c r="S162" s="78"/>
      <c r="T162" s="77"/>
      <c r="U162" s="78"/>
      <c r="V162" s="77"/>
      <c r="W162" s="78"/>
      <c r="X162" s="77"/>
      <c r="Y162" s="78"/>
      <c r="AH162" s="78"/>
      <c r="AI162" s="77"/>
      <c r="AJ162" s="78"/>
      <c r="AK162" s="77"/>
      <c r="AL162" s="78"/>
      <c r="AM162" s="77"/>
      <c r="AN162" s="78"/>
      <c r="AO162" s="77"/>
      <c r="AP162" s="78"/>
      <c r="AY162" s="78"/>
      <c r="AZ162" s="77"/>
      <c r="BA162" s="78"/>
      <c r="BB162" s="77"/>
      <c r="BC162" s="78"/>
      <c r="BD162" s="77"/>
      <c r="BE162" s="78"/>
      <c r="BF162" s="77"/>
      <c r="BG162" s="78"/>
      <c r="BP162" s="78"/>
      <c r="BQ162" s="77"/>
      <c r="BR162" s="78"/>
      <c r="BS162" s="77"/>
      <c r="BT162" s="78"/>
      <c r="BU162" s="77"/>
      <c r="BV162" s="78"/>
      <c r="BW162" s="77"/>
      <c r="BX162" s="78"/>
      <c r="CG162" s="78"/>
      <c r="CH162" s="77"/>
      <c r="CI162" s="78"/>
      <c r="CJ162" s="77"/>
      <c r="CK162" s="78"/>
      <c r="CL162" s="77"/>
      <c r="CM162" s="78"/>
      <c r="CN162" s="77"/>
      <c r="CO162" s="78"/>
      <c r="CX162" s="78"/>
      <c r="CY162" s="77"/>
      <c r="CZ162" s="78"/>
      <c r="DA162" s="77"/>
      <c r="DB162" s="78"/>
      <c r="DC162" s="77"/>
      <c r="DD162" s="78"/>
      <c r="DE162" s="77"/>
      <c r="DF162" s="78"/>
      <c r="DO162" s="78"/>
      <c r="DP162" s="77"/>
      <c r="DQ162" s="78"/>
      <c r="DR162" s="77"/>
      <c r="DS162" s="78"/>
      <c r="DT162" s="77"/>
      <c r="DU162" s="78"/>
      <c r="DV162" s="77"/>
      <c r="DW162" s="78"/>
      <c r="EF162" s="78"/>
      <c r="EG162" s="77"/>
      <c r="EH162" s="78"/>
      <c r="EI162" s="77"/>
      <c r="EJ162" s="78"/>
      <c r="EK162" s="77"/>
      <c r="EL162" s="78"/>
      <c r="EM162" s="77"/>
      <c r="EN162" s="78"/>
      <c r="EW162" s="78"/>
      <c r="EX162" s="77"/>
      <c r="EY162" s="78"/>
      <c r="EZ162" s="77"/>
      <c r="FA162" s="78"/>
      <c r="FB162" s="77"/>
      <c r="FC162" s="78"/>
      <c r="FD162" s="77"/>
      <c r="FE162" s="78"/>
      <c r="FN162" s="78"/>
      <c r="FO162" s="77"/>
      <c r="FP162" s="78"/>
      <c r="FQ162" s="77"/>
      <c r="FR162" s="78"/>
      <c r="FS162" s="77"/>
      <c r="FT162" s="78"/>
      <c r="FU162" s="77"/>
      <c r="FV162" s="78"/>
      <c r="GE162" s="78"/>
      <c r="GF162" s="77"/>
      <c r="GG162" s="78"/>
      <c r="GH162" s="77"/>
      <c r="GI162" s="78"/>
      <c r="GJ162" s="77"/>
      <c r="GK162" s="78"/>
      <c r="GL162" s="77"/>
      <c r="GM162" s="78"/>
      <c r="GV162" s="78"/>
      <c r="GW162" s="77"/>
      <c r="GX162" s="78"/>
      <c r="GY162" s="77"/>
      <c r="GZ162" s="78"/>
      <c r="HA162" s="77"/>
      <c r="HB162" s="78"/>
      <c r="HC162" s="77"/>
      <c r="HD162" s="78"/>
      <c r="HM162" s="78"/>
      <c r="HN162" s="77"/>
      <c r="HO162" s="78"/>
      <c r="HP162" s="77"/>
      <c r="HQ162" s="78"/>
      <c r="HR162" s="77"/>
      <c r="HS162" s="78"/>
      <c r="HT162" s="77"/>
      <c r="HU162" s="78"/>
      <c r="ID162" s="78"/>
      <c r="IE162" s="77"/>
      <c r="IF162" s="78"/>
      <c r="IG162" s="77"/>
      <c r="IH162" s="78"/>
      <c r="II162" s="77"/>
      <c r="IJ162" s="78"/>
      <c r="IK162" s="77"/>
      <c r="IL162" s="78"/>
    </row>
    <row r="163" spans="17:246" x14ac:dyDescent="0.2">
      <c r="Q163" s="78"/>
      <c r="R163" s="77"/>
      <c r="S163" s="78"/>
      <c r="T163" s="77"/>
      <c r="U163" s="78"/>
      <c r="V163" s="77"/>
      <c r="W163" s="78"/>
      <c r="X163" s="77"/>
      <c r="Y163" s="78"/>
      <c r="AH163" s="78"/>
      <c r="AI163" s="77"/>
      <c r="AJ163" s="78"/>
      <c r="AK163" s="77"/>
      <c r="AL163" s="78"/>
      <c r="AM163" s="77"/>
      <c r="AN163" s="78"/>
      <c r="AO163" s="77"/>
      <c r="AP163" s="78"/>
      <c r="AY163" s="78"/>
      <c r="AZ163" s="77"/>
      <c r="BA163" s="78"/>
      <c r="BB163" s="77"/>
      <c r="BC163" s="78"/>
      <c r="BD163" s="77"/>
      <c r="BE163" s="78"/>
      <c r="BF163" s="77"/>
      <c r="BG163" s="78"/>
      <c r="BP163" s="78"/>
      <c r="BQ163" s="77"/>
      <c r="BR163" s="78"/>
      <c r="BS163" s="77"/>
      <c r="BT163" s="78"/>
      <c r="BU163" s="77"/>
      <c r="BV163" s="78"/>
      <c r="BW163" s="77"/>
      <c r="BX163" s="78"/>
      <c r="CG163" s="78"/>
      <c r="CH163" s="77"/>
      <c r="CI163" s="78"/>
      <c r="CJ163" s="77"/>
      <c r="CK163" s="78"/>
      <c r="CL163" s="77"/>
      <c r="CM163" s="78"/>
      <c r="CN163" s="77"/>
      <c r="CO163" s="78"/>
      <c r="CX163" s="78"/>
      <c r="CY163" s="77"/>
      <c r="CZ163" s="78"/>
      <c r="DA163" s="77"/>
      <c r="DB163" s="78"/>
      <c r="DC163" s="77"/>
      <c r="DD163" s="78"/>
      <c r="DE163" s="77"/>
      <c r="DF163" s="78"/>
      <c r="DO163" s="78"/>
      <c r="DP163" s="77"/>
      <c r="DQ163" s="78"/>
      <c r="DR163" s="77"/>
      <c r="DS163" s="78"/>
      <c r="DT163" s="77"/>
      <c r="DU163" s="78"/>
      <c r="DV163" s="77"/>
      <c r="DW163" s="78"/>
      <c r="EF163" s="78"/>
      <c r="EG163" s="77"/>
      <c r="EH163" s="78"/>
      <c r="EI163" s="77"/>
      <c r="EJ163" s="78"/>
      <c r="EK163" s="77"/>
      <c r="EL163" s="78"/>
      <c r="EM163" s="77"/>
      <c r="EN163" s="78"/>
      <c r="EW163" s="78"/>
      <c r="EX163" s="77"/>
      <c r="EY163" s="78"/>
      <c r="EZ163" s="77"/>
      <c r="FA163" s="78"/>
      <c r="FB163" s="77"/>
      <c r="FC163" s="78"/>
      <c r="FD163" s="77"/>
      <c r="FE163" s="78"/>
      <c r="FN163" s="78"/>
      <c r="FO163" s="77"/>
      <c r="FP163" s="78"/>
      <c r="FQ163" s="77"/>
      <c r="FR163" s="78"/>
      <c r="FS163" s="77"/>
      <c r="FT163" s="78"/>
      <c r="FU163" s="77"/>
      <c r="FV163" s="78"/>
      <c r="GE163" s="78"/>
      <c r="GF163" s="77"/>
      <c r="GG163" s="78"/>
      <c r="GH163" s="77"/>
      <c r="GI163" s="78"/>
      <c r="GJ163" s="77"/>
      <c r="GK163" s="78"/>
      <c r="GL163" s="77"/>
      <c r="GM163" s="78"/>
      <c r="GV163" s="78"/>
      <c r="GW163" s="77"/>
      <c r="GX163" s="78"/>
      <c r="GY163" s="77"/>
      <c r="GZ163" s="78"/>
      <c r="HA163" s="77"/>
      <c r="HB163" s="78"/>
      <c r="HC163" s="77"/>
      <c r="HD163" s="78"/>
      <c r="HM163" s="78"/>
      <c r="HN163" s="77"/>
      <c r="HO163" s="78"/>
      <c r="HP163" s="77"/>
      <c r="HQ163" s="78"/>
      <c r="HR163" s="77"/>
      <c r="HS163" s="78"/>
      <c r="HT163" s="77"/>
      <c r="HU163" s="78"/>
      <c r="ID163" s="78"/>
      <c r="IE163" s="77"/>
      <c r="IF163" s="78"/>
      <c r="IG163" s="77"/>
      <c r="IH163" s="78"/>
      <c r="II163" s="77"/>
      <c r="IJ163" s="78"/>
      <c r="IK163" s="77"/>
      <c r="IL163" s="78"/>
    </row>
    <row r="164" spans="17:246" x14ac:dyDescent="0.2">
      <c r="Q164" s="78"/>
      <c r="R164" s="77"/>
      <c r="S164" s="78"/>
      <c r="T164" s="77"/>
      <c r="U164" s="78"/>
      <c r="V164" s="77"/>
      <c r="W164" s="78"/>
      <c r="X164" s="77"/>
      <c r="Y164" s="78"/>
      <c r="AH164" s="78"/>
      <c r="AI164" s="77"/>
      <c r="AJ164" s="78"/>
      <c r="AK164" s="77"/>
      <c r="AL164" s="78"/>
      <c r="AM164" s="77"/>
      <c r="AN164" s="78"/>
      <c r="AO164" s="77"/>
      <c r="AP164" s="78"/>
      <c r="AY164" s="78"/>
      <c r="AZ164" s="77"/>
      <c r="BA164" s="78"/>
      <c r="BB164" s="77"/>
      <c r="BC164" s="78"/>
      <c r="BD164" s="77"/>
      <c r="BE164" s="78"/>
      <c r="BF164" s="77"/>
      <c r="BG164" s="78"/>
      <c r="BP164" s="78"/>
      <c r="BQ164" s="77"/>
      <c r="BR164" s="78"/>
      <c r="BS164" s="77"/>
      <c r="BT164" s="78"/>
      <c r="BU164" s="77"/>
      <c r="BV164" s="78"/>
      <c r="BW164" s="77"/>
      <c r="BX164" s="78"/>
      <c r="CG164" s="78"/>
      <c r="CH164" s="77"/>
      <c r="CI164" s="78"/>
      <c r="CJ164" s="77"/>
      <c r="CK164" s="78"/>
      <c r="CL164" s="77"/>
      <c r="CM164" s="78"/>
      <c r="CN164" s="77"/>
      <c r="CO164" s="78"/>
      <c r="CX164" s="78"/>
      <c r="CY164" s="77"/>
      <c r="CZ164" s="78"/>
      <c r="DA164" s="77"/>
      <c r="DB164" s="78"/>
      <c r="DC164" s="77"/>
      <c r="DD164" s="78"/>
      <c r="DE164" s="77"/>
      <c r="DF164" s="78"/>
      <c r="DO164" s="78"/>
      <c r="DP164" s="77"/>
      <c r="DQ164" s="78"/>
      <c r="DR164" s="77"/>
      <c r="DS164" s="78"/>
      <c r="DT164" s="77"/>
      <c r="DU164" s="78"/>
      <c r="DV164" s="77"/>
      <c r="DW164" s="78"/>
      <c r="EF164" s="78"/>
      <c r="EG164" s="77"/>
      <c r="EH164" s="78"/>
      <c r="EI164" s="77"/>
      <c r="EJ164" s="78"/>
      <c r="EK164" s="77"/>
      <c r="EL164" s="78"/>
      <c r="EM164" s="77"/>
      <c r="EN164" s="78"/>
      <c r="EW164" s="78"/>
      <c r="EX164" s="77"/>
      <c r="EY164" s="78"/>
      <c r="EZ164" s="77"/>
      <c r="FA164" s="78"/>
      <c r="FB164" s="77"/>
      <c r="FC164" s="78"/>
      <c r="FD164" s="77"/>
      <c r="FE164" s="78"/>
      <c r="FN164" s="78"/>
      <c r="FO164" s="77"/>
      <c r="FP164" s="78"/>
      <c r="FQ164" s="77"/>
      <c r="FR164" s="78"/>
      <c r="FS164" s="77"/>
      <c r="FT164" s="78"/>
      <c r="FU164" s="77"/>
      <c r="FV164" s="78"/>
      <c r="GE164" s="78"/>
      <c r="GF164" s="77"/>
      <c r="GG164" s="78"/>
      <c r="GH164" s="77"/>
      <c r="GI164" s="78"/>
      <c r="GJ164" s="77"/>
      <c r="GK164" s="78"/>
      <c r="GL164" s="77"/>
      <c r="GM164" s="78"/>
      <c r="GV164" s="78"/>
      <c r="GW164" s="77"/>
      <c r="GX164" s="78"/>
      <c r="GY164" s="77"/>
      <c r="GZ164" s="78"/>
      <c r="HA164" s="77"/>
      <c r="HB164" s="78"/>
      <c r="HC164" s="77"/>
      <c r="HD164" s="78"/>
      <c r="HM164" s="78"/>
      <c r="HN164" s="77"/>
      <c r="HO164" s="78"/>
      <c r="HP164" s="77"/>
      <c r="HQ164" s="78"/>
      <c r="HR164" s="77"/>
      <c r="HS164" s="78"/>
      <c r="HT164" s="77"/>
      <c r="HU164" s="78"/>
      <c r="ID164" s="78"/>
      <c r="IE164" s="77"/>
      <c r="IF164" s="78"/>
      <c r="IG164" s="77"/>
      <c r="IH164" s="78"/>
      <c r="II164" s="77"/>
      <c r="IJ164" s="78"/>
      <c r="IK164" s="77"/>
      <c r="IL164" s="78"/>
    </row>
    <row r="165" spans="17:246" x14ac:dyDescent="0.2">
      <c r="Q165" s="78"/>
      <c r="R165" s="77"/>
      <c r="S165" s="78"/>
      <c r="T165" s="77"/>
      <c r="U165" s="78"/>
      <c r="V165" s="77"/>
      <c r="W165" s="78"/>
      <c r="X165" s="77"/>
      <c r="Y165" s="78"/>
      <c r="AH165" s="78"/>
      <c r="AI165" s="77"/>
      <c r="AJ165" s="78"/>
      <c r="AK165" s="77"/>
      <c r="AL165" s="78"/>
      <c r="AM165" s="77"/>
      <c r="AN165" s="78"/>
      <c r="AO165" s="77"/>
      <c r="AP165" s="78"/>
      <c r="AY165" s="78"/>
      <c r="AZ165" s="77"/>
      <c r="BA165" s="78"/>
      <c r="BB165" s="77"/>
      <c r="BC165" s="78"/>
      <c r="BD165" s="77"/>
      <c r="BE165" s="78"/>
      <c r="BF165" s="77"/>
      <c r="BG165" s="78"/>
      <c r="BP165" s="78"/>
      <c r="BQ165" s="77"/>
      <c r="BR165" s="78"/>
      <c r="BS165" s="77"/>
      <c r="BT165" s="78"/>
      <c r="BU165" s="77"/>
      <c r="BV165" s="78"/>
      <c r="BW165" s="77"/>
      <c r="BX165" s="78"/>
      <c r="CG165" s="78"/>
      <c r="CH165" s="77"/>
      <c r="CI165" s="78"/>
      <c r="CJ165" s="77"/>
      <c r="CK165" s="78"/>
      <c r="CL165" s="77"/>
      <c r="CM165" s="78"/>
      <c r="CN165" s="77"/>
      <c r="CO165" s="78"/>
      <c r="CX165" s="78"/>
      <c r="CY165" s="77"/>
      <c r="CZ165" s="78"/>
      <c r="DA165" s="77"/>
      <c r="DB165" s="78"/>
      <c r="DC165" s="77"/>
      <c r="DD165" s="78"/>
      <c r="DE165" s="77"/>
      <c r="DF165" s="78"/>
      <c r="DO165" s="78"/>
      <c r="DP165" s="77"/>
      <c r="DQ165" s="78"/>
      <c r="DR165" s="77"/>
      <c r="DS165" s="78"/>
      <c r="DT165" s="77"/>
      <c r="DU165" s="78"/>
      <c r="DV165" s="77"/>
      <c r="DW165" s="78"/>
      <c r="EF165" s="78"/>
      <c r="EG165" s="77"/>
      <c r="EH165" s="78"/>
      <c r="EI165" s="77"/>
      <c r="EJ165" s="78"/>
      <c r="EK165" s="77"/>
      <c r="EL165" s="78"/>
      <c r="EM165" s="77"/>
      <c r="EN165" s="78"/>
      <c r="EW165" s="78"/>
      <c r="EX165" s="77"/>
      <c r="EY165" s="78"/>
      <c r="EZ165" s="77"/>
      <c r="FA165" s="78"/>
      <c r="FB165" s="77"/>
      <c r="FC165" s="78"/>
      <c r="FD165" s="77"/>
      <c r="FE165" s="78"/>
      <c r="FN165" s="78"/>
      <c r="FO165" s="77"/>
      <c r="FP165" s="78"/>
      <c r="FQ165" s="77"/>
      <c r="FR165" s="78"/>
      <c r="FS165" s="77"/>
      <c r="FT165" s="78"/>
      <c r="FU165" s="77"/>
      <c r="FV165" s="78"/>
      <c r="GE165" s="78"/>
      <c r="GF165" s="77"/>
      <c r="GG165" s="78"/>
      <c r="GH165" s="77"/>
      <c r="GI165" s="78"/>
      <c r="GJ165" s="77"/>
      <c r="GK165" s="78"/>
      <c r="GL165" s="77"/>
      <c r="GM165" s="78"/>
      <c r="GV165" s="78"/>
      <c r="GW165" s="77"/>
      <c r="GX165" s="78"/>
      <c r="GY165" s="77"/>
      <c r="GZ165" s="78"/>
      <c r="HA165" s="77"/>
      <c r="HB165" s="78"/>
      <c r="HC165" s="77"/>
      <c r="HD165" s="78"/>
      <c r="HM165" s="78"/>
      <c r="HN165" s="77"/>
      <c r="HO165" s="78"/>
      <c r="HP165" s="77"/>
      <c r="HQ165" s="78"/>
      <c r="HR165" s="77"/>
      <c r="HS165" s="78"/>
      <c r="HT165" s="77"/>
      <c r="HU165" s="78"/>
      <c r="ID165" s="78"/>
      <c r="IE165" s="77"/>
      <c r="IF165" s="78"/>
      <c r="IG165" s="77"/>
      <c r="IH165" s="78"/>
      <c r="II165" s="77"/>
      <c r="IJ165" s="78"/>
      <c r="IK165" s="77"/>
      <c r="IL165" s="78"/>
    </row>
    <row r="166" spans="17:246" x14ac:dyDescent="0.2">
      <c r="Q166" s="78"/>
      <c r="R166" s="77"/>
      <c r="S166" s="78"/>
      <c r="T166" s="77"/>
      <c r="U166" s="78"/>
      <c r="V166" s="77"/>
      <c r="W166" s="78"/>
      <c r="X166" s="77"/>
      <c r="Y166" s="78"/>
      <c r="AH166" s="78"/>
      <c r="AI166" s="77"/>
      <c r="AJ166" s="78"/>
      <c r="AK166" s="77"/>
      <c r="AL166" s="78"/>
      <c r="AM166" s="77"/>
      <c r="AN166" s="78"/>
      <c r="AO166" s="77"/>
      <c r="AP166" s="78"/>
      <c r="AY166" s="78"/>
      <c r="AZ166" s="77"/>
      <c r="BA166" s="78"/>
      <c r="BB166" s="77"/>
      <c r="BC166" s="78"/>
      <c r="BD166" s="77"/>
      <c r="BE166" s="78"/>
      <c r="BF166" s="77"/>
      <c r="BG166" s="78"/>
      <c r="BP166" s="78"/>
      <c r="BQ166" s="77"/>
      <c r="BR166" s="78"/>
      <c r="BS166" s="77"/>
      <c r="BT166" s="78"/>
      <c r="BU166" s="77"/>
      <c r="BV166" s="78"/>
      <c r="BW166" s="77"/>
      <c r="BX166" s="78"/>
      <c r="CG166" s="78"/>
      <c r="CH166" s="77"/>
      <c r="CI166" s="78"/>
      <c r="CJ166" s="77"/>
      <c r="CK166" s="78"/>
      <c r="CL166" s="77"/>
      <c r="CM166" s="78"/>
      <c r="CN166" s="77"/>
      <c r="CO166" s="78"/>
      <c r="CX166" s="78"/>
      <c r="CY166" s="77"/>
      <c r="CZ166" s="78"/>
      <c r="DA166" s="77"/>
      <c r="DB166" s="78"/>
      <c r="DC166" s="77"/>
      <c r="DD166" s="78"/>
      <c r="DE166" s="77"/>
      <c r="DF166" s="78"/>
      <c r="DO166" s="78"/>
      <c r="DP166" s="77"/>
      <c r="DQ166" s="78"/>
      <c r="DR166" s="77"/>
      <c r="DS166" s="78"/>
      <c r="DT166" s="77"/>
      <c r="DU166" s="78"/>
      <c r="DV166" s="77"/>
      <c r="DW166" s="78"/>
      <c r="EF166" s="78"/>
      <c r="EG166" s="77"/>
      <c r="EH166" s="78"/>
      <c r="EI166" s="77"/>
      <c r="EJ166" s="78"/>
      <c r="EK166" s="77"/>
      <c r="EL166" s="78"/>
      <c r="EM166" s="77"/>
      <c r="EN166" s="78"/>
      <c r="EW166" s="78"/>
      <c r="EX166" s="77"/>
      <c r="EY166" s="78"/>
      <c r="EZ166" s="77"/>
      <c r="FA166" s="78"/>
      <c r="FB166" s="77"/>
      <c r="FC166" s="78"/>
      <c r="FD166" s="77"/>
      <c r="FE166" s="78"/>
      <c r="FN166" s="78"/>
      <c r="FO166" s="77"/>
      <c r="FP166" s="78"/>
      <c r="FQ166" s="77"/>
      <c r="FR166" s="78"/>
      <c r="FS166" s="77"/>
      <c r="FT166" s="78"/>
      <c r="FU166" s="77"/>
      <c r="FV166" s="78"/>
      <c r="GE166" s="78"/>
      <c r="GF166" s="77"/>
      <c r="GG166" s="78"/>
      <c r="GH166" s="77"/>
      <c r="GI166" s="78"/>
      <c r="GJ166" s="77"/>
      <c r="GK166" s="78"/>
      <c r="GL166" s="77"/>
      <c r="GM166" s="78"/>
      <c r="GV166" s="78"/>
      <c r="GW166" s="77"/>
      <c r="GX166" s="78"/>
      <c r="GY166" s="77"/>
      <c r="GZ166" s="78"/>
      <c r="HA166" s="77"/>
      <c r="HB166" s="78"/>
      <c r="HC166" s="77"/>
      <c r="HD166" s="78"/>
      <c r="HM166" s="78"/>
      <c r="HN166" s="77"/>
      <c r="HO166" s="78"/>
      <c r="HP166" s="77"/>
      <c r="HQ166" s="78"/>
      <c r="HR166" s="77"/>
      <c r="HS166" s="78"/>
      <c r="HT166" s="77"/>
      <c r="HU166" s="78"/>
      <c r="ID166" s="78"/>
      <c r="IE166" s="77"/>
      <c r="IF166" s="78"/>
      <c r="IG166" s="77"/>
      <c r="IH166" s="78"/>
      <c r="II166" s="77"/>
      <c r="IJ166" s="78"/>
      <c r="IK166" s="77"/>
      <c r="IL166" s="78"/>
    </row>
    <row r="167" spans="17:246" x14ac:dyDescent="0.2">
      <c r="Q167" s="78"/>
      <c r="R167" s="78"/>
      <c r="S167" s="78"/>
      <c r="T167" s="78"/>
      <c r="U167" s="78"/>
      <c r="V167" s="78"/>
      <c r="W167" s="78"/>
      <c r="X167" s="78"/>
      <c r="Y167" s="78"/>
      <c r="AH167" s="78"/>
      <c r="AI167" s="78"/>
      <c r="AJ167" s="78"/>
      <c r="AK167" s="78"/>
      <c r="AL167" s="78"/>
      <c r="AM167" s="78"/>
      <c r="AN167" s="78"/>
      <c r="AO167" s="78"/>
      <c r="AP167" s="78"/>
      <c r="AY167" s="78"/>
      <c r="AZ167" s="78"/>
      <c r="BA167" s="78"/>
      <c r="BB167" s="78"/>
      <c r="BC167" s="78"/>
      <c r="BD167" s="78"/>
      <c r="BE167" s="78"/>
      <c r="BF167" s="78"/>
      <c r="BG167" s="78"/>
      <c r="BP167" s="78"/>
      <c r="BQ167" s="78"/>
      <c r="BR167" s="78"/>
      <c r="BS167" s="78"/>
      <c r="BT167" s="78"/>
      <c r="BU167" s="78"/>
      <c r="BV167" s="78"/>
      <c r="BW167" s="78"/>
      <c r="BX167" s="78"/>
      <c r="CG167" s="78"/>
      <c r="CH167" s="78"/>
      <c r="CI167" s="78"/>
      <c r="CJ167" s="78"/>
      <c r="CK167" s="78"/>
      <c r="CL167" s="78"/>
      <c r="CM167" s="78"/>
      <c r="CN167" s="78"/>
      <c r="CO167" s="78"/>
      <c r="CX167" s="78"/>
      <c r="CY167" s="78"/>
      <c r="CZ167" s="78"/>
      <c r="DA167" s="78"/>
      <c r="DB167" s="78"/>
      <c r="DC167" s="78"/>
      <c r="DD167" s="78"/>
      <c r="DE167" s="78"/>
      <c r="DF167" s="78"/>
      <c r="DO167" s="78"/>
      <c r="DP167" s="78"/>
      <c r="DQ167" s="78"/>
      <c r="DR167" s="78"/>
      <c r="DS167" s="78"/>
      <c r="DT167" s="78"/>
      <c r="DU167" s="78"/>
      <c r="DV167" s="78"/>
      <c r="DW167" s="78"/>
      <c r="EF167" s="78"/>
      <c r="EG167" s="78"/>
      <c r="EH167" s="78"/>
      <c r="EI167" s="78"/>
      <c r="EJ167" s="78"/>
      <c r="EK167" s="78"/>
      <c r="EL167" s="78"/>
      <c r="EM167" s="78"/>
      <c r="EN167" s="78"/>
      <c r="EW167" s="78"/>
      <c r="EX167" s="78"/>
      <c r="EY167" s="78"/>
      <c r="EZ167" s="78"/>
      <c r="FA167" s="78"/>
      <c r="FB167" s="78"/>
      <c r="FC167" s="78"/>
      <c r="FD167" s="78"/>
      <c r="FE167" s="78"/>
      <c r="FN167" s="78"/>
      <c r="FO167" s="78"/>
      <c r="FP167" s="78"/>
      <c r="FQ167" s="78"/>
      <c r="FR167" s="78"/>
      <c r="FS167" s="78"/>
      <c r="FT167" s="78"/>
      <c r="FU167" s="78"/>
      <c r="FV167" s="78"/>
      <c r="GE167" s="78"/>
      <c r="GF167" s="78"/>
      <c r="GG167" s="78"/>
      <c r="GH167" s="78"/>
      <c r="GI167" s="78"/>
      <c r="GJ167" s="78"/>
      <c r="GK167" s="78"/>
      <c r="GL167" s="78"/>
      <c r="GM167" s="78"/>
      <c r="GV167" s="78"/>
      <c r="GW167" s="78"/>
      <c r="GX167" s="78"/>
      <c r="GY167" s="78"/>
      <c r="GZ167" s="78"/>
      <c r="HA167" s="78"/>
      <c r="HB167" s="78"/>
      <c r="HC167" s="78"/>
      <c r="HD167" s="78"/>
      <c r="HM167" s="78"/>
      <c r="HN167" s="78"/>
      <c r="HO167" s="78"/>
      <c r="HP167" s="78"/>
      <c r="HQ167" s="78"/>
      <c r="HR167" s="78"/>
      <c r="HS167" s="78"/>
      <c r="HT167" s="78"/>
      <c r="HU167" s="78"/>
      <c r="ID167" s="78"/>
      <c r="IE167" s="78"/>
      <c r="IF167" s="78"/>
      <c r="IG167" s="78"/>
      <c r="IH167" s="78"/>
      <c r="II167" s="78"/>
      <c r="IJ167" s="78"/>
      <c r="IK167" s="78"/>
      <c r="IL167" s="78"/>
    </row>
    <row r="168" spans="17:246" x14ac:dyDescent="0.2">
      <c r="Q168" s="78"/>
      <c r="R168" s="78"/>
      <c r="S168" s="78"/>
      <c r="T168" s="78"/>
      <c r="U168" s="78"/>
      <c r="V168" s="78"/>
      <c r="W168" s="78"/>
      <c r="X168" s="78"/>
      <c r="Y168" s="78"/>
      <c r="AH168" s="78"/>
      <c r="AI168" s="78"/>
      <c r="AJ168" s="78"/>
      <c r="AK168" s="78"/>
      <c r="AL168" s="78"/>
      <c r="AM168" s="78"/>
      <c r="AN168" s="78"/>
      <c r="AO168" s="78"/>
      <c r="AP168" s="78"/>
      <c r="AY168" s="78"/>
      <c r="AZ168" s="78"/>
      <c r="BA168" s="78"/>
      <c r="BB168" s="78"/>
      <c r="BC168" s="78"/>
      <c r="BD168" s="78"/>
      <c r="BE168" s="78"/>
      <c r="BF168" s="78"/>
      <c r="BG168" s="78"/>
      <c r="BP168" s="78"/>
      <c r="BQ168" s="78"/>
      <c r="BR168" s="78"/>
      <c r="BS168" s="78"/>
      <c r="BT168" s="78"/>
      <c r="BU168" s="78"/>
      <c r="BV168" s="78"/>
      <c r="BW168" s="78"/>
      <c r="BX168" s="78"/>
      <c r="CG168" s="78"/>
      <c r="CH168" s="78"/>
      <c r="CI168" s="78"/>
      <c r="CJ168" s="78"/>
      <c r="CK168" s="78"/>
      <c r="CL168" s="78"/>
      <c r="CM168" s="78"/>
      <c r="CN168" s="78"/>
      <c r="CO168" s="78"/>
      <c r="CX168" s="78"/>
      <c r="CY168" s="78"/>
      <c r="CZ168" s="78"/>
      <c r="DA168" s="78"/>
      <c r="DB168" s="78"/>
      <c r="DC168" s="78"/>
      <c r="DD168" s="78"/>
      <c r="DE168" s="78"/>
      <c r="DF168" s="78"/>
      <c r="DO168" s="78"/>
      <c r="DP168" s="78"/>
      <c r="DQ168" s="78"/>
      <c r="DR168" s="78"/>
      <c r="DS168" s="78"/>
      <c r="DT168" s="78"/>
      <c r="DU168" s="78"/>
      <c r="DV168" s="78"/>
      <c r="DW168" s="78"/>
      <c r="EF168" s="78"/>
      <c r="EG168" s="78"/>
      <c r="EH168" s="78"/>
      <c r="EI168" s="78"/>
      <c r="EJ168" s="78"/>
      <c r="EK168" s="78"/>
      <c r="EL168" s="78"/>
      <c r="EM168" s="78"/>
      <c r="EN168" s="78"/>
      <c r="EW168" s="78"/>
      <c r="EX168" s="78"/>
      <c r="EY168" s="78"/>
      <c r="EZ168" s="78"/>
      <c r="FA168" s="78"/>
      <c r="FB168" s="78"/>
      <c r="FC168" s="78"/>
      <c r="FD168" s="78"/>
      <c r="FE168" s="78"/>
      <c r="FN168" s="78"/>
      <c r="FO168" s="78"/>
      <c r="FP168" s="78"/>
      <c r="FQ168" s="78"/>
      <c r="FR168" s="78"/>
      <c r="FS168" s="78"/>
      <c r="FT168" s="78"/>
      <c r="FU168" s="78"/>
      <c r="FV168" s="78"/>
      <c r="GE168" s="78"/>
      <c r="GF168" s="78"/>
      <c r="GG168" s="78"/>
      <c r="GH168" s="78"/>
      <c r="GI168" s="78"/>
      <c r="GJ168" s="78"/>
      <c r="GK168" s="78"/>
      <c r="GL168" s="78"/>
      <c r="GM168" s="78"/>
      <c r="GV168" s="78"/>
      <c r="GW168" s="78"/>
      <c r="GX168" s="78"/>
      <c r="GY168" s="78"/>
      <c r="GZ168" s="78"/>
      <c r="HA168" s="78"/>
      <c r="HB168" s="78"/>
      <c r="HC168" s="78"/>
      <c r="HD168" s="78"/>
      <c r="HM168" s="78"/>
      <c r="HN168" s="78"/>
      <c r="HO168" s="78"/>
      <c r="HP168" s="78"/>
      <c r="HQ168" s="78"/>
      <c r="HR168" s="78"/>
      <c r="HS168" s="78"/>
      <c r="HT168" s="78"/>
      <c r="HU168" s="78"/>
      <c r="ID168" s="78"/>
      <c r="IE168" s="78"/>
      <c r="IF168" s="78"/>
      <c r="IG168" s="78"/>
      <c r="IH168" s="78"/>
      <c r="II168" s="78"/>
      <c r="IJ168" s="78"/>
      <c r="IK168" s="78"/>
      <c r="IL168" s="78"/>
    </row>
    <row r="169" spans="17:246" x14ac:dyDescent="0.2">
      <c r="Q169" s="78"/>
      <c r="R169" s="78"/>
      <c r="S169" s="78"/>
      <c r="T169" s="78"/>
      <c r="U169" s="78"/>
      <c r="V169" s="78"/>
      <c r="W169" s="78"/>
      <c r="X169" s="78"/>
      <c r="Y169" s="78"/>
      <c r="AH169" s="78"/>
      <c r="AI169" s="78"/>
      <c r="AJ169" s="78"/>
      <c r="AK169" s="78"/>
      <c r="AL169" s="78"/>
      <c r="AM169" s="78"/>
      <c r="AN169" s="78"/>
      <c r="AO169" s="78"/>
      <c r="AP169" s="78"/>
      <c r="AY169" s="78"/>
      <c r="AZ169" s="78"/>
      <c r="BA169" s="78"/>
      <c r="BB169" s="78"/>
      <c r="BC169" s="78"/>
      <c r="BD169" s="78"/>
      <c r="BE169" s="78"/>
      <c r="BF169" s="78"/>
      <c r="BG169" s="78"/>
      <c r="BP169" s="78"/>
      <c r="BQ169" s="78"/>
      <c r="BR169" s="78"/>
      <c r="BS169" s="78"/>
      <c r="BT169" s="78"/>
      <c r="BU169" s="78"/>
      <c r="BV169" s="78"/>
      <c r="BW169" s="78"/>
      <c r="BX169" s="78"/>
      <c r="CG169" s="78"/>
      <c r="CH169" s="78"/>
      <c r="CI169" s="78"/>
      <c r="CJ169" s="78"/>
      <c r="CK169" s="78"/>
      <c r="CL169" s="78"/>
      <c r="CM169" s="78"/>
      <c r="CN169" s="78"/>
      <c r="CO169" s="78"/>
      <c r="CX169" s="78"/>
      <c r="CY169" s="78"/>
      <c r="CZ169" s="78"/>
      <c r="DA169" s="78"/>
      <c r="DB169" s="78"/>
      <c r="DC169" s="78"/>
      <c r="DD169" s="78"/>
      <c r="DE169" s="78"/>
      <c r="DF169" s="78"/>
      <c r="DO169" s="78"/>
      <c r="DP169" s="78"/>
      <c r="DQ169" s="78"/>
      <c r="DR169" s="78"/>
      <c r="DS169" s="78"/>
      <c r="DT169" s="78"/>
      <c r="DU169" s="78"/>
      <c r="DV169" s="78"/>
      <c r="DW169" s="78"/>
      <c r="EF169" s="78"/>
      <c r="EG169" s="78"/>
      <c r="EH169" s="78"/>
      <c r="EI169" s="78"/>
      <c r="EJ169" s="78"/>
      <c r="EK169" s="78"/>
      <c r="EL169" s="78"/>
      <c r="EM169" s="78"/>
      <c r="EN169" s="78"/>
      <c r="EW169" s="78"/>
      <c r="EX169" s="78"/>
      <c r="EY169" s="78"/>
      <c r="EZ169" s="78"/>
      <c r="FA169" s="78"/>
      <c r="FB169" s="78"/>
      <c r="FC169" s="78"/>
      <c r="FD169" s="78"/>
      <c r="FE169" s="78"/>
      <c r="FN169" s="78"/>
      <c r="FO169" s="78"/>
      <c r="FP169" s="78"/>
      <c r="FQ169" s="78"/>
      <c r="FR169" s="78"/>
      <c r="FS169" s="78"/>
      <c r="FT169" s="78"/>
      <c r="FU169" s="78"/>
      <c r="FV169" s="78"/>
      <c r="GE169" s="78"/>
      <c r="GF169" s="78"/>
      <c r="GG169" s="78"/>
      <c r="GH169" s="78"/>
      <c r="GI169" s="78"/>
      <c r="GJ169" s="78"/>
      <c r="GK169" s="78"/>
      <c r="GL169" s="78"/>
      <c r="GM169" s="78"/>
      <c r="GV169" s="78"/>
      <c r="GW169" s="78"/>
      <c r="GX169" s="78"/>
      <c r="GY169" s="78"/>
      <c r="GZ169" s="78"/>
      <c r="HA169" s="78"/>
      <c r="HB169" s="78"/>
      <c r="HC169" s="78"/>
      <c r="HD169" s="78"/>
      <c r="HM169" s="78"/>
      <c r="HN169" s="78"/>
      <c r="HO169" s="78"/>
      <c r="HP169" s="78"/>
      <c r="HQ169" s="78"/>
      <c r="HR169" s="78"/>
      <c r="HS169" s="78"/>
      <c r="HT169" s="78"/>
      <c r="HU169" s="78"/>
      <c r="ID169" s="78"/>
      <c r="IE169" s="78"/>
      <c r="IF169" s="78"/>
      <c r="IG169" s="78"/>
      <c r="IH169" s="78"/>
      <c r="II169" s="78"/>
      <c r="IJ169" s="78"/>
      <c r="IK169" s="78"/>
      <c r="IL169" s="78"/>
    </row>
    <row r="170" spans="17:246" x14ac:dyDescent="0.2">
      <c r="Q170" s="78"/>
      <c r="R170" s="78"/>
      <c r="S170" s="78"/>
      <c r="T170" s="78"/>
      <c r="U170" s="78"/>
      <c r="V170" s="78"/>
      <c r="W170" s="78"/>
      <c r="X170" s="78"/>
      <c r="Y170" s="78"/>
      <c r="AH170" s="78"/>
      <c r="AI170" s="78"/>
      <c r="AJ170" s="78"/>
      <c r="AK170" s="78"/>
      <c r="AL170" s="78"/>
      <c r="AM170" s="78"/>
      <c r="AN170" s="78"/>
      <c r="AO170" s="78"/>
      <c r="AP170" s="78"/>
      <c r="AY170" s="78"/>
      <c r="AZ170" s="78"/>
      <c r="BA170" s="78"/>
      <c r="BB170" s="78"/>
      <c r="BC170" s="78"/>
      <c r="BD170" s="78"/>
      <c r="BE170" s="78"/>
      <c r="BF170" s="78"/>
      <c r="BG170" s="78"/>
      <c r="BP170" s="78"/>
      <c r="BQ170" s="78"/>
      <c r="BR170" s="78"/>
      <c r="BS170" s="78"/>
      <c r="BT170" s="78"/>
      <c r="BU170" s="78"/>
      <c r="BV170" s="78"/>
      <c r="BW170" s="78"/>
      <c r="BX170" s="78"/>
      <c r="CG170" s="78"/>
      <c r="CH170" s="78"/>
      <c r="CI170" s="78"/>
      <c r="CJ170" s="78"/>
      <c r="CK170" s="78"/>
      <c r="CL170" s="78"/>
      <c r="CM170" s="78"/>
      <c r="CN170" s="78"/>
      <c r="CO170" s="78"/>
      <c r="CX170" s="78"/>
      <c r="CY170" s="78"/>
      <c r="CZ170" s="78"/>
      <c r="DA170" s="78"/>
      <c r="DB170" s="78"/>
      <c r="DC170" s="78"/>
      <c r="DD170" s="78"/>
      <c r="DE170" s="78"/>
      <c r="DF170" s="78"/>
      <c r="DO170" s="78"/>
      <c r="DP170" s="78"/>
      <c r="DQ170" s="78"/>
      <c r="DR170" s="78"/>
      <c r="DS170" s="78"/>
      <c r="DT170" s="78"/>
      <c r="DU170" s="78"/>
      <c r="DV170" s="78"/>
      <c r="DW170" s="78"/>
      <c r="EF170" s="78"/>
      <c r="EG170" s="78"/>
      <c r="EH170" s="78"/>
      <c r="EI170" s="78"/>
      <c r="EJ170" s="78"/>
      <c r="EK170" s="78"/>
      <c r="EL170" s="78"/>
      <c r="EM170" s="78"/>
      <c r="EN170" s="78"/>
      <c r="EW170" s="78"/>
      <c r="EX170" s="78"/>
      <c r="EY170" s="78"/>
      <c r="EZ170" s="78"/>
      <c r="FA170" s="78"/>
      <c r="FB170" s="78"/>
      <c r="FC170" s="78"/>
      <c r="FD170" s="78"/>
      <c r="FE170" s="78"/>
      <c r="FN170" s="78"/>
      <c r="FO170" s="78"/>
      <c r="FP170" s="78"/>
      <c r="FQ170" s="78"/>
      <c r="FR170" s="78"/>
      <c r="FS170" s="78"/>
      <c r="FT170" s="78"/>
      <c r="FU170" s="78"/>
      <c r="FV170" s="78"/>
      <c r="GE170" s="78"/>
      <c r="GF170" s="78"/>
      <c r="GG170" s="78"/>
      <c r="GH170" s="78"/>
      <c r="GI170" s="78"/>
      <c r="GJ170" s="78"/>
      <c r="GK170" s="78"/>
      <c r="GL170" s="78"/>
      <c r="GM170" s="78"/>
      <c r="GV170" s="78"/>
      <c r="GW170" s="78"/>
      <c r="GX170" s="78"/>
      <c r="GY170" s="78"/>
      <c r="GZ170" s="78"/>
      <c r="HA170" s="78"/>
      <c r="HB170" s="78"/>
      <c r="HC170" s="78"/>
      <c r="HD170" s="78"/>
      <c r="HM170" s="78"/>
      <c r="HN170" s="78"/>
      <c r="HO170" s="78"/>
      <c r="HP170" s="78"/>
      <c r="HQ170" s="78"/>
      <c r="HR170" s="78"/>
      <c r="HS170" s="78"/>
      <c r="HT170" s="78"/>
      <c r="HU170" s="78"/>
      <c r="ID170" s="78"/>
      <c r="IE170" s="78"/>
      <c r="IF170" s="78"/>
      <c r="IG170" s="78"/>
      <c r="IH170" s="78"/>
      <c r="II170" s="78"/>
      <c r="IJ170" s="78"/>
      <c r="IK170" s="78"/>
      <c r="IL170" s="78"/>
    </row>
    <row r="171" spans="17:246" x14ac:dyDescent="0.2">
      <c r="Q171" s="78"/>
      <c r="R171" s="78"/>
      <c r="S171" s="78"/>
      <c r="T171" s="78"/>
      <c r="U171" s="78"/>
      <c r="V171" s="78"/>
      <c r="W171" s="78"/>
      <c r="X171" s="78"/>
      <c r="Y171" s="78"/>
      <c r="AH171" s="78"/>
      <c r="AI171" s="78"/>
      <c r="AJ171" s="78"/>
      <c r="AK171" s="78"/>
      <c r="AL171" s="78"/>
      <c r="AM171" s="78"/>
      <c r="AN171" s="78"/>
      <c r="AO171" s="78"/>
      <c r="AP171" s="78"/>
      <c r="AY171" s="78"/>
      <c r="AZ171" s="78"/>
      <c r="BA171" s="78"/>
      <c r="BB171" s="78"/>
      <c r="BC171" s="78"/>
      <c r="BD171" s="78"/>
      <c r="BE171" s="78"/>
      <c r="BF171" s="78"/>
      <c r="BG171" s="78"/>
      <c r="BP171" s="78"/>
      <c r="BQ171" s="78"/>
      <c r="BR171" s="78"/>
      <c r="BS171" s="78"/>
      <c r="BT171" s="78"/>
      <c r="BU171" s="78"/>
      <c r="BV171" s="78"/>
      <c r="BW171" s="78"/>
      <c r="BX171" s="78"/>
      <c r="CG171" s="78"/>
      <c r="CH171" s="78"/>
      <c r="CI171" s="78"/>
      <c r="CJ171" s="78"/>
      <c r="CK171" s="78"/>
      <c r="CL171" s="78"/>
      <c r="CM171" s="78"/>
      <c r="CN171" s="78"/>
      <c r="CO171" s="78"/>
      <c r="CX171" s="78"/>
      <c r="CY171" s="78"/>
      <c r="CZ171" s="78"/>
      <c r="DA171" s="78"/>
      <c r="DB171" s="78"/>
      <c r="DC171" s="78"/>
      <c r="DD171" s="78"/>
      <c r="DE171" s="78"/>
      <c r="DF171" s="78"/>
      <c r="DO171" s="78"/>
      <c r="DP171" s="78"/>
      <c r="DQ171" s="78"/>
      <c r="DR171" s="78"/>
      <c r="DS171" s="78"/>
      <c r="DT171" s="78"/>
      <c r="DU171" s="78"/>
      <c r="DV171" s="78"/>
      <c r="DW171" s="78"/>
      <c r="EF171" s="78"/>
      <c r="EG171" s="78"/>
      <c r="EH171" s="78"/>
      <c r="EI171" s="78"/>
      <c r="EJ171" s="78"/>
      <c r="EK171" s="78"/>
      <c r="EL171" s="78"/>
      <c r="EM171" s="78"/>
      <c r="EN171" s="78"/>
      <c r="EW171" s="78"/>
      <c r="EX171" s="78"/>
      <c r="EY171" s="78"/>
      <c r="EZ171" s="78"/>
      <c r="FA171" s="78"/>
      <c r="FB171" s="78"/>
      <c r="FC171" s="78"/>
      <c r="FD171" s="78"/>
      <c r="FE171" s="78"/>
      <c r="FN171" s="78"/>
      <c r="FO171" s="78"/>
      <c r="FP171" s="78"/>
      <c r="FQ171" s="78"/>
      <c r="FR171" s="78"/>
      <c r="FS171" s="78"/>
      <c r="FT171" s="78"/>
      <c r="FU171" s="78"/>
      <c r="FV171" s="78"/>
      <c r="GE171" s="78"/>
      <c r="GF171" s="78"/>
      <c r="GG171" s="78"/>
      <c r="GH171" s="78"/>
      <c r="GI171" s="78"/>
      <c r="GJ171" s="78"/>
      <c r="GK171" s="78"/>
      <c r="GL171" s="78"/>
      <c r="GM171" s="78"/>
      <c r="GV171" s="78"/>
      <c r="GW171" s="78"/>
      <c r="GX171" s="78"/>
      <c r="GY171" s="78"/>
      <c r="GZ171" s="78"/>
      <c r="HA171" s="78"/>
      <c r="HB171" s="78"/>
      <c r="HC171" s="78"/>
      <c r="HD171" s="78"/>
      <c r="HM171" s="78"/>
      <c r="HN171" s="78"/>
      <c r="HO171" s="78"/>
      <c r="HP171" s="78"/>
      <c r="HQ171" s="78"/>
      <c r="HR171" s="78"/>
      <c r="HS171" s="78"/>
      <c r="HT171" s="78"/>
      <c r="HU171" s="78"/>
      <c r="ID171" s="78"/>
      <c r="IE171" s="78"/>
      <c r="IF171" s="78"/>
      <c r="IG171" s="78"/>
      <c r="IH171" s="78"/>
      <c r="II171" s="78"/>
      <c r="IJ171" s="78"/>
      <c r="IK171" s="78"/>
      <c r="IL171" s="78"/>
    </row>
    <row r="172" spans="17:246" x14ac:dyDescent="0.2">
      <c r="Q172" s="78"/>
      <c r="R172" s="78"/>
      <c r="S172" s="78"/>
      <c r="T172" s="78"/>
      <c r="U172" s="78"/>
      <c r="V172" s="78"/>
      <c r="W172" s="78"/>
      <c r="X172" s="78"/>
      <c r="Y172" s="78"/>
      <c r="AH172" s="78"/>
      <c r="AI172" s="78"/>
      <c r="AJ172" s="78"/>
      <c r="AK172" s="78"/>
      <c r="AL172" s="78"/>
      <c r="AM172" s="78"/>
      <c r="AN172" s="78"/>
      <c r="AO172" s="78"/>
      <c r="AP172" s="78"/>
      <c r="AY172" s="78"/>
      <c r="AZ172" s="78"/>
      <c r="BA172" s="78"/>
      <c r="BB172" s="78"/>
      <c r="BC172" s="78"/>
      <c r="BD172" s="78"/>
      <c r="BE172" s="78"/>
      <c r="BF172" s="78"/>
      <c r="BG172" s="78"/>
      <c r="BP172" s="78"/>
      <c r="BQ172" s="78"/>
      <c r="BR172" s="78"/>
      <c r="BS172" s="78"/>
      <c r="BT172" s="78"/>
      <c r="BU172" s="78"/>
      <c r="BV172" s="78"/>
      <c r="BW172" s="78"/>
      <c r="BX172" s="78"/>
      <c r="CG172" s="78"/>
      <c r="CH172" s="78"/>
      <c r="CI172" s="78"/>
      <c r="CJ172" s="78"/>
      <c r="CK172" s="78"/>
      <c r="CL172" s="78"/>
      <c r="CM172" s="78"/>
      <c r="CN172" s="78"/>
      <c r="CO172" s="78"/>
      <c r="CX172" s="78"/>
      <c r="CY172" s="78"/>
      <c r="CZ172" s="78"/>
      <c r="DA172" s="78"/>
      <c r="DB172" s="78"/>
      <c r="DC172" s="78"/>
      <c r="DD172" s="78"/>
      <c r="DE172" s="78"/>
      <c r="DF172" s="78"/>
      <c r="DO172" s="78"/>
      <c r="DP172" s="78"/>
      <c r="DQ172" s="78"/>
      <c r="DR172" s="78"/>
      <c r="DS172" s="78"/>
      <c r="DT172" s="78"/>
      <c r="DU172" s="78"/>
      <c r="DV172" s="78"/>
      <c r="DW172" s="78"/>
      <c r="EF172" s="78"/>
      <c r="EG172" s="78"/>
      <c r="EH172" s="78"/>
      <c r="EI172" s="78"/>
      <c r="EJ172" s="78"/>
      <c r="EK172" s="78"/>
      <c r="EL172" s="78"/>
      <c r="EM172" s="78"/>
      <c r="EN172" s="78"/>
      <c r="EW172" s="78"/>
      <c r="EX172" s="78"/>
      <c r="EY172" s="78"/>
      <c r="EZ172" s="78"/>
      <c r="FA172" s="78"/>
      <c r="FB172" s="78"/>
      <c r="FC172" s="78"/>
      <c r="FD172" s="78"/>
      <c r="FE172" s="78"/>
      <c r="FN172" s="78"/>
      <c r="FO172" s="78"/>
      <c r="FP172" s="78"/>
      <c r="FQ172" s="78"/>
      <c r="FR172" s="78"/>
      <c r="FS172" s="78"/>
      <c r="FT172" s="78"/>
      <c r="FU172" s="78"/>
      <c r="FV172" s="78"/>
      <c r="GE172" s="78"/>
      <c r="GF172" s="78"/>
      <c r="GG172" s="78"/>
      <c r="GH172" s="78"/>
      <c r="GI172" s="78"/>
      <c r="GJ172" s="78"/>
      <c r="GK172" s="78"/>
      <c r="GL172" s="78"/>
      <c r="GM172" s="78"/>
      <c r="GV172" s="78"/>
      <c r="GW172" s="78"/>
      <c r="GX172" s="78"/>
      <c r="GY172" s="78"/>
      <c r="GZ172" s="78"/>
      <c r="HA172" s="78"/>
      <c r="HB172" s="78"/>
      <c r="HC172" s="78"/>
      <c r="HD172" s="78"/>
      <c r="HM172" s="78"/>
      <c r="HN172" s="78"/>
      <c r="HO172" s="78"/>
      <c r="HP172" s="78"/>
      <c r="HQ172" s="78"/>
      <c r="HR172" s="78"/>
      <c r="HS172" s="78"/>
      <c r="HT172" s="78"/>
      <c r="HU172" s="78"/>
      <c r="ID172" s="78"/>
      <c r="IE172" s="78"/>
      <c r="IF172" s="78"/>
      <c r="IG172" s="78"/>
      <c r="IH172" s="78"/>
      <c r="II172" s="78"/>
      <c r="IJ172" s="78"/>
      <c r="IK172" s="78"/>
      <c r="IL172" s="78"/>
    </row>
    <row r="173" spans="17:246" x14ac:dyDescent="0.2">
      <c r="Q173" s="78"/>
      <c r="R173" s="78"/>
      <c r="S173" s="78"/>
      <c r="T173" s="78"/>
      <c r="U173" s="78"/>
      <c r="V173" s="78"/>
      <c r="W173" s="78"/>
      <c r="X173" s="78"/>
      <c r="Y173" s="78"/>
      <c r="AH173" s="78"/>
      <c r="AI173" s="78"/>
      <c r="AJ173" s="78"/>
      <c r="AK173" s="78"/>
      <c r="AL173" s="78"/>
      <c r="AM173" s="78"/>
      <c r="AN173" s="78"/>
      <c r="AO173" s="78"/>
      <c r="AP173" s="78"/>
      <c r="AY173" s="78"/>
      <c r="AZ173" s="78"/>
      <c r="BA173" s="78"/>
      <c r="BB173" s="78"/>
      <c r="BC173" s="78"/>
      <c r="BD173" s="78"/>
      <c r="BE173" s="78"/>
      <c r="BF173" s="78"/>
      <c r="BG173" s="78"/>
      <c r="BP173" s="78"/>
      <c r="BQ173" s="78"/>
      <c r="BR173" s="78"/>
      <c r="BS173" s="78"/>
      <c r="BT173" s="78"/>
      <c r="BU173" s="78"/>
      <c r="BV173" s="78"/>
      <c r="BW173" s="78"/>
      <c r="BX173" s="78"/>
      <c r="CG173" s="78"/>
      <c r="CH173" s="78"/>
      <c r="CI173" s="78"/>
      <c r="CJ173" s="78"/>
      <c r="CK173" s="78"/>
      <c r="CL173" s="78"/>
      <c r="CM173" s="78"/>
      <c r="CN173" s="78"/>
      <c r="CO173" s="78"/>
      <c r="CX173" s="78"/>
      <c r="CY173" s="78"/>
      <c r="CZ173" s="78"/>
      <c r="DA173" s="78"/>
      <c r="DB173" s="78"/>
      <c r="DC173" s="78"/>
      <c r="DD173" s="78"/>
      <c r="DE173" s="78"/>
      <c r="DF173" s="78"/>
      <c r="DO173" s="78"/>
      <c r="DP173" s="78"/>
      <c r="DQ173" s="78"/>
      <c r="DR173" s="78"/>
      <c r="DS173" s="78"/>
      <c r="DT173" s="78"/>
      <c r="DU173" s="78"/>
      <c r="DV173" s="78"/>
      <c r="DW173" s="78"/>
      <c r="EF173" s="78"/>
      <c r="EG173" s="78"/>
      <c r="EH173" s="78"/>
      <c r="EI173" s="78"/>
      <c r="EJ173" s="78"/>
      <c r="EK173" s="78"/>
      <c r="EL173" s="78"/>
      <c r="EM173" s="78"/>
      <c r="EN173" s="78"/>
      <c r="EW173" s="78"/>
      <c r="EX173" s="78"/>
      <c r="EY173" s="78"/>
      <c r="EZ173" s="78"/>
      <c r="FA173" s="78"/>
      <c r="FB173" s="78"/>
      <c r="FC173" s="78"/>
      <c r="FD173" s="78"/>
      <c r="FE173" s="78"/>
      <c r="FN173" s="78"/>
      <c r="FO173" s="78"/>
      <c r="FP173" s="78"/>
      <c r="FQ173" s="78"/>
      <c r="FR173" s="78"/>
      <c r="FS173" s="78"/>
      <c r="FT173" s="78"/>
      <c r="FU173" s="78"/>
      <c r="FV173" s="78"/>
      <c r="GE173" s="78"/>
      <c r="GF173" s="78"/>
      <c r="GG173" s="78"/>
      <c r="GH173" s="78"/>
      <c r="GI173" s="78"/>
      <c r="GJ173" s="78"/>
      <c r="GK173" s="78"/>
      <c r="GL173" s="78"/>
      <c r="GM173" s="78"/>
      <c r="GV173" s="78"/>
      <c r="GW173" s="78"/>
      <c r="GX173" s="78"/>
      <c r="GY173" s="78"/>
      <c r="GZ173" s="78"/>
      <c r="HA173" s="78"/>
      <c r="HB173" s="78"/>
      <c r="HC173" s="78"/>
      <c r="HD173" s="78"/>
      <c r="HM173" s="78"/>
      <c r="HN173" s="78"/>
      <c r="HO173" s="78"/>
      <c r="HP173" s="78"/>
      <c r="HQ173" s="78"/>
      <c r="HR173" s="78"/>
      <c r="HS173" s="78"/>
      <c r="HT173" s="78"/>
      <c r="HU173" s="78"/>
      <c r="ID173" s="78"/>
      <c r="IE173" s="78"/>
      <c r="IF173" s="78"/>
      <c r="IG173" s="78"/>
      <c r="IH173" s="78"/>
      <c r="II173" s="78"/>
      <c r="IJ173" s="78"/>
      <c r="IK173" s="78"/>
      <c r="IL173" s="78"/>
    </row>
    <row r="174" spans="17:246" x14ac:dyDescent="0.2">
      <c r="Q174" s="78"/>
      <c r="R174" s="78"/>
      <c r="S174" s="78"/>
      <c r="T174" s="78"/>
      <c r="U174" s="78"/>
      <c r="V174" s="78"/>
      <c r="W174" s="78"/>
      <c r="X174" s="78"/>
      <c r="Y174" s="78"/>
      <c r="AH174" s="78"/>
      <c r="AI174" s="78"/>
      <c r="AJ174" s="78"/>
      <c r="AK174" s="78"/>
      <c r="AL174" s="78"/>
      <c r="AM174" s="78"/>
      <c r="AN174" s="78"/>
      <c r="AO174" s="78"/>
      <c r="AP174" s="78"/>
      <c r="AY174" s="78"/>
      <c r="AZ174" s="78"/>
      <c r="BA174" s="78"/>
      <c r="BB174" s="78"/>
      <c r="BC174" s="78"/>
      <c r="BD174" s="78"/>
      <c r="BE174" s="78"/>
      <c r="BF174" s="78"/>
      <c r="BG174" s="78"/>
      <c r="BP174" s="78"/>
      <c r="BQ174" s="78"/>
      <c r="BR174" s="78"/>
      <c r="BS174" s="78"/>
      <c r="BT174" s="78"/>
      <c r="BU174" s="78"/>
      <c r="BV174" s="78"/>
      <c r="BW174" s="78"/>
      <c r="BX174" s="78"/>
      <c r="CG174" s="78"/>
      <c r="CH174" s="78"/>
      <c r="CI174" s="78"/>
      <c r="CJ174" s="78"/>
      <c r="CK174" s="78"/>
      <c r="CL174" s="78"/>
      <c r="CM174" s="78"/>
      <c r="CN174" s="78"/>
      <c r="CO174" s="78"/>
      <c r="CX174" s="78"/>
      <c r="CY174" s="78"/>
      <c r="CZ174" s="78"/>
      <c r="DA174" s="78"/>
      <c r="DB174" s="78"/>
      <c r="DC174" s="78"/>
      <c r="DD174" s="78"/>
      <c r="DE174" s="78"/>
      <c r="DF174" s="78"/>
      <c r="DO174" s="78"/>
      <c r="DP174" s="78"/>
      <c r="DQ174" s="78"/>
      <c r="DR174" s="78"/>
      <c r="DS174" s="78"/>
      <c r="DT174" s="78"/>
      <c r="DU174" s="78"/>
      <c r="DV174" s="78"/>
      <c r="DW174" s="78"/>
      <c r="EF174" s="78"/>
      <c r="EG174" s="78"/>
      <c r="EH174" s="78"/>
      <c r="EI174" s="78"/>
      <c r="EJ174" s="78"/>
      <c r="EK174" s="78"/>
      <c r="EL174" s="78"/>
      <c r="EM174" s="78"/>
      <c r="EN174" s="78"/>
      <c r="EW174" s="78"/>
      <c r="EX174" s="78"/>
      <c r="EY174" s="78"/>
      <c r="EZ174" s="78"/>
      <c r="FA174" s="78"/>
      <c r="FB174" s="78"/>
      <c r="FC174" s="78"/>
      <c r="FD174" s="78"/>
      <c r="FE174" s="78"/>
      <c r="FN174" s="78"/>
      <c r="FO174" s="78"/>
      <c r="FP174" s="78"/>
      <c r="FQ174" s="78"/>
      <c r="FR174" s="78"/>
      <c r="FS174" s="78"/>
      <c r="FT174" s="78"/>
      <c r="FU174" s="78"/>
      <c r="FV174" s="78"/>
      <c r="GE174" s="78"/>
      <c r="GF174" s="78"/>
      <c r="GG174" s="78"/>
      <c r="GH174" s="78"/>
      <c r="GI174" s="78"/>
      <c r="GJ174" s="78"/>
      <c r="GK174" s="78"/>
      <c r="GL174" s="78"/>
      <c r="GM174" s="78"/>
      <c r="GV174" s="78"/>
      <c r="GW174" s="78"/>
      <c r="GX174" s="78"/>
      <c r="GY174" s="78"/>
      <c r="GZ174" s="78"/>
      <c r="HA174" s="78"/>
      <c r="HB174" s="78"/>
      <c r="HC174" s="78"/>
      <c r="HD174" s="78"/>
      <c r="HM174" s="78"/>
      <c r="HN174" s="78"/>
      <c r="HO174" s="78"/>
      <c r="HP174" s="78"/>
      <c r="HQ174" s="78"/>
      <c r="HR174" s="78"/>
      <c r="HS174" s="78"/>
      <c r="HT174" s="78"/>
      <c r="HU174" s="78"/>
      <c r="ID174" s="78"/>
      <c r="IE174" s="78"/>
      <c r="IF174" s="78"/>
      <c r="IG174" s="78"/>
      <c r="IH174" s="78"/>
      <c r="II174" s="78"/>
      <c r="IJ174" s="78"/>
      <c r="IK174" s="78"/>
      <c r="IL174" s="78"/>
    </row>
    <row r="175" spans="17:246" x14ac:dyDescent="0.2">
      <c r="Q175" s="78"/>
      <c r="R175" s="78"/>
      <c r="S175" s="78"/>
      <c r="T175" s="78"/>
      <c r="U175" s="78"/>
      <c r="V175" s="78"/>
      <c r="W175" s="78"/>
      <c r="X175" s="78"/>
      <c r="Y175" s="78"/>
      <c r="AH175" s="78"/>
      <c r="AI175" s="78"/>
      <c r="AJ175" s="78"/>
      <c r="AK175" s="78"/>
      <c r="AL175" s="78"/>
      <c r="AM175" s="78"/>
      <c r="AN175" s="78"/>
      <c r="AO175" s="78"/>
      <c r="AP175" s="78"/>
      <c r="AY175" s="78"/>
      <c r="AZ175" s="78"/>
      <c r="BA175" s="78"/>
      <c r="BB175" s="78"/>
      <c r="BC175" s="78"/>
      <c r="BD175" s="78"/>
      <c r="BE175" s="78"/>
      <c r="BF175" s="78"/>
      <c r="BG175" s="78"/>
      <c r="BP175" s="78"/>
      <c r="BQ175" s="78"/>
      <c r="BR175" s="78"/>
      <c r="BS175" s="78"/>
      <c r="BT175" s="78"/>
      <c r="BU175" s="78"/>
      <c r="BV175" s="78"/>
      <c r="BW175" s="78"/>
      <c r="BX175" s="78"/>
      <c r="CG175" s="78"/>
      <c r="CH175" s="78"/>
      <c r="CI175" s="78"/>
      <c r="CJ175" s="78"/>
      <c r="CK175" s="78"/>
      <c r="CL175" s="78"/>
      <c r="CM175" s="78"/>
      <c r="CN175" s="78"/>
      <c r="CO175" s="78"/>
      <c r="CX175" s="78"/>
      <c r="CY175" s="78"/>
      <c r="CZ175" s="78"/>
      <c r="DA175" s="78"/>
      <c r="DB175" s="78"/>
      <c r="DC175" s="78"/>
      <c r="DD175" s="78"/>
      <c r="DE175" s="78"/>
      <c r="DF175" s="78"/>
      <c r="DO175" s="78"/>
      <c r="DP175" s="78"/>
      <c r="DQ175" s="78"/>
      <c r="DR175" s="78"/>
      <c r="DS175" s="78"/>
      <c r="DT175" s="78"/>
      <c r="DU175" s="78"/>
      <c r="DV175" s="78"/>
      <c r="DW175" s="78"/>
      <c r="EF175" s="78"/>
      <c r="EG175" s="78"/>
      <c r="EH175" s="78"/>
      <c r="EI175" s="78"/>
      <c r="EJ175" s="78"/>
      <c r="EK175" s="78"/>
      <c r="EL175" s="78"/>
      <c r="EM175" s="78"/>
      <c r="EN175" s="78"/>
      <c r="EW175" s="78"/>
      <c r="EX175" s="78"/>
      <c r="EY175" s="78"/>
      <c r="EZ175" s="78"/>
      <c r="FA175" s="78"/>
      <c r="FB175" s="78"/>
      <c r="FC175" s="78"/>
      <c r="FD175" s="78"/>
      <c r="FE175" s="78"/>
      <c r="FN175" s="78"/>
      <c r="FO175" s="78"/>
      <c r="FP175" s="78"/>
      <c r="FQ175" s="78"/>
      <c r="FR175" s="78"/>
      <c r="FS175" s="78"/>
      <c r="FT175" s="78"/>
      <c r="FU175" s="78"/>
      <c r="FV175" s="78"/>
      <c r="GE175" s="78"/>
      <c r="GF175" s="78"/>
      <c r="GG175" s="78"/>
      <c r="GH175" s="78"/>
      <c r="GI175" s="78"/>
      <c r="GJ175" s="78"/>
      <c r="GK175" s="78"/>
      <c r="GL175" s="78"/>
      <c r="GM175" s="78"/>
      <c r="GV175" s="78"/>
      <c r="GW175" s="78"/>
      <c r="GX175" s="78"/>
      <c r="GY175" s="78"/>
      <c r="GZ175" s="78"/>
      <c r="HA175" s="78"/>
      <c r="HB175" s="78"/>
      <c r="HC175" s="78"/>
      <c r="HD175" s="78"/>
      <c r="HM175" s="78"/>
      <c r="HN175" s="78"/>
      <c r="HO175" s="78"/>
      <c r="HP175" s="78"/>
      <c r="HQ175" s="78"/>
      <c r="HR175" s="78"/>
      <c r="HS175" s="78"/>
      <c r="HT175" s="78"/>
      <c r="HU175" s="78"/>
      <c r="ID175" s="78"/>
      <c r="IE175" s="78"/>
      <c r="IF175" s="78"/>
      <c r="IG175" s="78"/>
      <c r="IH175" s="78"/>
      <c r="II175" s="78"/>
      <c r="IJ175" s="78"/>
      <c r="IK175" s="78"/>
      <c r="IL175" s="78"/>
    </row>
    <row r="176" spans="17:246" x14ac:dyDescent="0.2">
      <c r="Q176" s="78"/>
      <c r="R176" s="78"/>
      <c r="S176" s="78"/>
      <c r="T176" s="78"/>
      <c r="U176" s="78"/>
      <c r="V176" s="78"/>
      <c r="W176" s="78"/>
      <c r="X176" s="78"/>
      <c r="Y176" s="78"/>
      <c r="AH176" s="78"/>
      <c r="AI176" s="78"/>
      <c r="AJ176" s="78"/>
      <c r="AK176" s="78"/>
      <c r="AL176" s="78"/>
      <c r="AM176" s="78"/>
      <c r="AN176" s="78"/>
      <c r="AO176" s="78"/>
      <c r="AP176" s="78"/>
      <c r="AY176" s="78"/>
      <c r="AZ176" s="78"/>
      <c r="BA176" s="78"/>
      <c r="BB176" s="78"/>
      <c r="BC176" s="78"/>
      <c r="BD176" s="78"/>
      <c r="BE176" s="78"/>
      <c r="BF176" s="78"/>
      <c r="BG176" s="78"/>
      <c r="BP176" s="78"/>
      <c r="BQ176" s="78"/>
      <c r="BR176" s="78"/>
      <c r="BS176" s="78"/>
      <c r="BT176" s="78"/>
      <c r="BU176" s="78"/>
      <c r="BV176" s="78"/>
      <c r="BW176" s="78"/>
      <c r="BX176" s="78"/>
      <c r="CG176" s="78"/>
      <c r="CH176" s="78"/>
      <c r="CI176" s="78"/>
      <c r="CJ176" s="78"/>
      <c r="CK176" s="78"/>
      <c r="CL176" s="78"/>
      <c r="CM176" s="78"/>
      <c r="CN176" s="78"/>
      <c r="CO176" s="78"/>
      <c r="CX176" s="78"/>
      <c r="CY176" s="78"/>
      <c r="CZ176" s="78"/>
      <c r="DA176" s="78"/>
      <c r="DB176" s="78"/>
      <c r="DC176" s="78"/>
      <c r="DD176" s="78"/>
      <c r="DE176" s="78"/>
      <c r="DF176" s="78"/>
      <c r="DO176" s="78"/>
      <c r="DP176" s="78"/>
      <c r="DQ176" s="78"/>
      <c r="DR176" s="78"/>
      <c r="DS176" s="78"/>
      <c r="DT176" s="78"/>
      <c r="DU176" s="78"/>
      <c r="DV176" s="78"/>
      <c r="DW176" s="78"/>
      <c r="EF176" s="78"/>
      <c r="EG176" s="78"/>
      <c r="EH176" s="78"/>
      <c r="EI176" s="78"/>
      <c r="EJ176" s="78"/>
      <c r="EK176" s="78"/>
      <c r="EL176" s="78"/>
      <c r="EM176" s="78"/>
      <c r="EN176" s="78"/>
      <c r="EW176" s="78"/>
      <c r="EX176" s="78"/>
      <c r="EY176" s="78"/>
      <c r="EZ176" s="78"/>
      <c r="FA176" s="78"/>
      <c r="FB176" s="78"/>
      <c r="FC176" s="78"/>
      <c r="FD176" s="78"/>
      <c r="FE176" s="78"/>
      <c r="FN176" s="78"/>
      <c r="FO176" s="78"/>
      <c r="FP176" s="78"/>
      <c r="FQ176" s="78"/>
      <c r="FR176" s="78"/>
      <c r="FS176" s="78"/>
      <c r="FT176" s="78"/>
      <c r="FU176" s="78"/>
      <c r="FV176" s="78"/>
      <c r="GE176" s="78"/>
      <c r="GF176" s="78"/>
      <c r="GG176" s="78"/>
      <c r="GH176" s="78"/>
      <c r="GI176" s="78"/>
      <c r="GJ176" s="78"/>
      <c r="GK176" s="78"/>
      <c r="GL176" s="78"/>
      <c r="GM176" s="78"/>
      <c r="GV176" s="78"/>
      <c r="GW176" s="78"/>
      <c r="GX176" s="78"/>
      <c r="GY176" s="78"/>
      <c r="GZ176" s="78"/>
      <c r="HA176" s="78"/>
      <c r="HB176" s="78"/>
      <c r="HC176" s="78"/>
      <c r="HD176" s="78"/>
      <c r="HM176" s="78"/>
      <c r="HN176" s="78"/>
      <c r="HO176" s="78"/>
      <c r="HP176" s="78"/>
      <c r="HQ176" s="78"/>
      <c r="HR176" s="78"/>
      <c r="HS176" s="78"/>
      <c r="HT176" s="78"/>
      <c r="HU176" s="78"/>
      <c r="ID176" s="78"/>
      <c r="IE176" s="78"/>
      <c r="IF176" s="78"/>
      <c r="IG176" s="78"/>
      <c r="IH176" s="78"/>
      <c r="II176" s="78"/>
      <c r="IJ176" s="78"/>
      <c r="IK176" s="78"/>
      <c r="IL176" s="78"/>
    </row>
    <row r="177" spans="17:246" x14ac:dyDescent="0.2">
      <c r="Q177" s="77"/>
      <c r="R177" s="77"/>
      <c r="S177" s="77"/>
      <c r="T177" s="77"/>
      <c r="U177" s="77"/>
      <c r="V177" s="77"/>
      <c r="W177" s="77"/>
      <c r="X177" s="77"/>
      <c r="Y177" s="79"/>
      <c r="AH177" s="77"/>
      <c r="AI177" s="77"/>
      <c r="AJ177" s="77"/>
      <c r="AK177" s="77"/>
      <c r="AL177" s="77"/>
      <c r="AM177" s="77"/>
      <c r="AN177" s="77"/>
      <c r="AO177" s="77"/>
      <c r="AP177" s="79"/>
      <c r="AY177" s="77"/>
      <c r="AZ177" s="77"/>
      <c r="BA177" s="77"/>
      <c r="BB177" s="77"/>
      <c r="BC177" s="77"/>
      <c r="BD177" s="77"/>
      <c r="BE177" s="77"/>
      <c r="BF177" s="77"/>
      <c r="BG177" s="79"/>
      <c r="BP177" s="77"/>
      <c r="BQ177" s="77"/>
      <c r="BR177" s="77"/>
      <c r="BS177" s="77"/>
      <c r="BT177" s="77"/>
      <c r="BU177" s="77"/>
      <c r="BV177" s="77"/>
      <c r="BW177" s="77"/>
      <c r="BX177" s="79"/>
      <c r="CG177" s="77"/>
      <c r="CH177" s="77"/>
      <c r="CI177" s="77"/>
      <c r="CJ177" s="77"/>
      <c r="CK177" s="77"/>
      <c r="CL177" s="77"/>
      <c r="CM177" s="77"/>
      <c r="CN177" s="77"/>
      <c r="CO177" s="79"/>
      <c r="CX177" s="77"/>
      <c r="CY177" s="77"/>
      <c r="CZ177" s="77"/>
      <c r="DA177" s="77"/>
      <c r="DB177" s="77"/>
      <c r="DC177" s="77"/>
      <c r="DD177" s="77"/>
      <c r="DE177" s="77"/>
      <c r="DF177" s="79"/>
      <c r="DO177" s="77"/>
      <c r="DP177" s="77"/>
      <c r="DQ177" s="77"/>
      <c r="DR177" s="77"/>
      <c r="DS177" s="77"/>
      <c r="DT177" s="77"/>
      <c r="DU177" s="77"/>
      <c r="DV177" s="77"/>
      <c r="DW177" s="79"/>
      <c r="EF177" s="77"/>
      <c r="EG177" s="77"/>
      <c r="EH177" s="77"/>
      <c r="EI177" s="77"/>
      <c r="EJ177" s="77"/>
      <c r="EK177" s="77"/>
      <c r="EL177" s="77"/>
      <c r="EM177" s="77"/>
      <c r="EN177" s="79"/>
      <c r="EW177" s="77"/>
      <c r="EX177" s="77"/>
      <c r="EY177" s="77"/>
      <c r="EZ177" s="77"/>
      <c r="FA177" s="77"/>
      <c r="FB177" s="77"/>
      <c r="FC177" s="77"/>
      <c r="FD177" s="77"/>
      <c r="FE177" s="79"/>
      <c r="FN177" s="77"/>
      <c r="FO177" s="77"/>
      <c r="FP177" s="77"/>
      <c r="FQ177" s="77"/>
      <c r="FR177" s="77"/>
      <c r="FS177" s="77"/>
      <c r="FT177" s="77"/>
      <c r="FU177" s="77"/>
      <c r="FV177" s="79"/>
      <c r="GE177" s="77"/>
      <c r="GF177" s="77"/>
      <c r="GG177" s="77"/>
      <c r="GH177" s="77"/>
      <c r="GI177" s="77"/>
      <c r="GJ177" s="77"/>
      <c r="GK177" s="77"/>
      <c r="GL177" s="77"/>
      <c r="GM177" s="79"/>
      <c r="GV177" s="77"/>
      <c r="GW177" s="77"/>
      <c r="GX177" s="77"/>
      <c r="GY177" s="77"/>
      <c r="GZ177" s="77"/>
      <c r="HA177" s="77"/>
      <c r="HB177" s="77"/>
      <c r="HC177" s="77"/>
      <c r="HD177" s="79"/>
      <c r="HM177" s="77"/>
      <c r="HN177" s="77"/>
      <c r="HO177" s="77"/>
      <c r="HP177" s="77"/>
      <c r="HQ177" s="77"/>
      <c r="HR177" s="77"/>
      <c r="HS177" s="77"/>
      <c r="HT177" s="77"/>
      <c r="HU177" s="79"/>
      <c r="ID177" s="77"/>
      <c r="IE177" s="77"/>
      <c r="IF177" s="77"/>
      <c r="IG177" s="77"/>
      <c r="IH177" s="77"/>
      <c r="II177" s="77"/>
      <c r="IJ177" s="77"/>
      <c r="IK177" s="77"/>
      <c r="IL177" s="79"/>
    </row>
    <row r="178" spans="17:246" x14ac:dyDescent="0.2">
      <c r="Q178" s="77"/>
      <c r="R178" s="77"/>
      <c r="S178" s="77"/>
      <c r="T178" s="77"/>
      <c r="U178" s="77"/>
      <c r="V178" s="77"/>
      <c r="W178" s="77"/>
      <c r="X178" s="77"/>
      <c r="Y178" s="79"/>
      <c r="AH178" s="77"/>
      <c r="AI178" s="77"/>
      <c r="AJ178" s="77"/>
      <c r="AK178" s="77"/>
      <c r="AL178" s="77"/>
      <c r="AM178" s="77"/>
      <c r="AN178" s="77"/>
      <c r="AO178" s="77"/>
      <c r="AP178" s="79"/>
      <c r="AY178" s="77"/>
      <c r="AZ178" s="77"/>
      <c r="BA178" s="77"/>
      <c r="BB178" s="77"/>
      <c r="BC178" s="77"/>
      <c r="BD178" s="77"/>
      <c r="BE178" s="77"/>
      <c r="BF178" s="77"/>
      <c r="BG178" s="79"/>
      <c r="BP178" s="77"/>
      <c r="BQ178" s="77"/>
      <c r="BR178" s="77"/>
      <c r="BS178" s="77"/>
      <c r="BT178" s="77"/>
      <c r="BU178" s="77"/>
      <c r="BV178" s="77"/>
      <c r="BW178" s="77"/>
      <c r="BX178" s="79"/>
      <c r="CG178" s="77"/>
      <c r="CH178" s="77"/>
      <c r="CI178" s="77"/>
      <c r="CJ178" s="77"/>
      <c r="CK178" s="77"/>
      <c r="CL178" s="77"/>
      <c r="CM178" s="77"/>
      <c r="CN178" s="77"/>
      <c r="CO178" s="79"/>
      <c r="CX178" s="77"/>
      <c r="CY178" s="77"/>
      <c r="CZ178" s="77"/>
      <c r="DA178" s="77"/>
      <c r="DB178" s="77"/>
      <c r="DC178" s="77"/>
      <c r="DD178" s="77"/>
      <c r="DE178" s="77"/>
      <c r="DF178" s="79"/>
      <c r="DO178" s="77"/>
      <c r="DP178" s="77"/>
      <c r="DQ178" s="77"/>
      <c r="DR178" s="77"/>
      <c r="DS178" s="77"/>
      <c r="DT178" s="77"/>
      <c r="DU178" s="77"/>
      <c r="DV178" s="77"/>
      <c r="DW178" s="79"/>
      <c r="EF178" s="77"/>
      <c r="EG178" s="77"/>
      <c r="EH178" s="77"/>
      <c r="EI178" s="77"/>
      <c r="EJ178" s="77"/>
      <c r="EK178" s="77"/>
      <c r="EL178" s="77"/>
      <c r="EM178" s="77"/>
      <c r="EN178" s="79"/>
      <c r="EW178" s="77"/>
      <c r="EX178" s="77"/>
      <c r="EY178" s="77"/>
      <c r="EZ178" s="77"/>
      <c r="FA178" s="77"/>
      <c r="FB178" s="77"/>
      <c r="FC178" s="77"/>
      <c r="FD178" s="77"/>
      <c r="FE178" s="79"/>
      <c r="FN178" s="77"/>
      <c r="FO178" s="77"/>
      <c r="FP178" s="77"/>
      <c r="FQ178" s="77"/>
      <c r="FR178" s="77"/>
      <c r="FS178" s="77"/>
      <c r="FT178" s="77"/>
      <c r="FU178" s="77"/>
      <c r="FV178" s="79"/>
      <c r="GE178" s="77"/>
      <c r="GF178" s="77"/>
      <c r="GG178" s="77"/>
      <c r="GH178" s="77"/>
      <c r="GI178" s="77"/>
      <c r="GJ178" s="77"/>
      <c r="GK178" s="77"/>
      <c r="GL178" s="77"/>
      <c r="GM178" s="79"/>
      <c r="GV178" s="77"/>
      <c r="GW178" s="77"/>
      <c r="GX178" s="77"/>
      <c r="GY178" s="77"/>
      <c r="GZ178" s="77"/>
      <c r="HA178" s="77"/>
      <c r="HB178" s="77"/>
      <c r="HC178" s="77"/>
      <c r="HD178" s="79"/>
      <c r="HM178" s="77"/>
      <c r="HN178" s="77"/>
      <c r="HO178" s="77"/>
      <c r="HP178" s="77"/>
      <c r="HQ178" s="77"/>
      <c r="HR178" s="77"/>
      <c r="HS178" s="77"/>
      <c r="HT178" s="77"/>
      <c r="HU178" s="79"/>
      <c r="ID178" s="77"/>
      <c r="IE178" s="77"/>
      <c r="IF178" s="77"/>
      <c r="IG178" s="77"/>
      <c r="IH178" s="77"/>
      <c r="II178" s="77"/>
      <c r="IJ178" s="77"/>
      <c r="IK178" s="77"/>
      <c r="IL178" s="79"/>
    </row>
    <row r="179" spans="17:246" x14ac:dyDescent="0.2">
      <c r="Q179" s="77"/>
      <c r="R179" s="77"/>
      <c r="S179" s="77"/>
      <c r="T179" s="77"/>
      <c r="U179" s="77"/>
      <c r="V179" s="77"/>
      <c r="W179" s="77"/>
      <c r="X179" s="77"/>
      <c r="Y179" s="79"/>
      <c r="AH179" s="77"/>
      <c r="AI179" s="77"/>
      <c r="AJ179" s="77"/>
      <c r="AK179" s="77"/>
      <c r="AL179" s="77"/>
      <c r="AM179" s="77"/>
      <c r="AN179" s="77"/>
      <c r="AO179" s="77"/>
      <c r="AP179" s="79"/>
      <c r="AY179" s="77"/>
      <c r="AZ179" s="77"/>
      <c r="BA179" s="77"/>
      <c r="BB179" s="77"/>
      <c r="BC179" s="77"/>
      <c r="BD179" s="77"/>
      <c r="BE179" s="77"/>
      <c r="BF179" s="77"/>
      <c r="BG179" s="79"/>
      <c r="BP179" s="77"/>
      <c r="BQ179" s="77"/>
      <c r="BR179" s="77"/>
      <c r="BS179" s="77"/>
      <c r="BT179" s="77"/>
      <c r="BU179" s="77"/>
      <c r="BV179" s="77"/>
      <c r="BW179" s="77"/>
      <c r="BX179" s="79"/>
      <c r="CG179" s="77"/>
      <c r="CH179" s="77"/>
      <c r="CI179" s="77"/>
      <c r="CJ179" s="77"/>
      <c r="CK179" s="77"/>
      <c r="CL179" s="77"/>
      <c r="CM179" s="77"/>
      <c r="CN179" s="77"/>
      <c r="CO179" s="79"/>
      <c r="CX179" s="77"/>
      <c r="CY179" s="77"/>
      <c r="CZ179" s="77"/>
      <c r="DA179" s="77"/>
      <c r="DB179" s="77"/>
      <c r="DC179" s="77"/>
      <c r="DD179" s="77"/>
      <c r="DE179" s="77"/>
      <c r="DF179" s="79"/>
      <c r="DO179" s="77"/>
      <c r="DP179" s="77"/>
      <c r="DQ179" s="77"/>
      <c r="DR179" s="77"/>
      <c r="DS179" s="77"/>
      <c r="DT179" s="77"/>
      <c r="DU179" s="77"/>
      <c r="DV179" s="77"/>
      <c r="DW179" s="79"/>
      <c r="EF179" s="77"/>
      <c r="EG179" s="77"/>
      <c r="EH179" s="77"/>
      <c r="EI179" s="77"/>
      <c r="EJ179" s="77"/>
      <c r="EK179" s="77"/>
      <c r="EL179" s="77"/>
      <c r="EM179" s="77"/>
      <c r="EN179" s="79"/>
      <c r="EW179" s="77"/>
      <c r="EX179" s="77"/>
      <c r="EY179" s="77"/>
      <c r="EZ179" s="77"/>
      <c r="FA179" s="77"/>
      <c r="FB179" s="77"/>
      <c r="FC179" s="77"/>
      <c r="FD179" s="77"/>
      <c r="FE179" s="79"/>
      <c r="FN179" s="77"/>
      <c r="FO179" s="77"/>
      <c r="FP179" s="77"/>
      <c r="FQ179" s="77"/>
      <c r="FR179" s="77"/>
      <c r="FS179" s="77"/>
      <c r="FT179" s="77"/>
      <c r="FU179" s="77"/>
      <c r="FV179" s="79"/>
      <c r="GE179" s="77"/>
      <c r="GF179" s="77"/>
      <c r="GG179" s="77"/>
      <c r="GH179" s="77"/>
      <c r="GI179" s="77"/>
      <c r="GJ179" s="77"/>
      <c r="GK179" s="77"/>
      <c r="GL179" s="77"/>
      <c r="GM179" s="79"/>
      <c r="GV179" s="77"/>
      <c r="GW179" s="77"/>
      <c r="GX179" s="77"/>
      <c r="GY179" s="77"/>
      <c r="GZ179" s="77"/>
      <c r="HA179" s="77"/>
      <c r="HB179" s="77"/>
      <c r="HC179" s="77"/>
      <c r="HD179" s="79"/>
      <c r="HM179" s="77"/>
      <c r="HN179" s="77"/>
      <c r="HO179" s="77"/>
      <c r="HP179" s="77"/>
      <c r="HQ179" s="77"/>
      <c r="HR179" s="77"/>
      <c r="HS179" s="77"/>
      <c r="HT179" s="77"/>
      <c r="HU179" s="79"/>
      <c r="ID179" s="77"/>
      <c r="IE179" s="77"/>
      <c r="IF179" s="77"/>
      <c r="IG179" s="77"/>
      <c r="IH179" s="77"/>
      <c r="II179" s="77"/>
      <c r="IJ179" s="77"/>
      <c r="IK179" s="77"/>
      <c r="IL179" s="79"/>
    </row>
    <row r="180" spans="17:246" x14ac:dyDescent="0.2">
      <c r="Q180" s="77"/>
      <c r="R180" s="77"/>
      <c r="S180" s="77"/>
      <c r="T180" s="77"/>
      <c r="U180" s="77"/>
      <c r="V180" s="77"/>
      <c r="W180" s="77"/>
      <c r="X180" s="77"/>
      <c r="Y180" s="79"/>
      <c r="AH180" s="77"/>
      <c r="AI180" s="77"/>
      <c r="AJ180" s="77"/>
      <c r="AK180" s="77"/>
      <c r="AL180" s="77"/>
      <c r="AM180" s="77"/>
      <c r="AN180" s="77"/>
      <c r="AO180" s="77"/>
      <c r="AP180" s="79"/>
      <c r="AY180" s="77"/>
      <c r="AZ180" s="77"/>
      <c r="BA180" s="77"/>
      <c r="BB180" s="77"/>
      <c r="BC180" s="77"/>
      <c r="BD180" s="77"/>
      <c r="BE180" s="77"/>
      <c r="BF180" s="77"/>
      <c r="BG180" s="79"/>
      <c r="BP180" s="77"/>
      <c r="BQ180" s="77"/>
      <c r="BR180" s="77"/>
      <c r="BS180" s="77"/>
      <c r="BT180" s="77"/>
      <c r="BU180" s="77"/>
      <c r="BV180" s="77"/>
      <c r="BW180" s="77"/>
      <c r="BX180" s="79"/>
      <c r="CG180" s="77"/>
      <c r="CH180" s="77"/>
      <c r="CI180" s="77"/>
      <c r="CJ180" s="77"/>
      <c r="CK180" s="77"/>
      <c r="CL180" s="77"/>
      <c r="CM180" s="77"/>
      <c r="CN180" s="77"/>
      <c r="CO180" s="79"/>
      <c r="CX180" s="77"/>
      <c r="CY180" s="77"/>
      <c r="CZ180" s="77"/>
      <c r="DA180" s="77"/>
      <c r="DB180" s="77"/>
      <c r="DC180" s="77"/>
      <c r="DD180" s="77"/>
      <c r="DE180" s="77"/>
      <c r="DF180" s="79"/>
      <c r="DO180" s="77"/>
      <c r="DP180" s="77"/>
      <c r="DQ180" s="77"/>
      <c r="DR180" s="77"/>
      <c r="DS180" s="77"/>
      <c r="DT180" s="77"/>
      <c r="DU180" s="77"/>
      <c r="DV180" s="77"/>
      <c r="DW180" s="79"/>
      <c r="EF180" s="77"/>
      <c r="EG180" s="77"/>
      <c r="EH180" s="77"/>
      <c r="EI180" s="77"/>
      <c r="EJ180" s="77"/>
      <c r="EK180" s="77"/>
      <c r="EL180" s="77"/>
      <c r="EM180" s="77"/>
      <c r="EN180" s="79"/>
      <c r="EW180" s="77"/>
      <c r="EX180" s="77"/>
      <c r="EY180" s="77"/>
      <c r="EZ180" s="77"/>
      <c r="FA180" s="77"/>
      <c r="FB180" s="77"/>
      <c r="FC180" s="77"/>
      <c r="FD180" s="77"/>
      <c r="FE180" s="79"/>
      <c r="FN180" s="77"/>
      <c r="FO180" s="77"/>
      <c r="FP180" s="77"/>
      <c r="FQ180" s="77"/>
      <c r="FR180" s="77"/>
      <c r="FS180" s="77"/>
      <c r="FT180" s="77"/>
      <c r="FU180" s="77"/>
      <c r="FV180" s="79"/>
      <c r="GE180" s="77"/>
      <c r="GF180" s="77"/>
      <c r="GG180" s="77"/>
      <c r="GH180" s="77"/>
      <c r="GI180" s="77"/>
      <c r="GJ180" s="77"/>
      <c r="GK180" s="77"/>
      <c r="GL180" s="77"/>
      <c r="GM180" s="79"/>
      <c r="GV180" s="77"/>
      <c r="GW180" s="77"/>
      <c r="GX180" s="77"/>
      <c r="GY180" s="77"/>
      <c r="GZ180" s="77"/>
      <c r="HA180" s="77"/>
      <c r="HB180" s="77"/>
      <c r="HC180" s="77"/>
      <c r="HD180" s="79"/>
      <c r="HM180" s="77"/>
      <c r="HN180" s="77"/>
      <c r="HO180" s="77"/>
      <c r="HP180" s="77"/>
      <c r="HQ180" s="77"/>
      <c r="HR180" s="77"/>
      <c r="HS180" s="77"/>
      <c r="HT180" s="77"/>
      <c r="HU180" s="79"/>
      <c r="ID180" s="77"/>
      <c r="IE180" s="77"/>
      <c r="IF180" s="77"/>
      <c r="IG180" s="77"/>
      <c r="IH180" s="77"/>
      <c r="II180" s="77"/>
      <c r="IJ180" s="77"/>
      <c r="IK180" s="77"/>
      <c r="IL180" s="79"/>
    </row>
    <row r="181" spans="17:246" x14ac:dyDescent="0.2">
      <c r="Q181" s="77"/>
      <c r="R181" s="77"/>
      <c r="S181" s="77"/>
      <c r="T181" s="77"/>
      <c r="U181" s="77"/>
      <c r="V181" s="77"/>
      <c r="W181" s="77"/>
      <c r="X181" s="77"/>
      <c r="Y181" s="79"/>
      <c r="AH181" s="77"/>
      <c r="AI181" s="77"/>
      <c r="AJ181" s="77"/>
      <c r="AK181" s="77"/>
      <c r="AL181" s="77"/>
      <c r="AM181" s="77"/>
      <c r="AN181" s="77"/>
      <c r="AO181" s="77"/>
      <c r="AP181" s="79"/>
      <c r="AY181" s="77"/>
      <c r="AZ181" s="77"/>
      <c r="BA181" s="77"/>
      <c r="BB181" s="77"/>
      <c r="BC181" s="77"/>
      <c r="BD181" s="77"/>
      <c r="BE181" s="77"/>
      <c r="BF181" s="77"/>
      <c r="BG181" s="79"/>
      <c r="BP181" s="77"/>
      <c r="BQ181" s="77"/>
      <c r="BR181" s="77"/>
      <c r="BS181" s="77"/>
      <c r="BT181" s="77"/>
      <c r="BU181" s="77"/>
      <c r="BV181" s="77"/>
      <c r="BW181" s="77"/>
      <c r="BX181" s="79"/>
      <c r="CG181" s="77"/>
      <c r="CH181" s="77"/>
      <c r="CI181" s="77"/>
      <c r="CJ181" s="77"/>
      <c r="CK181" s="77"/>
      <c r="CL181" s="77"/>
      <c r="CM181" s="77"/>
      <c r="CN181" s="77"/>
      <c r="CO181" s="79"/>
      <c r="CX181" s="77"/>
      <c r="CY181" s="77"/>
      <c r="CZ181" s="77"/>
      <c r="DA181" s="77"/>
      <c r="DB181" s="77"/>
      <c r="DC181" s="77"/>
      <c r="DD181" s="77"/>
      <c r="DE181" s="77"/>
      <c r="DF181" s="79"/>
      <c r="DO181" s="77"/>
      <c r="DP181" s="77"/>
      <c r="DQ181" s="77"/>
      <c r="DR181" s="77"/>
      <c r="DS181" s="77"/>
      <c r="DT181" s="77"/>
      <c r="DU181" s="77"/>
      <c r="DV181" s="77"/>
      <c r="DW181" s="79"/>
      <c r="EF181" s="77"/>
      <c r="EG181" s="77"/>
      <c r="EH181" s="77"/>
      <c r="EI181" s="77"/>
      <c r="EJ181" s="77"/>
      <c r="EK181" s="77"/>
      <c r="EL181" s="77"/>
      <c r="EM181" s="77"/>
      <c r="EN181" s="79"/>
      <c r="EW181" s="77"/>
      <c r="EX181" s="77"/>
      <c r="EY181" s="77"/>
      <c r="EZ181" s="77"/>
      <c r="FA181" s="77"/>
      <c r="FB181" s="77"/>
      <c r="FC181" s="77"/>
      <c r="FD181" s="77"/>
      <c r="FE181" s="79"/>
      <c r="FN181" s="77"/>
      <c r="FO181" s="77"/>
      <c r="FP181" s="77"/>
      <c r="FQ181" s="77"/>
      <c r="FR181" s="77"/>
      <c r="FS181" s="77"/>
      <c r="FT181" s="77"/>
      <c r="FU181" s="77"/>
      <c r="FV181" s="79"/>
      <c r="GE181" s="77"/>
      <c r="GF181" s="77"/>
      <c r="GG181" s="77"/>
      <c r="GH181" s="77"/>
      <c r="GI181" s="77"/>
      <c r="GJ181" s="77"/>
      <c r="GK181" s="77"/>
      <c r="GL181" s="77"/>
      <c r="GM181" s="79"/>
      <c r="GV181" s="77"/>
      <c r="GW181" s="77"/>
      <c r="GX181" s="77"/>
      <c r="GY181" s="77"/>
      <c r="GZ181" s="77"/>
      <c r="HA181" s="77"/>
      <c r="HB181" s="77"/>
      <c r="HC181" s="77"/>
      <c r="HD181" s="79"/>
      <c r="HM181" s="77"/>
      <c r="HN181" s="77"/>
      <c r="HO181" s="77"/>
      <c r="HP181" s="77"/>
      <c r="HQ181" s="77"/>
      <c r="HR181" s="77"/>
      <c r="HS181" s="77"/>
      <c r="HT181" s="77"/>
      <c r="HU181" s="79"/>
      <c r="ID181" s="77"/>
      <c r="IE181" s="77"/>
      <c r="IF181" s="77"/>
      <c r="IG181" s="77"/>
      <c r="IH181" s="77"/>
      <c r="II181" s="77"/>
      <c r="IJ181" s="77"/>
      <c r="IK181" s="77"/>
      <c r="IL181" s="79"/>
    </row>
    <row r="182" spans="17:246" x14ac:dyDescent="0.2">
      <c r="Q182" s="77"/>
      <c r="R182" s="77"/>
      <c r="S182" s="77"/>
      <c r="T182" s="77"/>
      <c r="U182" s="77"/>
      <c r="V182" s="77"/>
      <c r="W182" s="77"/>
      <c r="X182" s="77"/>
      <c r="Y182" s="79"/>
      <c r="AH182" s="77"/>
      <c r="AI182" s="77"/>
      <c r="AJ182" s="77"/>
      <c r="AK182" s="77"/>
      <c r="AL182" s="77"/>
      <c r="AM182" s="77"/>
      <c r="AN182" s="77"/>
      <c r="AO182" s="77"/>
      <c r="AP182" s="79"/>
      <c r="AY182" s="77"/>
      <c r="AZ182" s="77"/>
      <c r="BA182" s="77"/>
      <c r="BB182" s="77"/>
      <c r="BC182" s="77"/>
      <c r="BD182" s="77"/>
      <c r="BE182" s="77"/>
      <c r="BF182" s="77"/>
      <c r="BG182" s="79"/>
      <c r="BP182" s="77"/>
      <c r="BQ182" s="77"/>
      <c r="BR182" s="77"/>
      <c r="BS182" s="77"/>
      <c r="BT182" s="77"/>
      <c r="BU182" s="77"/>
      <c r="BV182" s="77"/>
      <c r="BW182" s="77"/>
      <c r="BX182" s="79"/>
      <c r="CG182" s="77"/>
      <c r="CH182" s="77"/>
      <c r="CI182" s="77"/>
      <c r="CJ182" s="77"/>
      <c r="CK182" s="77"/>
      <c r="CL182" s="77"/>
      <c r="CM182" s="77"/>
      <c r="CN182" s="77"/>
      <c r="CO182" s="79"/>
      <c r="CX182" s="77"/>
      <c r="CY182" s="77"/>
      <c r="CZ182" s="77"/>
      <c r="DA182" s="77"/>
      <c r="DB182" s="77"/>
      <c r="DC182" s="77"/>
      <c r="DD182" s="77"/>
      <c r="DE182" s="77"/>
      <c r="DF182" s="79"/>
      <c r="DO182" s="77"/>
      <c r="DP182" s="77"/>
      <c r="DQ182" s="77"/>
      <c r="DR182" s="77"/>
      <c r="DS182" s="77"/>
      <c r="DT182" s="77"/>
      <c r="DU182" s="77"/>
      <c r="DV182" s="77"/>
      <c r="DW182" s="79"/>
      <c r="EF182" s="77"/>
      <c r="EG182" s="77"/>
      <c r="EH182" s="77"/>
      <c r="EI182" s="77"/>
      <c r="EJ182" s="77"/>
      <c r="EK182" s="77"/>
      <c r="EL182" s="77"/>
      <c r="EM182" s="77"/>
      <c r="EN182" s="79"/>
      <c r="EW182" s="77"/>
      <c r="EX182" s="77"/>
      <c r="EY182" s="77"/>
      <c r="EZ182" s="77"/>
      <c r="FA182" s="77"/>
      <c r="FB182" s="77"/>
      <c r="FC182" s="77"/>
      <c r="FD182" s="77"/>
      <c r="FE182" s="79"/>
      <c r="FN182" s="77"/>
      <c r="FO182" s="77"/>
      <c r="FP182" s="77"/>
      <c r="FQ182" s="77"/>
      <c r="FR182" s="77"/>
      <c r="FS182" s="77"/>
      <c r="FT182" s="77"/>
      <c r="FU182" s="77"/>
      <c r="FV182" s="79"/>
      <c r="GE182" s="77"/>
      <c r="GF182" s="77"/>
      <c r="GG182" s="77"/>
      <c r="GH182" s="77"/>
      <c r="GI182" s="77"/>
      <c r="GJ182" s="77"/>
      <c r="GK182" s="77"/>
      <c r="GL182" s="77"/>
      <c r="GM182" s="79"/>
      <c r="GV182" s="77"/>
      <c r="GW182" s="77"/>
      <c r="GX182" s="77"/>
      <c r="GY182" s="77"/>
      <c r="GZ182" s="77"/>
      <c r="HA182" s="77"/>
      <c r="HB182" s="77"/>
      <c r="HC182" s="77"/>
      <c r="HD182" s="79"/>
      <c r="HM182" s="77"/>
      <c r="HN182" s="77"/>
      <c r="HO182" s="77"/>
      <c r="HP182" s="77"/>
      <c r="HQ182" s="77"/>
      <c r="HR182" s="77"/>
      <c r="HS182" s="77"/>
      <c r="HT182" s="77"/>
      <c r="HU182" s="79"/>
      <c r="ID182" s="77"/>
      <c r="IE182" s="77"/>
      <c r="IF182" s="77"/>
      <c r="IG182" s="77"/>
      <c r="IH182" s="77"/>
      <c r="II182" s="77"/>
      <c r="IJ182" s="77"/>
      <c r="IK182" s="77"/>
      <c r="IL182" s="79"/>
    </row>
    <row r="183" spans="17:246" x14ac:dyDescent="0.2">
      <c r="Q183" s="77"/>
      <c r="R183" s="77"/>
      <c r="S183" s="77"/>
      <c r="T183" s="77"/>
      <c r="U183" s="77"/>
      <c r="V183" s="77"/>
      <c r="W183" s="77"/>
      <c r="X183" s="77"/>
      <c r="Y183" s="79"/>
      <c r="AH183" s="77"/>
      <c r="AI183" s="77"/>
      <c r="AJ183" s="77"/>
      <c r="AK183" s="77"/>
      <c r="AL183" s="77"/>
      <c r="AM183" s="77"/>
      <c r="AN183" s="77"/>
      <c r="AO183" s="77"/>
      <c r="AP183" s="79"/>
      <c r="AY183" s="77"/>
      <c r="AZ183" s="77"/>
      <c r="BA183" s="77"/>
      <c r="BB183" s="77"/>
      <c r="BC183" s="77"/>
      <c r="BD183" s="77"/>
      <c r="BE183" s="77"/>
      <c r="BF183" s="77"/>
      <c r="BG183" s="79"/>
      <c r="BP183" s="77"/>
      <c r="BQ183" s="77"/>
      <c r="BR183" s="77"/>
      <c r="BS183" s="77"/>
      <c r="BT183" s="77"/>
      <c r="BU183" s="77"/>
      <c r="BV183" s="77"/>
      <c r="BW183" s="77"/>
      <c r="BX183" s="79"/>
      <c r="CG183" s="77"/>
      <c r="CH183" s="77"/>
      <c r="CI183" s="77"/>
      <c r="CJ183" s="77"/>
      <c r="CK183" s="77"/>
      <c r="CL183" s="77"/>
      <c r="CM183" s="77"/>
      <c r="CN183" s="77"/>
      <c r="CO183" s="79"/>
      <c r="CX183" s="77"/>
      <c r="CY183" s="77"/>
      <c r="CZ183" s="77"/>
      <c r="DA183" s="77"/>
      <c r="DB183" s="77"/>
      <c r="DC183" s="77"/>
      <c r="DD183" s="77"/>
      <c r="DE183" s="77"/>
      <c r="DF183" s="79"/>
      <c r="DO183" s="77"/>
      <c r="DP183" s="77"/>
      <c r="DQ183" s="77"/>
      <c r="DR183" s="77"/>
      <c r="DS183" s="77"/>
      <c r="DT183" s="77"/>
      <c r="DU183" s="77"/>
      <c r="DV183" s="77"/>
      <c r="DW183" s="79"/>
      <c r="EF183" s="77"/>
      <c r="EG183" s="77"/>
      <c r="EH183" s="77"/>
      <c r="EI183" s="77"/>
      <c r="EJ183" s="77"/>
      <c r="EK183" s="77"/>
      <c r="EL183" s="77"/>
      <c r="EM183" s="77"/>
      <c r="EN183" s="79"/>
      <c r="EW183" s="77"/>
      <c r="EX183" s="77"/>
      <c r="EY183" s="77"/>
      <c r="EZ183" s="77"/>
      <c r="FA183" s="77"/>
      <c r="FB183" s="77"/>
      <c r="FC183" s="77"/>
      <c r="FD183" s="77"/>
      <c r="FE183" s="79"/>
      <c r="FN183" s="77"/>
      <c r="FO183" s="77"/>
      <c r="FP183" s="77"/>
      <c r="FQ183" s="77"/>
      <c r="FR183" s="77"/>
      <c r="FS183" s="77"/>
      <c r="FT183" s="77"/>
      <c r="FU183" s="77"/>
      <c r="FV183" s="79"/>
      <c r="GE183" s="77"/>
      <c r="GF183" s="77"/>
      <c r="GG183" s="77"/>
      <c r="GH183" s="77"/>
      <c r="GI183" s="77"/>
      <c r="GJ183" s="77"/>
      <c r="GK183" s="77"/>
      <c r="GL183" s="77"/>
      <c r="GM183" s="79"/>
      <c r="GV183" s="77"/>
      <c r="GW183" s="77"/>
      <c r="GX183" s="77"/>
      <c r="GY183" s="77"/>
      <c r="GZ183" s="77"/>
      <c r="HA183" s="77"/>
      <c r="HB183" s="77"/>
      <c r="HC183" s="77"/>
      <c r="HD183" s="79"/>
      <c r="HM183" s="77"/>
      <c r="HN183" s="77"/>
      <c r="HO183" s="77"/>
      <c r="HP183" s="77"/>
      <c r="HQ183" s="77"/>
      <c r="HR183" s="77"/>
      <c r="HS183" s="77"/>
      <c r="HT183" s="77"/>
      <c r="HU183" s="79"/>
      <c r="ID183" s="77"/>
      <c r="IE183" s="77"/>
      <c r="IF183" s="77"/>
      <c r="IG183" s="77"/>
      <c r="IH183" s="77"/>
      <c r="II183" s="77"/>
      <c r="IJ183" s="77"/>
      <c r="IK183" s="77"/>
      <c r="IL183" s="79"/>
    </row>
    <row r="184" spans="17:246" x14ac:dyDescent="0.2">
      <c r="Q184" s="77"/>
      <c r="R184" s="77"/>
      <c r="S184" s="77"/>
      <c r="T184" s="77"/>
      <c r="U184" s="77"/>
      <c r="V184" s="77"/>
      <c r="W184" s="77"/>
      <c r="X184" s="77"/>
      <c r="Y184" s="79"/>
      <c r="AH184" s="77"/>
      <c r="AI184" s="77"/>
      <c r="AJ184" s="77"/>
      <c r="AK184" s="77"/>
      <c r="AL184" s="77"/>
      <c r="AM184" s="77"/>
      <c r="AN184" s="77"/>
      <c r="AO184" s="77"/>
      <c r="AP184" s="79"/>
      <c r="AY184" s="77"/>
      <c r="AZ184" s="77"/>
      <c r="BA184" s="77"/>
      <c r="BB184" s="77"/>
      <c r="BC184" s="77"/>
      <c r="BD184" s="77"/>
      <c r="BE184" s="77"/>
      <c r="BF184" s="77"/>
      <c r="BG184" s="79"/>
      <c r="BP184" s="77"/>
      <c r="BQ184" s="77"/>
      <c r="BR184" s="77"/>
      <c r="BS184" s="77"/>
      <c r="BT184" s="77"/>
      <c r="BU184" s="77"/>
      <c r="BV184" s="77"/>
      <c r="BW184" s="77"/>
      <c r="BX184" s="79"/>
      <c r="CG184" s="77"/>
      <c r="CH184" s="77"/>
      <c r="CI184" s="77"/>
      <c r="CJ184" s="77"/>
      <c r="CK184" s="77"/>
      <c r="CL184" s="77"/>
      <c r="CM184" s="77"/>
      <c r="CN184" s="77"/>
      <c r="CO184" s="79"/>
      <c r="CX184" s="77"/>
      <c r="CY184" s="77"/>
      <c r="CZ184" s="77"/>
      <c r="DA184" s="77"/>
      <c r="DB184" s="77"/>
      <c r="DC184" s="77"/>
      <c r="DD184" s="77"/>
      <c r="DE184" s="77"/>
      <c r="DF184" s="79"/>
      <c r="DO184" s="77"/>
      <c r="DP184" s="77"/>
      <c r="DQ184" s="77"/>
      <c r="DR184" s="77"/>
      <c r="DS184" s="77"/>
      <c r="DT184" s="77"/>
      <c r="DU184" s="77"/>
      <c r="DV184" s="77"/>
      <c r="DW184" s="79"/>
      <c r="EF184" s="77"/>
      <c r="EG184" s="77"/>
      <c r="EH184" s="77"/>
      <c r="EI184" s="77"/>
      <c r="EJ184" s="77"/>
      <c r="EK184" s="77"/>
      <c r="EL184" s="77"/>
      <c r="EM184" s="77"/>
      <c r="EN184" s="79"/>
      <c r="EW184" s="77"/>
      <c r="EX184" s="77"/>
      <c r="EY184" s="77"/>
      <c r="EZ184" s="77"/>
      <c r="FA184" s="77"/>
      <c r="FB184" s="77"/>
      <c r="FC184" s="77"/>
      <c r="FD184" s="77"/>
      <c r="FE184" s="79"/>
      <c r="FN184" s="77"/>
      <c r="FO184" s="77"/>
      <c r="FP184" s="77"/>
      <c r="FQ184" s="77"/>
      <c r="FR184" s="77"/>
      <c r="FS184" s="77"/>
      <c r="FT184" s="77"/>
      <c r="FU184" s="77"/>
      <c r="FV184" s="79"/>
      <c r="GE184" s="77"/>
      <c r="GF184" s="77"/>
      <c r="GG184" s="77"/>
      <c r="GH184" s="77"/>
      <c r="GI184" s="77"/>
      <c r="GJ184" s="77"/>
      <c r="GK184" s="77"/>
      <c r="GL184" s="77"/>
      <c r="GM184" s="79"/>
      <c r="GV184" s="77"/>
      <c r="GW184" s="77"/>
      <c r="GX184" s="77"/>
      <c r="GY184" s="77"/>
      <c r="GZ184" s="77"/>
      <c r="HA184" s="77"/>
      <c r="HB184" s="77"/>
      <c r="HC184" s="77"/>
      <c r="HD184" s="79"/>
      <c r="HM184" s="77"/>
      <c r="HN184" s="77"/>
      <c r="HO184" s="77"/>
      <c r="HP184" s="77"/>
      <c r="HQ184" s="77"/>
      <c r="HR184" s="77"/>
      <c r="HS184" s="77"/>
      <c r="HT184" s="77"/>
      <c r="HU184" s="79"/>
      <c r="ID184" s="77"/>
      <c r="IE184" s="77"/>
      <c r="IF184" s="77"/>
      <c r="IG184" s="77"/>
      <c r="IH184" s="77"/>
      <c r="II184" s="77"/>
      <c r="IJ184" s="77"/>
      <c r="IK184" s="77"/>
      <c r="IL184" s="79"/>
    </row>
    <row r="185" spans="17:246" x14ac:dyDescent="0.2">
      <c r="Q185" s="77"/>
      <c r="R185" s="77"/>
      <c r="S185" s="77"/>
      <c r="T185" s="77"/>
      <c r="U185" s="77"/>
      <c r="V185" s="77"/>
      <c r="W185" s="77"/>
      <c r="X185" s="77"/>
      <c r="Y185" s="79"/>
      <c r="AH185" s="77"/>
      <c r="AI185" s="77"/>
      <c r="AJ185" s="77"/>
      <c r="AK185" s="77"/>
      <c r="AL185" s="77"/>
      <c r="AM185" s="77"/>
      <c r="AN185" s="77"/>
      <c r="AO185" s="77"/>
      <c r="AP185" s="79"/>
      <c r="AY185" s="77"/>
      <c r="AZ185" s="77"/>
      <c r="BA185" s="77"/>
      <c r="BB185" s="77"/>
      <c r="BC185" s="77"/>
      <c r="BD185" s="77"/>
      <c r="BE185" s="77"/>
      <c r="BF185" s="77"/>
      <c r="BG185" s="79"/>
      <c r="BP185" s="77"/>
      <c r="BQ185" s="77"/>
      <c r="BR185" s="77"/>
      <c r="BS185" s="77"/>
      <c r="BT185" s="77"/>
      <c r="BU185" s="77"/>
      <c r="BV185" s="77"/>
      <c r="BW185" s="77"/>
      <c r="BX185" s="79"/>
      <c r="CG185" s="77"/>
      <c r="CH185" s="77"/>
      <c r="CI185" s="77"/>
      <c r="CJ185" s="77"/>
      <c r="CK185" s="77"/>
      <c r="CL185" s="77"/>
      <c r="CM185" s="77"/>
      <c r="CN185" s="77"/>
      <c r="CO185" s="79"/>
      <c r="CX185" s="77"/>
      <c r="CY185" s="77"/>
      <c r="CZ185" s="77"/>
      <c r="DA185" s="77"/>
      <c r="DB185" s="77"/>
      <c r="DC185" s="77"/>
      <c r="DD185" s="77"/>
      <c r="DE185" s="77"/>
      <c r="DF185" s="79"/>
      <c r="DO185" s="77"/>
      <c r="DP185" s="77"/>
      <c r="DQ185" s="77"/>
      <c r="DR185" s="77"/>
      <c r="DS185" s="77"/>
      <c r="DT185" s="77"/>
      <c r="DU185" s="77"/>
      <c r="DV185" s="77"/>
      <c r="DW185" s="79"/>
      <c r="EF185" s="77"/>
      <c r="EG185" s="77"/>
      <c r="EH185" s="77"/>
      <c r="EI185" s="77"/>
      <c r="EJ185" s="77"/>
      <c r="EK185" s="77"/>
      <c r="EL185" s="77"/>
      <c r="EM185" s="77"/>
      <c r="EN185" s="79"/>
      <c r="EW185" s="77"/>
      <c r="EX185" s="77"/>
      <c r="EY185" s="77"/>
      <c r="EZ185" s="77"/>
      <c r="FA185" s="77"/>
      <c r="FB185" s="77"/>
      <c r="FC185" s="77"/>
      <c r="FD185" s="77"/>
      <c r="FE185" s="79"/>
      <c r="FN185" s="77"/>
      <c r="FO185" s="77"/>
      <c r="FP185" s="77"/>
      <c r="FQ185" s="77"/>
      <c r="FR185" s="77"/>
      <c r="FS185" s="77"/>
      <c r="FT185" s="77"/>
      <c r="FU185" s="77"/>
      <c r="FV185" s="79"/>
      <c r="GE185" s="77"/>
      <c r="GF185" s="77"/>
      <c r="GG185" s="77"/>
      <c r="GH185" s="77"/>
      <c r="GI185" s="77"/>
      <c r="GJ185" s="77"/>
      <c r="GK185" s="77"/>
      <c r="GL185" s="77"/>
      <c r="GM185" s="79"/>
      <c r="GV185" s="77"/>
      <c r="GW185" s="77"/>
      <c r="GX185" s="77"/>
      <c r="GY185" s="77"/>
      <c r="GZ185" s="77"/>
      <c r="HA185" s="77"/>
      <c r="HB185" s="77"/>
      <c r="HC185" s="77"/>
      <c r="HD185" s="79"/>
      <c r="HM185" s="77"/>
      <c r="HN185" s="77"/>
      <c r="HO185" s="77"/>
      <c r="HP185" s="77"/>
      <c r="HQ185" s="77"/>
      <c r="HR185" s="77"/>
      <c r="HS185" s="77"/>
      <c r="HT185" s="77"/>
      <c r="HU185" s="79"/>
      <c r="ID185" s="77"/>
      <c r="IE185" s="77"/>
      <c r="IF185" s="77"/>
      <c r="IG185" s="77"/>
      <c r="IH185" s="77"/>
      <c r="II185" s="77"/>
      <c r="IJ185" s="77"/>
      <c r="IK185" s="77"/>
      <c r="IL185" s="79"/>
    </row>
    <row r="186" spans="17:246" x14ac:dyDescent="0.2">
      <c r="Q186" s="77"/>
      <c r="R186" s="77"/>
      <c r="S186" s="77"/>
      <c r="T186" s="77"/>
      <c r="U186" s="77"/>
      <c r="V186" s="77"/>
      <c r="W186" s="77"/>
      <c r="X186" s="77"/>
      <c r="Y186" s="79"/>
      <c r="AH186" s="77"/>
      <c r="AI186" s="77"/>
      <c r="AJ186" s="77"/>
      <c r="AK186" s="77"/>
      <c r="AL186" s="77"/>
      <c r="AM186" s="77"/>
      <c r="AN186" s="77"/>
      <c r="AO186" s="77"/>
      <c r="AP186" s="79"/>
      <c r="AY186" s="77"/>
      <c r="AZ186" s="77"/>
      <c r="BA186" s="77"/>
      <c r="BB186" s="77"/>
      <c r="BC186" s="77"/>
      <c r="BD186" s="77"/>
      <c r="BE186" s="77"/>
      <c r="BF186" s="77"/>
      <c r="BG186" s="79"/>
      <c r="BP186" s="77"/>
      <c r="BQ186" s="77"/>
      <c r="BR186" s="77"/>
      <c r="BS186" s="77"/>
      <c r="BT186" s="77"/>
      <c r="BU186" s="77"/>
      <c r="BV186" s="77"/>
      <c r="BW186" s="77"/>
      <c r="BX186" s="79"/>
      <c r="CG186" s="77"/>
      <c r="CH186" s="77"/>
      <c r="CI186" s="77"/>
      <c r="CJ186" s="77"/>
      <c r="CK186" s="77"/>
      <c r="CL186" s="77"/>
      <c r="CM186" s="77"/>
      <c r="CN186" s="77"/>
      <c r="CO186" s="79"/>
      <c r="CX186" s="77"/>
      <c r="CY186" s="77"/>
      <c r="CZ186" s="77"/>
      <c r="DA186" s="77"/>
      <c r="DB186" s="77"/>
      <c r="DC186" s="77"/>
      <c r="DD186" s="77"/>
      <c r="DE186" s="77"/>
      <c r="DF186" s="79"/>
      <c r="DO186" s="77"/>
      <c r="DP186" s="77"/>
      <c r="DQ186" s="77"/>
      <c r="DR186" s="77"/>
      <c r="DS186" s="77"/>
      <c r="DT186" s="77"/>
      <c r="DU186" s="77"/>
      <c r="DV186" s="77"/>
      <c r="DW186" s="79"/>
      <c r="EF186" s="77"/>
      <c r="EG186" s="77"/>
      <c r="EH186" s="77"/>
      <c r="EI186" s="77"/>
      <c r="EJ186" s="77"/>
      <c r="EK186" s="77"/>
      <c r="EL186" s="77"/>
      <c r="EM186" s="77"/>
      <c r="EN186" s="79"/>
      <c r="EW186" s="77"/>
      <c r="EX186" s="77"/>
      <c r="EY186" s="77"/>
      <c r="EZ186" s="77"/>
      <c r="FA186" s="77"/>
      <c r="FB186" s="77"/>
      <c r="FC186" s="77"/>
      <c r="FD186" s="77"/>
      <c r="FE186" s="79"/>
      <c r="FN186" s="77"/>
      <c r="FO186" s="77"/>
      <c r="FP186" s="77"/>
      <c r="FQ186" s="77"/>
      <c r="FR186" s="77"/>
      <c r="FS186" s="77"/>
      <c r="FT186" s="77"/>
      <c r="FU186" s="77"/>
      <c r="FV186" s="79"/>
      <c r="GE186" s="77"/>
      <c r="GF186" s="77"/>
      <c r="GG186" s="77"/>
      <c r="GH186" s="77"/>
      <c r="GI186" s="77"/>
      <c r="GJ186" s="77"/>
      <c r="GK186" s="77"/>
      <c r="GL186" s="77"/>
      <c r="GM186" s="79"/>
      <c r="GV186" s="77"/>
      <c r="GW186" s="77"/>
      <c r="GX186" s="77"/>
      <c r="GY186" s="77"/>
      <c r="GZ186" s="77"/>
      <c r="HA186" s="77"/>
      <c r="HB186" s="77"/>
      <c r="HC186" s="77"/>
      <c r="HD186" s="79"/>
      <c r="HM186" s="77"/>
      <c r="HN186" s="77"/>
      <c r="HO186" s="77"/>
      <c r="HP186" s="77"/>
      <c r="HQ186" s="77"/>
      <c r="HR186" s="77"/>
      <c r="HS186" s="77"/>
      <c r="HT186" s="77"/>
      <c r="HU186" s="79"/>
      <c r="ID186" s="77"/>
      <c r="IE186" s="77"/>
      <c r="IF186" s="77"/>
      <c r="IG186" s="77"/>
      <c r="IH186" s="77"/>
      <c r="II186" s="77"/>
      <c r="IJ186" s="77"/>
      <c r="IK186" s="77"/>
      <c r="IL186" s="79"/>
    </row>
    <row r="187" spans="17:246" x14ac:dyDescent="0.2">
      <c r="Q187" s="77"/>
      <c r="R187" s="77"/>
      <c r="S187" s="77"/>
      <c r="T187" s="77"/>
      <c r="U187" s="77"/>
      <c r="V187" s="77"/>
      <c r="W187" s="77"/>
      <c r="X187" s="77"/>
      <c r="Y187" s="79"/>
      <c r="AH187" s="77"/>
      <c r="AI187" s="77"/>
      <c r="AJ187" s="77"/>
      <c r="AK187" s="77"/>
      <c r="AL187" s="77"/>
      <c r="AM187" s="77"/>
      <c r="AN187" s="77"/>
      <c r="AO187" s="77"/>
      <c r="AP187" s="79"/>
      <c r="AY187" s="77"/>
      <c r="AZ187" s="77"/>
      <c r="BA187" s="77"/>
      <c r="BB187" s="77"/>
      <c r="BC187" s="77"/>
      <c r="BD187" s="77"/>
      <c r="BE187" s="77"/>
      <c r="BF187" s="77"/>
      <c r="BG187" s="79"/>
      <c r="BP187" s="77"/>
      <c r="BQ187" s="77"/>
      <c r="BR187" s="77"/>
      <c r="BS187" s="77"/>
      <c r="BT187" s="77"/>
      <c r="BU187" s="77"/>
      <c r="BV187" s="77"/>
      <c r="BW187" s="77"/>
      <c r="BX187" s="79"/>
      <c r="CG187" s="77"/>
      <c r="CH187" s="77"/>
      <c r="CI187" s="77"/>
      <c r="CJ187" s="77"/>
      <c r="CK187" s="77"/>
      <c r="CL187" s="77"/>
      <c r="CM187" s="77"/>
      <c r="CN187" s="77"/>
      <c r="CO187" s="79"/>
      <c r="CX187" s="77"/>
      <c r="CY187" s="77"/>
      <c r="CZ187" s="77"/>
      <c r="DA187" s="77"/>
      <c r="DB187" s="77"/>
      <c r="DC187" s="77"/>
      <c r="DD187" s="77"/>
      <c r="DE187" s="77"/>
      <c r="DF187" s="79"/>
      <c r="DO187" s="77"/>
      <c r="DP187" s="77"/>
      <c r="DQ187" s="77"/>
      <c r="DR187" s="77"/>
      <c r="DS187" s="77"/>
      <c r="DT187" s="77"/>
      <c r="DU187" s="77"/>
      <c r="DV187" s="77"/>
      <c r="DW187" s="79"/>
      <c r="EF187" s="77"/>
      <c r="EG187" s="77"/>
      <c r="EH187" s="77"/>
      <c r="EI187" s="77"/>
      <c r="EJ187" s="77"/>
      <c r="EK187" s="77"/>
      <c r="EL187" s="77"/>
      <c r="EM187" s="77"/>
      <c r="EN187" s="79"/>
      <c r="EW187" s="77"/>
      <c r="EX187" s="77"/>
      <c r="EY187" s="77"/>
      <c r="EZ187" s="77"/>
      <c r="FA187" s="77"/>
      <c r="FB187" s="77"/>
      <c r="FC187" s="77"/>
      <c r="FD187" s="77"/>
      <c r="FE187" s="79"/>
      <c r="FN187" s="77"/>
      <c r="FO187" s="77"/>
      <c r="FP187" s="77"/>
      <c r="FQ187" s="77"/>
      <c r="FR187" s="77"/>
      <c r="FS187" s="77"/>
      <c r="FT187" s="77"/>
      <c r="FU187" s="77"/>
      <c r="FV187" s="79"/>
      <c r="GE187" s="77"/>
      <c r="GF187" s="77"/>
      <c r="GG187" s="77"/>
      <c r="GH187" s="77"/>
      <c r="GI187" s="77"/>
      <c r="GJ187" s="77"/>
      <c r="GK187" s="77"/>
      <c r="GL187" s="77"/>
      <c r="GM187" s="79"/>
      <c r="GV187" s="77"/>
      <c r="GW187" s="77"/>
      <c r="GX187" s="77"/>
      <c r="GY187" s="77"/>
      <c r="GZ187" s="77"/>
      <c r="HA187" s="77"/>
      <c r="HB187" s="77"/>
      <c r="HC187" s="77"/>
      <c r="HD187" s="79"/>
      <c r="HM187" s="77"/>
      <c r="HN187" s="77"/>
      <c r="HO187" s="77"/>
      <c r="HP187" s="77"/>
      <c r="HQ187" s="77"/>
      <c r="HR187" s="77"/>
      <c r="HS187" s="77"/>
      <c r="HT187" s="77"/>
      <c r="HU187" s="79"/>
      <c r="ID187" s="77"/>
      <c r="IE187" s="77"/>
      <c r="IF187" s="77"/>
      <c r="IG187" s="77"/>
      <c r="IH187" s="77"/>
      <c r="II187" s="77"/>
      <c r="IJ187" s="77"/>
      <c r="IK187" s="77"/>
      <c r="IL187" s="79"/>
    </row>
    <row r="188" spans="17:246" x14ac:dyDescent="0.2">
      <c r="Q188" s="77"/>
      <c r="R188" s="77"/>
      <c r="S188" s="77"/>
      <c r="T188" s="77"/>
      <c r="U188" s="77"/>
      <c r="V188" s="77"/>
      <c r="W188" s="77"/>
      <c r="X188" s="77"/>
      <c r="Y188" s="79"/>
      <c r="AH188" s="77"/>
      <c r="AI188" s="77"/>
      <c r="AJ188" s="77"/>
      <c r="AK188" s="77"/>
      <c r="AL188" s="77"/>
      <c r="AM188" s="77"/>
      <c r="AN188" s="77"/>
      <c r="AO188" s="77"/>
      <c r="AP188" s="79"/>
      <c r="AY188" s="77"/>
      <c r="AZ188" s="77"/>
      <c r="BA188" s="77"/>
      <c r="BB188" s="77"/>
      <c r="BC188" s="77"/>
      <c r="BD188" s="77"/>
      <c r="BE188" s="77"/>
      <c r="BF188" s="77"/>
      <c r="BG188" s="79"/>
      <c r="BP188" s="77"/>
      <c r="BQ188" s="77"/>
      <c r="BR188" s="77"/>
      <c r="BS188" s="77"/>
      <c r="BT188" s="77"/>
      <c r="BU188" s="77"/>
      <c r="BV188" s="77"/>
      <c r="BW188" s="77"/>
      <c r="BX188" s="79"/>
      <c r="CG188" s="77"/>
      <c r="CH188" s="77"/>
      <c r="CI188" s="77"/>
      <c r="CJ188" s="77"/>
      <c r="CK188" s="77"/>
      <c r="CL188" s="77"/>
      <c r="CM188" s="77"/>
      <c r="CN188" s="77"/>
      <c r="CO188" s="79"/>
      <c r="CX188" s="77"/>
      <c r="CY188" s="77"/>
      <c r="CZ188" s="77"/>
      <c r="DA188" s="77"/>
      <c r="DB188" s="77"/>
      <c r="DC188" s="77"/>
      <c r="DD188" s="77"/>
      <c r="DE188" s="77"/>
      <c r="DF188" s="79"/>
      <c r="DO188" s="77"/>
      <c r="DP188" s="77"/>
      <c r="DQ188" s="77"/>
      <c r="DR188" s="77"/>
      <c r="DS188" s="77"/>
      <c r="DT188" s="77"/>
      <c r="DU188" s="77"/>
      <c r="DV188" s="77"/>
      <c r="DW188" s="79"/>
      <c r="EF188" s="77"/>
      <c r="EG188" s="77"/>
      <c r="EH188" s="77"/>
      <c r="EI188" s="77"/>
      <c r="EJ188" s="77"/>
      <c r="EK188" s="77"/>
      <c r="EL188" s="77"/>
      <c r="EM188" s="77"/>
      <c r="EN188" s="79"/>
      <c r="EW188" s="77"/>
      <c r="EX188" s="77"/>
      <c r="EY188" s="77"/>
      <c r="EZ188" s="77"/>
      <c r="FA188" s="77"/>
      <c r="FB188" s="77"/>
      <c r="FC188" s="77"/>
      <c r="FD188" s="77"/>
      <c r="FE188" s="79"/>
      <c r="FN188" s="77"/>
      <c r="FO188" s="77"/>
      <c r="FP188" s="77"/>
      <c r="FQ188" s="77"/>
      <c r="FR188" s="77"/>
      <c r="FS188" s="77"/>
      <c r="FT188" s="77"/>
      <c r="FU188" s="77"/>
      <c r="FV188" s="79"/>
      <c r="GE188" s="77"/>
      <c r="GF188" s="77"/>
      <c r="GG188" s="77"/>
      <c r="GH188" s="77"/>
      <c r="GI188" s="77"/>
      <c r="GJ188" s="77"/>
      <c r="GK188" s="77"/>
      <c r="GL188" s="77"/>
      <c r="GM188" s="79"/>
      <c r="GV188" s="77"/>
      <c r="GW188" s="77"/>
      <c r="GX188" s="77"/>
      <c r="GY188" s="77"/>
      <c r="GZ188" s="77"/>
      <c r="HA188" s="77"/>
      <c r="HB188" s="77"/>
      <c r="HC188" s="77"/>
      <c r="HD188" s="79"/>
      <c r="HM188" s="77"/>
      <c r="HN188" s="77"/>
      <c r="HO188" s="77"/>
      <c r="HP188" s="77"/>
      <c r="HQ188" s="77"/>
      <c r="HR188" s="77"/>
      <c r="HS188" s="77"/>
      <c r="HT188" s="77"/>
      <c r="HU188" s="79"/>
      <c r="ID188" s="77"/>
      <c r="IE188" s="77"/>
      <c r="IF188" s="77"/>
      <c r="IG188" s="77"/>
      <c r="IH188" s="77"/>
      <c r="II188" s="77"/>
      <c r="IJ188" s="77"/>
      <c r="IK188" s="77"/>
      <c r="IL188" s="79"/>
    </row>
    <row r="189" spans="17:246" x14ac:dyDescent="0.2">
      <c r="Q189" s="77"/>
      <c r="R189" s="77"/>
      <c r="S189" s="77"/>
      <c r="T189" s="77"/>
      <c r="U189" s="77"/>
      <c r="V189" s="77"/>
      <c r="W189" s="77"/>
      <c r="X189" s="77"/>
      <c r="Y189" s="79"/>
      <c r="AH189" s="77"/>
      <c r="AI189" s="77"/>
      <c r="AJ189" s="77"/>
      <c r="AK189" s="77"/>
      <c r="AL189" s="77"/>
      <c r="AM189" s="77"/>
      <c r="AN189" s="77"/>
      <c r="AO189" s="77"/>
      <c r="AP189" s="79"/>
      <c r="AY189" s="77"/>
      <c r="AZ189" s="77"/>
      <c r="BA189" s="77"/>
      <c r="BB189" s="77"/>
      <c r="BC189" s="77"/>
      <c r="BD189" s="77"/>
      <c r="BE189" s="77"/>
      <c r="BF189" s="77"/>
      <c r="BG189" s="79"/>
      <c r="BP189" s="77"/>
      <c r="BQ189" s="77"/>
      <c r="BR189" s="77"/>
      <c r="BS189" s="77"/>
      <c r="BT189" s="77"/>
      <c r="BU189" s="77"/>
      <c r="BV189" s="77"/>
      <c r="BW189" s="77"/>
      <c r="BX189" s="79"/>
      <c r="CG189" s="77"/>
      <c r="CH189" s="77"/>
      <c r="CI189" s="77"/>
      <c r="CJ189" s="77"/>
      <c r="CK189" s="77"/>
      <c r="CL189" s="77"/>
      <c r="CM189" s="77"/>
      <c r="CN189" s="77"/>
      <c r="CO189" s="79"/>
      <c r="CX189" s="77"/>
      <c r="CY189" s="77"/>
      <c r="CZ189" s="77"/>
      <c r="DA189" s="77"/>
      <c r="DB189" s="77"/>
      <c r="DC189" s="77"/>
      <c r="DD189" s="77"/>
      <c r="DE189" s="77"/>
      <c r="DF189" s="79"/>
      <c r="DO189" s="77"/>
      <c r="DP189" s="77"/>
      <c r="DQ189" s="77"/>
      <c r="DR189" s="77"/>
      <c r="DS189" s="77"/>
      <c r="DT189" s="77"/>
      <c r="DU189" s="77"/>
      <c r="DV189" s="77"/>
      <c r="DW189" s="79"/>
      <c r="EF189" s="77"/>
      <c r="EG189" s="77"/>
      <c r="EH189" s="77"/>
      <c r="EI189" s="77"/>
      <c r="EJ189" s="77"/>
      <c r="EK189" s="77"/>
      <c r="EL189" s="77"/>
      <c r="EM189" s="77"/>
      <c r="EN189" s="79"/>
      <c r="EW189" s="77"/>
      <c r="EX189" s="77"/>
      <c r="EY189" s="77"/>
      <c r="EZ189" s="77"/>
      <c r="FA189" s="77"/>
      <c r="FB189" s="77"/>
      <c r="FC189" s="77"/>
      <c r="FD189" s="77"/>
      <c r="FE189" s="79"/>
      <c r="FN189" s="77"/>
      <c r="FO189" s="77"/>
      <c r="FP189" s="77"/>
      <c r="FQ189" s="77"/>
      <c r="FR189" s="77"/>
      <c r="FS189" s="77"/>
      <c r="FT189" s="77"/>
      <c r="FU189" s="77"/>
      <c r="FV189" s="79"/>
      <c r="GE189" s="77"/>
      <c r="GF189" s="77"/>
      <c r="GG189" s="77"/>
      <c r="GH189" s="77"/>
      <c r="GI189" s="77"/>
      <c r="GJ189" s="77"/>
      <c r="GK189" s="77"/>
      <c r="GL189" s="77"/>
      <c r="GM189" s="79"/>
      <c r="GV189" s="77"/>
      <c r="GW189" s="77"/>
      <c r="GX189" s="77"/>
      <c r="GY189" s="77"/>
      <c r="GZ189" s="77"/>
      <c r="HA189" s="77"/>
      <c r="HB189" s="77"/>
      <c r="HC189" s="77"/>
      <c r="HD189" s="79"/>
      <c r="HM189" s="77"/>
      <c r="HN189" s="77"/>
      <c r="HO189" s="77"/>
      <c r="HP189" s="77"/>
      <c r="HQ189" s="77"/>
      <c r="HR189" s="77"/>
      <c r="HS189" s="77"/>
      <c r="HT189" s="77"/>
      <c r="HU189" s="79"/>
      <c r="ID189" s="77"/>
      <c r="IE189" s="77"/>
      <c r="IF189" s="77"/>
      <c r="IG189" s="77"/>
      <c r="IH189" s="77"/>
      <c r="II189" s="77"/>
      <c r="IJ189" s="77"/>
      <c r="IK189" s="77"/>
      <c r="IL189" s="79"/>
    </row>
    <row r="190" spans="17:246" x14ac:dyDescent="0.2">
      <c r="Q190" s="77"/>
      <c r="R190" s="77"/>
      <c r="S190" s="77"/>
      <c r="T190" s="77"/>
      <c r="U190" s="77"/>
      <c r="V190" s="77"/>
      <c r="W190" s="77"/>
      <c r="X190" s="77"/>
      <c r="Y190" s="79"/>
      <c r="AH190" s="77"/>
      <c r="AI190" s="77"/>
      <c r="AJ190" s="77"/>
      <c r="AK190" s="77"/>
      <c r="AL190" s="77"/>
      <c r="AM190" s="77"/>
      <c r="AN190" s="77"/>
      <c r="AO190" s="77"/>
      <c r="AP190" s="79"/>
      <c r="AY190" s="77"/>
      <c r="AZ190" s="77"/>
      <c r="BA190" s="77"/>
      <c r="BB190" s="77"/>
      <c r="BC190" s="77"/>
      <c r="BD190" s="77"/>
      <c r="BE190" s="77"/>
      <c r="BF190" s="77"/>
      <c r="BG190" s="79"/>
      <c r="BP190" s="77"/>
      <c r="BQ190" s="77"/>
      <c r="BR190" s="77"/>
      <c r="BS190" s="77"/>
      <c r="BT190" s="77"/>
      <c r="BU190" s="77"/>
      <c r="BV190" s="77"/>
      <c r="BW190" s="77"/>
      <c r="BX190" s="79"/>
      <c r="CG190" s="77"/>
      <c r="CH190" s="77"/>
      <c r="CI190" s="77"/>
      <c r="CJ190" s="77"/>
      <c r="CK190" s="77"/>
      <c r="CL190" s="77"/>
      <c r="CM190" s="77"/>
      <c r="CN190" s="77"/>
      <c r="CO190" s="79"/>
      <c r="CX190" s="77"/>
      <c r="CY190" s="77"/>
      <c r="CZ190" s="77"/>
      <c r="DA190" s="77"/>
      <c r="DB190" s="77"/>
      <c r="DC190" s="77"/>
      <c r="DD190" s="77"/>
      <c r="DE190" s="77"/>
      <c r="DF190" s="79"/>
      <c r="DO190" s="77"/>
      <c r="DP190" s="77"/>
      <c r="DQ190" s="77"/>
      <c r="DR190" s="77"/>
      <c r="DS190" s="77"/>
      <c r="DT190" s="77"/>
      <c r="DU190" s="77"/>
      <c r="DV190" s="77"/>
      <c r="DW190" s="79"/>
      <c r="EF190" s="77"/>
      <c r="EG190" s="77"/>
      <c r="EH190" s="77"/>
      <c r="EI190" s="77"/>
      <c r="EJ190" s="77"/>
      <c r="EK190" s="77"/>
      <c r="EL190" s="77"/>
      <c r="EM190" s="77"/>
      <c r="EN190" s="79"/>
      <c r="EW190" s="77"/>
      <c r="EX190" s="77"/>
      <c r="EY190" s="77"/>
      <c r="EZ190" s="77"/>
      <c r="FA190" s="77"/>
      <c r="FB190" s="77"/>
      <c r="FC190" s="77"/>
      <c r="FD190" s="77"/>
      <c r="FE190" s="79"/>
      <c r="FN190" s="77"/>
      <c r="FO190" s="77"/>
      <c r="FP190" s="77"/>
      <c r="FQ190" s="77"/>
      <c r="FR190" s="77"/>
      <c r="FS190" s="77"/>
      <c r="FT190" s="77"/>
      <c r="FU190" s="77"/>
      <c r="FV190" s="79"/>
      <c r="GE190" s="77"/>
      <c r="GF190" s="77"/>
      <c r="GG190" s="77"/>
      <c r="GH190" s="77"/>
      <c r="GI190" s="77"/>
      <c r="GJ190" s="77"/>
      <c r="GK190" s="77"/>
      <c r="GL190" s="77"/>
      <c r="GM190" s="79"/>
      <c r="GV190" s="77"/>
      <c r="GW190" s="77"/>
      <c r="GX190" s="77"/>
      <c r="GY190" s="77"/>
      <c r="GZ190" s="77"/>
      <c r="HA190" s="77"/>
      <c r="HB190" s="77"/>
      <c r="HC190" s="77"/>
      <c r="HD190" s="79"/>
      <c r="HM190" s="77"/>
      <c r="HN190" s="77"/>
      <c r="HO190" s="77"/>
      <c r="HP190" s="77"/>
      <c r="HQ190" s="77"/>
      <c r="HR190" s="77"/>
      <c r="HS190" s="77"/>
      <c r="HT190" s="77"/>
      <c r="HU190" s="79"/>
      <c r="ID190" s="77"/>
      <c r="IE190" s="77"/>
      <c r="IF190" s="77"/>
      <c r="IG190" s="77"/>
      <c r="IH190" s="77"/>
      <c r="II190" s="77"/>
      <c r="IJ190" s="77"/>
      <c r="IK190" s="77"/>
      <c r="IL190" s="79"/>
    </row>
    <row r="191" spans="17:246" x14ac:dyDescent="0.2">
      <c r="Q191" s="77"/>
      <c r="R191" s="77"/>
      <c r="S191" s="77"/>
      <c r="T191" s="77"/>
      <c r="U191" s="77"/>
      <c r="V191" s="77"/>
      <c r="W191" s="77"/>
      <c r="X191" s="77"/>
      <c r="Y191" s="79"/>
      <c r="AH191" s="77"/>
      <c r="AI191" s="77"/>
      <c r="AJ191" s="77"/>
      <c r="AK191" s="77"/>
      <c r="AL191" s="77"/>
      <c r="AM191" s="77"/>
      <c r="AN191" s="77"/>
      <c r="AO191" s="77"/>
      <c r="AP191" s="79"/>
      <c r="AY191" s="77"/>
      <c r="AZ191" s="77"/>
      <c r="BA191" s="77"/>
      <c r="BB191" s="77"/>
      <c r="BC191" s="77"/>
      <c r="BD191" s="77"/>
      <c r="BE191" s="77"/>
      <c r="BF191" s="77"/>
      <c r="BG191" s="79"/>
      <c r="BP191" s="77"/>
      <c r="BQ191" s="77"/>
      <c r="BR191" s="77"/>
      <c r="BS191" s="77"/>
      <c r="BT191" s="77"/>
      <c r="BU191" s="77"/>
      <c r="BV191" s="77"/>
      <c r="BW191" s="77"/>
      <c r="BX191" s="79"/>
      <c r="CG191" s="77"/>
      <c r="CH191" s="77"/>
      <c r="CI191" s="77"/>
      <c r="CJ191" s="77"/>
      <c r="CK191" s="77"/>
      <c r="CL191" s="77"/>
      <c r="CM191" s="77"/>
      <c r="CN191" s="77"/>
      <c r="CO191" s="79"/>
      <c r="CX191" s="77"/>
      <c r="CY191" s="77"/>
      <c r="CZ191" s="77"/>
      <c r="DA191" s="77"/>
      <c r="DB191" s="77"/>
      <c r="DC191" s="77"/>
      <c r="DD191" s="77"/>
      <c r="DE191" s="77"/>
      <c r="DF191" s="79"/>
      <c r="DO191" s="77"/>
      <c r="DP191" s="77"/>
      <c r="DQ191" s="77"/>
      <c r="DR191" s="77"/>
      <c r="DS191" s="77"/>
      <c r="DT191" s="77"/>
      <c r="DU191" s="77"/>
      <c r="DV191" s="77"/>
      <c r="DW191" s="79"/>
      <c r="EF191" s="77"/>
      <c r="EG191" s="77"/>
      <c r="EH191" s="77"/>
      <c r="EI191" s="77"/>
      <c r="EJ191" s="77"/>
      <c r="EK191" s="77"/>
      <c r="EL191" s="77"/>
      <c r="EM191" s="77"/>
      <c r="EN191" s="79"/>
      <c r="EW191" s="77"/>
      <c r="EX191" s="77"/>
      <c r="EY191" s="77"/>
      <c r="EZ191" s="77"/>
      <c r="FA191" s="77"/>
      <c r="FB191" s="77"/>
      <c r="FC191" s="77"/>
      <c r="FD191" s="77"/>
      <c r="FE191" s="79"/>
      <c r="FN191" s="77"/>
      <c r="FO191" s="77"/>
      <c r="FP191" s="77"/>
      <c r="FQ191" s="77"/>
      <c r="FR191" s="77"/>
      <c r="FS191" s="77"/>
      <c r="FT191" s="77"/>
      <c r="FU191" s="77"/>
      <c r="FV191" s="79"/>
      <c r="GE191" s="77"/>
      <c r="GF191" s="77"/>
      <c r="GG191" s="77"/>
      <c r="GH191" s="77"/>
      <c r="GI191" s="77"/>
      <c r="GJ191" s="77"/>
      <c r="GK191" s="77"/>
      <c r="GL191" s="77"/>
      <c r="GM191" s="79"/>
      <c r="GV191" s="77"/>
      <c r="GW191" s="77"/>
      <c r="GX191" s="77"/>
      <c r="GY191" s="77"/>
      <c r="GZ191" s="77"/>
      <c r="HA191" s="77"/>
      <c r="HB191" s="77"/>
      <c r="HC191" s="77"/>
      <c r="HD191" s="79"/>
      <c r="HM191" s="77"/>
      <c r="HN191" s="77"/>
      <c r="HO191" s="77"/>
      <c r="HP191" s="77"/>
      <c r="HQ191" s="77"/>
      <c r="HR191" s="77"/>
      <c r="HS191" s="77"/>
      <c r="HT191" s="77"/>
      <c r="HU191" s="79"/>
      <c r="ID191" s="77"/>
      <c r="IE191" s="77"/>
      <c r="IF191" s="77"/>
      <c r="IG191" s="77"/>
      <c r="IH191" s="77"/>
      <c r="II191" s="77"/>
      <c r="IJ191" s="77"/>
      <c r="IK191" s="77"/>
      <c r="IL191" s="79"/>
    </row>
    <row r="192" spans="17:246" x14ac:dyDescent="0.2">
      <c r="Q192" s="77"/>
      <c r="R192" s="77"/>
      <c r="S192" s="77"/>
      <c r="T192" s="77"/>
      <c r="U192" s="77"/>
      <c r="V192" s="77"/>
      <c r="W192" s="77"/>
      <c r="X192" s="77"/>
      <c r="Y192" s="79"/>
      <c r="AH192" s="77"/>
      <c r="AI192" s="77"/>
      <c r="AJ192" s="77"/>
      <c r="AK192" s="77"/>
      <c r="AL192" s="77"/>
      <c r="AM192" s="77"/>
      <c r="AN192" s="77"/>
      <c r="AO192" s="77"/>
      <c r="AP192" s="79"/>
      <c r="AY192" s="77"/>
      <c r="AZ192" s="77"/>
      <c r="BA192" s="77"/>
      <c r="BB192" s="77"/>
      <c r="BC192" s="77"/>
      <c r="BD192" s="77"/>
      <c r="BE192" s="77"/>
      <c r="BF192" s="77"/>
      <c r="BG192" s="79"/>
      <c r="BP192" s="77"/>
      <c r="BQ192" s="77"/>
      <c r="BR192" s="77"/>
      <c r="BS192" s="77"/>
      <c r="BT192" s="77"/>
      <c r="BU192" s="77"/>
      <c r="BV192" s="77"/>
      <c r="BW192" s="77"/>
      <c r="BX192" s="79"/>
      <c r="CG192" s="77"/>
      <c r="CH192" s="77"/>
      <c r="CI192" s="77"/>
      <c r="CJ192" s="77"/>
      <c r="CK192" s="77"/>
      <c r="CL192" s="77"/>
      <c r="CM192" s="77"/>
      <c r="CN192" s="77"/>
      <c r="CO192" s="79"/>
      <c r="CX192" s="77"/>
      <c r="CY192" s="77"/>
      <c r="CZ192" s="77"/>
      <c r="DA192" s="77"/>
      <c r="DB192" s="77"/>
      <c r="DC192" s="77"/>
      <c r="DD192" s="77"/>
      <c r="DE192" s="77"/>
      <c r="DF192" s="79"/>
      <c r="DO192" s="77"/>
      <c r="DP192" s="77"/>
      <c r="DQ192" s="77"/>
      <c r="DR192" s="77"/>
      <c r="DS192" s="77"/>
      <c r="DT192" s="77"/>
      <c r="DU192" s="77"/>
      <c r="DV192" s="77"/>
      <c r="DW192" s="79"/>
      <c r="EF192" s="77"/>
      <c r="EG192" s="77"/>
      <c r="EH192" s="77"/>
      <c r="EI192" s="77"/>
      <c r="EJ192" s="77"/>
      <c r="EK192" s="77"/>
      <c r="EL192" s="77"/>
      <c r="EM192" s="77"/>
      <c r="EN192" s="79"/>
      <c r="EW192" s="77"/>
      <c r="EX192" s="77"/>
      <c r="EY192" s="77"/>
      <c r="EZ192" s="77"/>
      <c r="FA192" s="77"/>
      <c r="FB192" s="77"/>
      <c r="FC192" s="77"/>
      <c r="FD192" s="77"/>
      <c r="FE192" s="79"/>
      <c r="FN192" s="77"/>
      <c r="FO192" s="77"/>
      <c r="FP192" s="77"/>
      <c r="FQ192" s="77"/>
      <c r="FR192" s="77"/>
      <c r="FS192" s="77"/>
      <c r="FT192" s="77"/>
      <c r="FU192" s="77"/>
      <c r="FV192" s="79"/>
      <c r="GE192" s="77"/>
      <c r="GF192" s="77"/>
      <c r="GG192" s="77"/>
      <c r="GH192" s="77"/>
      <c r="GI192" s="77"/>
      <c r="GJ192" s="77"/>
      <c r="GK192" s="77"/>
      <c r="GL192" s="77"/>
      <c r="GM192" s="79"/>
      <c r="GV192" s="77"/>
      <c r="GW192" s="77"/>
      <c r="GX192" s="77"/>
      <c r="GY192" s="77"/>
      <c r="GZ192" s="77"/>
      <c r="HA192" s="77"/>
      <c r="HB192" s="77"/>
      <c r="HC192" s="77"/>
      <c r="HD192" s="79"/>
      <c r="HM192" s="77"/>
      <c r="HN192" s="77"/>
      <c r="HO192" s="77"/>
      <c r="HP192" s="77"/>
      <c r="HQ192" s="77"/>
      <c r="HR192" s="77"/>
      <c r="HS192" s="77"/>
      <c r="HT192" s="77"/>
      <c r="HU192" s="79"/>
      <c r="ID192" s="77"/>
      <c r="IE192" s="77"/>
      <c r="IF192" s="77"/>
      <c r="IG192" s="77"/>
      <c r="IH192" s="77"/>
      <c r="II192" s="77"/>
      <c r="IJ192" s="77"/>
      <c r="IK192" s="77"/>
      <c r="IL192" s="79"/>
    </row>
    <row r="193" spans="17:246" x14ac:dyDescent="0.2">
      <c r="Q193" s="77"/>
      <c r="R193" s="77"/>
      <c r="S193" s="77"/>
      <c r="T193" s="77"/>
      <c r="U193" s="77"/>
      <c r="V193" s="77"/>
      <c r="W193" s="77"/>
      <c r="X193" s="77"/>
      <c r="Y193" s="79"/>
      <c r="AH193" s="77"/>
      <c r="AI193" s="77"/>
      <c r="AJ193" s="77"/>
      <c r="AK193" s="77"/>
      <c r="AL193" s="77"/>
      <c r="AM193" s="77"/>
      <c r="AN193" s="77"/>
      <c r="AO193" s="77"/>
      <c r="AP193" s="79"/>
      <c r="AY193" s="77"/>
      <c r="AZ193" s="77"/>
      <c r="BA193" s="77"/>
      <c r="BB193" s="77"/>
      <c r="BC193" s="77"/>
      <c r="BD193" s="77"/>
      <c r="BE193" s="77"/>
      <c r="BF193" s="77"/>
      <c r="BG193" s="79"/>
      <c r="BP193" s="77"/>
      <c r="BQ193" s="77"/>
      <c r="BR193" s="77"/>
      <c r="BS193" s="77"/>
      <c r="BT193" s="77"/>
      <c r="BU193" s="77"/>
      <c r="BV193" s="77"/>
      <c r="BW193" s="77"/>
      <c r="BX193" s="79"/>
      <c r="CG193" s="77"/>
      <c r="CH193" s="77"/>
      <c r="CI193" s="77"/>
      <c r="CJ193" s="77"/>
      <c r="CK193" s="77"/>
      <c r="CL193" s="77"/>
      <c r="CM193" s="77"/>
      <c r="CN193" s="77"/>
      <c r="CO193" s="79"/>
      <c r="CX193" s="77"/>
      <c r="CY193" s="77"/>
      <c r="CZ193" s="77"/>
      <c r="DA193" s="77"/>
      <c r="DB193" s="77"/>
      <c r="DC193" s="77"/>
      <c r="DD193" s="77"/>
      <c r="DE193" s="77"/>
      <c r="DF193" s="79"/>
      <c r="DO193" s="77"/>
      <c r="DP193" s="77"/>
      <c r="DQ193" s="77"/>
      <c r="DR193" s="77"/>
      <c r="DS193" s="77"/>
      <c r="DT193" s="77"/>
      <c r="DU193" s="77"/>
      <c r="DV193" s="77"/>
      <c r="DW193" s="79"/>
      <c r="EF193" s="77"/>
      <c r="EG193" s="77"/>
      <c r="EH193" s="77"/>
      <c r="EI193" s="77"/>
      <c r="EJ193" s="77"/>
      <c r="EK193" s="77"/>
      <c r="EL193" s="77"/>
      <c r="EM193" s="77"/>
      <c r="EN193" s="79"/>
      <c r="EW193" s="77"/>
      <c r="EX193" s="77"/>
      <c r="EY193" s="77"/>
      <c r="EZ193" s="77"/>
      <c r="FA193" s="77"/>
      <c r="FB193" s="77"/>
      <c r="FC193" s="77"/>
      <c r="FD193" s="77"/>
      <c r="FE193" s="79"/>
      <c r="FN193" s="77"/>
      <c r="FO193" s="77"/>
      <c r="FP193" s="77"/>
      <c r="FQ193" s="77"/>
      <c r="FR193" s="77"/>
      <c r="FS193" s="77"/>
      <c r="FT193" s="77"/>
      <c r="FU193" s="77"/>
      <c r="FV193" s="79"/>
      <c r="GE193" s="77"/>
      <c r="GF193" s="77"/>
      <c r="GG193" s="77"/>
      <c r="GH193" s="77"/>
      <c r="GI193" s="77"/>
      <c r="GJ193" s="77"/>
      <c r="GK193" s="77"/>
      <c r="GL193" s="77"/>
      <c r="GM193" s="79"/>
      <c r="GV193" s="77"/>
      <c r="GW193" s="77"/>
      <c r="GX193" s="77"/>
      <c r="GY193" s="77"/>
      <c r="GZ193" s="77"/>
      <c r="HA193" s="77"/>
      <c r="HB193" s="77"/>
      <c r="HC193" s="77"/>
      <c r="HD193" s="79"/>
      <c r="HM193" s="77"/>
      <c r="HN193" s="77"/>
      <c r="HO193" s="77"/>
      <c r="HP193" s="77"/>
      <c r="HQ193" s="77"/>
      <c r="HR193" s="77"/>
      <c r="HS193" s="77"/>
      <c r="HT193" s="77"/>
      <c r="HU193" s="79"/>
      <c r="ID193" s="77"/>
      <c r="IE193" s="77"/>
      <c r="IF193" s="77"/>
      <c r="IG193" s="77"/>
      <c r="IH193" s="77"/>
      <c r="II193" s="77"/>
      <c r="IJ193" s="77"/>
      <c r="IK193" s="77"/>
      <c r="IL193" s="79"/>
    </row>
    <row r="194" spans="17:246" x14ac:dyDescent="0.2">
      <c r="Q194" s="77"/>
      <c r="R194" s="77"/>
      <c r="S194" s="77"/>
      <c r="T194" s="77"/>
      <c r="U194" s="77"/>
      <c r="V194" s="77"/>
      <c r="W194" s="77"/>
      <c r="X194" s="77"/>
      <c r="Y194" s="79"/>
      <c r="AH194" s="77"/>
      <c r="AI194" s="77"/>
      <c r="AJ194" s="77"/>
      <c r="AK194" s="77"/>
      <c r="AL194" s="77"/>
      <c r="AM194" s="77"/>
      <c r="AN194" s="77"/>
      <c r="AO194" s="77"/>
      <c r="AP194" s="79"/>
      <c r="AY194" s="77"/>
      <c r="AZ194" s="77"/>
      <c r="BA194" s="77"/>
      <c r="BB194" s="77"/>
      <c r="BC194" s="77"/>
      <c r="BD194" s="77"/>
      <c r="BE194" s="77"/>
      <c r="BF194" s="77"/>
      <c r="BG194" s="79"/>
      <c r="BP194" s="77"/>
      <c r="BQ194" s="77"/>
      <c r="BR194" s="77"/>
      <c r="BS194" s="77"/>
      <c r="BT194" s="77"/>
      <c r="BU194" s="77"/>
      <c r="BV194" s="77"/>
      <c r="BW194" s="77"/>
      <c r="BX194" s="79"/>
      <c r="CG194" s="77"/>
      <c r="CH194" s="77"/>
      <c r="CI194" s="77"/>
      <c r="CJ194" s="77"/>
      <c r="CK194" s="77"/>
      <c r="CL194" s="77"/>
      <c r="CM194" s="77"/>
      <c r="CN194" s="77"/>
      <c r="CO194" s="79"/>
      <c r="CX194" s="77"/>
      <c r="CY194" s="77"/>
      <c r="CZ194" s="77"/>
      <c r="DA194" s="77"/>
      <c r="DB194" s="77"/>
      <c r="DC194" s="77"/>
      <c r="DD194" s="77"/>
      <c r="DE194" s="77"/>
      <c r="DF194" s="79"/>
      <c r="DO194" s="77"/>
      <c r="DP194" s="77"/>
      <c r="DQ194" s="77"/>
      <c r="DR194" s="77"/>
      <c r="DS194" s="77"/>
      <c r="DT194" s="77"/>
      <c r="DU194" s="77"/>
      <c r="DV194" s="77"/>
      <c r="DW194" s="79"/>
      <c r="EF194" s="77"/>
      <c r="EG194" s="77"/>
      <c r="EH194" s="77"/>
      <c r="EI194" s="77"/>
      <c r="EJ194" s="77"/>
      <c r="EK194" s="77"/>
      <c r="EL194" s="77"/>
      <c r="EM194" s="77"/>
      <c r="EN194" s="79"/>
      <c r="EW194" s="77"/>
      <c r="EX194" s="77"/>
      <c r="EY194" s="77"/>
      <c r="EZ194" s="77"/>
      <c r="FA194" s="77"/>
      <c r="FB194" s="77"/>
      <c r="FC194" s="77"/>
      <c r="FD194" s="77"/>
      <c r="FE194" s="79"/>
      <c r="FN194" s="77"/>
      <c r="FO194" s="77"/>
      <c r="FP194" s="77"/>
      <c r="FQ194" s="77"/>
      <c r="FR194" s="77"/>
      <c r="FS194" s="77"/>
      <c r="FT194" s="77"/>
      <c r="FU194" s="77"/>
      <c r="FV194" s="79"/>
      <c r="GE194" s="77"/>
      <c r="GF194" s="77"/>
      <c r="GG194" s="77"/>
      <c r="GH194" s="77"/>
      <c r="GI194" s="77"/>
      <c r="GJ194" s="77"/>
      <c r="GK194" s="77"/>
      <c r="GL194" s="77"/>
      <c r="GM194" s="79"/>
      <c r="GV194" s="77"/>
      <c r="GW194" s="77"/>
      <c r="GX194" s="77"/>
      <c r="GY194" s="77"/>
      <c r="GZ194" s="77"/>
      <c r="HA194" s="77"/>
      <c r="HB194" s="77"/>
      <c r="HC194" s="77"/>
      <c r="HD194" s="79"/>
      <c r="HM194" s="77"/>
      <c r="HN194" s="77"/>
      <c r="HO194" s="77"/>
      <c r="HP194" s="77"/>
      <c r="HQ194" s="77"/>
      <c r="HR194" s="77"/>
      <c r="HS194" s="77"/>
      <c r="HT194" s="77"/>
      <c r="HU194" s="79"/>
      <c r="ID194" s="77"/>
      <c r="IE194" s="77"/>
      <c r="IF194" s="77"/>
      <c r="IG194" s="77"/>
      <c r="IH194" s="77"/>
      <c r="II194" s="77"/>
      <c r="IJ194" s="77"/>
      <c r="IK194" s="77"/>
      <c r="IL194" s="79"/>
    </row>
  </sheetData>
  <sheetProtection algorithmName="SHA-512" hashValue="Vi5V71GvwDskRtkP1133ZM0COJzKj8MKslNaWdg4GbsbpacqQpkHdkHQQzzd0qL4cBs+soUFlk5qKfx73VbjuA==" saltValue="EWPIv4VobxDnaqJU4NPw9Q==" spinCount="100000" sheet="1" objects="1" scenarios="1"/>
  <mergeCells count="416">
    <mergeCell ref="J92:P92"/>
    <mergeCell ref="C120:D120"/>
    <mergeCell ref="S83:V84"/>
    <mergeCell ref="F96:G96"/>
    <mergeCell ref="C98:D98"/>
    <mergeCell ref="AJ83:AM84"/>
    <mergeCell ref="N89:O89"/>
    <mergeCell ref="AE89:AF89"/>
    <mergeCell ref="Q33:Y33"/>
    <mergeCell ref="Q49:Y49"/>
    <mergeCell ref="Q57:Y57"/>
    <mergeCell ref="Q63:Y63"/>
    <mergeCell ref="Q66:Y66"/>
    <mergeCell ref="K91:P91"/>
    <mergeCell ref="AB91:AG91"/>
    <mergeCell ref="AA92:AG92"/>
    <mergeCell ref="B82:F82"/>
    <mergeCell ref="AJ82:AM82"/>
    <mergeCell ref="AA82:AE82"/>
    <mergeCell ref="AH33:AP33"/>
    <mergeCell ref="AH49:AP49"/>
    <mergeCell ref="AH57:AP57"/>
    <mergeCell ref="AH63:AP63"/>
    <mergeCell ref="AH66:AP66"/>
    <mergeCell ref="M2:P3"/>
    <mergeCell ref="B3:H3"/>
    <mergeCell ref="B4:D8"/>
    <mergeCell ref="E4:H4"/>
    <mergeCell ref="E5:H6"/>
    <mergeCell ref="E7:H8"/>
    <mergeCell ref="S82:V82"/>
    <mergeCell ref="J4:L8"/>
    <mergeCell ref="M4:P4"/>
    <mergeCell ref="M5:P6"/>
    <mergeCell ref="M7:P8"/>
    <mergeCell ref="J82:N82"/>
    <mergeCell ref="J2:J3"/>
    <mergeCell ref="K2:L3"/>
    <mergeCell ref="Q3:Q10"/>
    <mergeCell ref="R3:R10"/>
    <mergeCell ref="S3:S10"/>
    <mergeCell ref="T3:T10"/>
    <mergeCell ref="U3:U10"/>
    <mergeCell ref="V3:V10"/>
    <mergeCell ref="E10:H10"/>
    <mergeCell ref="M10:P10"/>
    <mergeCell ref="Q18:Y18"/>
    <mergeCell ref="W3:W10"/>
    <mergeCell ref="BA83:BD84"/>
    <mergeCell ref="AV89:AW89"/>
    <mergeCell ref="X3:X10"/>
    <mergeCell ref="AK3:AK10"/>
    <mergeCell ref="AL3:AL10"/>
    <mergeCell ref="AM3:AM10"/>
    <mergeCell ref="AN3:AN10"/>
    <mergeCell ref="AO3:AO10"/>
    <mergeCell ref="AH18:AP18"/>
    <mergeCell ref="AP3:AP10"/>
    <mergeCell ref="AD2:AG3"/>
    <mergeCell ref="AH3:AH10"/>
    <mergeCell ref="AI3:AI10"/>
    <mergeCell ref="AJ3:AJ10"/>
    <mergeCell ref="Y3:Y10"/>
    <mergeCell ref="AA4:AC8"/>
    <mergeCell ref="AD4:AG4"/>
    <mergeCell ref="AD5:AG6"/>
    <mergeCell ref="AD7:AG8"/>
    <mergeCell ref="AA2:AA3"/>
    <mergeCell ref="AB2:AC3"/>
    <mergeCell ref="AD10:AG10"/>
    <mergeCell ref="BC3:BC10"/>
    <mergeCell ref="BD3:BD10"/>
    <mergeCell ref="BZ92:CF92"/>
    <mergeCell ref="BR83:BU84"/>
    <mergeCell ref="BM89:BN89"/>
    <mergeCell ref="AS91:AX91"/>
    <mergeCell ref="AR92:AX92"/>
    <mergeCell ref="AY3:AY10"/>
    <mergeCell ref="AZ3:AZ10"/>
    <mergeCell ref="BA3:BA10"/>
    <mergeCell ref="BB3:BB10"/>
    <mergeCell ref="BA82:BD82"/>
    <mergeCell ref="AR4:AT8"/>
    <mergeCell ref="AU4:AX4"/>
    <mergeCell ref="AU5:AX6"/>
    <mergeCell ref="AU7:AX8"/>
    <mergeCell ref="AR82:AV82"/>
    <mergeCell ref="AR2:AR3"/>
    <mergeCell ref="AS2:AT3"/>
    <mergeCell ref="AU2:AX3"/>
    <mergeCell ref="AU10:AX10"/>
    <mergeCell ref="AY18:BG18"/>
    <mergeCell ref="AY33:BG33"/>
    <mergeCell ref="AY49:BG49"/>
    <mergeCell ref="AY57:BG57"/>
    <mergeCell ref="AY63:BG63"/>
    <mergeCell ref="BI92:BO92"/>
    <mergeCell ref="BP3:BP10"/>
    <mergeCell ref="BQ3:BQ10"/>
    <mergeCell ref="BR3:BR10"/>
    <mergeCell ref="BS3:BS10"/>
    <mergeCell ref="BR82:BU82"/>
    <mergeCell ref="BL4:BO4"/>
    <mergeCell ref="BL5:BO6"/>
    <mergeCell ref="BL7:BO8"/>
    <mergeCell ref="BI82:BM82"/>
    <mergeCell ref="BI2:BI3"/>
    <mergeCell ref="BJ2:BK3"/>
    <mergeCell ref="BL2:BO3"/>
    <mergeCell ref="BL10:BO10"/>
    <mergeCell ref="BP18:BX18"/>
    <mergeCell ref="BP33:BX33"/>
    <mergeCell ref="BI4:BK8"/>
    <mergeCell ref="BJ91:BO91"/>
    <mergeCell ref="CA91:CF91"/>
    <mergeCell ref="CD89:CE89"/>
    <mergeCell ref="CM3:CM10"/>
    <mergeCell ref="CN3:CN10"/>
    <mergeCell ref="CO3:CO10"/>
    <mergeCell ref="BZ2:BZ3"/>
    <mergeCell ref="CA2:CB3"/>
    <mergeCell ref="CC2:CF3"/>
    <mergeCell ref="CC10:CF10"/>
    <mergeCell ref="CU89:CV89"/>
    <mergeCell ref="CG18:CO18"/>
    <mergeCell ref="CG33:CO33"/>
    <mergeCell ref="CG49:CO49"/>
    <mergeCell ref="CG57:CO57"/>
    <mergeCell ref="CG63:CO63"/>
    <mergeCell ref="CG66:CO66"/>
    <mergeCell ref="BX3:BX10"/>
    <mergeCell ref="BZ4:CB8"/>
    <mergeCell ref="DO33:DW33"/>
    <mergeCell ref="CR91:CW91"/>
    <mergeCell ref="CQ92:CW92"/>
    <mergeCell ref="CX3:CX10"/>
    <mergeCell ref="CY3:CY10"/>
    <mergeCell ref="CZ3:CZ10"/>
    <mergeCell ref="DA3:DA10"/>
    <mergeCell ref="CZ82:DC82"/>
    <mergeCell ref="CT4:CW4"/>
    <mergeCell ref="CT5:CW6"/>
    <mergeCell ref="CT7:CW8"/>
    <mergeCell ref="CQ82:CU82"/>
    <mergeCell ref="CQ2:CQ3"/>
    <mergeCell ref="CR2:CS3"/>
    <mergeCell ref="CT2:CW3"/>
    <mergeCell ref="CT10:CW10"/>
    <mergeCell ref="CX18:DF18"/>
    <mergeCell ref="CX33:DF33"/>
    <mergeCell ref="CQ4:CS8"/>
    <mergeCell ref="CX49:DF49"/>
    <mergeCell ref="CX57:DF57"/>
    <mergeCell ref="CX63:DF63"/>
    <mergeCell ref="CX66:DF66"/>
    <mergeCell ref="CZ83:DC84"/>
    <mergeCell ref="EF66:EN66"/>
    <mergeCell ref="DH92:DN92"/>
    <mergeCell ref="DO3:DO10"/>
    <mergeCell ref="DP3:DP10"/>
    <mergeCell ref="DQ3:DQ10"/>
    <mergeCell ref="DR3:DR10"/>
    <mergeCell ref="DQ82:DT82"/>
    <mergeCell ref="DK4:DN4"/>
    <mergeCell ref="DK5:DN6"/>
    <mergeCell ref="DK7:DN8"/>
    <mergeCell ref="DH82:DL82"/>
    <mergeCell ref="DH2:DH3"/>
    <mergeCell ref="DI2:DJ3"/>
    <mergeCell ref="DK2:DN3"/>
    <mergeCell ref="DQ83:DT84"/>
    <mergeCell ref="DL89:DM89"/>
    <mergeCell ref="DH4:DJ8"/>
    <mergeCell ref="DO49:DW49"/>
    <mergeCell ref="DO57:DW57"/>
    <mergeCell ref="DO63:DW63"/>
    <mergeCell ref="DO66:DW66"/>
    <mergeCell ref="DI91:DN91"/>
    <mergeCell ref="DK10:DN10"/>
    <mergeCell ref="DO18:DW18"/>
    <mergeCell ref="EG3:EG10"/>
    <mergeCell ref="EH3:EH10"/>
    <mergeCell ref="EI3:EI10"/>
    <mergeCell ref="EJ3:EJ10"/>
    <mergeCell ref="EK3:EK10"/>
    <mergeCell ref="EB10:EE10"/>
    <mergeCell ref="EF18:EN18"/>
    <mergeCell ref="EF33:EN33"/>
    <mergeCell ref="EF49:EN49"/>
    <mergeCell ref="DY92:EE92"/>
    <mergeCell ref="EQ91:EV91"/>
    <mergeCell ref="EP92:EV92"/>
    <mergeCell ref="EL3:EL10"/>
    <mergeCell ref="EM3:EM10"/>
    <mergeCell ref="EN3:EN10"/>
    <mergeCell ref="DY4:EA8"/>
    <mergeCell ref="EB4:EE4"/>
    <mergeCell ref="EB5:EE6"/>
    <mergeCell ref="EB7:EE8"/>
    <mergeCell ref="DY82:EC82"/>
    <mergeCell ref="EH82:EK82"/>
    <mergeCell ref="DY2:DY3"/>
    <mergeCell ref="DZ2:EA3"/>
    <mergeCell ref="EB2:EE3"/>
    <mergeCell ref="EF3:EF10"/>
    <mergeCell ref="EP2:EP3"/>
    <mergeCell ref="EH83:EK84"/>
    <mergeCell ref="EC89:ED89"/>
    <mergeCell ref="DZ91:EE91"/>
    <mergeCell ref="ES2:EV3"/>
    <mergeCell ref="EP82:ET82"/>
    <mergeCell ref="EF57:EN57"/>
    <mergeCell ref="EF63:EN63"/>
    <mergeCell ref="FP83:FS84"/>
    <mergeCell ref="FK89:FL89"/>
    <mergeCell ref="FH91:FM91"/>
    <mergeCell ref="FN63:FV63"/>
    <mergeCell ref="FN66:FV66"/>
    <mergeCell ref="EP4:ER8"/>
    <mergeCell ref="ES4:EV4"/>
    <mergeCell ref="ES5:EV6"/>
    <mergeCell ref="ES7:EV8"/>
    <mergeCell ref="ES10:EV10"/>
    <mergeCell ref="EW63:FE63"/>
    <mergeCell ref="EW66:FE66"/>
    <mergeCell ref="EY82:FB82"/>
    <mergeCell ref="EY83:FB84"/>
    <mergeCell ref="ET89:EU89"/>
    <mergeCell ref="FG92:FM92"/>
    <mergeCell ref="FT3:FT10"/>
    <mergeCell ref="FU3:FU10"/>
    <mergeCell ref="FV3:FV10"/>
    <mergeCell ref="FG4:FI8"/>
    <mergeCell ref="FJ4:FM4"/>
    <mergeCell ref="FJ5:FM6"/>
    <mergeCell ref="FJ7:FM8"/>
    <mergeCell ref="FG82:FK82"/>
    <mergeCell ref="FP82:FS82"/>
    <mergeCell ref="FG2:FG3"/>
    <mergeCell ref="FH2:FI3"/>
    <mergeCell ref="FJ2:FM3"/>
    <mergeCell ref="FN3:FN10"/>
    <mergeCell ref="FO3:FO10"/>
    <mergeCell ref="FP3:FP10"/>
    <mergeCell ref="FQ3:FQ10"/>
    <mergeCell ref="FR3:FR10"/>
    <mergeCell ref="FS3:FS10"/>
    <mergeCell ref="FJ10:FM10"/>
    <mergeCell ref="FN18:FV18"/>
    <mergeCell ref="FN33:FV33"/>
    <mergeCell ref="FN49:FV49"/>
    <mergeCell ref="FN57:FV57"/>
    <mergeCell ref="GG83:GJ84"/>
    <mergeCell ref="GB89:GC89"/>
    <mergeCell ref="FY91:GD91"/>
    <mergeCell ref="FX92:GD92"/>
    <mergeCell ref="GK3:GK10"/>
    <mergeCell ref="GL3:GL10"/>
    <mergeCell ref="GM3:GM10"/>
    <mergeCell ref="FX4:FZ8"/>
    <mergeCell ref="GA4:GD4"/>
    <mergeCell ref="GA5:GD6"/>
    <mergeCell ref="GA7:GD8"/>
    <mergeCell ref="FX82:GB82"/>
    <mergeCell ref="GG82:GJ82"/>
    <mergeCell ref="FX2:FX3"/>
    <mergeCell ref="FY2:FZ3"/>
    <mergeCell ref="GA2:GD3"/>
    <mergeCell ref="GE3:GE10"/>
    <mergeCell ref="GF3:GF10"/>
    <mergeCell ref="GG3:GG10"/>
    <mergeCell ref="GH3:GH10"/>
    <mergeCell ref="GI3:GI10"/>
    <mergeCell ref="GJ3:GJ10"/>
    <mergeCell ref="GA10:GD10"/>
    <mergeCell ref="GE18:GM18"/>
    <mergeCell ref="BE3:BE10"/>
    <mergeCell ref="BF3:BF10"/>
    <mergeCell ref="BG3:BG10"/>
    <mergeCell ref="BP49:BX49"/>
    <mergeCell ref="BP57:BX57"/>
    <mergeCell ref="BP63:BX63"/>
    <mergeCell ref="BP66:BX66"/>
    <mergeCell ref="AY66:BG66"/>
    <mergeCell ref="CI83:CL84"/>
    <mergeCell ref="CK3:CK10"/>
    <mergeCell ref="CL3:CL10"/>
    <mergeCell ref="BT3:BT10"/>
    <mergeCell ref="BU3:BU10"/>
    <mergeCell ref="BV3:BV10"/>
    <mergeCell ref="BW3:BW10"/>
    <mergeCell ref="CG3:CG10"/>
    <mergeCell ref="CH3:CH10"/>
    <mergeCell ref="CI3:CI10"/>
    <mergeCell ref="CJ3:CJ10"/>
    <mergeCell ref="CI82:CL82"/>
    <mergeCell ref="CC4:CF4"/>
    <mergeCell ref="CC5:CF6"/>
    <mergeCell ref="CC7:CF8"/>
    <mergeCell ref="BZ82:CD82"/>
    <mergeCell ref="DB3:DB10"/>
    <mergeCell ref="DC3:DC10"/>
    <mergeCell ref="DD3:DD10"/>
    <mergeCell ref="DE3:DE10"/>
    <mergeCell ref="DF3:DF10"/>
    <mergeCell ref="EW18:FE18"/>
    <mergeCell ref="EW33:FE33"/>
    <mergeCell ref="EW49:FE49"/>
    <mergeCell ref="EW57:FE57"/>
    <mergeCell ref="EW3:EW10"/>
    <mergeCell ref="EX3:EX10"/>
    <mergeCell ref="DS3:DS10"/>
    <mergeCell ref="DT3:DT10"/>
    <mergeCell ref="DU3:DU10"/>
    <mergeCell ref="DV3:DV10"/>
    <mergeCell ref="DW3:DW10"/>
    <mergeCell ref="EY3:EY10"/>
    <mergeCell ref="EZ3:EZ10"/>
    <mergeCell ref="FA3:FA10"/>
    <mergeCell ref="FB3:FB10"/>
    <mergeCell ref="FC3:FC10"/>
    <mergeCell ref="FD3:FD10"/>
    <mergeCell ref="FE3:FE10"/>
    <mergeCell ref="EQ2:ER3"/>
    <mergeCell ref="GE33:GM33"/>
    <mergeCell ref="GE49:GM49"/>
    <mergeCell ref="GE57:GM57"/>
    <mergeCell ref="GE63:GM63"/>
    <mergeCell ref="GE66:GM66"/>
    <mergeCell ref="GO2:GO3"/>
    <mergeCell ref="GP2:GQ3"/>
    <mergeCell ref="GR2:GU3"/>
    <mergeCell ref="GO4:GQ8"/>
    <mergeCell ref="GR4:GU4"/>
    <mergeCell ref="GR5:GU6"/>
    <mergeCell ref="GR7:GU8"/>
    <mergeCell ref="GR10:GU10"/>
    <mergeCell ref="GV57:HD57"/>
    <mergeCell ref="GV63:HD63"/>
    <mergeCell ref="GV66:HD66"/>
    <mergeCell ref="GO82:GS82"/>
    <mergeCell ref="GX82:HA82"/>
    <mergeCell ref="GX83:HA84"/>
    <mergeCell ref="GV3:GV10"/>
    <mergeCell ref="GW3:GW10"/>
    <mergeCell ref="GX3:GX10"/>
    <mergeCell ref="GY3:GY10"/>
    <mergeCell ref="GZ3:GZ10"/>
    <mergeCell ref="HA3:HA10"/>
    <mergeCell ref="HB3:HB10"/>
    <mergeCell ref="HC3:HC10"/>
    <mergeCell ref="HD3:HD10"/>
    <mergeCell ref="GS89:GT89"/>
    <mergeCell ref="GP91:GU91"/>
    <mergeCell ref="GO92:GU92"/>
    <mergeCell ref="HF2:HF3"/>
    <mergeCell ref="HG2:HH3"/>
    <mergeCell ref="HI2:HL3"/>
    <mergeCell ref="HM3:HM10"/>
    <mergeCell ref="HN3:HN10"/>
    <mergeCell ref="HO3:HO10"/>
    <mergeCell ref="HM18:HU18"/>
    <mergeCell ref="HM33:HU33"/>
    <mergeCell ref="HM49:HU49"/>
    <mergeCell ref="HM57:HU57"/>
    <mergeCell ref="HM63:HU63"/>
    <mergeCell ref="HM66:HU66"/>
    <mergeCell ref="HF82:HJ82"/>
    <mergeCell ref="HO82:HR82"/>
    <mergeCell ref="HO83:HR84"/>
    <mergeCell ref="HJ89:HK89"/>
    <mergeCell ref="HG91:HL91"/>
    <mergeCell ref="HF92:HL92"/>
    <mergeCell ref="GV18:HD18"/>
    <mergeCell ref="GV33:HD33"/>
    <mergeCell ref="GV49:HD49"/>
    <mergeCell ref="HP3:HP10"/>
    <mergeCell ref="HQ3:HQ10"/>
    <mergeCell ref="HR3:HR10"/>
    <mergeCell ref="HS3:HS10"/>
    <mergeCell ref="HT3:HT10"/>
    <mergeCell ref="HU3:HU10"/>
    <mergeCell ref="HF4:HH8"/>
    <mergeCell ref="HI4:HL4"/>
    <mergeCell ref="HI5:HL6"/>
    <mergeCell ref="HI7:HL8"/>
    <mergeCell ref="HI10:HL10"/>
    <mergeCell ref="IJ3:IJ10"/>
    <mergeCell ref="IK3:IK10"/>
    <mergeCell ref="IL3:IL10"/>
    <mergeCell ref="HW4:HY8"/>
    <mergeCell ref="HZ4:IC4"/>
    <mergeCell ref="HZ5:IC6"/>
    <mergeCell ref="HZ7:IC8"/>
    <mergeCell ref="HZ10:IC10"/>
    <mergeCell ref="ID18:IL18"/>
    <mergeCell ref="HW2:HW3"/>
    <mergeCell ref="HX2:HY3"/>
    <mergeCell ref="HZ2:IC3"/>
    <mergeCell ref="ID3:ID10"/>
    <mergeCell ref="IE3:IE10"/>
    <mergeCell ref="IF3:IF10"/>
    <mergeCell ref="IG3:IG10"/>
    <mergeCell ref="IH3:IH10"/>
    <mergeCell ref="II3:II10"/>
    <mergeCell ref="HX91:IC91"/>
    <mergeCell ref="HW92:IC92"/>
    <mergeCell ref="ID33:IL33"/>
    <mergeCell ref="ID49:IL49"/>
    <mergeCell ref="ID57:IL57"/>
    <mergeCell ref="ID63:IL63"/>
    <mergeCell ref="ID66:IL66"/>
    <mergeCell ref="HW82:IA82"/>
    <mergeCell ref="IF82:II82"/>
    <mergeCell ref="IF83:II84"/>
    <mergeCell ref="IA89:IB89"/>
  </mergeCells>
  <conditionalFormatting sqref="J92">
    <cfRule type="cellIs" dxfId="2022" priority="7532" operator="equal">
      <formula>"NO HABILITADO"</formula>
    </cfRule>
    <cfRule type="cellIs" dxfId="2021" priority="7533" operator="equal">
      <formula>"OK"</formula>
    </cfRule>
  </conditionalFormatting>
  <conditionalFormatting sqref="Q11:T14 Q16:T17 Q19:T21 Q18">
    <cfRule type="cellIs" dxfId="2020" priority="7508" operator="equal">
      <formula>0</formula>
    </cfRule>
    <cfRule type="cellIs" dxfId="2019" priority="7509" operator="equal">
      <formula>1</formula>
    </cfRule>
  </conditionalFormatting>
  <conditionalFormatting sqref="W92">
    <cfRule type="cellIs" dxfId="2018" priority="7520" operator="equal">
      <formula>0</formula>
    </cfRule>
    <cfRule type="cellIs" dxfId="2017" priority="7521" operator="equal">
      <formula>1</formula>
    </cfRule>
  </conditionalFormatting>
  <conditionalFormatting sqref="Y92">
    <cfRule type="cellIs" dxfId="2016" priority="7516" operator="equal">
      <formula>0</formula>
    </cfRule>
    <cfRule type="cellIs" dxfId="2015" priority="7517" operator="equal">
      <formula>1</formula>
    </cfRule>
  </conditionalFormatting>
  <conditionalFormatting sqref="U11:V14 U16:V17 U19:V21">
    <cfRule type="cellIs" dxfId="2014" priority="7512" operator="equal">
      <formula>0</formula>
    </cfRule>
    <cfRule type="cellIs" dxfId="2013" priority="7513" operator="equal">
      <formula>1</formula>
    </cfRule>
  </conditionalFormatting>
  <conditionalFormatting sqref="W11:W14 W16:W17 W19:W21">
    <cfRule type="cellIs" dxfId="2012" priority="7510" operator="equal">
      <formula>0</formula>
    </cfRule>
    <cfRule type="cellIs" dxfId="2011" priority="7511" operator="equal">
      <formula>1</formula>
    </cfRule>
  </conditionalFormatting>
  <conditionalFormatting sqref="U11:V14 U16:V17 U19:V21">
    <cfRule type="cellIs" dxfId="2010" priority="7506" operator="equal">
      <formula>0</formula>
    </cfRule>
    <cfRule type="cellIs" dxfId="2009" priority="7507" operator="equal">
      <formula>1</formula>
    </cfRule>
  </conditionalFormatting>
  <conditionalFormatting sqref="V11:V14 V16:V17 V19:V21">
    <cfRule type="cellIs" dxfId="2008" priority="7504" operator="equal">
      <formula>0</formula>
    </cfRule>
    <cfRule type="cellIs" dxfId="2007" priority="7505" operator="equal">
      <formula>1</formula>
    </cfRule>
  </conditionalFormatting>
  <conditionalFormatting sqref="R92">
    <cfRule type="cellIs" dxfId="2006" priority="6048" operator="equal">
      <formula>0</formula>
    </cfRule>
    <cfRule type="cellIs" dxfId="2005" priority="6049" operator="equal">
      <formula>1</formula>
    </cfRule>
  </conditionalFormatting>
  <conditionalFormatting sqref="K95">
    <cfRule type="cellIs" dxfId="2004" priority="7168" operator="equal">
      <formula>"OK"</formula>
    </cfRule>
    <cfRule type="cellIs" dxfId="2003" priority="7169" operator="equal">
      <formula>"NO HABILITADO"</formula>
    </cfRule>
  </conditionalFormatting>
  <conditionalFormatting sqref="V95">
    <cfRule type="cellIs" dxfId="2002" priority="7166" operator="equal">
      <formula>"OK"</formula>
    </cfRule>
    <cfRule type="cellIs" dxfId="2001" priority="7167" operator="equal">
      <formula>"NO HABILITADO"</formula>
    </cfRule>
  </conditionalFormatting>
  <conditionalFormatting sqref="M99:M115">
    <cfRule type="cellIs" dxfId="2000" priority="7164" operator="equal">
      <formula>"NH"</formula>
    </cfRule>
    <cfRule type="cellIs" dxfId="1999" priority="7165" operator="equal">
      <formula>"H"</formula>
    </cfRule>
  </conditionalFormatting>
  <conditionalFormatting sqref="T92">
    <cfRule type="cellIs" dxfId="1998" priority="7060" operator="equal">
      <formula>0</formula>
    </cfRule>
    <cfRule type="cellIs" dxfId="1997" priority="7061" operator="equal">
      <formula>1</formula>
    </cfRule>
  </conditionalFormatting>
  <conditionalFormatting sqref="AB95">
    <cfRule type="cellIs" dxfId="1996" priority="6884" operator="equal">
      <formula>"OK"</formula>
    </cfRule>
    <cfRule type="cellIs" dxfId="1995" priority="6885" operator="equal">
      <formula>"NO HABILITADO"</formula>
    </cfRule>
  </conditionalFormatting>
  <conditionalFormatting sqref="AM95">
    <cfRule type="cellIs" dxfId="1994" priority="6882" operator="equal">
      <formula>"OK"</formula>
    </cfRule>
    <cfRule type="cellIs" dxfId="1993" priority="6883" operator="equal">
      <formula>"NO HABILITADO"</formula>
    </cfRule>
  </conditionalFormatting>
  <conditionalFormatting sqref="AH33">
    <cfRule type="cellIs" dxfId="1992" priority="1797" operator="equal">
      <formula>0</formula>
    </cfRule>
    <cfRule type="cellIs" dxfId="1991" priority="1798" operator="equal">
      <formula>1</formula>
    </cfRule>
  </conditionalFormatting>
  <conditionalFormatting sqref="AH15:AK15">
    <cfRule type="cellIs" dxfId="1990" priority="1803" operator="equal">
      <formula>0</formula>
    </cfRule>
    <cfRule type="cellIs" dxfId="1989" priority="1804" operator="equal">
      <formula>1</formula>
    </cfRule>
  </conditionalFormatting>
  <conditionalFormatting sqref="EF47:EI48 EF50:EI55 EF58:EI62 EF64:EI65 EF67:EI70">
    <cfRule type="cellIs" dxfId="1988" priority="959" operator="equal">
      <formula>0</formula>
    </cfRule>
    <cfRule type="cellIs" dxfId="1987" priority="960" operator="equal">
      <formula>1</formula>
    </cfRule>
  </conditionalFormatting>
  <conditionalFormatting sqref="Q22:T32">
    <cfRule type="cellIs" dxfId="1986" priority="4296" operator="equal">
      <formula>0</formula>
    </cfRule>
    <cfRule type="cellIs" dxfId="1985" priority="4297" operator="equal">
      <formula>1</formula>
    </cfRule>
  </conditionalFormatting>
  <conditionalFormatting sqref="U22:V32">
    <cfRule type="cellIs" dxfId="1984" priority="4300" operator="equal">
      <formula>0</formula>
    </cfRule>
    <cfRule type="cellIs" dxfId="1983" priority="4301" operator="equal">
      <formula>1</formula>
    </cfRule>
  </conditionalFormatting>
  <conditionalFormatting sqref="W22:W32">
    <cfRule type="cellIs" dxfId="1982" priority="4298" operator="equal">
      <formula>0</formula>
    </cfRule>
    <cfRule type="cellIs" dxfId="1981" priority="4299" operator="equal">
      <formula>1</formula>
    </cfRule>
  </conditionalFormatting>
  <conditionalFormatting sqref="U22:V32">
    <cfRule type="cellIs" dxfId="1980" priority="4294" operator="equal">
      <formula>0</formula>
    </cfRule>
    <cfRule type="cellIs" dxfId="1979" priority="4295" operator="equal">
      <formula>1</formula>
    </cfRule>
  </conditionalFormatting>
  <conditionalFormatting sqref="V22:V32">
    <cfRule type="cellIs" dxfId="1978" priority="4292" operator="equal">
      <formula>0</formula>
    </cfRule>
    <cfRule type="cellIs" dxfId="1977" priority="4293" operator="equal">
      <formula>1</formula>
    </cfRule>
  </conditionalFormatting>
  <conditionalFormatting sqref="Q34:T42 Q44:T45">
    <cfRule type="cellIs" dxfId="1976" priority="4286" operator="equal">
      <formula>0</formula>
    </cfRule>
    <cfRule type="cellIs" dxfId="1975" priority="4287" operator="equal">
      <formula>1</formula>
    </cfRule>
  </conditionalFormatting>
  <conditionalFormatting sqref="U34:V42 U44:V45">
    <cfRule type="cellIs" dxfId="1974" priority="4290" operator="equal">
      <formula>0</formula>
    </cfRule>
    <cfRule type="cellIs" dxfId="1973" priority="4291" operator="equal">
      <formula>1</formula>
    </cfRule>
  </conditionalFormatting>
  <conditionalFormatting sqref="W34:W42 W44:W45">
    <cfRule type="cellIs" dxfId="1972" priority="4288" operator="equal">
      <formula>0</formula>
    </cfRule>
    <cfRule type="cellIs" dxfId="1971" priority="4289" operator="equal">
      <formula>1</formula>
    </cfRule>
  </conditionalFormatting>
  <conditionalFormatting sqref="U34:V42 U44:V45">
    <cfRule type="cellIs" dxfId="1970" priority="4284" operator="equal">
      <formula>0</formula>
    </cfRule>
    <cfRule type="cellIs" dxfId="1969" priority="4285" operator="equal">
      <formula>1</formula>
    </cfRule>
  </conditionalFormatting>
  <conditionalFormatting sqref="V34:V42 V44:V45">
    <cfRule type="cellIs" dxfId="1968" priority="4282" operator="equal">
      <formula>0</formula>
    </cfRule>
    <cfRule type="cellIs" dxfId="1967" priority="4283" operator="equal">
      <formula>1</formula>
    </cfRule>
  </conditionalFormatting>
  <conditionalFormatting sqref="Q47:T48 Q50:T55 Q58:T62 Q64:T65 Q67:T70">
    <cfRule type="cellIs" dxfId="1966" priority="4276" operator="equal">
      <formula>0</formula>
    </cfRule>
    <cfRule type="cellIs" dxfId="1965" priority="4277" operator="equal">
      <formula>1</formula>
    </cfRule>
  </conditionalFormatting>
  <conditionalFormatting sqref="U47:V48 U50:V55 U58:V62 U64:V65 U67:V70">
    <cfRule type="cellIs" dxfId="1964" priority="4280" operator="equal">
      <formula>0</formula>
    </cfRule>
    <cfRule type="cellIs" dxfId="1963" priority="4281" operator="equal">
      <formula>1</formula>
    </cfRule>
  </conditionalFormatting>
  <conditionalFormatting sqref="W47:W48 W50:W55 W58:W62 W64:W65 W67:W70">
    <cfRule type="cellIs" dxfId="1962" priority="4278" operator="equal">
      <formula>0</formula>
    </cfRule>
    <cfRule type="cellIs" dxfId="1961" priority="4279" operator="equal">
      <formula>1</formula>
    </cfRule>
  </conditionalFormatting>
  <conditionalFormatting sqref="U47:V48 U50:V55 U58:V62 U64:V65 U67:V70">
    <cfRule type="cellIs" dxfId="1960" priority="4274" operator="equal">
      <formula>0</formula>
    </cfRule>
    <cfRule type="cellIs" dxfId="1959" priority="4275" operator="equal">
      <formula>1</formula>
    </cfRule>
  </conditionalFormatting>
  <conditionalFormatting sqref="V47:V48 V50:V55 V58:V62 V64:V65 V67:V70">
    <cfRule type="cellIs" dxfId="1958" priority="4272" operator="equal">
      <formula>0</formula>
    </cfRule>
    <cfRule type="cellIs" dxfId="1957" priority="4273" operator="equal">
      <formula>1</formula>
    </cfRule>
  </conditionalFormatting>
  <conditionalFormatting sqref="Q72:T79">
    <cfRule type="cellIs" dxfId="1956" priority="4266" operator="equal">
      <formula>0</formula>
    </cfRule>
    <cfRule type="cellIs" dxfId="1955" priority="4267" operator="equal">
      <formula>1</formula>
    </cfRule>
  </conditionalFormatting>
  <conditionalFormatting sqref="U72:V79">
    <cfRule type="cellIs" dxfId="1954" priority="4270" operator="equal">
      <formula>0</formula>
    </cfRule>
    <cfRule type="cellIs" dxfId="1953" priority="4271" operator="equal">
      <formula>1</formula>
    </cfRule>
  </conditionalFormatting>
  <conditionalFormatting sqref="W72:W79">
    <cfRule type="cellIs" dxfId="1952" priority="4268" operator="equal">
      <formula>0</formula>
    </cfRule>
    <cfRule type="cellIs" dxfId="1951" priority="4269" operator="equal">
      <formula>1</formula>
    </cfRule>
  </conditionalFormatting>
  <conditionalFormatting sqref="U72:V79">
    <cfRule type="cellIs" dxfId="1950" priority="4264" operator="equal">
      <formula>0</formula>
    </cfRule>
    <cfRule type="cellIs" dxfId="1949" priority="4265" operator="equal">
      <formula>1</formula>
    </cfRule>
  </conditionalFormatting>
  <conditionalFormatting sqref="V72:V79">
    <cfRule type="cellIs" dxfId="1948" priority="4262" operator="equal">
      <formula>0</formula>
    </cfRule>
    <cfRule type="cellIs" dxfId="1947" priority="4263" operator="equal">
      <formula>1</formula>
    </cfRule>
  </conditionalFormatting>
  <conditionalFormatting sqref="Q15:T15">
    <cfRule type="cellIs" dxfId="1946" priority="2063" operator="equal">
      <formula>0</formula>
    </cfRule>
    <cfRule type="cellIs" dxfId="1945" priority="2064" operator="equal">
      <formula>1</formula>
    </cfRule>
  </conditionalFormatting>
  <conditionalFormatting sqref="AH49">
    <cfRule type="cellIs" dxfId="1944" priority="1795" operator="equal">
      <formula>0</formula>
    </cfRule>
    <cfRule type="cellIs" dxfId="1943" priority="1796" operator="equal">
      <formula>1</formula>
    </cfRule>
  </conditionalFormatting>
  <conditionalFormatting sqref="AN71">
    <cfRule type="cellIs" dxfId="1942" priority="1755" operator="equal">
      <formula>0</formula>
    </cfRule>
    <cfRule type="cellIs" dxfId="1941" priority="1756" operator="equal">
      <formula>1</formula>
    </cfRule>
  </conditionalFormatting>
  <conditionalFormatting sqref="AH43:AK43">
    <cfRule type="cellIs" dxfId="1940" priority="1789" operator="equal">
      <formula>0</formula>
    </cfRule>
    <cfRule type="cellIs" dxfId="1939" priority="1790" operator="equal">
      <formula>1</formula>
    </cfRule>
  </conditionalFormatting>
  <conditionalFormatting sqref="BV72:BV79">
    <cfRule type="cellIs" dxfId="1938" priority="1527" operator="equal">
      <formula>0</formula>
    </cfRule>
    <cfRule type="cellIs" dxfId="1937" priority="1528" operator="equal">
      <formula>1</formula>
    </cfRule>
  </conditionalFormatting>
  <conditionalFormatting sqref="BP72:BS79">
    <cfRule type="cellIs" dxfId="1936" priority="1525" operator="equal">
      <formula>0</formula>
    </cfRule>
    <cfRule type="cellIs" dxfId="1935" priority="1526" operator="equal">
      <formula>1</formula>
    </cfRule>
  </conditionalFormatting>
  <conditionalFormatting sqref="BU72:BU79">
    <cfRule type="cellIs" dxfId="1934" priority="1521" operator="equal">
      <formula>0</formula>
    </cfRule>
    <cfRule type="cellIs" dxfId="1933" priority="1522" operator="equal">
      <formula>1</formula>
    </cfRule>
  </conditionalFormatting>
  <conditionalFormatting sqref="BV15">
    <cfRule type="cellIs" dxfId="1932" priority="1517" operator="equal">
      <formula>0</formula>
    </cfRule>
    <cfRule type="cellIs" dxfId="1931" priority="1518" operator="equal">
      <formula>1</formula>
    </cfRule>
  </conditionalFormatting>
  <conditionalFormatting sqref="BP15:BS15">
    <cfRule type="cellIs" dxfId="1930" priority="1515" operator="equal">
      <formula>0</formula>
    </cfRule>
    <cfRule type="cellIs" dxfId="1929" priority="1516" operator="equal">
      <formula>1</formula>
    </cfRule>
  </conditionalFormatting>
  <conditionalFormatting sqref="BU15">
    <cfRule type="cellIs" dxfId="1928" priority="1511" operator="equal">
      <formula>0</formula>
    </cfRule>
    <cfRule type="cellIs" dxfId="1927" priority="1512" operator="equal">
      <formula>1</formula>
    </cfRule>
  </conditionalFormatting>
  <conditionalFormatting sqref="BV43">
    <cfRule type="cellIs" dxfId="1926" priority="1503" operator="equal">
      <formula>0</formula>
    </cfRule>
    <cfRule type="cellIs" dxfId="1925" priority="1504" operator="equal">
      <formula>1</formula>
    </cfRule>
  </conditionalFormatting>
  <conditionalFormatting sqref="BP49">
    <cfRule type="cellIs" dxfId="1924" priority="1507" operator="equal">
      <formula>0</formula>
    </cfRule>
    <cfRule type="cellIs" dxfId="1923" priority="1508" operator="equal">
      <formula>1</formula>
    </cfRule>
  </conditionalFormatting>
  <conditionalFormatting sqref="BT43:BU43">
    <cfRule type="cellIs" dxfId="1922" priority="1505" operator="equal">
      <formula>0</formula>
    </cfRule>
    <cfRule type="cellIs" dxfId="1921" priority="1506" operator="equal">
      <formula>1</formula>
    </cfRule>
  </conditionalFormatting>
  <conditionalFormatting sqref="BT43:BU43">
    <cfRule type="cellIs" dxfId="1920" priority="1499" operator="equal">
      <formula>0</formula>
    </cfRule>
    <cfRule type="cellIs" dxfId="1919" priority="1500" operator="equal">
      <formula>1</formula>
    </cfRule>
  </conditionalFormatting>
  <conditionalFormatting sqref="BV46">
    <cfRule type="cellIs" dxfId="1918" priority="1493" operator="equal">
      <formula>0</formula>
    </cfRule>
    <cfRule type="cellIs" dxfId="1917" priority="1494" operator="equal">
      <formula>1</formula>
    </cfRule>
  </conditionalFormatting>
  <conditionalFormatting sqref="BT46:BU46">
    <cfRule type="cellIs" dxfId="1916" priority="1495" operator="equal">
      <formula>0</formula>
    </cfRule>
    <cfRule type="cellIs" dxfId="1915" priority="1496" operator="equal">
      <formula>1</formula>
    </cfRule>
  </conditionalFormatting>
  <conditionalFormatting sqref="BT46:BU46">
    <cfRule type="cellIs" dxfId="1914" priority="1489" operator="equal">
      <formula>0</formula>
    </cfRule>
    <cfRule type="cellIs" dxfId="1913" priority="1490" operator="equal">
      <formula>1</formula>
    </cfRule>
  </conditionalFormatting>
  <conditionalFormatting sqref="CK72:CL79">
    <cfRule type="cellIs" dxfId="1912" priority="1385" operator="equal">
      <formula>0</formula>
    </cfRule>
    <cfRule type="cellIs" dxfId="1911" priority="1386" operator="equal">
      <formula>1</formula>
    </cfRule>
  </conditionalFormatting>
  <conditionalFormatting sqref="CM72:CM79">
    <cfRule type="cellIs" dxfId="1910" priority="1383" operator="equal">
      <formula>0</formula>
    </cfRule>
    <cfRule type="cellIs" dxfId="1909" priority="1384" operator="equal">
      <formula>1</formula>
    </cfRule>
  </conditionalFormatting>
  <conditionalFormatting sqref="CG72:CJ79">
    <cfRule type="cellIs" dxfId="1908" priority="1381" operator="equal">
      <formula>0</formula>
    </cfRule>
    <cfRule type="cellIs" dxfId="1907" priority="1382" operator="equal">
      <formula>1</formula>
    </cfRule>
  </conditionalFormatting>
  <conditionalFormatting sqref="CG56:CJ56">
    <cfRule type="cellIs" dxfId="1906" priority="1337" operator="equal">
      <formula>0</formula>
    </cfRule>
    <cfRule type="cellIs" dxfId="1905" priority="1338" operator="equal">
      <formula>1</formula>
    </cfRule>
  </conditionalFormatting>
  <conditionalFormatting sqref="CG15:CJ15">
    <cfRule type="cellIs" dxfId="1904" priority="1371" operator="equal">
      <formula>0</formula>
    </cfRule>
    <cfRule type="cellIs" dxfId="1903" priority="1372" operator="equal">
      <formula>1</formula>
    </cfRule>
  </conditionalFormatting>
  <conditionalFormatting sqref="DU47:DU48 DU50:DU55 DU58:DU62 DU64:DU65 DU67:DU70">
    <cfRule type="cellIs" dxfId="1902" priority="1105" operator="equal">
      <formula>0</formula>
    </cfRule>
    <cfRule type="cellIs" dxfId="1901" priority="1106" operator="equal">
      <formula>1</formula>
    </cfRule>
  </conditionalFormatting>
  <conditionalFormatting sqref="DS47:DT48 DS50:DT55 DS58:DT62 DS64:DT65 DS67:DT70">
    <cfRule type="cellIs" dxfId="1900" priority="1107" operator="equal">
      <formula>0</formula>
    </cfRule>
    <cfRule type="cellIs" dxfId="1899" priority="1108" operator="equal">
      <formula>1</formula>
    </cfRule>
  </conditionalFormatting>
  <conditionalFormatting sqref="DS47:DT48 DS50:DT55 DS58:DT62 DS64:DT65 DS67:DT70">
    <cfRule type="cellIs" dxfId="1898" priority="1101" operator="equal">
      <formula>0</formula>
    </cfRule>
    <cfRule type="cellIs" dxfId="1897" priority="1102" operator="equal">
      <formula>1</formula>
    </cfRule>
  </conditionalFormatting>
  <conditionalFormatting sqref="DU72:DU79">
    <cfRule type="cellIs" dxfId="1896" priority="1095" operator="equal">
      <formula>0</formula>
    </cfRule>
    <cfRule type="cellIs" dxfId="1895" priority="1096" operator="equal">
      <formula>1</formula>
    </cfRule>
  </conditionalFormatting>
  <conditionalFormatting sqref="DS72:DT79">
    <cfRule type="cellIs" dxfId="1894" priority="1097" operator="equal">
      <formula>0</formula>
    </cfRule>
    <cfRule type="cellIs" dxfId="1893" priority="1098" operator="equal">
      <formula>1</formula>
    </cfRule>
  </conditionalFormatting>
  <conditionalFormatting sqref="DS72:DT79">
    <cfRule type="cellIs" dxfId="1892" priority="1091" operator="equal">
      <formula>0</formula>
    </cfRule>
    <cfRule type="cellIs" dxfId="1891" priority="1092" operator="equal">
      <formula>1</formula>
    </cfRule>
  </conditionalFormatting>
  <conditionalFormatting sqref="DU15">
    <cfRule type="cellIs" dxfId="1890" priority="1085" operator="equal">
      <formula>0</formula>
    </cfRule>
    <cfRule type="cellIs" dxfId="1889" priority="1086" operator="equal">
      <formula>1</formula>
    </cfRule>
  </conditionalFormatting>
  <conditionalFormatting sqref="DS15:DT15">
    <cfRule type="cellIs" dxfId="1888" priority="1087" operator="equal">
      <formula>0</formula>
    </cfRule>
    <cfRule type="cellIs" dxfId="1887" priority="1088" operator="equal">
      <formula>1</formula>
    </cfRule>
  </conditionalFormatting>
  <conditionalFormatting sqref="DS15:DT15">
    <cfRule type="cellIs" dxfId="1886" priority="1081" operator="equal">
      <formula>0</formula>
    </cfRule>
    <cfRule type="cellIs" dxfId="1885" priority="1082" operator="equal">
      <formula>1</formula>
    </cfRule>
  </conditionalFormatting>
  <conditionalFormatting sqref="DO49">
    <cfRule type="cellIs" dxfId="1884" priority="1075" operator="equal">
      <formula>0</formula>
    </cfRule>
    <cfRule type="cellIs" dxfId="1883" priority="1076" operator="equal">
      <formula>1</formula>
    </cfRule>
  </conditionalFormatting>
  <conditionalFormatting sqref="DO33">
    <cfRule type="cellIs" dxfId="1882" priority="1077" operator="equal">
      <formula>0</formula>
    </cfRule>
    <cfRule type="cellIs" dxfId="1881" priority="1078" operator="equal">
      <formula>1</formula>
    </cfRule>
  </conditionalFormatting>
  <conditionalFormatting sqref="EJ47:EK48 EJ50:EK55 EJ58:EK62 EJ64:EK65 EJ67:EK70">
    <cfRule type="cellIs" dxfId="1880" priority="963" operator="equal">
      <formula>0</formula>
    </cfRule>
    <cfRule type="cellIs" dxfId="1879" priority="964" operator="equal">
      <formula>1</formula>
    </cfRule>
  </conditionalFormatting>
  <conditionalFormatting sqref="EL47:EL48 EL50:EL55 EL58:EL62 EL64:EL65 EL67:EL70">
    <cfRule type="cellIs" dxfId="1878" priority="961" operator="equal">
      <formula>0</formula>
    </cfRule>
    <cfRule type="cellIs" dxfId="1877" priority="962" operator="equal">
      <formula>1</formula>
    </cfRule>
  </conditionalFormatting>
  <conditionalFormatting sqref="EJ47:EK48 EJ50:EK55 EJ58:EK62 EJ64:EK65 EJ67:EK70">
    <cfRule type="cellIs" dxfId="1876" priority="957" operator="equal">
      <formula>0</formula>
    </cfRule>
    <cfRule type="cellIs" dxfId="1875" priority="958" operator="equal">
      <formula>1</formula>
    </cfRule>
  </conditionalFormatting>
  <conditionalFormatting sqref="EK47:EK48 EK50:EK55 EK58:EK62 EK64:EK65 EK67:EK70">
    <cfRule type="cellIs" dxfId="1874" priority="955" operator="equal">
      <formula>0</formula>
    </cfRule>
    <cfRule type="cellIs" dxfId="1873" priority="956" operator="equal">
      <formula>1</formula>
    </cfRule>
  </conditionalFormatting>
  <conditionalFormatting sqref="EJ46:EK46">
    <cfRule type="cellIs" dxfId="1872" priority="919" operator="equal">
      <formula>0</formula>
    </cfRule>
    <cfRule type="cellIs" dxfId="1871" priority="920" operator="equal">
      <formula>1</formula>
    </cfRule>
  </conditionalFormatting>
  <conditionalFormatting sqref="EJ72:EK79">
    <cfRule type="cellIs" dxfId="1870" priority="953" operator="equal">
      <formula>0</formula>
    </cfRule>
    <cfRule type="cellIs" dxfId="1869" priority="954" operator="equal">
      <formula>1</formula>
    </cfRule>
  </conditionalFormatting>
  <conditionalFormatting sqref="FN22:FQ27 FN29:FQ32">
    <cfRule type="cellIs" dxfId="1868" priority="691" operator="equal">
      <formula>0</formula>
    </cfRule>
    <cfRule type="cellIs" dxfId="1867" priority="692" operator="equal">
      <formula>1</formula>
    </cfRule>
  </conditionalFormatting>
  <conditionalFormatting sqref="FN34:FQ42 FN44:FQ45">
    <cfRule type="cellIs" dxfId="1866" priority="681" operator="equal">
      <formula>0</formula>
    </cfRule>
    <cfRule type="cellIs" dxfId="1865" priority="682" operator="equal">
      <formula>1</formula>
    </cfRule>
  </conditionalFormatting>
  <conditionalFormatting sqref="FN47:FQ48 FN50:FQ55 FN58:FQ62 FN64:FQ65 FN67:FQ70">
    <cfRule type="cellIs" dxfId="1864" priority="671" operator="equal">
      <formula>0</formula>
    </cfRule>
    <cfRule type="cellIs" dxfId="1863" priority="672" operator="equal">
      <formula>1</formula>
    </cfRule>
  </conditionalFormatting>
  <conditionalFormatting sqref="FN72:FQ79">
    <cfRule type="cellIs" dxfId="1862" priority="661" operator="equal">
      <formula>0</formula>
    </cfRule>
    <cfRule type="cellIs" dxfId="1861" priority="662" operator="equal">
      <formula>1</formula>
    </cfRule>
  </conditionalFormatting>
  <conditionalFormatting sqref="GK56">
    <cfRule type="cellIs" dxfId="1860" priority="475" operator="equal">
      <formula>0</formula>
    </cfRule>
    <cfRule type="cellIs" dxfId="1859" priority="476" operator="equal">
      <formula>1</formula>
    </cfRule>
  </conditionalFormatting>
  <conditionalFormatting sqref="GI56:GJ56">
    <cfRule type="cellIs" dxfId="1858" priority="477" operator="equal">
      <formula>0</formula>
    </cfRule>
    <cfRule type="cellIs" dxfId="1857" priority="478" operator="equal">
      <formula>1</formula>
    </cfRule>
  </conditionalFormatting>
  <conditionalFormatting sqref="GI56:GJ56">
    <cfRule type="cellIs" dxfId="1856" priority="471" operator="equal">
      <formula>0</formula>
    </cfRule>
    <cfRule type="cellIs" dxfId="1855" priority="472" operator="equal">
      <formula>1</formula>
    </cfRule>
  </conditionalFormatting>
  <conditionalFormatting sqref="GE63">
    <cfRule type="cellIs" dxfId="1854" priority="465" operator="equal">
      <formula>0</formula>
    </cfRule>
    <cfRule type="cellIs" dxfId="1853" priority="466" operator="equal">
      <formula>1</formula>
    </cfRule>
  </conditionalFormatting>
  <conditionalFormatting sqref="GE57">
    <cfRule type="cellIs" dxfId="1852" priority="467" operator="equal">
      <formula>0</formula>
    </cfRule>
    <cfRule type="cellIs" dxfId="1851" priority="468" operator="equal">
      <formula>1</formula>
    </cfRule>
  </conditionalFormatting>
  <conditionalFormatting sqref="GK71">
    <cfRule type="cellIs" dxfId="1850" priority="459" operator="equal">
      <formula>0</formula>
    </cfRule>
    <cfRule type="cellIs" dxfId="1849" priority="460" operator="equal">
      <formula>1</formula>
    </cfRule>
  </conditionalFormatting>
  <conditionalFormatting sqref="GE71:GH71">
    <cfRule type="cellIs" dxfId="1848" priority="457" operator="equal">
      <formula>0</formula>
    </cfRule>
    <cfRule type="cellIs" dxfId="1847" priority="458" operator="equal">
      <formula>1</formula>
    </cfRule>
  </conditionalFormatting>
  <conditionalFormatting sqref="GJ71">
    <cfRule type="cellIs" dxfId="1846" priority="453" operator="equal">
      <formula>0</formula>
    </cfRule>
    <cfRule type="cellIs" dxfId="1845" priority="454" operator="equal">
      <formula>1</formula>
    </cfRule>
  </conditionalFormatting>
  <conditionalFormatting sqref="GK80">
    <cfRule type="cellIs" dxfId="1844" priority="449" operator="equal">
      <formula>0</formula>
    </cfRule>
    <cfRule type="cellIs" dxfId="1843" priority="450" operator="equal">
      <formula>1</formula>
    </cfRule>
  </conditionalFormatting>
  <conditionalFormatting sqref="GE80:GH80">
    <cfRule type="cellIs" dxfId="1842" priority="447" operator="equal">
      <formula>0</formula>
    </cfRule>
    <cfRule type="cellIs" dxfId="1841" priority="448" operator="equal">
      <formula>1</formula>
    </cfRule>
  </conditionalFormatting>
  <conditionalFormatting sqref="GJ80">
    <cfRule type="cellIs" dxfId="1840" priority="443" operator="equal">
      <formula>0</formula>
    </cfRule>
    <cfRule type="cellIs" dxfId="1839" priority="444" operator="equal">
      <formula>1</formula>
    </cfRule>
  </conditionalFormatting>
  <conditionalFormatting sqref="U15:V15">
    <cfRule type="cellIs" dxfId="1838" priority="2067" operator="equal">
      <formula>0</formula>
    </cfRule>
    <cfRule type="cellIs" dxfId="1837" priority="2068" operator="equal">
      <formula>1</formula>
    </cfRule>
  </conditionalFormatting>
  <conditionalFormatting sqref="W15">
    <cfRule type="cellIs" dxfId="1836" priority="2065" operator="equal">
      <formula>0</formula>
    </cfRule>
    <cfRule type="cellIs" dxfId="1835" priority="2066" operator="equal">
      <formula>1</formula>
    </cfRule>
  </conditionalFormatting>
  <conditionalFormatting sqref="U15:V15">
    <cfRule type="cellIs" dxfId="1834" priority="2061" operator="equal">
      <formula>0</formula>
    </cfRule>
    <cfRule type="cellIs" dxfId="1833" priority="2062" operator="equal">
      <formula>1</formula>
    </cfRule>
  </conditionalFormatting>
  <conditionalFormatting sqref="V15">
    <cfRule type="cellIs" dxfId="1832" priority="2059" operator="equal">
      <formula>0</formula>
    </cfRule>
    <cfRule type="cellIs" dxfId="1831" priority="2060" operator="equal">
      <formula>1</formula>
    </cfRule>
  </conditionalFormatting>
  <conditionalFormatting sqref="Q33">
    <cfRule type="cellIs" dxfId="1830" priority="2057" operator="equal">
      <formula>0</formula>
    </cfRule>
    <cfRule type="cellIs" dxfId="1829" priority="2058" operator="equal">
      <formula>1</formula>
    </cfRule>
  </conditionalFormatting>
  <conditionalFormatting sqref="Q49">
    <cfRule type="cellIs" dxfId="1828" priority="2055" operator="equal">
      <formula>0</formula>
    </cfRule>
    <cfRule type="cellIs" dxfId="1827" priority="2056" operator="equal">
      <formula>1</formula>
    </cfRule>
  </conditionalFormatting>
  <conditionalFormatting sqref="Q43:T43">
    <cfRule type="cellIs" dxfId="1826" priority="2049" operator="equal">
      <formula>0</formula>
    </cfRule>
    <cfRule type="cellIs" dxfId="1825" priority="2050" operator="equal">
      <formula>1</formula>
    </cfRule>
  </conditionalFormatting>
  <conditionalFormatting sqref="U43:V43">
    <cfRule type="cellIs" dxfId="1824" priority="2053" operator="equal">
      <formula>0</formula>
    </cfRule>
    <cfRule type="cellIs" dxfId="1823" priority="2054" operator="equal">
      <formula>1</formula>
    </cfRule>
  </conditionalFormatting>
  <conditionalFormatting sqref="W43">
    <cfRule type="cellIs" dxfId="1822" priority="2051" operator="equal">
      <formula>0</formula>
    </cfRule>
    <cfRule type="cellIs" dxfId="1821" priority="2052" operator="equal">
      <formula>1</formula>
    </cfRule>
  </conditionalFormatting>
  <conditionalFormatting sqref="U43:V43">
    <cfRule type="cellIs" dxfId="1820" priority="2047" operator="equal">
      <formula>0</formula>
    </cfRule>
    <cfRule type="cellIs" dxfId="1819" priority="2048" operator="equal">
      <formula>1</formula>
    </cfRule>
  </conditionalFormatting>
  <conditionalFormatting sqref="V43">
    <cfRule type="cellIs" dxfId="1818" priority="2045" operator="equal">
      <formula>0</formula>
    </cfRule>
    <cfRule type="cellIs" dxfId="1817" priority="2046" operator="equal">
      <formula>1</formula>
    </cfRule>
  </conditionalFormatting>
  <conditionalFormatting sqref="Q46:T46">
    <cfRule type="cellIs" dxfId="1816" priority="2039" operator="equal">
      <formula>0</formula>
    </cfRule>
    <cfRule type="cellIs" dxfId="1815" priority="2040" operator="equal">
      <formula>1</formula>
    </cfRule>
  </conditionalFormatting>
  <conditionalFormatting sqref="U46:V46">
    <cfRule type="cellIs" dxfId="1814" priority="2043" operator="equal">
      <formula>0</formula>
    </cfRule>
    <cfRule type="cellIs" dxfId="1813" priority="2044" operator="equal">
      <formula>1</formula>
    </cfRule>
  </conditionalFormatting>
  <conditionalFormatting sqref="W46">
    <cfRule type="cellIs" dxfId="1812" priority="2041" operator="equal">
      <formula>0</formula>
    </cfRule>
    <cfRule type="cellIs" dxfId="1811" priority="2042" operator="equal">
      <formula>1</formula>
    </cfRule>
  </conditionalFormatting>
  <conditionalFormatting sqref="U46:V46">
    <cfRule type="cellIs" dxfId="1810" priority="2037" operator="equal">
      <formula>0</formula>
    </cfRule>
    <cfRule type="cellIs" dxfId="1809" priority="2038" operator="equal">
      <formula>1</formula>
    </cfRule>
  </conditionalFormatting>
  <conditionalFormatting sqref="V46">
    <cfRule type="cellIs" dxfId="1808" priority="2035" operator="equal">
      <formula>0</formula>
    </cfRule>
    <cfRule type="cellIs" dxfId="1807" priority="2036" operator="equal">
      <formula>1</formula>
    </cfRule>
  </conditionalFormatting>
  <conditionalFormatting sqref="Q56:T56">
    <cfRule type="cellIs" dxfId="1806" priority="2029" operator="equal">
      <formula>0</formula>
    </cfRule>
    <cfRule type="cellIs" dxfId="1805" priority="2030" operator="equal">
      <formula>1</formula>
    </cfRule>
  </conditionalFormatting>
  <conditionalFormatting sqref="U56:V56">
    <cfRule type="cellIs" dxfId="1804" priority="2033" operator="equal">
      <formula>0</formula>
    </cfRule>
    <cfRule type="cellIs" dxfId="1803" priority="2034" operator="equal">
      <formula>1</formula>
    </cfRule>
  </conditionalFormatting>
  <conditionalFormatting sqref="W56">
    <cfRule type="cellIs" dxfId="1802" priority="2031" operator="equal">
      <formula>0</formula>
    </cfRule>
    <cfRule type="cellIs" dxfId="1801" priority="2032" operator="equal">
      <formula>1</formula>
    </cfRule>
  </conditionalFormatting>
  <conditionalFormatting sqref="U56:V56">
    <cfRule type="cellIs" dxfId="1800" priority="2027" operator="equal">
      <formula>0</formula>
    </cfRule>
    <cfRule type="cellIs" dxfId="1799" priority="2028" operator="equal">
      <formula>1</formula>
    </cfRule>
  </conditionalFormatting>
  <conditionalFormatting sqref="V56">
    <cfRule type="cellIs" dxfId="1798" priority="2025" operator="equal">
      <formula>0</formula>
    </cfRule>
    <cfRule type="cellIs" dxfId="1797" priority="2026" operator="equal">
      <formula>1</formula>
    </cfRule>
  </conditionalFormatting>
  <conditionalFormatting sqref="Q57">
    <cfRule type="cellIs" dxfId="1796" priority="2023" operator="equal">
      <formula>0</formula>
    </cfRule>
    <cfRule type="cellIs" dxfId="1795" priority="2024" operator="equal">
      <formula>1</formula>
    </cfRule>
  </conditionalFormatting>
  <conditionalFormatting sqref="Q63">
    <cfRule type="cellIs" dxfId="1794" priority="2021" operator="equal">
      <formula>0</formula>
    </cfRule>
    <cfRule type="cellIs" dxfId="1793" priority="2022" operator="equal">
      <formula>1</formula>
    </cfRule>
  </conditionalFormatting>
  <conditionalFormatting sqref="Q66">
    <cfRule type="cellIs" dxfId="1792" priority="2019" operator="equal">
      <formula>0</formula>
    </cfRule>
    <cfRule type="cellIs" dxfId="1791" priority="2020" operator="equal">
      <formula>1</formula>
    </cfRule>
  </conditionalFormatting>
  <conditionalFormatting sqref="Q71:T71">
    <cfRule type="cellIs" dxfId="1790" priority="2013" operator="equal">
      <formula>0</formula>
    </cfRule>
    <cfRule type="cellIs" dxfId="1789" priority="2014" operator="equal">
      <formula>1</formula>
    </cfRule>
  </conditionalFormatting>
  <conditionalFormatting sqref="U71:V71">
    <cfRule type="cellIs" dxfId="1788" priority="2017" operator="equal">
      <formula>0</formula>
    </cfRule>
    <cfRule type="cellIs" dxfId="1787" priority="2018" operator="equal">
      <formula>1</formula>
    </cfRule>
  </conditionalFormatting>
  <conditionalFormatting sqref="W71">
    <cfRule type="cellIs" dxfId="1786" priority="2015" operator="equal">
      <formula>0</formula>
    </cfRule>
    <cfRule type="cellIs" dxfId="1785" priority="2016" operator="equal">
      <formula>1</formula>
    </cfRule>
  </conditionalFormatting>
  <conditionalFormatting sqref="U71:V71">
    <cfRule type="cellIs" dxfId="1784" priority="2011" operator="equal">
      <formula>0</formula>
    </cfRule>
    <cfRule type="cellIs" dxfId="1783" priority="2012" operator="equal">
      <formula>1</formula>
    </cfRule>
  </conditionalFormatting>
  <conditionalFormatting sqref="V71">
    <cfRule type="cellIs" dxfId="1782" priority="2009" operator="equal">
      <formula>0</formula>
    </cfRule>
    <cfRule type="cellIs" dxfId="1781" priority="2010" operator="equal">
      <formula>1</formula>
    </cfRule>
  </conditionalFormatting>
  <conditionalFormatting sqref="Q80:T80">
    <cfRule type="cellIs" dxfId="1780" priority="2003" operator="equal">
      <formula>0</formula>
    </cfRule>
    <cfRule type="cellIs" dxfId="1779" priority="2004" operator="equal">
      <formula>1</formula>
    </cfRule>
  </conditionalFormatting>
  <conditionalFormatting sqref="U80:V80">
    <cfRule type="cellIs" dxfId="1778" priority="2007" operator="equal">
      <formula>0</formula>
    </cfRule>
    <cfRule type="cellIs" dxfId="1777" priority="2008" operator="equal">
      <formula>1</formula>
    </cfRule>
  </conditionalFormatting>
  <conditionalFormatting sqref="W80">
    <cfRule type="cellIs" dxfId="1776" priority="2005" operator="equal">
      <formula>0</formula>
    </cfRule>
    <cfRule type="cellIs" dxfId="1775" priority="2006" operator="equal">
      <formula>1</formula>
    </cfRule>
  </conditionalFormatting>
  <conditionalFormatting sqref="U80:V80">
    <cfRule type="cellIs" dxfId="1774" priority="2001" operator="equal">
      <formula>0</formula>
    </cfRule>
    <cfRule type="cellIs" dxfId="1773" priority="2002" operator="equal">
      <formula>1</formula>
    </cfRule>
  </conditionalFormatting>
  <conditionalFormatting sqref="V80">
    <cfRule type="cellIs" dxfId="1772" priority="1999" operator="equal">
      <formula>0</formula>
    </cfRule>
    <cfRule type="cellIs" dxfId="1771" priority="2000" operator="equal">
      <formula>1</formula>
    </cfRule>
  </conditionalFormatting>
  <conditionalFormatting sqref="AH11:AK14 AH16:AK17 AH19:AK21 AH18">
    <cfRule type="cellIs" dxfId="1770" priority="1857" operator="equal">
      <formula>0</formula>
    </cfRule>
    <cfRule type="cellIs" dxfId="1769" priority="1858" operator="equal">
      <formula>1</formula>
    </cfRule>
  </conditionalFormatting>
  <conditionalFormatting sqref="AH22:AK27 AH29:AK32">
    <cfRule type="cellIs" dxfId="1768" priority="1843" operator="equal">
      <formula>0</formula>
    </cfRule>
    <cfRule type="cellIs" dxfId="1767" priority="1844" operator="equal">
      <formula>1</formula>
    </cfRule>
  </conditionalFormatting>
  <conditionalFormatting sqref="AL22:AM27 AL29:AM32">
    <cfRule type="cellIs" dxfId="1766" priority="1847" operator="equal">
      <formula>0</formula>
    </cfRule>
    <cfRule type="cellIs" dxfId="1765" priority="1848" operator="equal">
      <formula>1</formula>
    </cfRule>
  </conditionalFormatting>
  <conditionalFormatting sqref="AN22:AN27 AN29:AN32">
    <cfRule type="cellIs" dxfId="1764" priority="1845" operator="equal">
      <formula>0</formula>
    </cfRule>
    <cfRule type="cellIs" dxfId="1763" priority="1846" operator="equal">
      <formula>1</formula>
    </cfRule>
  </conditionalFormatting>
  <conditionalFormatting sqref="AL22:AM27 AL29:AM32">
    <cfRule type="cellIs" dxfId="1762" priority="1841" operator="equal">
      <formula>0</formula>
    </cfRule>
    <cfRule type="cellIs" dxfId="1761" priority="1842" operator="equal">
      <formula>1</formula>
    </cfRule>
  </conditionalFormatting>
  <conditionalFormatting sqref="AM22:AM27 AM29:AM32">
    <cfRule type="cellIs" dxfId="1760" priority="1839" operator="equal">
      <formula>0</formula>
    </cfRule>
    <cfRule type="cellIs" dxfId="1759" priority="1840" operator="equal">
      <formula>1</formula>
    </cfRule>
  </conditionalFormatting>
  <conditionalFormatting sqref="AH34:AK42 AH44:AK45">
    <cfRule type="cellIs" dxfId="1758" priority="1833" operator="equal">
      <formula>0</formula>
    </cfRule>
    <cfRule type="cellIs" dxfId="1757" priority="1834" operator="equal">
      <formula>1</formula>
    </cfRule>
  </conditionalFormatting>
  <conditionalFormatting sqref="AL34:AM42 AL44:AM45">
    <cfRule type="cellIs" dxfId="1756" priority="1837" operator="equal">
      <formula>0</formula>
    </cfRule>
    <cfRule type="cellIs" dxfId="1755" priority="1838" operator="equal">
      <formula>1</formula>
    </cfRule>
  </conditionalFormatting>
  <conditionalFormatting sqref="AN34:AN42 AN44:AN45">
    <cfRule type="cellIs" dxfId="1754" priority="1835" operator="equal">
      <formula>0</formula>
    </cfRule>
    <cfRule type="cellIs" dxfId="1753" priority="1836" operator="equal">
      <formula>1</formula>
    </cfRule>
  </conditionalFormatting>
  <conditionalFormatting sqref="AL34:AM42 AL44:AM45">
    <cfRule type="cellIs" dxfId="1752" priority="1831" operator="equal">
      <formula>0</formula>
    </cfRule>
    <cfRule type="cellIs" dxfId="1751" priority="1832" operator="equal">
      <formula>1</formula>
    </cfRule>
  </conditionalFormatting>
  <conditionalFormatting sqref="AM34:AM42 AM44:AM45">
    <cfRule type="cellIs" dxfId="1750" priority="1829" operator="equal">
      <formula>0</formula>
    </cfRule>
    <cfRule type="cellIs" dxfId="1749" priority="1830" operator="equal">
      <formula>1</formula>
    </cfRule>
  </conditionalFormatting>
  <conditionalFormatting sqref="AH47:AK48 AH50:AK55 AH58:AK62 AH64:AK65 AH67:AK70">
    <cfRule type="cellIs" dxfId="1748" priority="1823" operator="equal">
      <formula>0</formula>
    </cfRule>
    <cfRule type="cellIs" dxfId="1747" priority="1824" operator="equal">
      <formula>1</formula>
    </cfRule>
  </conditionalFormatting>
  <conditionalFormatting sqref="AL47:AM48 AL50:AM55 AL58:AM62 AL64:AM65 AL67:AM70">
    <cfRule type="cellIs" dxfId="1746" priority="1827" operator="equal">
      <formula>0</formula>
    </cfRule>
    <cfRule type="cellIs" dxfId="1745" priority="1828" operator="equal">
      <formula>1</formula>
    </cfRule>
  </conditionalFormatting>
  <conditionalFormatting sqref="AN47:AN48 AN50:AN55 AN58:AN62 AN64:AN65 AN67:AN70">
    <cfRule type="cellIs" dxfId="1744" priority="1825" operator="equal">
      <formula>0</formula>
    </cfRule>
    <cfRule type="cellIs" dxfId="1743" priority="1826" operator="equal">
      <formula>1</formula>
    </cfRule>
  </conditionalFormatting>
  <conditionalFormatting sqref="AL47:AM48 AL50:AM55 AL58:AM62 AL64:AM65 AL67:AM70">
    <cfRule type="cellIs" dxfId="1742" priority="1821" operator="equal">
      <formula>0</formula>
    </cfRule>
    <cfRule type="cellIs" dxfId="1741" priority="1822" operator="equal">
      <formula>1</formula>
    </cfRule>
  </conditionalFormatting>
  <conditionalFormatting sqref="AM47:AM48 AM50:AM55 AM58:AM62 AM64:AM65 AM67:AM70">
    <cfRule type="cellIs" dxfId="1740" priority="1819" operator="equal">
      <formula>0</formula>
    </cfRule>
    <cfRule type="cellIs" dxfId="1739" priority="1820" operator="equal">
      <formula>1</formula>
    </cfRule>
  </conditionalFormatting>
  <conditionalFormatting sqref="AH72:AK79">
    <cfRule type="cellIs" dxfId="1738" priority="1813" operator="equal">
      <formula>0</formula>
    </cfRule>
    <cfRule type="cellIs" dxfId="1737" priority="1814" operator="equal">
      <formula>1</formula>
    </cfRule>
  </conditionalFormatting>
  <conditionalFormatting sqref="AL72:AM79">
    <cfRule type="cellIs" dxfId="1736" priority="1817" operator="equal">
      <formula>0</formula>
    </cfRule>
    <cfRule type="cellIs" dxfId="1735" priority="1818" operator="equal">
      <formula>1</formula>
    </cfRule>
  </conditionalFormatting>
  <conditionalFormatting sqref="AN72:AN79">
    <cfRule type="cellIs" dxfId="1734" priority="1815" operator="equal">
      <formula>0</formula>
    </cfRule>
    <cfRule type="cellIs" dxfId="1733" priority="1816" operator="equal">
      <formula>1</formula>
    </cfRule>
  </conditionalFormatting>
  <conditionalFormatting sqref="AL72:AM79">
    <cfRule type="cellIs" dxfId="1732" priority="1811" operator="equal">
      <formula>0</formula>
    </cfRule>
    <cfRule type="cellIs" dxfId="1731" priority="1812" operator="equal">
      <formula>1</formula>
    </cfRule>
  </conditionalFormatting>
  <conditionalFormatting sqref="AM72:AM79">
    <cfRule type="cellIs" dxfId="1730" priority="1809" operator="equal">
      <formula>0</formula>
    </cfRule>
    <cfRule type="cellIs" dxfId="1729" priority="1810" operator="equal">
      <formula>1</formula>
    </cfRule>
  </conditionalFormatting>
  <conditionalFormatting sqref="AL15:AM15">
    <cfRule type="cellIs" dxfId="1728" priority="1807" operator="equal">
      <formula>0</formula>
    </cfRule>
    <cfRule type="cellIs" dxfId="1727" priority="1808" operator="equal">
      <formula>1</formula>
    </cfRule>
  </conditionalFormatting>
  <conditionalFormatting sqref="AN15">
    <cfRule type="cellIs" dxfId="1726" priority="1805" operator="equal">
      <formula>0</formula>
    </cfRule>
    <cfRule type="cellIs" dxfId="1725" priority="1806" operator="equal">
      <formula>1</formula>
    </cfRule>
  </conditionalFormatting>
  <conditionalFormatting sqref="AL15:AM15">
    <cfRule type="cellIs" dxfId="1724" priority="1801" operator="equal">
      <formula>0</formula>
    </cfRule>
    <cfRule type="cellIs" dxfId="1723" priority="1802" operator="equal">
      <formula>1</formula>
    </cfRule>
  </conditionalFormatting>
  <conditionalFormatting sqref="AM15">
    <cfRule type="cellIs" dxfId="1722" priority="1799" operator="equal">
      <formula>0</formula>
    </cfRule>
    <cfRule type="cellIs" dxfId="1721" priority="1800" operator="equal">
      <formula>1</formula>
    </cfRule>
  </conditionalFormatting>
  <conditionalFormatting sqref="AL43:AM43">
    <cfRule type="cellIs" dxfId="1720" priority="1793" operator="equal">
      <formula>0</formula>
    </cfRule>
    <cfRule type="cellIs" dxfId="1719" priority="1794" operator="equal">
      <formula>1</formula>
    </cfRule>
  </conditionalFormatting>
  <conditionalFormatting sqref="AN43">
    <cfRule type="cellIs" dxfId="1718" priority="1791" operator="equal">
      <formula>0</formula>
    </cfRule>
    <cfRule type="cellIs" dxfId="1717" priority="1792" operator="equal">
      <formula>1</formula>
    </cfRule>
  </conditionalFormatting>
  <conditionalFormatting sqref="AL43:AM43">
    <cfRule type="cellIs" dxfId="1716" priority="1787" operator="equal">
      <formula>0</formula>
    </cfRule>
    <cfRule type="cellIs" dxfId="1715" priority="1788" operator="equal">
      <formula>1</formula>
    </cfRule>
  </conditionalFormatting>
  <conditionalFormatting sqref="AM43">
    <cfRule type="cellIs" dxfId="1714" priority="1785" operator="equal">
      <formula>0</formula>
    </cfRule>
    <cfRule type="cellIs" dxfId="1713" priority="1786" operator="equal">
      <formula>1</formula>
    </cfRule>
  </conditionalFormatting>
  <conditionalFormatting sqref="AH46:AK46">
    <cfRule type="cellIs" dxfId="1712" priority="1779" operator="equal">
      <formula>0</formula>
    </cfRule>
    <cfRule type="cellIs" dxfId="1711" priority="1780" operator="equal">
      <formula>1</formula>
    </cfRule>
  </conditionalFormatting>
  <conditionalFormatting sqref="AL46:AM46">
    <cfRule type="cellIs" dxfId="1710" priority="1783" operator="equal">
      <formula>0</formula>
    </cfRule>
    <cfRule type="cellIs" dxfId="1709" priority="1784" operator="equal">
      <formula>1</formula>
    </cfRule>
  </conditionalFormatting>
  <conditionalFormatting sqref="AN46">
    <cfRule type="cellIs" dxfId="1708" priority="1781" operator="equal">
      <formula>0</formula>
    </cfRule>
    <cfRule type="cellIs" dxfId="1707" priority="1782" operator="equal">
      <formula>1</formula>
    </cfRule>
  </conditionalFormatting>
  <conditionalFormatting sqref="AL46:AM46">
    <cfRule type="cellIs" dxfId="1706" priority="1777" operator="equal">
      <formula>0</formula>
    </cfRule>
    <cfRule type="cellIs" dxfId="1705" priority="1778" operator="equal">
      <formula>1</formula>
    </cfRule>
  </conditionalFormatting>
  <conditionalFormatting sqref="AM46">
    <cfRule type="cellIs" dxfId="1704" priority="1775" operator="equal">
      <formula>0</formula>
    </cfRule>
    <cfRule type="cellIs" dxfId="1703" priority="1776" operator="equal">
      <formula>1</formula>
    </cfRule>
  </conditionalFormatting>
  <conditionalFormatting sqref="AH56:AK56">
    <cfRule type="cellIs" dxfId="1702" priority="1769" operator="equal">
      <formula>0</formula>
    </cfRule>
    <cfRule type="cellIs" dxfId="1701" priority="1770" operator="equal">
      <formula>1</formula>
    </cfRule>
  </conditionalFormatting>
  <conditionalFormatting sqref="AL56:AM56">
    <cfRule type="cellIs" dxfId="1700" priority="1773" operator="equal">
      <formula>0</formula>
    </cfRule>
    <cfRule type="cellIs" dxfId="1699" priority="1774" operator="equal">
      <formula>1</formula>
    </cfRule>
  </conditionalFormatting>
  <conditionalFormatting sqref="AN56">
    <cfRule type="cellIs" dxfId="1698" priority="1771" operator="equal">
      <formula>0</formula>
    </cfRule>
    <cfRule type="cellIs" dxfId="1697" priority="1772" operator="equal">
      <formula>1</formula>
    </cfRule>
  </conditionalFormatting>
  <conditionalFormatting sqref="AL56:AM56">
    <cfRule type="cellIs" dxfId="1696" priority="1767" operator="equal">
      <formula>0</formula>
    </cfRule>
    <cfRule type="cellIs" dxfId="1695" priority="1768" operator="equal">
      <formula>1</formula>
    </cfRule>
  </conditionalFormatting>
  <conditionalFormatting sqref="AM56">
    <cfRule type="cellIs" dxfId="1694" priority="1765" operator="equal">
      <formula>0</formula>
    </cfRule>
    <cfRule type="cellIs" dxfId="1693" priority="1766" operator="equal">
      <formula>1</formula>
    </cfRule>
  </conditionalFormatting>
  <conditionalFormatting sqref="AH57">
    <cfRule type="cellIs" dxfId="1692" priority="1763" operator="equal">
      <formula>0</formula>
    </cfRule>
    <cfRule type="cellIs" dxfId="1691" priority="1764" operator="equal">
      <formula>1</formula>
    </cfRule>
  </conditionalFormatting>
  <conditionalFormatting sqref="AH63">
    <cfRule type="cellIs" dxfId="1690" priority="1761" operator="equal">
      <formula>0</formula>
    </cfRule>
    <cfRule type="cellIs" dxfId="1689" priority="1762" operator="equal">
      <formula>1</formula>
    </cfRule>
  </conditionalFormatting>
  <conditionalFormatting sqref="AH66">
    <cfRule type="cellIs" dxfId="1688" priority="1759" operator="equal">
      <formula>0</formula>
    </cfRule>
    <cfRule type="cellIs" dxfId="1687" priority="1760" operator="equal">
      <formula>1</formula>
    </cfRule>
  </conditionalFormatting>
  <conditionalFormatting sqref="AH71:AK71">
    <cfRule type="cellIs" dxfId="1686" priority="1753" operator="equal">
      <formula>0</formula>
    </cfRule>
    <cfRule type="cellIs" dxfId="1685" priority="1754" operator="equal">
      <formula>1</formula>
    </cfRule>
  </conditionalFormatting>
  <conditionalFormatting sqref="AL71:AM71">
    <cfRule type="cellIs" dxfId="1684" priority="1757" operator="equal">
      <formula>0</formula>
    </cfRule>
    <cfRule type="cellIs" dxfId="1683" priority="1758" operator="equal">
      <formula>1</formula>
    </cfRule>
  </conditionalFormatting>
  <conditionalFormatting sqref="AL71:AM71">
    <cfRule type="cellIs" dxfId="1682" priority="1751" operator="equal">
      <formula>0</formula>
    </cfRule>
    <cfRule type="cellIs" dxfId="1681" priority="1752" operator="equal">
      <formula>1</formula>
    </cfRule>
  </conditionalFormatting>
  <conditionalFormatting sqref="AM71">
    <cfRule type="cellIs" dxfId="1680" priority="1749" operator="equal">
      <formula>0</formula>
    </cfRule>
    <cfRule type="cellIs" dxfId="1679" priority="1750" operator="equal">
      <formula>1</formula>
    </cfRule>
  </conditionalFormatting>
  <conditionalFormatting sqref="AH80:AK80">
    <cfRule type="cellIs" dxfId="1678" priority="1743" operator="equal">
      <formula>0</formula>
    </cfRule>
    <cfRule type="cellIs" dxfId="1677" priority="1744" operator="equal">
      <formula>1</formula>
    </cfRule>
  </conditionalFormatting>
  <conditionalFormatting sqref="AL80:AM80">
    <cfRule type="cellIs" dxfId="1676" priority="1747" operator="equal">
      <formula>0</formula>
    </cfRule>
    <cfRule type="cellIs" dxfId="1675" priority="1748" operator="equal">
      <formula>1</formula>
    </cfRule>
  </conditionalFormatting>
  <conditionalFormatting sqref="AN80">
    <cfRule type="cellIs" dxfId="1674" priority="1745" operator="equal">
      <formula>0</formula>
    </cfRule>
    <cfRule type="cellIs" dxfId="1673" priority="1746" operator="equal">
      <formula>1</formula>
    </cfRule>
  </conditionalFormatting>
  <conditionalFormatting sqref="AL80:AM80">
    <cfRule type="cellIs" dxfId="1672" priority="1741" operator="equal">
      <formula>0</formula>
    </cfRule>
    <cfRule type="cellIs" dxfId="1671" priority="1742" operator="equal">
      <formula>1</formula>
    </cfRule>
  </conditionalFormatting>
  <conditionalFormatting sqref="AM80">
    <cfRule type="cellIs" dxfId="1670" priority="1739" operator="equal">
      <formula>0</formula>
    </cfRule>
    <cfRule type="cellIs" dxfId="1669" priority="1740" operator="equal">
      <formula>1</formula>
    </cfRule>
  </conditionalFormatting>
  <conditionalFormatting sqref="AH28:AK28">
    <cfRule type="cellIs" dxfId="1668" priority="1733" operator="equal">
      <formula>0</formula>
    </cfRule>
    <cfRule type="cellIs" dxfId="1667" priority="1734" operator="equal">
      <formula>1</formula>
    </cfRule>
  </conditionalFormatting>
  <conditionalFormatting sqref="AL28:AM28">
    <cfRule type="cellIs" dxfId="1666" priority="1737" operator="equal">
      <formula>0</formula>
    </cfRule>
    <cfRule type="cellIs" dxfId="1665" priority="1738" operator="equal">
      <formula>1</formula>
    </cfRule>
  </conditionalFormatting>
  <conditionalFormatting sqref="AN28">
    <cfRule type="cellIs" dxfId="1664" priority="1735" operator="equal">
      <formula>0</formula>
    </cfRule>
    <cfRule type="cellIs" dxfId="1663" priority="1736" operator="equal">
      <formula>1</formula>
    </cfRule>
  </conditionalFormatting>
  <conditionalFormatting sqref="AL28:AM28">
    <cfRule type="cellIs" dxfId="1662" priority="1731" operator="equal">
      <formula>0</formula>
    </cfRule>
    <cfRule type="cellIs" dxfId="1661" priority="1732" operator="equal">
      <formula>1</formula>
    </cfRule>
  </conditionalFormatting>
  <conditionalFormatting sqref="AM28">
    <cfRule type="cellIs" dxfId="1660" priority="1729" operator="equal">
      <formula>0</formula>
    </cfRule>
    <cfRule type="cellIs" dxfId="1659" priority="1730" operator="equal">
      <formula>1</formula>
    </cfRule>
  </conditionalFormatting>
  <conditionalFormatting sqref="AA92">
    <cfRule type="cellIs" dxfId="1658" priority="1867" operator="equal">
      <formula>"NO HABILITADO"</formula>
    </cfRule>
    <cfRule type="cellIs" dxfId="1657" priority="1868" operator="equal">
      <formula>"OK"</formula>
    </cfRule>
  </conditionalFormatting>
  <conditionalFormatting sqref="ID11:IG14 ID16:IG17 ID19:IG21 ID18">
    <cfRule type="cellIs" dxfId="1656" priority="129" operator="equal">
      <formula>0</formula>
    </cfRule>
    <cfRule type="cellIs" dxfId="1655" priority="130" operator="equal">
      <formula>1</formula>
    </cfRule>
  </conditionalFormatting>
  <conditionalFormatting sqref="AN92">
    <cfRule type="cellIs" dxfId="1654" priority="1865" operator="equal">
      <formula>0</formula>
    </cfRule>
    <cfRule type="cellIs" dxfId="1653" priority="1866" operator="equal">
      <formula>1</formula>
    </cfRule>
  </conditionalFormatting>
  <conditionalFormatting sqref="AP92">
    <cfRule type="cellIs" dxfId="1652" priority="1863" operator="equal">
      <formula>0</formula>
    </cfRule>
    <cfRule type="cellIs" dxfId="1651" priority="1864" operator="equal">
      <formula>1</formula>
    </cfRule>
  </conditionalFormatting>
  <conditionalFormatting sqref="AL11:AM14 AL16:AM17 AL19:AM21">
    <cfRule type="cellIs" dxfId="1650" priority="1861" operator="equal">
      <formula>0</formula>
    </cfRule>
    <cfRule type="cellIs" dxfId="1649" priority="1862" operator="equal">
      <formula>1</formula>
    </cfRule>
  </conditionalFormatting>
  <conditionalFormatting sqref="AN11:AN14 AN16:AN17 AN19:AN21">
    <cfRule type="cellIs" dxfId="1648" priority="1859" operator="equal">
      <formula>0</formula>
    </cfRule>
    <cfRule type="cellIs" dxfId="1647" priority="1860" operator="equal">
      <formula>1</formula>
    </cfRule>
  </conditionalFormatting>
  <conditionalFormatting sqref="AL11:AM14 AL16:AM17 AL19:AM21">
    <cfRule type="cellIs" dxfId="1646" priority="1855" operator="equal">
      <formula>0</formula>
    </cfRule>
    <cfRule type="cellIs" dxfId="1645" priority="1856" operator="equal">
      <formula>1</formula>
    </cfRule>
  </conditionalFormatting>
  <conditionalFormatting sqref="AM11:AM14 AM16:AM17 AM19:AM21">
    <cfRule type="cellIs" dxfId="1644" priority="1853" operator="equal">
      <formula>0</formula>
    </cfRule>
    <cfRule type="cellIs" dxfId="1643" priority="1854" operator="equal">
      <formula>1</formula>
    </cfRule>
  </conditionalFormatting>
  <conditionalFormatting sqref="AI92">
    <cfRule type="cellIs" dxfId="1642" priority="1849" operator="equal">
      <formula>0</formula>
    </cfRule>
    <cfRule type="cellIs" dxfId="1641" priority="1850" operator="equal">
      <formula>1</formula>
    </cfRule>
  </conditionalFormatting>
  <conditionalFormatting sqref="AK92">
    <cfRule type="cellIs" dxfId="1640" priority="1851" operator="equal">
      <formula>0</formula>
    </cfRule>
    <cfRule type="cellIs" dxfId="1639" priority="1852" operator="equal">
      <formula>1</formula>
    </cfRule>
  </conditionalFormatting>
  <conditionalFormatting sqref="ID22:IG27 ID29:IG32">
    <cfRule type="cellIs" dxfId="1638" priority="115" operator="equal">
      <formula>0</formula>
    </cfRule>
    <cfRule type="cellIs" dxfId="1637" priority="116" operator="equal">
      <formula>1</formula>
    </cfRule>
  </conditionalFormatting>
  <conditionalFormatting sqref="IH22:II27 IH29:II32">
    <cfRule type="cellIs" dxfId="1636" priority="119" operator="equal">
      <formula>0</formula>
    </cfRule>
    <cfRule type="cellIs" dxfId="1635" priority="120" operator="equal">
      <formula>1</formula>
    </cfRule>
  </conditionalFormatting>
  <conditionalFormatting sqref="IJ22:IJ27 IJ29:IJ32">
    <cfRule type="cellIs" dxfId="1634" priority="117" operator="equal">
      <formula>0</formula>
    </cfRule>
    <cfRule type="cellIs" dxfId="1633" priority="118" operator="equal">
      <formula>1</formula>
    </cfRule>
  </conditionalFormatting>
  <conditionalFormatting sqref="IH22:II27 IH29:II32">
    <cfRule type="cellIs" dxfId="1632" priority="113" operator="equal">
      <formula>0</formula>
    </cfRule>
    <cfRule type="cellIs" dxfId="1631" priority="114" operator="equal">
      <formula>1</formula>
    </cfRule>
  </conditionalFormatting>
  <conditionalFormatting sqref="II22:II27 II29:II32">
    <cfRule type="cellIs" dxfId="1630" priority="111" operator="equal">
      <formula>0</formula>
    </cfRule>
    <cfRule type="cellIs" dxfId="1629" priority="112" operator="equal">
      <formula>1</formula>
    </cfRule>
  </conditionalFormatting>
  <conditionalFormatting sqref="ID34:IG42 ID44:IG45">
    <cfRule type="cellIs" dxfId="1628" priority="105" operator="equal">
      <formula>0</formula>
    </cfRule>
    <cfRule type="cellIs" dxfId="1627" priority="106" operator="equal">
      <formula>1</formula>
    </cfRule>
  </conditionalFormatting>
  <conditionalFormatting sqref="IH34:II42 IH44:II45">
    <cfRule type="cellIs" dxfId="1626" priority="109" operator="equal">
      <formula>0</formula>
    </cfRule>
    <cfRule type="cellIs" dxfId="1625" priority="110" operator="equal">
      <formula>1</formula>
    </cfRule>
  </conditionalFormatting>
  <conditionalFormatting sqref="IJ34:IJ42 IJ44:IJ45">
    <cfRule type="cellIs" dxfId="1624" priority="107" operator="equal">
      <formula>0</formula>
    </cfRule>
    <cfRule type="cellIs" dxfId="1623" priority="108" operator="equal">
      <formula>1</formula>
    </cfRule>
  </conditionalFormatting>
  <conditionalFormatting sqref="IH34:II42 IH44:II45">
    <cfRule type="cellIs" dxfId="1622" priority="103" operator="equal">
      <formula>0</formula>
    </cfRule>
    <cfRule type="cellIs" dxfId="1621" priority="104" operator="equal">
      <formula>1</formula>
    </cfRule>
  </conditionalFormatting>
  <conditionalFormatting sqref="II34:II42 II44:II45">
    <cfRule type="cellIs" dxfId="1620" priority="101" operator="equal">
      <formula>0</formula>
    </cfRule>
    <cfRule type="cellIs" dxfId="1619" priority="102" operator="equal">
      <formula>1</formula>
    </cfRule>
  </conditionalFormatting>
  <conditionalFormatting sqref="ID47:IG48 ID50:IG55 ID58:IG62 ID64:IG65 ID67:IG70">
    <cfRule type="cellIs" dxfId="1618" priority="95" operator="equal">
      <formula>0</formula>
    </cfRule>
    <cfRule type="cellIs" dxfId="1617" priority="96" operator="equal">
      <formula>1</formula>
    </cfRule>
  </conditionalFormatting>
  <conditionalFormatting sqref="IH47:II48 IH50:II55 IH58:II62 IH64:II65 IH67:II70">
    <cfRule type="cellIs" dxfId="1616" priority="99" operator="equal">
      <formula>0</formula>
    </cfRule>
    <cfRule type="cellIs" dxfId="1615" priority="100" operator="equal">
      <formula>1</formula>
    </cfRule>
  </conditionalFormatting>
  <conditionalFormatting sqref="IJ47:IJ48 IJ50:IJ55 IJ58:IJ62 IJ64:IJ65 IJ67:IJ70">
    <cfRule type="cellIs" dxfId="1614" priority="97" operator="equal">
      <formula>0</formula>
    </cfRule>
    <cfRule type="cellIs" dxfId="1613" priority="98" operator="equal">
      <formula>1</formula>
    </cfRule>
  </conditionalFormatting>
  <conditionalFormatting sqref="IH47:II48 IH50:II55 IH58:II62 IH64:II65 IH67:II70">
    <cfRule type="cellIs" dxfId="1612" priority="93" operator="equal">
      <formula>0</formula>
    </cfRule>
    <cfRule type="cellIs" dxfId="1611" priority="94" operator="equal">
      <formula>1</formula>
    </cfRule>
  </conditionalFormatting>
  <conditionalFormatting sqref="II47:II48 II50:II55 II58:II62 II64:II65 II67:II70">
    <cfRule type="cellIs" dxfId="1610" priority="91" operator="equal">
      <formula>0</formula>
    </cfRule>
    <cfRule type="cellIs" dxfId="1609" priority="92" operator="equal">
      <formula>1</formula>
    </cfRule>
  </conditionalFormatting>
  <conditionalFormatting sqref="ID72:IG79">
    <cfRule type="cellIs" dxfId="1608" priority="85" operator="equal">
      <formula>0</formula>
    </cfRule>
    <cfRule type="cellIs" dxfId="1607" priority="86" operator="equal">
      <formula>1</formula>
    </cfRule>
  </conditionalFormatting>
  <conditionalFormatting sqref="IH72:II79">
    <cfRule type="cellIs" dxfId="1606" priority="89" operator="equal">
      <formula>0</formula>
    </cfRule>
    <cfRule type="cellIs" dxfId="1605" priority="90" operator="equal">
      <formula>1</formula>
    </cfRule>
  </conditionalFormatting>
  <conditionalFormatting sqref="IJ72:IJ79">
    <cfRule type="cellIs" dxfId="1604" priority="87" operator="equal">
      <formula>0</formula>
    </cfRule>
    <cfRule type="cellIs" dxfId="1603" priority="88" operator="equal">
      <formula>1</formula>
    </cfRule>
  </conditionalFormatting>
  <conditionalFormatting sqref="IH72:II79">
    <cfRule type="cellIs" dxfId="1602" priority="83" operator="equal">
      <formula>0</formula>
    </cfRule>
    <cfRule type="cellIs" dxfId="1601" priority="84" operator="equal">
      <formula>1</formula>
    </cfRule>
  </conditionalFormatting>
  <conditionalFormatting sqref="II72:II79">
    <cfRule type="cellIs" dxfId="1600" priority="81" operator="equal">
      <formula>0</formula>
    </cfRule>
    <cfRule type="cellIs" dxfId="1599" priority="82" operator="equal">
      <formula>1</formula>
    </cfRule>
  </conditionalFormatting>
  <conditionalFormatting sqref="ID15:IG15">
    <cfRule type="cellIs" dxfId="1598" priority="75" operator="equal">
      <formula>0</formula>
    </cfRule>
    <cfRule type="cellIs" dxfId="1597" priority="76" operator="equal">
      <formula>1</formula>
    </cfRule>
  </conditionalFormatting>
  <conditionalFormatting sqref="IH15:II15">
    <cfRule type="cellIs" dxfId="1596" priority="79" operator="equal">
      <formula>0</formula>
    </cfRule>
    <cfRule type="cellIs" dxfId="1595" priority="80" operator="equal">
      <formula>1</formula>
    </cfRule>
  </conditionalFormatting>
  <conditionalFormatting sqref="IJ15">
    <cfRule type="cellIs" dxfId="1594" priority="77" operator="equal">
      <formula>0</formula>
    </cfRule>
    <cfRule type="cellIs" dxfId="1593" priority="78" operator="equal">
      <formula>1</formula>
    </cfRule>
  </conditionalFormatting>
  <conditionalFormatting sqref="IH15:II15">
    <cfRule type="cellIs" dxfId="1592" priority="73" operator="equal">
      <formula>0</formula>
    </cfRule>
    <cfRule type="cellIs" dxfId="1591" priority="74" operator="equal">
      <formula>1</formula>
    </cfRule>
  </conditionalFormatting>
  <conditionalFormatting sqref="II15">
    <cfRule type="cellIs" dxfId="1590" priority="71" operator="equal">
      <formula>0</formula>
    </cfRule>
    <cfRule type="cellIs" dxfId="1589" priority="72" operator="equal">
      <formula>1</formula>
    </cfRule>
  </conditionalFormatting>
  <conditionalFormatting sqref="ID33">
    <cfRule type="cellIs" dxfId="1588" priority="69" operator="equal">
      <formula>0</formula>
    </cfRule>
    <cfRule type="cellIs" dxfId="1587" priority="70" operator="equal">
      <formula>1</formula>
    </cfRule>
  </conditionalFormatting>
  <conditionalFormatting sqref="ID49">
    <cfRule type="cellIs" dxfId="1586" priority="67" operator="equal">
      <formula>0</formula>
    </cfRule>
    <cfRule type="cellIs" dxfId="1585" priority="68" operator="equal">
      <formula>1</formula>
    </cfRule>
  </conditionalFormatting>
  <conditionalFormatting sqref="ID43:IG43">
    <cfRule type="cellIs" dxfId="1584" priority="61" operator="equal">
      <formula>0</formula>
    </cfRule>
    <cfRule type="cellIs" dxfId="1583" priority="62" operator="equal">
      <formula>1</formula>
    </cfRule>
  </conditionalFormatting>
  <conditionalFormatting sqref="IH43:II43">
    <cfRule type="cellIs" dxfId="1582" priority="65" operator="equal">
      <formula>0</formula>
    </cfRule>
    <cfRule type="cellIs" dxfId="1581" priority="66" operator="equal">
      <formula>1</formula>
    </cfRule>
  </conditionalFormatting>
  <conditionalFormatting sqref="IJ43">
    <cfRule type="cellIs" dxfId="1580" priority="63" operator="equal">
      <formula>0</formula>
    </cfRule>
    <cfRule type="cellIs" dxfId="1579" priority="64" operator="equal">
      <formula>1</formula>
    </cfRule>
  </conditionalFormatting>
  <conditionalFormatting sqref="IH43:II43">
    <cfRule type="cellIs" dxfId="1578" priority="59" operator="equal">
      <formula>0</formula>
    </cfRule>
    <cfRule type="cellIs" dxfId="1577" priority="60" operator="equal">
      <formula>1</formula>
    </cfRule>
  </conditionalFormatting>
  <conditionalFormatting sqref="II43">
    <cfRule type="cellIs" dxfId="1576" priority="57" operator="equal">
      <formula>0</formula>
    </cfRule>
    <cfRule type="cellIs" dxfId="1575" priority="58" operator="equal">
      <formula>1</formula>
    </cfRule>
  </conditionalFormatting>
  <conditionalFormatting sqref="ID46:IG46">
    <cfRule type="cellIs" dxfId="1574" priority="51" operator="equal">
      <formula>0</formula>
    </cfRule>
    <cfRule type="cellIs" dxfId="1573" priority="52" operator="equal">
      <formula>1</formula>
    </cfRule>
  </conditionalFormatting>
  <conditionalFormatting sqref="IH46:II46">
    <cfRule type="cellIs" dxfId="1572" priority="55" operator="equal">
      <formula>0</formula>
    </cfRule>
    <cfRule type="cellIs" dxfId="1571" priority="56" operator="equal">
      <formula>1</formula>
    </cfRule>
  </conditionalFormatting>
  <conditionalFormatting sqref="IJ46">
    <cfRule type="cellIs" dxfId="1570" priority="53" operator="equal">
      <formula>0</formula>
    </cfRule>
    <cfRule type="cellIs" dxfId="1569" priority="54" operator="equal">
      <formula>1</formula>
    </cfRule>
  </conditionalFormatting>
  <conditionalFormatting sqref="IH46:II46">
    <cfRule type="cellIs" dxfId="1568" priority="49" operator="equal">
      <formula>0</formula>
    </cfRule>
    <cfRule type="cellIs" dxfId="1567" priority="50" operator="equal">
      <formula>1</formula>
    </cfRule>
  </conditionalFormatting>
  <conditionalFormatting sqref="II46">
    <cfRule type="cellIs" dxfId="1566" priority="47" operator="equal">
      <formula>0</formula>
    </cfRule>
    <cfRule type="cellIs" dxfId="1565" priority="48" operator="equal">
      <formula>1</formula>
    </cfRule>
  </conditionalFormatting>
  <conditionalFormatting sqref="ID56:IG56">
    <cfRule type="cellIs" dxfId="1564" priority="41" operator="equal">
      <formula>0</formula>
    </cfRule>
    <cfRule type="cellIs" dxfId="1563" priority="42" operator="equal">
      <formula>1</formula>
    </cfRule>
  </conditionalFormatting>
  <conditionalFormatting sqref="IH56:II56">
    <cfRule type="cellIs" dxfId="1562" priority="45" operator="equal">
      <formula>0</formula>
    </cfRule>
    <cfRule type="cellIs" dxfId="1561" priority="46" operator="equal">
      <formula>1</formula>
    </cfRule>
  </conditionalFormatting>
  <conditionalFormatting sqref="IJ56">
    <cfRule type="cellIs" dxfId="1560" priority="43" operator="equal">
      <formula>0</formula>
    </cfRule>
    <cfRule type="cellIs" dxfId="1559" priority="44" operator="equal">
      <formula>1</formula>
    </cfRule>
  </conditionalFormatting>
  <conditionalFormatting sqref="IH56:II56">
    <cfRule type="cellIs" dxfId="1558" priority="39" operator="equal">
      <formula>0</formula>
    </cfRule>
    <cfRule type="cellIs" dxfId="1557" priority="40" operator="equal">
      <formula>1</formula>
    </cfRule>
  </conditionalFormatting>
  <conditionalFormatting sqref="II56">
    <cfRule type="cellIs" dxfId="1556" priority="37" operator="equal">
      <formula>0</formula>
    </cfRule>
    <cfRule type="cellIs" dxfId="1555" priority="38" operator="equal">
      <formula>1</formula>
    </cfRule>
  </conditionalFormatting>
  <conditionalFormatting sqref="ID57">
    <cfRule type="cellIs" dxfId="1554" priority="35" operator="equal">
      <formula>0</formula>
    </cfRule>
    <cfRule type="cellIs" dxfId="1553" priority="36" operator="equal">
      <formula>1</formula>
    </cfRule>
  </conditionalFormatting>
  <conditionalFormatting sqref="ID63">
    <cfRule type="cellIs" dxfId="1552" priority="33" operator="equal">
      <formula>0</formula>
    </cfRule>
    <cfRule type="cellIs" dxfId="1551" priority="34" operator="equal">
      <formula>1</formula>
    </cfRule>
  </conditionalFormatting>
  <conditionalFormatting sqref="ID66">
    <cfRule type="cellIs" dxfId="1550" priority="31" operator="equal">
      <formula>0</formula>
    </cfRule>
    <cfRule type="cellIs" dxfId="1549" priority="32" operator="equal">
      <formula>1</formula>
    </cfRule>
  </conditionalFormatting>
  <conditionalFormatting sqref="ID71:IG71">
    <cfRule type="cellIs" dxfId="1548" priority="25" operator="equal">
      <formula>0</formula>
    </cfRule>
    <cfRule type="cellIs" dxfId="1547" priority="26" operator="equal">
      <formula>1</formula>
    </cfRule>
  </conditionalFormatting>
  <conditionalFormatting sqref="IH71:II71">
    <cfRule type="cellIs" dxfId="1546" priority="29" operator="equal">
      <formula>0</formula>
    </cfRule>
    <cfRule type="cellIs" dxfId="1545" priority="30" operator="equal">
      <formula>1</formula>
    </cfRule>
  </conditionalFormatting>
  <conditionalFormatting sqref="IJ71">
    <cfRule type="cellIs" dxfId="1544" priority="27" operator="equal">
      <formula>0</formula>
    </cfRule>
    <cfRule type="cellIs" dxfId="1543" priority="28" operator="equal">
      <formula>1</formula>
    </cfRule>
  </conditionalFormatting>
  <conditionalFormatting sqref="IH71:II71">
    <cfRule type="cellIs" dxfId="1542" priority="23" operator="equal">
      <formula>0</formula>
    </cfRule>
    <cfRule type="cellIs" dxfId="1541" priority="24" operator="equal">
      <formula>1</formula>
    </cfRule>
  </conditionalFormatting>
  <conditionalFormatting sqref="II71">
    <cfRule type="cellIs" dxfId="1540" priority="21" operator="equal">
      <formula>0</formula>
    </cfRule>
    <cfRule type="cellIs" dxfId="1539" priority="22" operator="equal">
      <formula>1</formula>
    </cfRule>
  </conditionalFormatting>
  <conditionalFormatting sqref="ID80:IG80">
    <cfRule type="cellIs" dxfId="1538" priority="15" operator="equal">
      <formula>0</formula>
    </cfRule>
    <cfRule type="cellIs" dxfId="1537" priority="16" operator="equal">
      <formula>1</formula>
    </cfRule>
  </conditionalFormatting>
  <conditionalFormatting sqref="IH80:II80">
    <cfRule type="cellIs" dxfId="1536" priority="19" operator="equal">
      <formula>0</formula>
    </cfRule>
    <cfRule type="cellIs" dxfId="1535" priority="20" operator="equal">
      <formula>1</formula>
    </cfRule>
  </conditionalFormatting>
  <conditionalFormatting sqref="IJ80">
    <cfRule type="cellIs" dxfId="1534" priority="17" operator="equal">
      <formula>0</formula>
    </cfRule>
    <cfRule type="cellIs" dxfId="1533" priority="18" operator="equal">
      <formula>1</formula>
    </cfRule>
  </conditionalFormatting>
  <conditionalFormatting sqref="IH80:II80">
    <cfRule type="cellIs" dxfId="1532" priority="13" operator="equal">
      <formula>0</formula>
    </cfRule>
    <cfRule type="cellIs" dxfId="1531" priority="14" operator="equal">
      <formula>1</formula>
    </cfRule>
  </conditionalFormatting>
  <conditionalFormatting sqref="II80">
    <cfRule type="cellIs" dxfId="1530" priority="11" operator="equal">
      <formula>0</formula>
    </cfRule>
    <cfRule type="cellIs" dxfId="1529" priority="12" operator="equal">
      <formula>1</formula>
    </cfRule>
  </conditionalFormatting>
  <conditionalFormatting sqref="ID28:IG28">
    <cfRule type="cellIs" dxfId="1528" priority="5" operator="equal">
      <formula>0</formula>
    </cfRule>
    <cfRule type="cellIs" dxfId="1527" priority="6" operator="equal">
      <formula>1</formula>
    </cfRule>
  </conditionalFormatting>
  <conditionalFormatting sqref="IH28:II28">
    <cfRule type="cellIs" dxfId="1526" priority="9" operator="equal">
      <formula>0</formula>
    </cfRule>
    <cfRule type="cellIs" dxfId="1525" priority="10" operator="equal">
      <formula>1</formula>
    </cfRule>
  </conditionalFormatting>
  <conditionalFormatting sqref="IJ28">
    <cfRule type="cellIs" dxfId="1524" priority="7" operator="equal">
      <formula>0</formula>
    </cfRule>
    <cfRule type="cellIs" dxfId="1523" priority="8" operator="equal">
      <formula>1</formula>
    </cfRule>
  </conditionalFormatting>
  <conditionalFormatting sqref="IH28:II28">
    <cfRule type="cellIs" dxfId="1522" priority="3" operator="equal">
      <formula>0</formula>
    </cfRule>
    <cfRule type="cellIs" dxfId="1521" priority="4" operator="equal">
      <formula>1</formula>
    </cfRule>
  </conditionalFormatting>
  <conditionalFormatting sqref="II28">
    <cfRule type="cellIs" dxfId="1520" priority="1" operator="equal">
      <formula>0</formula>
    </cfRule>
    <cfRule type="cellIs" dxfId="1519" priority="2" operator="equal">
      <formula>1</formula>
    </cfRule>
  </conditionalFormatting>
  <conditionalFormatting sqref="AS95">
    <cfRule type="cellIs" dxfId="1518" priority="1727" operator="equal">
      <formula>"OK"</formula>
    </cfRule>
    <cfRule type="cellIs" dxfId="1517" priority="1728" operator="equal">
      <formula>"NO HABILITADO"</formula>
    </cfRule>
  </conditionalFormatting>
  <conditionalFormatting sqref="BD95">
    <cfRule type="cellIs" dxfId="1516" priority="1725" operator="equal">
      <formula>"OK"</formula>
    </cfRule>
    <cfRule type="cellIs" dxfId="1515" priority="1726" operator="equal">
      <formula>"NO HABILITADO"</formula>
    </cfRule>
  </conditionalFormatting>
  <conditionalFormatting sqref="AY11:BB14 AY16:BB17 AY19:BB21 AY18">
    <cfRule type="cellIs" dxfId="1514" priority="1713" operator="equal">
      <formula>0</formula>
    </cfRule>
    <cfRule type="cellIs" dxfId="1513" priority="1714" operator="equal">
      <formula>1</formula>
    </cfRule>
  </conditionalFormatting>
  <conditionalFormatting sqref="AY22:BB27 AY29:BB32">
    <cfRule type="cellIs" dxfId="1512" priority="1699" operator="equal">
      <formula>0</formula>
    </cfRule>
    <cfRule type="cellIs" dxfId="1511" priority="1700" operator="equal">
      <formula>1</formula>
    </cfRule>
  </conditionalFormatting>
  <conditionalFormatting sqref="BC22:BD27 BC29:BD32">
    <cfRule type="cellIs" dxfId="1510" priority="1703" operator="equal">
      <formula>0</formula>
    </cfRule>
    <cfRule type="cellIs" dxfId="1509" priority="1704" operator="equal">
      <formula>1</formula>
    </cfRule>
  </conditionalFormatting>
  <conditionalFormatting sqref="BE22:BE27 BE29:BE32">
    <cfRule type="cellIs" dxfId="1508" priority="1701" operator="equal">
      <formula>0</formula>
    </cfRule>
    <cfRule type="cellIs" dxfId="1507" priority="1702" operator="equal">
      <formula>1</formula>
    </cfRule>
  </conditionalFormatting>
  <conditionalFormatting sqref="BC22:BD27 BC29:BD32">
    <cfRule type="cellIs" dxfId="1506" priority="1697" operator="equal">
      <formula>0</formula>
    </cfRule>
    <cfRule type="cellIs" dxfId="1505" priority="1698" operator="equal">
      <formula>1</formula>
    </cfRule>
  </conditionalFormatting>
  <conditionalFormatting sqref="BD22:BD27 BD29:BD32">
    <cfRule type="cellIs" dxfId="1504" priority="1695" operator="equal">
      <formula>0</formula>
    </cfRule>
    <cfRule type="cellIs" dxfId="1503" priority="1696" operator="equal">
      <formula>1</formula>
    </cfRule>
  </conditionalFormatting>
  <conditionalFormatting sqref="AY34:BB42 AY44:BB45">
    <cfRule type="cellIs" dxfId="1502" priority="1689" operator="equal">
      <formula>0</formula>
    </cfRule>
    <cfRule type="cellIs" dxfId="1501" priority="1690" operator="equal">
      <formula>1</formula>
    </cfRule>
  </conditionalFormatting>
  <conditionalFormatting sqref="BC34:BD42 BC44:BD45">
    <cfRule type="cellIs" dxfId="1500" priority="1693" operator="equal">
      <formula>0</formula>
    </cfRule>
    <cfRule type="cellIs" dxfId="1499" priority="1694" operator="equal">
      <formula>1</formula>
    </cfRule>
  </conditionalFormatting>
  <conditionalFormatting sqref="BE34:BE42 BE44:BE45">
    <cfRule type="cellIs" dxfId="1498" priority="1691" operator="equal">
      <formula>0</formula>
    </cfRule>
    <cfRule type="cellIs" dxfId="1497" priority="1692" operator="equal">
      <formula>1</formula>
    </cfRule>
  </conditionalFormatting>
  <conditionalFormatting sqref="BC34:BD42 BC44:BD45">
    <cfRule type="cellIs" dxfId="1496" priority="1687" operator="equal">
      <formula>0</formula>
    </cfRule>
    <cfRule type="cellIs" dxfId="1495" priority="1688" operator="equal">
      <formula>1</formula>
    </cfRule>
  </conditionalFormatting>
  <conditionalFormatting sqref="BD34:BD42 BD44:BD45">
    <cfRule type="cellIs" dxfId="1494" priority="1685" operator="equal">
      <formula>0</formula>
    </cfRule>
    <cfRule type="cellIs" dxfId="1493" priority="1686" operator="equal">
      <formula>1</formula>
    </cfRule>
  </conditionalFormatting>
  <conditionalFormatting sqref="AY47:BB48 AY50:BB55 AY58:BB62 AY64:BB65 AY67:BB70">
    <cfRule type="cellIs" dxfId="1492" priority="1679" operator="equal">
      <formula>0</formula>
    </cfRule>
    <cfRule type="cellIs" dxfId="1491" priority="1680" operator="equal">
      <formula>1</formula>
    </cfRule>
  </conditionalFormatting>
  <conditionalFormatting sqref="BC47:BD48 BC50:BD55 BC58:BD62 BC64:BD65 BC67:BD70">
    <cfRule type="cellIs" dxfId="1490" priority="1683" operator="equal">
      <formula>0</formula>
    </cfRule>
    <cfRule type="cellIs" dxfId="1489" priority="1684" operator="equal">
      <formula>1</formula>
    </cfRule>
  </conditionalFormatting>
  <conditionalFormatting sqref="BE47:BE48 BE50:BE55 BE58:BE62 BE64:BE65 BE67:BE70">
    <cfRule type="cellIs" dxfId="1488" priority="1681" operator="equal">
      <formula>0</formula>
    </cfRule>
    <cfRule type="cellIs" dxfId="1487" priority="1682" operator="equal">
      <formula>1</formula>
    </cfRule>
  </conditionalFormatting>
  <conditionalFormatting sqref="BC47:BD48 BC50:BD55 BC58:BD62 BC64:BD65 BC67:BD70">
    <cfRule type="cellIs" dxfId="1486" priority="1677" operator="equal">
      <formula>0</formula>
    </cfRule>
    <cfRule type="cellIs" dxfId="1485" priority="1678" operator="equal">
      <formula>1</formula>
    </cfRule>
  </conditionalFormatting>
  <conditionalFormatting sqref="BD47:BD48 BD50:BD55 BD58:BD62 BD64:BD65 BD67:BD70">
    <cfRule type="cellIs" dxfId="1484" priority="1675" operator="equal">
      <formula>0</formula>
    </cfRule>
    <cfRule type="cellIs" dxfId="1483" priority="1676" operator="equal">
      <formula>1</formula>
    </cfRule>
  </conditionalFormatting>
  <conditionalFormatting sqref="AY72:BB79">
    <cfRule type="cellIs" dxfId="1482" priority="1669" operator="equal">
      <formula>0</formula>
    </cfRule>
    <cfRule type="cellIs" dxfId="1481" priority="1670" operator="equal">
      <formula>1</formula>
    </cfRule>
  </conditionalFormatting>
  <conditionalFormatting sqref="BC72:BD79">
    <cfRule type="cellIs" dxfId="1480" priority="1673" operator="equal">
      <formula>0</formula>
    </cfRule>
    <cfRule type="cellIs" dxfId="1479" priority="1674" operator="equal">
      <formula>1</formula>
    </cfRule>
  </conditionalFormatting>
  <conditionalFormatting sqref="BE72:BE79">
    <cfRule type="cellIs" dxfId="1478" priority="1671" operator="equal">
      <formula>0</formula>
    </cfRule>
    <cfRule type="cellIs" dxfId="1477" priority="1672" operator="equal">
      <formula>1</formula>
    </cfRule>
  </conditionalFormatting>
  <conditionalFormatting sqref="BC72:BD79">
    <cfRule type="cellIs" dxfId="1476" priority="1667" operator="equal">
      <formula>0</formula>
    </cfRule>
    <cfRule type="cellIs" dxfId="1475" priority="1668" operator="equal">
      <formula>1</formula>
    </cfRule>
  </conditionalFormatting>
  <conditionalFormatting sqref="BD72:BD79">
    <cfRule type="cellIs" dxfId="1474" priority="1665" operator="equal">
      <formula>0</formula>
    </cfRule>
    <cfRule type="cellIs" dxfId="1473" priority="1666" operator="equal">
      <formula>1</formula>
    </cfRule>
  </conditionalFormatting>
  <conditionalFormatting sqref="AY15:BB15">
    <cfRule type="cellIs" dxfId="1472" priority="1659" operator="equal">
      <formula>0</formula>
    </cfRule>
    <cfRule type="cellIs" dxfId="1471" priority="1660" operator="equal">
      <formula>1</formula>
    </cfRule>
  </conditionalFormatting>
  <conditionalFormatting sqref="BC15:BD15">
    <cfRule type="cellIs" dxfId="1470" priority="1663" operator="equal">
      <formula>0</formula>
    </cfRule>
    <cfRule type="cellIs" dxfId="1469" priority="1664" operator="equal">
      <formula>1</formula>
    </cfRule>
  </conditionalFormatting>
  <conditionalFormatting sqref="BE15">
    <cfRule type="cellIs" dxfId="1468" priority="1661" operator="equal">
      <formula>0</formula>
    </cfRule>
    <cfRule type="cellIs" dxfId="1467" priority="1662" operator="equal">
      <formula>1</formula>
    </cfRule>
  </conditionalFormatting>
  <conditionalFormatting sqref="BC15:BD15">
    <cfRule type="cellIs" dxfId="1466" priority="1657" operator="equal">
      <formula>0</formula>
    </cfRule>
    <cfRule type="cellIs" dxfId="1465" priority="1658" operator="equal">
      <formula>1</formula>
    </cfRule>
  </conditionalFormatting>
  <conditionalFormatting sqref="BD15">
    <cfRule type="cellIs" dxfId="1464" priority="1655" operator="equal">
      <formula>0</formula>
    </cfRule>
    <cfRule type="cellIs" dxfId="1463" priority="1656" operator="equal">
      <formula>1</formula>
    </cfRule>
  </conditionalFormatting>
  <conditionalFormatting sqref="AY33">
    <cfRule type="cellIs" dxfId="1462" priority="1653" operator="equal">
      <formula>0</formula>
    </cfRule>
    <cfRule type="cellIs" dxfId="1461" priority="1654" operator="equal">
      <formula>1</formula>
    </cfRule>
  </conditionalFormatting>
  <conditionalFormatting sqref="AY49">
    <cfRule type="cellIs" dxfId="1460" priority="1651" operator="equal">
      <formula>0</formula>
    </cfRule>
    <cfRule type="cellIs" dxfId="1459" priority="1652" operator="equal">
      <formula>1</formula>
    </cfRule>
  </conditionalFormatting>
  <conditionalFormatting sqref="AY43:BB43">
    <cfRule type="cellIs" dxfId="1458" priority="1645" operator="equal">
      <formula>0</formula>
    </cfRule>
    <cfRule type="cellIs" dxfId="1457" priority="1646" operator="equal">
      <formula>1</formula>
    </cfRule>
  </conditionalFormatting>
  <conditionalFormatting sqref="BC43:BD43">
    <cfRule type="cellIs" dxfId="1456" priority="1649" operator="equal">
      <formula>0</formula>
    </cfRule>
    <cfRule type="cellIs" dxfId="1455" priority="1650" operator="equal">
      <formula>1</formula>
    </cfRule>
  </conditionalFormatting>
  <conditionalFormatting sqref="BE43">
    <cfRule type="cellIs" dxfId="1454" priority="1647" operator="equal">
      <formula>0</formula>
    </cfRule>
    <cfRule type="cellIs" dxfId="1453" priority="1648" operator="equal">
      <formula>1</formula>
    </cfRule>
  </conditionalFormatting>
  <conditionalFormatting sqref="BC43:BD43">
    <cfRule type="cellIs" dxfId="1452" priority="1643" operator="equal">
      <formula>0</formula>
    </cfRule>
    <cfRule type="cellIs" dxfId="1451" priority="1644" operator="equal">
      <formula>1</formula>
    </cfRule>
  </conditionalFormatting>
  <conditionalFormatting sqref="BD43">
    <cfRule type="cellIs" dxfId="1450" priority="1641" operator="equal">
      <formula>0</formula>
    </cfRule>
    <cfRule type="cellIs" dxfId="1449" priority="1642" operator="equal">
      <formula>1</formula>
    </cfRule>
  </conditionalFormatting>
  <conditionalFormatting sqref="AY46:BB46">
    <cfRule type="cellIs" dxfId="1448" priority="1635" operator="equal">
      <formula>0</formula>
    </cfRule>
    <cfRule type="cellIs" dxfId="1447" priority="1636" operator="equal">
      <formula>1</formula>
    </cfRule>
  </conditionalFormatting>
  <conditionalFormatting sqref="BC46:BD46">
    <cfRule type="cellIs" dxfId="1446" priority="1639" operator="equal">
      <formula>0</formula>
    </cfRule>
    <cfRule type="cellIs" dxfId="1445" priority="1640" operator="equal">
      <formula>1</formula>
    </cfRule>
  </conditionalFormatting>
  <conditionalFormatting sqref="BE46">
    <cfRule type="cellIs" dxfId="1444" priority="1637" operator="equal">
      <formula>0</formula>
    </cfRule>
    <cfRule type="cellIs" dxfId="1443" priority="1638" operator="equal">
      <formula>1</formula>
    </cfRule>
  </conditionalFormatting>
  <conditionalFormatting sqref="BC46:BD46">
    <cfRule type="cellIs" dxfId="1442" priority="1633" operator="equal">
      <formula>0</formula>
    </cfRule>
    <cfRule type="cellIs" dxfId="1441" priority="1634" operator="equal">
      <formula>1</formula>
    </cfRule>
  </conditionalFormatting>
  <conditionalFormatting sqref="BD46">
    <cfRule type="cellIs" dxfId="1440" priority="1631" operator="equal">
      <formula>0</formula>
    </cfRule>
    <cfRule type="cellIs" dxfId="1439" priority="1632" operator="equal">
      <formula>1</formula>
    </cfRule>
  </conditionalFormatting>
  <conditionalFormatting sqref="AY56:BB56">
    <cfRule type="cellIs" dxfId="1438" priority="1625" operator="equal">
      <formula>0</formula>
    </cfRule>
    <cfRule type="cellIs" dxfId="1437" priority="1626" operator="equal">
      <formula>1</formula>
    </cfRule>
  </conditionalFormatting>
  <conditionalFormatting sqref="BC56:BD56">
    <cfRule type="cellIs" dxfId="1436" priority="1629" operator="equal">
      <formula>0</formula>
    </cfRule>
    <cfRule type="cellIs" dxfId="1435" priority="1630" operator="equal">
      <formula>1</formula>
    </cfRule>
  </conditionalFormatting>
  <conditionalFormatting sqref="BE56">
    <cfRule type="cellIs" dxfId="1434" priority="1627" operator="equal">
      <formula>0</formula>
    </cfRule>
    <cfRule type="cellIs" dxfId="1433" priority="1628" operator="equal">
      <formula>1</formula>
    </cfRule>
  </conditionalFormatting>
  <conditionalFormatting sqref="BC56:BD56">
    <cfRule type="cellIs" dxfId="1432" priority="1623" operator="equal">
      <formula>0</formula>
    </cfRule>
    <cfRule type="cellIs" dxfId="1431" priority="1624" operator="equal">
      <formula>1</formula>
    </cfRule>
  </conditionalFormatting>
  <conditionalFormatting sqref="BD56">
    <cfRule type="cellIs" dxfId="1430" priority="1621" operator="equal">
      <formula>0</formula>
    </cfRule>
    <cfRule type="cellIs" dxfId="1429" priority="1622" operator="equal">
      <formula>1</formula>
    </cfRule>
  </conditionalFormatting>
  <conditionalFormatting sqref="AY57">
    <cfRule type="cellIs" dxfId="1428" priority="1619" operator="equal">
      <formula>0</formula>
    </cfRule>
    <cfRule type="cellIs" dxfId="1427" priority="1620" operator="equal">
      <formula>1</formula>
    </cfRule>
  </conditionalFormatting>
  <conditionalFormatting sqref="AY63">
    <cfRule type="cellIs" dxfId="1426" priority="1617" operator="equal">
      <formula>0</formula>
    </cfRule>
    <cfRule type="cellIs" dxfId="1425" priority="1618" operator="equal">
      <formula>1</formula>
    </cfRule>
  </conditionalFormatting>
  <conditionalFormatting sqref="AY66">
    <cfRule type="cellIs" dxfId="1424" priority="1615" operator="equal">
      <formula>0</formula>
    </cfRule>
    <cfRule type="cellIs" dxfId="1423" priority="1616" operator="equal">
      <formula>1</formula>
    </cfRule>
  </conditionalFormatting>
  <conditionalFormatting sqref="AY71:BB71">
    <cfRule type="cellIs" dxfId="1422" priority="1609" operator="equal">
      <formula>0</formula>
    </cfRule>
    <cfRule type="cellIs" dxfId="1421" priority="1610" operator="equal">
      <formula>1</formula>
    </cfRule>
  </conditionalFormatting>
  <conditionalFormatting sqref="BC71:BD71">
    <cfRule type="cellIs" dxfId="1420" priority="1613" operator="equal">
      <formula>0</formula>
    </cfRule>
    <cfRule type="cellIs" dxfId="1419" priority="1614" operator="equal">
      <formula>1</formula>
    </cfRule>
  </conditionalFormatting>
  <conditionalFormatting sqref="BE71">
    <cfRule type="cellIs" dxfId="1418" priority="1611" operator="equal">
      <formula>0</formula>
    </cfRule>
    <cfRule type="cellIs" dxfId="1417" priority="1612" operator="equal">
      <formula>1</formula>
    </cfRule>
  </conditionalFormatting>
  <conditionalFormatting sqref="BC71:BD71">
    <cfRule type="cellIs" dxfId="1416" priority="1607" operator="equal">
      <formula>0</formula>
    </cfRule>
    <cfRule type="cellIs" dxfId="1415" priority="1608" operator="equal">
      <formula>1</formula>
    </cfRule>
  </conditionalFormatting>
  <conditionalFormatting sqref="BD71">
    <cfRule type="cellIs" dxfId="1414" priority="1605" operator="equal">
      <formula>0</formula>
    </cfRule>
    <cfRule type="cellIs" dxfId="1413" priority="1606" operator="equal">
      <formula>1</formula>
    </cfRule>
  </conditionalFormatting>
  <conditionalFormatting sqref="AY80:BB80">
    <cfRule type="cellIs" dxfId="1412" priority="1599" operator="equal">
      <formula>0</formula>
    </cfRule>
    <cfRule type="cellIs" dxfId="1411" priority="1600" operator="equal">
      <formula>1</formula>
    </cfRule>
  </conditionalFormatting>
  <conditionalFormatting sqref="BC80:BD80">
    <cfRule type="cellIs" dxfId="1410" priority="1603" operator="equal">
      <formula>0</formula>
    </cfRule>
    <cfRule type="cellIs" dxfId="1409" priority="1604" operator="equal">
      <formula>1</formula>
    </cfRule>
  </conditionalFormatting>
  <conditionalFormatting sqref="BE80">
    <cfRule type="cellIs" dxfId="1408" priority="1601" operator="equal">
      <formula>0</formula>
    </cfRule>
    <cfRule type="cellIs" dxfId="1407" priority="1602" operator="equal">
      <formula>1</formula>
    </cfRule>
  </conditionalFormatting>
  <conditionalFormatting sqref="BC80:BD80">
    <cfRule type="cellIs" dxfId="1406" priority="1597" operator="equal">
      <formula>0</formula>
    </cfRule>
    <cfRule type="cellIs" dxfId="1405" priority="1598" operator="equal">
      <formula>1</formula>
    </cfRule>
  </conditionalFormatting>
  <conditionalFormatting sqref="BD80">
    <cfRule type="cellIs" dxfId="1404" priority="1595" operator="equal">
      <formula>0</formula>
    </cfRule>
    <cfRule type="cellIs" dxfId="1403" priority="1596" operator="equal">
      <formula>1</formula>
    </cfRule>
  </conditionalFormatting>
  <conditionalFormatting sqref="AY28:BB28">
    <cfRule type="cellIs" dxfId="1402" priority="1589" operator="equal">
      <formula>0</formula>
    </cfRule>
    <cfRule type="cellIs" dxfId="1401" priority="1590" operator="equal">
      <formula>1</formula>
    </cfRule>
  </conditionalFormatting>
  <conditionalFormatting sqref="BC28:BD28">
    <cfRule type="cellIs" dxfId="1400" priority="1593" operator="equal">
      <formula>0</formula>
    </cfRule>
    <cfRule type="cellIs" dxfId="1399" priority="1594" operator="equal">
      <formula>1</formula>
    </cfRule>
  </conditionalFormatting>
  <conditionalFormatting sqref="BE28">
    <cfRule type="cellIs" dxfId="1398" priority="1591" operator="equal">
      <formula>0</formula>
    </cfRule>
    <cfRule type="cellIs" dxfId="1397" priority="1592" operator="equal">
      <formula>1</formula>
    </cfRule>
  </conditionalFormatting>
  <conditionalFormatting sqref="BC28:BD28">
    <cfRule type="cellIs" dxfId="1396" priority="1587" operator="equal">
      <formula>0</formula>
    </cfRule>
    <cfRule type="cellIs" dxfId="1395" priority="1588" operator="equal">
      <formula>1</formula>
    </cfRule>
  </conditionalFormatting>
  <conditionalFormatting sqref="BD28">
    <cfRule type="cellIs" dxfId="1394" priority="1585" operator="equal">
      <formula>0</formula>
    </cfRule>
    <cfRule type="cellIs" dxfId="1393" priority="1586" operator="equal">
      <formula>1</formula>
    </cfRule>
  </conditionalFormatting>
  <conditionalFormatting sqref="AR92">
    <cfRule type="cellIs" dxfId="1392" priority="1723" operator="equal">
      <formula>"NO HABILITADO"</formula>
    </cfRule>
    <cfRule type="cellIs" dxfId="1391" priority="1724" operator="equal">
      <formula>"OK"</formula>
    </cfRule>
  </conditionalFormatting>
  <conditionalFormatting sqref="BE92">
    <cfRule type="cellIs" dxfId="1390" priority="1721" operator="equal">
      <formula>0</formula>
    </cfRule>
    <cfRule type="cellIs" dxfId="1389" priority="1722" operator="equal">
      <formula>1</formula>
    </cfRule>
  </conditionalFormatting>
  <conditionalFormatting sqref="BG92">
    <cfRule type="cellIs" dxfId="1388" priority="1719" operator="equal">
      <formula>0</formula>
    </cfRule>
    <cfRule type="cellIs" dxfId="1387" priority="1720" operator="equal">
      <formula>1</formula>
    </cfRule>
  </conditionalFormatting>
  <conditionalFormatting sqref="BC11:BD14 BC16:BD17 BC19:BD21">
    <cfRule type="cellIs" dxfId="1386" priority="1717" operator="equal">
      <formula>0</formula>
    </cfRule>
    <cfRule type="cellIs" dxfId="1385" priority="1718" operator="equal">
      <formula>1</formula>
    </cfRule>
  </conditionalFormatting>
  <conditionalFormatting sqref="BE11:BE14 BE16:BE17 BE19:BE21">
    <cfRule type="cellIs" dxfId="1384" priority="1715" operator="equal">
      <formula>0</formula>
    </cfRule>
    <cfRule type="cellIs" dxfId="1383" priority="1716" operator="equal">
      <formula>1</formula>
    </cfRule>
  </conditionalFormatting>
  <conditionalFormatting sqref="BC11:BD14 BC16:BD17 BC19:BD21">
    <cfRule type="cellIs" dxfId="1382" priority="1711" operator="equal">
      <formula>0</formula>
    </cfRule>
    <cfRule type="cellIs" dxfId="1381" priority="1712" operator="equal">
      <formula>1</formula>
    </cfRule>
  </conditionalFormatting>
  <conditionalFormatting sqref="BD11:BD14 BD16:BD17 BD19:BD21">
    <cfRule type="cellIs" dxfId="1380" priority="1709" operator="equal">
      <formula>0</formula>
    </cfRule>
    <cfRule type="cellIs" dxfId="1379" priority="1710" operator="equal">
      <formula>1</formula>
    </cfRule>
  </conditionalFormatting>
  <conditionalFormatting sqref="AZ92">
    <cfRule type="cellIs" dxfId="1378" priority="1705" operator="equal">
      <formula>0</formula>
    </cfRule>
    <cfRule type="cellIs" dxfId="1377" priority="1706" operator="equal">
      <formula>1</formula>
    </cfRule>
  </conditionalFormatting>
  <conditionalFormatting sqref="BB92">
    <cfRule type="cellIs" dxfId="1376" priority="1707" operator="equal">
      <formula>0</formula>
    </cfRule>
    <cfRule type="cellIs" dxfId="1375" priority="1708" operator="equal">
      <formula>1</formula>
    </cfRule>
  </conditionalFormatting>
  <conditionalFormatting sqref="BJ95">
    <cfRule type="cellIs" dxfId="1374" priority="1583" operator="equal">
      <formula>"OK"</formula>
    </cfRule>
    <cfRule type="cellIs" dxfId="1373" priority="1584" operator="equal">
      <formula>"NO HABILITADO"</formula>
    </cfRule>
  </conditionalFormatting>
  <conditionalFormatting sqref="BU95">
    <cfRule type="cellIs" dxfId="1372" priority="1581" operator="equal">
      <formula>"OK"</formula>
    </cfRule>
    <cfRule type="cellIs" dxfId="1371" priority="1582" operator="equal">
      <formula>"NO HABILITADO"</formula>
    </cfRule>
  </conditionalFormatting>
  <conditionalFormatting sqref="BP11:BS14 BP16:BS17 BP19:BS21 BP18">
    <cfRule type="cellIs" dxfId="1370" priority="1569" operator="equal">
      <formula>0</formula>
    </cfRule>
    <cfRule type="cellIs" dxfId="1369" priority="1570" operator="equal">
      <formula>1</formula>
    </cfRule>
  </conditionalFormatting>
  <conditionalFormatting sqref="BP22:BS27 BP29:BS32">
    <cfRule type="cellIs" dxfId="1368" priority="1555" operator="equal">
      <formula>0</formula>
    </cfRule>
    <cfRule type="cellIs" dxfId="1367" priority="1556" operator="equal">
      <formula>1</formula>
    </cfRule>
  </conditionalFormatting>
  <conditionalFormatting sqref="BT22:BU27 BT29:BU32">
    <cfRule type="cellIs" dxfId="1366" priority="1559" operator="equal">
      <formula>0</formula>
    </cfRule>
    <cfRule type="cellIs" dxfId="1365" priority="1560" operator="equal">
      <formula>1</formula>
    </cfRule>
  </conditionalFormatting>
  <conditionalFormatting sqref="BV22:BV27 BV29:BV32">
    <cfRule type="cellIs" dxfId="1364" priority="1557" operator="equal">
      <formula>0</formula>
    </cfRule>
    <cfRule type="cellIs" dxfId="1363" priority="1558" operator="equal">
      <formula>1</formula>
    </cfRule>
  </conditionalFormatting>
  <conditionalFormatting sqref="BT22:BU27 BT29:BU32">
    <cfRule type="cellIs" dxfId="1362" priority="1553" operator="equal">
      <formula>0</formula>
    </cfRule>
    <cfRule type="cellIs" dxfId="1361" priority="1554" operator="equal">
      <formula>1</formula>
    </cfRule>
  </conditionalFormatting>
  <conditionalFormatting sqref="BU22:BU27 BU29:BU32">
    <cfRule type="cellIs" dxfId="1360" priority="1551" operator="equal">
      <formula>0</formula>
    </cfRule>
    <cfRule type="cellIs" dxfId="1359" priority="1552" operator="equal">
      <formula>1</formula>
    </cfRule>
  </conditionalFormatting>
  <conditionalFormatting sqref="BP34:BS42 BP44:BS45">
    <cfRule type="cellIs" dxfId="1358" priority="1545" operator="equal">
      <formula>0</formula>
    </cfRule>
    <cfRule type="cellIs" dxfId="1357" priority="1546" operator="equal">
      <formula>1</formula>
    </cfRule>
  </conditionalFormatting>
  <conditionalFormatting sqref="BT34:BU42 BT44:BU45">
    <cfRule type="cellIs" dxfId="1356" priority="1549" operator="equal">
      <formula>0</formula>
    </cfRule>
    <cfRule type="cellIs" dxfId="1355" priority="1550" operator="equal">
      <formula>1</formula>
    </cfRule>
  </conditionalFormatting>
  <conditionalFormatting sqref="BV34:BV42 BV44:BV45">
    <cfRule type="cellIs" dxfId="1354" priority="1547" operator="equal">
      <formula>0</formula>
    </cfRule>
    <cfRule type="cellIs" dxfId="1353" priority="1548" operator="equal">
      <formula>1</formula>
    </cfRule>
  </conditionalFormatting>
  <conditionalFormatting sqref="BT34:BU42 BT44:BU45">
    <cfRule type="cellIs" dxfId="1352" priority="1543" operator="equal">
      <formula>0</formula>
    </cfRule>
    <cfRule type="cellIs" dxfId="1351" priority="1544" operator="equal">
      <formula>1</formula>
    </cfRule>
  </conditionalFormatting>
  <conditionalFormatting sqref="BU34:BU42 BU44:BU45">
    <cfRule type="cellIs" dxfId="1350" priority="1541" operator="equal">
      <formula>0</formula>
    </cfRule>
    <cfRule type="cellIs" dxfId="1349" priority="1542" operator="equal">
      <formula>1</formula>
    </cfRule>
  </conditionalFormatting>
  <conditionalFormatting sqref="BP47:BS48 BP50:BS55 BP58:BS62 BP64:BS65 BP67:BS70">
    <cfRule type="cellIs" dxfId="1348" priority="1535" operator="equal">
      <formula>0</formula>
    </cfRule>
    <cfRule type="cellIs" dxfId="1347" priority="1536" operator="equal">
      <formula>1</formula>
    </cfRule>
  </conditionalFormatting>
  <conditionalFormatting sqref="BT47:BU48 BT50:BU55 BT58:BU62 BT64:BU65 BT67:BU70">
    <cfRule type="cellIs" dxfId="1346" priority="1539" operator="equal">
      <formula>0</formula>
    </cfRule>
    <cfRule type="cellIs" dxfId="1345" priority="1540" operator="equal">
      <formula>1</formula>
    </cfRule>
  </conditionalFormatting>
  <conditionalFormatting sqref="BV47:BV48 BV50:BV55 BV58:BV62 BV64:BV65 BV67:BV70">
    <cfRule type="cellIs" dxfId="1344" priority="1537" operator="equal">
      <formula>0</formula>
    </cfRule>
    <cfRule type="cellIs" dxfId="1343" priority="1538" operator="equal">
      <formula>1</formula>
    </cfRule>
  </conditionalFormatting>
  <conditionalFormatting sqref="BT47:BU48 BT50:BU55 BT58:BU62 BT64:BU65 BT67:BU70">
    <cfRule type="cellIs" dxfId="1342" priority="1533" operator="equal">
      <formula>0</formula>
    </cfRule>
    <cfRule type="cellIs" dxfId="1341" priority="1534" operator="equal">
      <formula>1</formula>
    </cfRule>
  </conditionalFormatting>
  <conditionalFormatting sqref="BU47:BU48 BU50:BU55 BU58:BU62 BU64:BU65 BU67:BU70">
    <cfRule type="cellIs" dxfId="1340" priority="1531" operator="equal">
      <formula>0</formula>
    </cfRule>
    <cfRule type="cellIs" dxfId="1339" priority="1532" operator="equal">
      <formula>1</formula>
    </cfRule>
  </conditionalFormatting>
  <conditionalFormatting sqref="BT72:BU79">
    <cfRule type="cellIs" dxfId="1338" priority="1529" operator="equal">
      <formula>0</formula>
    </cfRule>
    <cfRule type="cellIs" dxfId="1337" priority="1530" operator="equal">
      <formula>1</formula>
    </cfRule>
  </conditionalFormatting>
  <conditionalFormatting sqref="BT72:BU79">
    <cfRule type="cellIs" dxfId="1336" priority="1523" operator="equal">
      <formula>0</formula>
    </cfRule>
    <cfRule type="cellIs" dxfId="1335" priority="1524" operator="equal">
      <formula>1</formula>
    </cfRule>
  </conditionalFormatting>
  <conditionalFormatting sqref="BT15:BU15">
    <cfRule type="cellIs" dxfId="1334" priority="1519" operator="equal">
      <formula>0</formula>
    </cfRule>
    <cfRule type="cellIs" dxfId="1333" priority="1520" operator="equal">
      <formula>1</formula>
    </cfRule>
  </conditionalFormatting>
  <conditionalFormatting sqref="BT15:BU15">
    <cfRule type="cellIs" dxfId="1332" priority="1513" operator="equal">
      <formula>0</formula>
    </cfRule>
    <cfRule type="cellIs" dxfId="1331" priority="1514" operator="equal">
      <formula>1</formula>
    </cfRule>
  </conditionalFormatting>
  <conditionalFormatting sqref="BP33">
    <cfRule type="cellIs" dxfId="1330" priority="1509" operator="equal">
      <formula>0</formula>
    </cfRule>
    <cfRule type="cellIs" dxfId="1329" priority="1510" operator="equal">
      <formula>1</formula>
    </cfRule>
  </conditionalFormatting>
  <conditionalFormatting sqref="BP43:BS43">
    <cfRule type="cellIs" dxfId="1328" priority="1501" operator="equal">
      <formula>0</formula>
    </cfRule>
    <cfRule type="cellIs" dxfId="1327" priority="1502" operator="equal">
      <formula>1</formula>
    </cfRule>
  </conditionalFormatting>
  <conditionalFormatting sqref="BU43">
    <cfRule type="cellIs" dxfId="1326" priority="1497" operator="equal">
      <formula>0</formula>
    </cfRule>
    <cfRule type="cellIs" dxfId="1325" priority="1498" operator="equal">
      <formula>1</formula>
    </cfRule>
  </conditionalFormatting>
  <conditionalFormatting sqref="BP46:BS46">
    <cfRule type="cellIs" dxfId="1324" priority="1491" operator="equal">
      <formula>0</formula>
    </cfRule>
    <cfRule type="cellIs" dxfId="1323" priority="1492" operator="equal">
      <formula>1</formula>
    </cfRule>
  </conditionalFormatting>
  <conditionalFormatting sqref="BU46">
    <cfRule type="cellIs" dxfId="1322" priority="1487" operator="equal">
      <formula>0</formula>
    </cfRule>
    <cfRule type="cellIs" dxfId="1321" priority="1488" operator="equal">
      <formula>1</formula>
    </cfRule>
  </conditionalFormatting>
  <conditionalFormatting sqref="BP56:BS56">
    <cfRule type="cellIs" dxfId="1320" priority="1481" operator="equal">
      <formula>0</formula>
    </cfRule>
    <cfRule type="cellIs" dxfId="1319" priority="1482" operator="equal">
      <formula>1</formula>
    </cfRule>
  </conditionalFormatting>
  <conditionalFormatting sqref="BT56:BU56">
    <cfRule type="cellIs" dxfId="1318" priority="1485" operator="equal">
      <formula>0</formula>
    </cfRule>
    <cfRule type="cellIs" dxfId="1317" priority="1486" operator="equal">
      <formula>1</formula>
    </cfRule>
  </conditionalFormatting>
  <conditionalFormatting sqref="BV56">
    <cfRule type="cellIs" dxfId="1316" priority="1483" operator="equal">
      <formula>0</formula>
    </cfRule>
    <cfRule type="cellIs" dxfId="1315" priority="1484" operator="equal">
      <formula>1</formula>
    </cfRule>
  </conditionalFormatting>
  <conditionalFormatting sqref="BT56:BU56">
    <cfRule type="cellIs" dxfId="1314" priority="1479" operator="equal">
      <formula>0</formula>
    </cfRule>
    <cfRule type="cellIs" dxfId="1313" priority="1480" operator="equal">
      <formula>1</formula>
    </cfRule>
  </conditionalFormatting>
  <conditionalFormatting sqref="BU56">
    <cfRule type="cellIs" dxfId="1312" priority="1477" operator="equal">
      <formula>0</formula>
    </cfRule>
    <cfRule type="cellIs" dxfId="1311" priority="1478" operator="equal">
      <formula>1</formula>
    </cfRule>
  </conditionalFormatting>
  <conditionalFormatting sqref="BP57">
    <cfRule type="cellIs" dxfId="1310" priority="1475" operator="equal">
      <formula>0</formula>
    </cfRule>
    <cfRule type="cellIs" dxfId="1309" priority="1476" operator="equal">
      <formula>1</formula>
    </cfRule>
  </conditionalFormatting>
  <conditionalFormatting sqref="BP63">
    <cfRule type="cellIs" dxfId="1308" priority="1473" operator="equal">
      <formula>0</formula>
    </cfRule>
    <cfRule type="cellIs" dxfId="1307" priority="1474" operator="equal">
      <formula>1</formula>
    </cfRule>
  </conditionalFormatting>
  <conditionalFormatting sqref="BP66">
    <cfRule type="cellIs" dxfId="1306" priority="1471" operator="equal">
      <formula>0</formula>
    </cfRule>
    <cfRule type="cellIs" dxfId="1305" priority="1472" operator="equal">
      <formula>1</formula>
    </cfRule>
  </conditionalFormatting>
  <conditionalFormatting sqref="BP71:BS71">
    <cfRule type="cellIs" dxfId="1304" priority="1465" operator="equal">
      <formula>0</formula>
    </cfRule>
    <cfRule type="cellIs" dxfId="1303" priority="1466" operator="equal">
      <formula>1</formula>
    </cfRule>
  </conditionalFormatting>
  <conditionalFormatting sqref="BT71:BU71">
    <cfRule type="cellIs" dxfId="1302" priority="1469" operator="equal">
      <formula>0</formula>
    </cfRule>
    <cfRule type="cellIs" dxfId="1301" priority="1470" operator="equal">
      <formula>1</formula>
    </cfRule>
  </conditionalFormatting>
  <conditionalFormatting sqref="BV71">
    <cfRule type="cellIs" dxfId="1300" priority="1467" operator="equal">
      <formula>0</formula>
    </cfRule>
    <cfRule type="cellIs" dxfId="1299" priority="1468" operator="equal">
      <formula>1</formula>
    </cfRule>
  </conditionalFormatting>
  <conditionalFormatting sqref="BT71:BU71">
    <cfRule type="cellIs" dxfId="1298" priority="1463" operator="equal">
      <formula>0</formula>
    </cfRule>
    <cfRule type="cellIs" dxfId="1297" priority="1464" operator="equal">
      <formula>1</formula>
    </cfRule>
  </conditionalFormatting>
  <conditionalFormatting sqref="BU71">
    <cfRule type="cellIs" dxfId="1296" priority="1461" operator="equal">
      <formula>0</formula>
    </cfRule>
    <cfRule type="cellIs" dxfId="1295" priority="1462" operator="equal">
      <formula>1</formula>
    </cfRule>
  </conditionalFormatting>
  <conditionalFormatting sqref="BP80:BS80">
    <cfRule type="cellIs" dxfId="1294" priority="1455" operator="equal">
      <formula>0</formula>
    </cfRule>
    <cfRule type="cellIs" dxfId="1293" priority="1456" operator="equal">
      <formula>1</formula>
    </cfRule>
  </conditionalFormatting>
  <conditionalFormatting sqref="BT80:BU80">
    <cfRule type="cellIs" dxfId="1292" priority="1459" operator="equal">
      <formula>0</formula>
    </cfRule>
    <cfRule type="cellIs" dxfId="1291" priority="1460" operator="equal">
      <formula>1</formula>
    </cfRule>
  </conditionalFormatting>
  <conditionalFormatting sqref="BV80">
    <cfRule type="cellIs" dxfId="1290" priority="1457" operator="equal">
      <formula>0</formula>
    </cfRule>
    <cfRule type="cellIs" dxfId="1289" priority="1458" operator="equal">
      <formula>1</formula>
    </cfRule>
  </conditionalFormatting>
  <conditionalFormatting sqref="BT80:BU80">
    <cfRule type="cellIs" dxfId="1288" priority="1453" operator="equal">
      <formula>0</formula>
    </cfRule>
    <cfRule type="cellIs" dxfId="1287" priority="1454" operator="equal">
      <formula>1</formula>
    </cfRule>
  </conditionalFormatting>
  <conditionalFormatting sqref="BU80">
    <cfRule type="cellIs" dxfId="1286" priority="1451" operator="equal">
      <formula>0</formula>
    </cfRule>
    <cfRule type="cellIs" dxfId="1285" priority="1452" operator="equal">
      <formula>1</formula>
    </cfRule>
  </conditionalFormatting>
  <conditionalFormatting sqref="BP28:BS28">
    <cfRule type="cellIs" dxfId="1284" priority="1445" operator="equal">
      <formula>0</formula>
    </cfRule>
    <cfRule type="cellIs" dxfId="1283" priority="1446" operator="equal">
      <formula>1</formula>
    </cfRule>
  </conditionalFormatting>
  <conditionalFormatting sqref="BT28:BU28">
    <cfRule type="cellIs" dxfId="1282" priority="1449" operator="equal">
      <formula>0</formula>
    </cfRule>
    <cfRule type="cellIs" dxfId="1281" priority="1450" operator="equal">
      <formula>1</formula>
    </cfRule>
  </conditionalFormatting>
  <conditionalFormatting sqref="BV28">
    <cfRule type="cellIs" dxfId="1280" priority="1447" operator="equal">
      <formula>0</formula>
    </cfRule>
    <cfRule type="cellIs" dxfId="1279" priority="1448" operator="equal">
      <formula>1</formula>
    </cfRule>
  </conditionalFormatting>
  <conditionalFormatting sqref="BT28:BU28">
    <cfRule type="cellIs" dxfId="1278" priority="1443" operator="equal">
      <formula>0</formula>
    </cfRule>
    <cfRule type="cellIs" dxfId="1277" priority="1444" operator="equal">
      <formula>1</formula>
    </cfRule>
  </conditionalFormatting>
  <conditionalFormatting sqref="BU28">
    <cfRule type="cellIs" dxfId="1276" priority="1441" operator="equal">
      <formula>0</formula>
    </cfRule>
    <cfRule type="cellIs" dxfId="1275" priority="1442" operator="equal">
      <formula>1</formula>
    </cfRule>
  </conditionalFormatting>
  <conditionalFormatting sqref="BI92">
    <cfRule type="cellIs" dxfId="1274" priority="1579" operator="equal">
      <formula>"NO HABILITADO"</formula>
    </cfRule>
    <cfRule type="cellIs" dxfId="1273" priority="1580" operator="equal">
      <formula>"OK"</formula>
    </cfRule>
  </conditionalFormatting>
  <conditionalFormatting sqref="BV92">
    <cfRule type="cellIs" dxfId="1272" priority="1577" operator="equal">
      <formula>0</formula>
    </cfRule>
    <cfRule type="cellIs" dxfId="1271" priority="1578" operator="equal">
      <formula>1</formula>
    </cfRule>
  </conditionalFormatting>
  <conditionalFormatting sqref="BX92">
    <cfRule type="cellIs" dxfId="1270" priority="1575" operator="equal">
      <formula>0</formula>
    </cfRule>
    <cfRule type="cellIs" dxfId="1269" priority="1576" operator="equal">
      <formula>1</formula>
    </cfRule>
  </conditionalFormatting>
  <conditionalFormatting sqref="BT11:BU14 BT16:BU17 BT19:BU21">
    <cfRule type="cellIs" dxfId="1268" priority="1573" operator="equal">
      <formula>0</formula>
    </cfRule>
    <cfRule type="cellIs" dxfId="1267" priority="1574" operator="equal">
      <formula>1</formula>
    </cfRule>
  </conditionalFormatting>
  <conditionalFormatting sqref="BV11:BV14 BV16:BV17 BV19:BV21">
    <cfRule type="cellIs" dxfId="1266" priority="1571" operator="equal">
      <formula>0</formula>
    </cfRule>
    <cfRule type="cellIs" dxfId="1265" priority="1572" operator="equal">
      <formula>1</formula>
    </cfRule>
  </conditionalFormatting>
  <conditionalFormatting sqref="BT11:BU14 BT16:BU17 BT19:BU21">
    <cfRule type="cellIs" dxfId="1264" priority="1567" operator="equal">
      <formula>0</formula>
    </cfRule>
    <cfRule type="cellIs" dxfId="1263" priority="1568" operator="equal">
      <formula>1</formula>
    </cfRule>
  </conditionalFormatting>
  <conditionalFormatting sqref="BU11:BU14 BU16:BU17 BU19:BU21">
    <cfRule type="cellIs" dxfId="1262" priority="1565" operator="equal">
      <formula>0</formula>
    </cfRule>
    <cfRule type="cellIs" dxfId="1261" priority="1566" operator="equal">
      <formula>1</formula>
    </cfRule>
  </conditionalFormatting>
  <conditionalFormatting sqref="BQ92">
    <cfRule type="cellIs" dxfId="1260" priority="1561" operator="equal">
      <formula>0</formula>
    </cfRule>
    <cfRule type="cellIs" dxfId="1259" priority="1562" operator="equal">
      <formula>1</formula>
    </cfRule>
  </conditionalFormatting>
  <conditionalFormatting sqref="BS92">
    <cfRule type="cellIs" dxfId="1258" priority="1563" operator="equal">
      <formula>0</formula>
    </cfRule>
    <cfRule type="cellIs" dxfId="1257" priority="1564" operator="equal">
      <formula>1</formula>
    </cfRule>
  </conditionalFormatting>
  <conditionalFormatting sqref="CA95">
    <cfRule type="cellIs" dxfId="1256" priority="1439" operator="equal">
      <formula>"OK"</formula>
    </cfRule>
    <cfRule type="cellIs" dxfId="1255" priority="1440" operator="equal">
      <formula>"NO HABILITADO"</formula>
    </cfRule>
  </conditionalFormatting>
  <conditionalFormatting sqref="CL95">
    <cfRule type="cellIs" dxfId="1254" priority="1437" operator="equal">
      <formula>"OK"</formula>
    </cfRule>
    <cfRule type="cellIs" dxfId="1253" priority="1438" operator="equal">
      <formula>"NO HABILITADO"</formula>
    </cfRule>
  </conditionalFormatting>
  <conditionalFormatting sqref="CG11:CJ14 CG16:CJ17 CG19:CJ21 CG18">
    <cfRule type="cellIs" dxfId="1252" priority="1425" operator="equal">
      <formula>0</formula>
    </cfRule>
    <cfRule type="cellIs" dxfId="1251" priority="1426" operator="equal">
      <formula>1</formula>
    </cfRule>
  </conditionalFormatting>
  <conditionalFormatting sqref="CG22:CJ27 CG29:CJ32">
    <cfRule type="cellIs" dxfId="1250" priority="1411" operator="equal">
      <formula>0</formula>
    </cfRule>
    <cfRule type="cellIs" dxfId="1249" priority="1412" operator="equal">
      <formula>1</formula>
    </cfRule>
  </conditionalFormatting>
  <conditionalFormatting sqref="CK22:CL27 CK29:CL32">
    <cfRule type="cellIs" dxfId="1248" priority="1415" operator="equal">
      <formula>0</formula>
    </cfRule>
    <cfRule type="cellIs" dxfId="1247" priority="1416" operator="equal">
      <formula>1</formula>
    </cfRule>
  </conditionalFormatting>
  <conditionalFormatting sqref="CM22:CM27 CM29:CM32">
    <cfRule type="cellIs" dxfId="1246" priority="1413" operator="equal">
      <formula>0</formula>
    </cfRule>
    <cfRule type="cellIs" dxfId="1245" priority="1414" operator="equal">
      <formula>1</formula>
    </cfRule>
  </conditionalFormatting>
  <conditionalFormatting sqref="CK22:CL27 CK29:CL32">
    <cfRule type="cellIs" dxfId="1244" priority="1409" operator="equal">
      <formula>0</formula>
    </cfRule>
    <cfRule type="cellIs" dxfId="1243" priority="1410" operator="equal">
      <formula>1</formula>
    </cfRule>
  </conditionalFormatting>
  <conditionalFormatting sqref="CL22:CL27 CL29:CL32">
    <cfRule type="cellIs" dxfId="1242" priority="1407" operator="equal">
      <formula>0</formula>
    </cfRule>
    <cfRule type="cellIs" dxfId="1241" priority="1408" operator="equal">
      <formula>1</formula>
    </cfRule>
  </conditionalFormatting>
  <conditionalFormatting sqref="CG34:CJ42 CG44:CJ45">
    <cfRule type="cellIs" dxfId="1240" priority="1401" operator="equal">
      <formula>0</formula>
    </cfRule>
    <cfRule type="cellIs" dxfId="1239" priority="1402" operator="equal">
      <formula>1</formula>
    </cfRule>
  </conditionalFormatting>
  <conditionalFormatting sqref="CK34:CL42 CK44:CL45">
    <cfRule type="cellIs" dxfId="1238" priority="1405" operator="equal">
      <formula>0</formula>
    </cfRule>
    <cfRule type="cellIs" dxfId="1237" priority="1406" operator="equal">
      <formula>1</formula>
    </cfRule>
  </conditionalFormatting>
  <conditionalFormatting sqref="CM34:CM42 CM44:CM45">
    <cfRule type="cellIs" dxfId="1236" priority="1403" operator="equal">
      <formula>0</formula>
    </cfRule>
    <cfRule type="cellIs" dxfId="1235" priority="1404" operator="equal">
      <formula>1</formula>
    </cfRule>
  </conditionalFormatting>
  <conditionalFormatting sqref="CK34:CL42 CK44:CL45">
    <cfRule type="cellIs" dxfId="1234" priority="1399" operator="equal">
      <formula>0</formula>
    </cfRule>
    <cfRule type="cellIs" dxfId="1233" priority="1400" operator="equal">
      <formula>1</formula>
    </cfRule>
  </conditionalFormatting>
  <conditionalFormatting sqref="CL34:CL42 CL44:CL45">
    <cfRule type="cellIs" dxfId="1232" priority="1397" operator="equal">
      <formula>0</formula>
    </cfRule>
    <cfRule type="cellIs" dxfId="1231" priority="1398" operator="equal">
      <formula>1</formula>
    </cfRule>
  </conditionalFormatting>
  <conditionalFormatting sqref="CG47:CJ48 CG50:CJ55 CG58:CJ62 CG64:CJ65 CG67:CJ70">
    <cfRule type="cellIs" dxfId="1230" priority="1391" operator="equal">
      <formula>0</formula>
    </cfRule>
    <cfRule type="cellIs" dxfId="1229" priority="1392" operator="equal">
      <formula>1</formula>
    </cfRule>
  </conditionalFormatting>
  <conditionalFormatting sqref="CK47:CL48 CK50:CL55 CK58:CL62 CK64:CL65 CK67:CL70">
    <cfRule type="cellIs" dxfId="1228" priority="1395" operator="equal">
      <formula>0</formula>
    </cfRule>
    <cfRule type="cellIs" dxfId="1227" priority="1396" operator="equal">
      <formula>1</formula>
    </cfRule>
  </conditionalFormatting>
  <conditionalFormatting sqref="CM47:CM48 CM50:CM55 CM58:CM62 CM64:CM65 CM67:CM70">
    <cfRule type="cellIs" dxfId="1226" priority="1393" operator="equal">
      <formula>0</formula>
    </cfRule>
    <cfRule type="cellIs" dxfId="1225" priority="1394" operator="equal">
      <formula>1</formula>
    </cfRule>
  </conditionalFormatting>
  <conditionalFormatting sqref="CK47:CL48 CK50:CL55 CK58:CL62 CK64:CL65 CK67:CL70">
    <cfRule type="cellIs" dxfId="1224" priority="1389" operator="equal">
      <formula>0</formula>
    </cfRule>
    <cfRule type="cellIs" dxfId="1223" priority="1390" operator="equal">
      <formula>1</formula>
    </cfRule>
  </conditionalFormatting>
  <conditionalFormatting sqref="CL47:CL48 CL50:CL55 CL58:CL62 CL64:CL65 CL67:CL70">
    <cfRule type="cellIs" dxfId="1222" priority="1387" operator="equal">
      <formula>0</formula>
    </cfRule>
    <cfRule type="cellIs" dxfId="1221" priority="1388" operator="equal">
      <formula>1</formula>
    </cfRule>
  </conditionalFormatting>
  <conditionalFormatting sqref="CK72:CL79">
    <cfRule type="cellIs" dxfId="1220" priority="1379" operator="equal">
      <formula>0</formula>
    </cfRule>
    <cfRule type="cellIs" dxfId="1219" priority="1380" operator="equal">
      <formula>1</formula>
    </cfRule>
  </conditionalFormatting>
  <conditionalFormatting sqref="CL72:CL79">
    <cfRule type="cellIs" dxfId="1218" priority="1377" operator="equal">
      <formula>0</formula>
    </cfRule>
    <cfRule type="cellIs" dxfId="1217" priority="1378" operator="equal">
      <formula>1</formula>
    </cfRule>
  </conditionalFormatting>
  <conditionalFormatting sqref="CK15:CL15">
    <cfRule type="cellIs" dxfId="1216" priority="1375" operator="equal">
      <formula>0</formula>
    </cfRule>
    <cfRule type="cellIs" dxfId="1215" priority="1376" operator="equal">
      <formula>1</formula>
    </cfRule>
  </conditionalFormatting>
  <conditionalFormatting sqref="CM15">
    <cfRule type="cellIs" dxfId="1214" priority="1373" operator="equal">
      <formula>0</formula>
    </cfRule>
    <cfRule type="cellIs" dxfId="1213" priority="1374" operator="equal">
      <formula>1</formula>
    </cfRule>
  </conditionalFormatting>
  <conditionalFormatting sqref="CK15:CL15">
    <cfRule type="cellIs" dxfId="1212" priority="1369" operator="equal">
      <formula>0</formula>
    </cfRule>
    <cfRule type="cellIs" dxfId="1211" priority="1370" operator="equal">
      <formula>1</formula>
    </cfRule>
  </conditionalFormatting>
  <conditionalFormatting sqref="CL15">
    <cfRule type="cellIs" dxfId="1210" priority="1367" operator="equal">
      <formula>0</formula>
    </cfRule>
    <cfRule type="cellIs" dxfId="1209" priority="1368" operator="equal">
      <formula>1</formula>
    </cfRule>
  </conditionalFormatting>
  <conditionalFormatting sqref="CG33">
    <cfRule type="cellIs" dxfId="1208" priority="1365" operator="equal">
      <formula>0</formula>
    </cfRule>
    <cfRule type="cellIs" dxfId="1207" priority="1366" operator="equal">
      <formula>1</formula>
    </cfRule>
  </conditionalFormatting>
  <conditionalFormatting sqref="CG49">
    <cfRule type="cellIs" dxfId="1206" priority="1363" operator="equal">
      <formula>0</formula>
    </cfRule>
    <cfRule type="cellIs" dxfId="1205" priority="1364" operator="equal">
      <formula>1</formula>
    </cfRule>
  </conditionalFormatting>
  <conditionalFormatting sqref="CG43:CJ43">
    <cfRule type="cellIs" dxfId="1204" priority="1357" operator="equal">
      <formula>0</formula>
    </cfRule>
    <cfRule type="cellIs" dxfId="1203" priority="1358" operator="equal">
      <formula>1</formula>
    </cfRule>
  </conditionalFormatting>
  <conditionalFormatting sqref="CK43:CL43">
    <cfRule type="cellIs" dxfId="1202" priority="1361" operator="equal">
      <formula>0</formula>
    </cfRule>
    <cfRule type="cellIs" dxfId="1201" priority="1362" operator="equal">
      <formula>1</formula>
    </cfRule>
  </conditionalFormatting>
  <conditionalFormatting sqref="CM43">
    <cfRule type="cellIs" dxfId="1200" priority="1359" operator="equal">
      <formula>0</formula>
    </cfRule>
    <cfRule type="cellIs" dxfId="1199" priority="1360" operator="equal">
      <formula>1</formula>
    </cfRule>
  </conditionalFormatting>
  <conditionalFormatting sqref="CK43:CL43">
    <cfRule type="cellIs" dxfId="1198" priority="1355" operator="equal">
      <formula>0</formula>
    </cfRule>
    <cfRule type="cellIs" dxfId="1197" priority="1356" operator="equal">
      <formula>1</formula>
    </cfRule>
  </conditionalFormatting>
  <conditionalFormatting sqref="CL43">
    <cfRule type="cellIs" dxfId="1196" priority="1353" operator="equal">
      <formula>0</formula>
    </cfRule>
    <cfRule type="cellIs" dxfId="1195" priority="1354" operator="equal">
      <formula>1</formula>
    </cfRule>
  </conditionalFormatting>
  <conditionalFormatting sqref="CG46:CJ46">
    <cfRule type="cellIs" dxfId="1194" priority="1347" operator="equal">
      <formula>0</formula>
    </cfRule>
    <cfRule type="cellIs" dxfId="1193" priority="1348" operator="equal">
      <formula>1</formula>
    </cfRule>
  </conditionalFormatting>
  <conditionalFormatting sqref="CK46:CL46">
    <cfRule type="cellIs" dxfId="1192" priority="1351" operator="equal">
      <formula>0</formula>
    </cfRule>
    <cfRule type="cellIs" dxfId="1191" priority="1352" operator="equal">
      <formula>1</formula>
    </cfRule>
  </conditionalFormatting>
  <conditionalFormatting sqref="CM46">
    <cfRule type="cellIs" dxfId="1190" priority="1349" operator="equal">
      <formula>0</formula>
    </cfRule>
    <cfRule type="cellIs" dxfId="1189" priority="1350" operator="equal">
      <formula>1</formula>
    </cfRule>
  </conditionalFormatting>
  <conditionalFormatting sqref="CK46:CL46">
    <cfRule type="cellIs" dxfId="1188" priority="1345" operator="equal">
      <formula>0</formula>
    </cfRule>
    <cfRule type="cellIs" dxfId="1187" priority="1346" operator="equal">
      <formula>1</formula>
    </cfRule>
  </conditionalFormatting>
  <conditionalFormatting sqref="CL46">
    <cfRule type="cellIs" dxfId="1186" priority="1343" operator="equal">
      <formula>0</formula>
    </cfRule>
    <cfRule type="cellIs" dxfId="1185" priority="1344" operator="equal">
      <formula>1</formula>
    </cfRule>
  </conditionalFormatting>
  <conditionalFormatting sqref="CK56:CL56">
    <cfRule type="cellIs" dxfId="1184" priority="1341" operator="equal">
      <formula>0</formula>
    </cfRule>
    <cfRule type="cellIs" dxfId="1183" priority="1342" operator="equal">
      <formula>1</formula>
    </cfRule>
  </conditionalFormatting>
  <conditionalFormatting sqref="CM56">
    <cfRule type="cellIs" dxfId="1182" priority="1339" operator="equal">
      <formula>0</formula>
    </cfRule>
    <cfRule type="cellIs" dxfId="1181" priority="1340" operator="equal">
      <formula>1</formula>
    </cfRule>
  </conditionalFormatting>
  <conditionalFormatting sqref="CK56:CL56">
    <cfRule type="cellIs" dxfId="1180" priority="1335" operator="equal">
      <formula>0</formula>
    </cfRule>
    <cfRule type="cellIs" dxfId="1179" priority="1336" operator="equal">
      <formula>1</formula>
    </cfRule>
  </conditionalFormatting>
  <conditionalFormatting sqref="CL56">
    <cfRule type="cellIs" dxfId="1178" priority="1333" operator="equal">
      <formula>0</formula>
    </cfRule>
    <cfRule type="cellIs" dxfId="1177" priority="1334" operator="equal">
      <formula>1</formula>
    </cfRule>
  </conditionalFormatting>
  <conditionalFormatting sqref="CG57">
    <cfRule type="cellIs" dxfId="1176" priority="1331" operator="equal">
      <formula>0</formula>
    </cfRule>
    <cfRule type="cellIs" dxfId="1175" priority="1332" operator="equal">
      <formula>1</formula>
    </cfRule>
  </conditionalFormatting>
  <conditionalFormatting sqref="CG63">
    <cfRule type="cellIs" dxfId="1174" priority="1329" operator="equal">
      <formula>0</formula>
    </cfRule>
    <cfRule type="cellIs" dxfId="1173" priority="1330" operator="equal">
      <formula>1</formula>
    </cfRule>
  </conditionalFormatting>
  <conditionalFormatting sqref="CG66">
    <cfRule type="cellIs" dxfId="1172" priority="1327" operator="equal">
      <formula>0</formula>
    </cfRule>
    <cfRule type="cellIs" dxfId="1171" priority="1328" operator="equal">
      <formula>1</formula>
    </cfRule>
  </conditionalFormatting>
  <conditionalFormatting sqref="CG71:CJ71">
    <cfRule type="cellIs" dxfId="1170" priority="1321" operator="equal">
      <formula>0</formula>
    </cfRule>
    <cfRule type="cellIs" dxfId="1169" priority="1322" operator="equal">
      <formula>1</formula>
    </cfRule>
  </conditionalFormatting>
  <conditionalFormatting sqref="CK71:CL71">
    <cfRule type="cellIs" dxfId="1168" priority="1325" operator="equal">
      <formula>0</formula>
    </cfRule>
    <cfRule type="cellIs" dxfId="1167" priority="1326" operator="equal">
      <formula>1</formula>
    </cfRule>
  </conditionalFormatting>
  <conditionalFormatting sqref="CM71">
    <cfRule type="cellIs" dxfId="1166" priority="1323" operator="equal">
      <formula>0</formula>
    </cfRule>
    <cfRule type="cellIs" dxfId="1165" priority="1324" operator="equal">
      <formula>1</formula>
    </cfRule>
  </conditionalFormatting>
  <conditionalFormatting sqref="CK71:CL71">
    <cfRule type="cellIs" dxfId="1164" priority="1319" operator="equal">
      <formula>0</formula>
    </cfRule>
    <cfRule type="cellIs" dxfId="1163" priority="1320" operator="equal">
      <formula>1</formula>
    </cfRule>
  </conditionalFormatting>
  <conditionalFormatting sqref="CL71">
    <cfRule type="cellIs" dxfId="1162" priority="1317" operator="equal">
      <formula>0</formula>
    </cfRule>
    <cfRule type="cellIs" dxfId="1161" priority="1318" operator="equal">
      <formula>1</formula>
    </cfRule>
  </conditionalFormatting>
  <conditionalFormatting sqref="CG80:CJ80">
    <cfRule type="cellIs" dxfId="1160" priority="1311" operator="equal">
      <formula>0</formula>
    </cfRule>
    <cfRule type="cellIs" dxfId="1159" priority="1312" operator="equal">
      <formula>1</formula>
    </cfRule>
  </conditionalFormatting>
  <conditionalFormatting sqref="CK80:CL80">
    <cfRule type="cellIs" dxfId="1158" priority="1315" operator="equal">
      <formula>0</formula>
    </cfRule>
    <cfRule type="cellIs" dxfId="1157" priority="1316" operator="equal">
      <formula>1</formula>
    </cfRule>
  </conditionalFormatting>
  <conditionalFormatting sqref="CM80">
    <cfRule type="cellIs" dxfId="1156" priority="1313" operator="equal">
      <formula>0</formula>
    </cfRule>
    <cfRule type="cellIs" dxfId="1155" priority="1314" operator="equal">
      <formula>1</formula>
    </cfRule>
  </conditionalFormatting>
  <conditionalFormatting sqref="CK80:CL80">
    <cfRule type="cellIs" dxfId="1154" priority="1309" operator="equal">
      <formula>0</formula>
    </cfRule>
    <cfRule type="cellIs" dxfId="1153" priority="1310" operator="equal">
      <formula>1</formula>
    </cfRule>
  </conditionalFormatting>
  <conditionalFormatting sqref="CL80">
    <cfRule type="cellIs" dxfId="1152" priority="1307" operator="equal">
      <formula>0</formula>
    </cfRule>
    <cfRule type="cellIs" dxfId="1151" priority="1308" operator="equal">
      <formula>1</formula>
    </cfRule>
  </conditionalFormatting>
  <conditionalFormatting sqref="CG28:CJ28">
    <cfRule type="cellIs" dxfId="1150" priority="1301" operator="equal">
      <formula>0</formula>
    </cfRule>
    <cfRule type="cellIs" dxfId="1149" priority="1302" operator="equal">
      <formula>1</formula>
    </cfRule>
  </conditionalFormatting>
  <conditionalFormatting sqref="CK28:CL28">
    <cfRule type="cellIs" dxfId="1148" priority="1305" operator="equal">
      <formula>0</formula>
    </cfRule>
    <cfRule type="cellIs" dxfId="1147" priority="1306" operator="equal">
      <formula>1</formula>
    </cfRule>
  </conditionalFormatting>
  <conditionalFormatting sqref="CM28">
    <cfRule type="cellIs" dxfId="1146" priority="1303" operator="equal">
      <formula>0</formula>
    </cfRule>
    <cfRule type="cellIs" dxfId="1145" priority="1304" operator="equal">
      <formula>1</formula>
    </cfRule>
  </conditionalFormatting>
  <conditionalFormatting sqref="CK28:CL28">
    <cfRule type="cellIs" dxfId="1144" priority="1299" operator="equal">
      <formula>0</formula>
    </cfRule>
    <cfRule type="cellIs" dxfId="1143" priority="1300" operator="equal">
      <formula>1</formula>
    </cfRule>
  </conditionalFormatting>
  <conditionalFormatting sqref="CL28">
    <cfRule type="cellIs" dxfId="1142" priority="1297" operator="equal">
      <formula>0</formula>
    </cfRule>
    <cfRule type="cellIs" dxfId="1141" priority="1298" operator="equal">
      <formula>1</formula>
    </cfRule>
  </conditionalFormatting>
  <conditionalFormatting sqref="BZ92">
    <cfRule type="cellIs" dxfId="1140" priority="1435" operator="equal">
      <formula>"NO HABILITADO"</formula>
    </cfRule>
    <cfRule type="cellIs" dxfId="1139" priority="1436" operator="equal">
      <formula>"OK"</formula>
    </cfRule>
  </conditionalFormatting>
  <conditionalFormatting sqref="CM92">
    <cfRule type="cellIs" dxfId="1138" priority="1433" operator="equal">
      <formula>0</formula>
    </cfRule>
    <cfRule type="cellIs" dxfId="1137" priority="1434" operator="equal">
      <formula>1</formula>
    </cfRule>
  </conditionalFormatting>
  <conditionalFormatting sqref="CO92">
    <cfRule type="cellIs" dxfId="1136" priority="1431" operator="equal">
      <formula>0</formula>
    </cfRule>
    <cfRule type="cellIs" dxfId="1135" priority="1432" operator="equal">
      <formula>1</formula>
    </cfRule>
  </conditionalFormatting>
  <conditionalFormatting sqref="CK11:CL14 CK16:CL17 CK19:CL21">
    <cfRule type="cellIs" dxfId="1134" priority="1429" operator="equal">
      <formula>0</formula>
    </cfRule>
    <cfRule type="cellIs" dxfId="1133" priority="1430" operator="equal">
      <formula>1</formula>
    </cfRule>
  </conditionalFormatting>
  <conditionalFormatting sqref="CM11:CM14 CM16:CM17 CM19:CM21">
    <cfRule type="cellIs" dxfId="1132" priority="1427" operator="equal">
      <formula>0</formula>
    </cfRule>
    <cfRule type="cellIs" dxfId="1131" priority="1428" operator="equal">
      <formula>1</formula>
    </cfRule>
  </conditionalFormatting>
  <conditionalFormatting sqref="CK11:CL14 CK16:CL17 CK19:CL21">
    <cfRule type="cellIs" dxfId="1130" priority="1423" operator="equal">
      <formula>0</formula>
    </cfRule>
    <cfRule type="cellIs" dxfId="1129" priority="1424" operator="equal">
      <formula>1</formula>
    </cfRule>
  </conditionalFormatting>
  <conditionalFormatting sqref="CL11:CL14 CL16:CL17 CL19:CL21">
    <cfRule type="cellIs" dxfId="1128" priority="1421" operator="equal">
      <formula>0</formula>
    </cfRule>
    <cfRule type="cellIs" dxfId="1127" priority="1422" operator="equal">
      <formula>1</formula>
    </cfRule>
  </conditionalFormatting>
  <conditionalFormatting sqref="CH92">
    <cfRule type="cellIs" dxfId="1126" priority="1417" operator="equal">
      <formula>0</formula>
    </cfRule>
    <cfRule type="cellIs" dxfId="1125" priority="1418" operator="equal">
      <formula>1</formula>
    </cfRule>
  </conditionalFormatting>
  <conditionalFormatting sqref="CJ92">
    <cfRule type="cellIs" dxfId="1124" priority="1419" operator="equal">
      <formula>0</formula>
    </cfRule>
    <cfRule type="cellIs" dxfId="1123" priority="1420" operator="equal">
      <formula>1</formula>
    </cfRule>
  </conditionalFormatting>
  <conditionalFormatting sqref="CR95">
    <cfRule type="cellIs" dxfId="1122" priority="1295" operator="equal">
      <formula>"OK"</formula>
    </cfRule>
    <cfRule type="cellIs" dxfId="1121" priority="1296" operator="equal">
      <formula>"NO HABILITADO"</formula>
    </cfRule>
  </conditionalFormatting>
  <conditionalFormatting sqref="DC95">
    <cfRule type="cellIs" dxfId="1120" priority="1293" operator="equal">
      <formula>"OK"</formula>
    </cfRule>
    <cfRule type="cellIs" dxfId="1119" priority="1294" operator="equal">
      <formula>"NO HABILITADO"</formula>
    </cfRule>
  </conditionalFormatting>
  <conditionalFormatting sqref="CX11:DA14 CX16:DA17 CX19:DA21 CX18">
    <cfRule type="cellIs" dxfId="1118" priority="1281" operator="equal">
      <formula>0</formula>
    </cfRule>
    <cfRule type="cellIs" dxfId="1117" priority="1282" operator="equal">
      <formula>1</formula>
    </cfRule>
  </conditionalFormatting>
  <conditionalFormatting sqref="CX22:DA27 CX29:DA32">
    <cfRule type="cellIs" dxfId="1116" priority="1267" operator="equal">
      <formula>0</formula>
    </cfRule>
    <cfRule type="cellIs" dxfId="1115" priority="1268" operator="equal">
      <formula>1</formula>
    </cfRule>
  </conditionalFormatting>
  <conditionalFormatting sqref="DB22:DC27 DB29:DC32">
    <cfRule type="cellIs" dxfId="1114" priority="1271" operator="equal">
      <formula>0</formula>
    </cfRule>
    <cfRule type="cellIs" dxfId="1113" priority="1272" operator="equal">
      <formula>1</formula>
    </cfRule>
  </conditionalFormatting>
  <conditionalFormatting sqref="DD22:DD27 DD29:DD32">
    <cfRule type="cellIs" dxfId="1112" priority="1269" operator="equal">
      <formula>0</formula>
    </cfRule>
    <cfRule type="cellIs" dxfId="1111" priority="1270" operator="equal">
      <formula>1</formula>
    </cfRule>
  </conditionalFormatting>
  <conditionalFormatting sqref="DB22:DC27 DB29:DC32">
    <cfRule type="cellIs" dxfId="1110" priority="1265" operator="equal">
      <formula>0</formula>
    </cfRule>
    <cfRule type="cellIs" dxfId="1109" priority="1266" operator="equal">
      <formula>1</formula>
    </cfRule>
  </conditionalFormatting>
  <conditionalFormatting sqref="DC22:DC27 DC29:DC32">
    <cfRule type="cellIs" dxfId="1108" priority="1263" operator="equal">
      <formula>0</formula>
    </cfRule>
    <cfRule type="cellIs" dxfId="1107" priority="1264" operator="equal">
      <formula>1</formula>
    </cfRule>
  </conditionalFormatting>
  <conditionalFormatting sqref="CX34:DA42 CX44:DA45">
    <cfRule type="cellIs" dxfId="1106" priority="1257" operator="equal">
      <formula>0</formula>
    </cfRule>
    <cfRule type="cellIs" dxfId="1105" priority="1258" operator="equal">
      <formula>1</formula>
    </cfRule>
  </conditionalFormatting>
  <conditionalFormatting sqref="DB34:DC42 DB44:DC45">
    <cfRule type="cellIs" dxfId="1104" priority="1261" operator="equal">
      <formula>0</formula>
    </cfRule>
    <cfRule type="cellIs" dxfId="1103" priority="1262" operator="equal">
      <formula>1</formula>
    </cfRule>
  </conditionalFormatting>
  <conditionalFormatting sqref="DD34:DD42 DD44:DD45">
    <cfRule type="cellIs" dxfId="1102" priority="1259" operator="equal">
      <formula>0</formula>
    </cfRule>
    <cfRule type="cellIs" dxfId="1101" priority="1260" operator="equal">
      <formula>1</formula>
    </cfRule>
  </conditionalFormatting>
  <conditionalFormatting sqref="DB34:DC42 DB44:DC45">
    <cfRule type="cellIs" dxfId="1100" priority="1255" operator="equal">
      <formula>0</formula>
    </cfRule>
    <cfRule type="cellIs" dxfId="1099" priority="1256" operator="equal">
      <formula>1</formula>
    </cfRule>
  </conditionalFormatting>
  <conditionalFormatting sqref="DC34:DC42 DC44:DC45">
    <cfRule type="cellIs" dxfId="1098" priority="1253" operator="equal">
      <formula>0</formula>
    </cfRule>
    <cfRule type="cellIs" dxfId="1097" priority="1254" operator="equal">
      <formula>1</formula>
    </cfRule>
  </conditionalFormatting>
  <conditionalFormatting sqref="CX47:DA48 CX50:DA55 CX58:DA62 CX64:DA65 CX67:DA70">
    <cfRule type="cellIs" dxfId="1096" priority="1247" operator="equal">
      <formula>0</formula>
    </cfRule>
    <cfRule type="cellIs" dxfId="1095" priority="1248" operator="equal">
      <formula>1</formula>
    </cfRule>
  </conditionalFormatting>
  <conditionalFormatting sqref="DB47:DC48 DB50:DC55 DB58:DC62 DB64:DC65 DB67:DC70">
    <cfRule type="cellIs" dxfId="1094" priority="1251" operator="equal">
      <formula>0</formula>
    </cfRule>
    <cfRule type="cellIs" dxfId="1093" priority="1252" operator="equal">
      <formula>1</formula>
    </cfRule>
  </conditionalFormatting>
  <conditionalFormatting sqref="DD47:DD48 DD50:DD55 DD58:DD62 DD64:DD65 DD67:DD70">
    <cfRule type="cellIs" dxfId="1092" priority="1249" operator="equal">
      <formula>0</formula>
    </cfRule>
    <cfRule type="cellIs" dxfId="1091" priority="1250" operator="equal">
      <formula>1</formula>
    </cfRule>
  </conditionalFormatting>
  <conditionalFormatting sqref="DB47:DC48 DB50:DC55 DB58:DC62 DB64:DC65 DB67:DC70">
    <cfRule type="cellIs" dxfId="1090" priority="1245" operator="equal">
      <formula>0</formula>
    </cfRule>
    <cfRule type="cellIs" dxfId="1089" priority="1246" operator="equal">
      <formula>1</formula>
    </cfRule>
  </conditionalFormatting>
  <conditionalFormatting sqref="DC47:DC48 DC50:DC55 DC58:DC62 DC64:DC65 DC67:DC70">
    <cfRule type="cellIs" dxfId="1088" priority="1243" operator="equal">
      <formula>0</formula>
    </cfRule>
    <cfRule type="cellIs" dxfId="1087" priority="1244" operator="equal">
      <formula>1</formula>
    </cfRule>
  </conditionalFormatting>
  <conditionalFormatting sqref="CX72:DA79">
    <cfRule type="cellIs" dxfId="1086" priority="1237" operator="equal">
      <formula>0</formula>
    </cfRule>
    <cfRule type="cellIs" dxfId="1085" priority="1238" operator="equal">
      <formula>1</formula>
    </cfRule>
  </conditionalFormatting>
  <conditionalFormatting sqref="DB72:DC79">
    <cfRule type="cellIs" dxfId="1084" priority="1241" operator="equal">
      <formula>0</formula>
    </cfRule>
    <cfRule type="cellIs" dxfId="1083" priority="1242" operator="equal">
      <formula>1</formula>
    </cfRule>
  </conditionalFormatting>
  <conditionalFormatting sqref="DD72:DD79">
    <cfRule type="cellIs" dxfId="1082" priority="1239" operator="equal">
      <formula>0</formula>
    </cfRule>
    <cfRule type="cellIs" dxfId="1081" priority="1240" operator="equal">
      <formula>1</formula>
    </cfRule>
  </conditionalFormatting>
  <conditionalFormatting sqref="DB72:DC79">
    <cfRule type="cellIs" dxfId="1080" priority="1235" operator="equal">
      <formula>0</formula>
    </cfRule>
    <cfRule type="cellIs" dxfId="1079" priority="1236" operator="equal">
      <formula>1</formula>
    </cfRule>
  </conditionalFormatting>
  <conditionalFormatting sqref="DC72:DC79">
    <cfRule type="cellIs" dxfId="1078" priority="1233" operator="equal">
      <formula>0</formula>
    </cfRule>
    <cfRule type="cellIs" dxfId="1077" priority="1234" operator="equal">
      <formula>1</formula>
    </cfRule>
  </conditionalFormatting>
  <conditionalFormatting sqref="CX15:DA15">
    <cfRule type="cellIs" dxfId="1076" priority="1227" operator="equal">
      <formula>0</formula>
    </cfRule>
    <cfRule type="cellIs" dxfId="1075" priority="1228" operator="equal">
      <formula>1</formula>
    </cfRule>
  </conditionalFormatting>
  <conditionalFormatting sqref="DB15:DC15">
    <cfRule type="cellIs" dxfId="1074" priority="1231" operator="equal">
      <formula>0</formula>
    </cfRule>
    <cfRule type="cellIs" dxfId="1073" priority="1232" operator="equal">
      <formula>1</formula>
    </cfRule>
  </conditionalFormatting>
  <conditionalFormatting sqref="DD15">
    <cfRule type="cellIs" dxfId="1072" priority="1229" operator="equal">
      <formula>0</formula>
    </cfRule>
    <cfRule type="cellIs" dxfId="1071" priority="1230" operator="equal">
      <formula>1</formula>
    </cfRule>
  </conditionalFormatting>
  <conditionalFormatting sqref="DB15:DC15">
    <cfRule type="cellIs" dxfId="1070" priority="1225" operator="equal">
      <formula>0</formula>
    </cfRule>
    <cfRule type="cellIs" dxfId="1069" priority="1226" operator="equal">
      <formula>1</formula>
    </cfRule>
  </conditionalFormatting>
  <conditionalFormatting sqref="DC15">
    <cfRule type="cellIs" dxfId="1068" priority="1223" operator="equal">
      <formula>0</formula>
    </cfRule>
    <cfRule type="cellIs" dxfId="1067" priority="1224" operator="equal">
      <formula>1</formula>
    </cfRule>
  </conditionalFormatting>
  <conditionalFormatting sqref="CX33">
    <cfRule type="cellIs" dxfId="1066" priority="1221" operator="equal">
      <formula>0</formula>
    </cfRule>
    <cfRule type="cellIs" dxfId="1065" priority="1222" operator="equal">
      <formula>1</formula>
    </cfRule>
  </conditionalFormatting>
  <conditionalFormatting sqref="CX49">
    <cfRule type="cellIs" dxfId="1064" priority="1219" operator="equal">
      <formula>0</formula>
    </cfRule>
    <cfRule type="cellIs" dxfId="1063" priority="1220" operator="equal">
      <formula>1</formula>
    </cfRule>
  </conditionalFormatting>
  <conditionalFormatting sqref="CX43:DA43">
    <cfRule type="cellIs" dxfId="1062" priority="1213" operator="equal">
      <formula>0</formula>
    </cfRule>
    <cfRule type="cellIs" dxfId="1061" priority="1214" operator="equal">
      <formula>1</formula>
    </cfRule>
  </conditionalFormatting>
  <conditionalFormatting sqref="DB43:DC43">
    <cfRule type="cellIs" dxfId="1060" priority="1217" operator="equal">
      <formula>0</formula>
    </cfRule>
    <cfRule type="cellIs" dxfId="1059" priority="1218" operator="equal">
      <formula>1</formula>
    </cfRule>
  </conditionalFormatting>
  <conditionalFormatting sqref="DD43">
    <cfRule type="cellIs" dxfId="1058" priority="1215" operator="equal">
      <formula>0</formula>
    </cfRule>
    <cfRule type="cellIs" dxfId="1057" priority="1216" operator="equal">
      <formula>1</formula>
    </cfRule>
  </conditionalFormatting>
  <conditionalFormatting sqref="DB43:DC43">
    <cfRule type="cellIs" dxfId="1056" priority="1211" operator="equal">
      <formula>0</formula>
    </cfRule>
    <cfRule type="cellIs" dxfId="1055" priority="1212" operator="equal">
      <formula>1</formula>
    </cfRule>
  </conditionalFormatting>
  <conditionalFormatting sqref="DC43">
    <cfRule type="cellIs" dxfId="1054" priority="1209" operator="equal">
      <formula>0</formula>
    </cfRule>
    <cfRule type="cellIs" dxfId="1053" priority="1210" operator="equal">
      <formula>1</formula>
    </cfRule>
  </conditionalFormatting>
  <conditionalFormatting sqref="CX46:DA46">
    <cfRule type="cellIs" dxfId="1052" priority="1203" operator="equal">
      <formula>0</formula>
    </cfRule>
    <cfRule type="cellIs" dxfId="1051" priority="1204" operator="equal">
      <formula>1</formula>
    </cfRule>
  </conditionalFormatting>
  <conditionalFormatting sqref="DB46:DC46">
    <cfRule type="cellIs" dxfId="1050" priority="1207" operator="equal">
      <formula>0</formula>
    </cfRule>
    <cfRule type="cellIs" dxfId="1049" priority="1208" operator="equal">
      <formula>1</formula>
    </cfRule>
  </conditionalFormatting>
  <conditionalFormatting sqref="DD46">
    <cfRule type="cellIs" dxfId="1048" priority="1205" operator="equal">
      <formula>0</formula>
    </cfRule>
    <cfRule type="cellIs" dxfId="1047" priority="1206" operator="equal">
      <formula>1</formula>
    </cfRule>
  </conditionalFormatting>
  <conditionalFormatting sqref="DB46:DC46">
    <cfRule type="cellIs" dxfId="1046" priority="1201" operator="equal">
      <formula>0</formula>
    </cfRule>
    <cfRule type="cellIs" dxfId="1045" priority="1202" operator="equal">
      <formula>1</formula>
    </cfRule>
  </conditionalFormatting>
  <conditionalFormatting sqref="DC46">
    <cfRule type="cellIs" dxfId="1044" priority="1199" operator="equal">
      <formula>0</formula>
    </cfRule>
    <cfRule type="cellIs" dxfId="1043" priority="1200" operator="equal">
      <formula>1</formula>
    </cfRule>
  </conditionalFormatting>
  <conditionalFormatting sqref="CX56:DA56">
    <cfRule type="cellIs" dxfId="1042" priority="1193" operator="equal">
      <formula>0</formula>
    </cfRule>
    <cfRule type="cellIs" dxfId="1041" priority="1194" operator="equal">
      <formula>1</formula>
    </cfRule>
  </conditionalFormatting>
  <conditionalFormatting sqref="DB56:DC56">
    <cfRule type="cellIs" dxfId="1040" priority="1197" operator="equal">
      <formula>0</formula>
    </cfRule>
    <cfRule type="cellIs" dxfId="1039" priority="1198" operator="equal">
      <formula>1</formula>
    </cfRule>
  </conditionalFormatting>
  <conditionalFormatting sqref="DD56">
    <cfRule type="cellIs" dxfId="1038" priority="1195" operator="equal">
      <formula>0</formula>
    </cfRule>
    <cfRule type="cellIs" dxfId="1037" priority="1196" operator="equal">
      <formula>1</formula>
    </cfRule>
  </conditionalFormatting>
  <conditionalFormatting sqref="DB56:DC56">
    <cfRule type="cellIs" dxfId="1036" priority="1191" operator="equal">
      <formula>0</formula>
    </cfRule>
    <cfRule type="cellIs" dxfId="1035" priority="1192" operator="equal">
      <formula>1</formula>
    </cfRule>
  </conditionalFormatting>
  <conditionalFormatting sqref="DC56">
    <cfRule type="cellIs" dxfId="1034" priority="1189" operator="equal">
      <formula>0</formula>
    </cfRule>
    <cfRule type="cellIs" dxfId="1033" priority="1190" operator="equal">
      <formula>1</formula>
    </cfRule>
  </conditionalFormatting>
  <conditionalFormatting sqref="CX57">
    <cfRule type="cellIs" dxfId="1032" priority="1187" operator="equal">
      <formula>0</formula>
    </cfRule>
    <cfRule type="cellIs" dxfId="1031" priority="1188" operator="equal">
      <formula>1</formula>
    </cfRule>
  </conditionalFormatting>
  <conditionalFormatting sqref="CX63">
    <cfRule type="cellIs" dxfId="1030" priority="1185" operator="equal">
      <formula>0</formula>
    </cfRule>
    <cfRule type="cellIs" dxfId="1029" priority="1186" operator="equal">
      <formula>1</formula>
    </cfRule>
  </conditionalFormatting>
  <conditionalFormatting sqref="CX66">
    <cfRule type="cellIs" dxfId="1028" priority="1183" operator="equal">
      <formula>0</formula>
    </cfRule>
    <cfRule type="cellIs" dxfId="1027" priority="1184" operator="equal">
      <formula>1</formula>
    </cfRule>
  </conditionalFormatting>
  <conditionalFormatting sqref="CX71:DA71">
    <cfRule type="cellIs" dxfId="1026" priority="1177" operator="equal">
      <formula>0</formula>
    </cfRule>
    <cfRule type="cellIs" dxfId="1025" priority="1178" operator="equal">
      <formula>1</formula>
    </cfRule>
  </conditionalFormatting>
  <conditionalFormatting sqref="DB71:DC71">
    <cfRule type="cellIs" dxfId="1024" priority="1181" operator="equal">
      <formula>0</formula>
    </cfRule>
    <cfRule type="cellIs" dxfId="1023" priority="1182" operator="equal">
      <formula>1</formula>
    </cfRule>
  </conditionalFormatting>
  <conditionalFormatting sqref="DD71">
    <cfRule type="cellIs" dxfId="1022" priority="1179" operator="equal">
      <formula>0</formula>
    </cfRule>
    <cfRule type="cellIs" dxfId="1021" priority="1180" operator="equal">
      <formula>1</formula>
    </cfRule>
  </conditionalFormatting>
  <conditionalFormatting sqref="DB71:DC71">
    <cfRule type="cellIs" dxfId="1020" priority="1175" operator="equal">
      <formula>0</formula>
    </cfRule>
    <cfRule type="cellIs" dxfId="1019" priority="1176" operator="equal">
      <formula>1</formula>
    </cfRule>
  </conditionalFormatting>
  <conditionalFormatting sqref="DC71">
    <cfRule type="cellIs" dxfId="1018" priority="1173" operator="equal">
      <formula>0</formula>
    </cfRule>
    <cfRule type="cellIs" dxfId="1017" priority="1174" operator="equal">
      <formula>1</formula>
    </cfRule>
  </conditionalFormatting>
  <conditionalFormatting sqref="CX80:DA80">
    <cfRule type="cellIs" dxfId="1016" priority="1167" operator="equal">
      <formula>0</formula>
    </cfRule>
    <cfRule type="cellIs" dxfId="1015" priority="1168" operator="equal">
      <formula>1</formula>
    </cfRule>
  </conditionalFormatting>
  <conditionalFormatting sqref="DB80:DC80">
    <cfRule type="cellIs" dxfId="1014" priority="1171" operator="equal">
      <formula>0</formula>
    </cfRule>
    <cfRule type="cellIs" dxfId="1013" priority="1172" operator="equal">
      <formula>1</formula>
    </cfRule>
  </conditionalFormatting>
  <conditionalFormatting sqref="DD80">
    <cfRule type="cellIs" dxfId="1012" priority="1169" operator="equal">
      <formula>0</formula>
    </cfRule>
    <cfRule type="cellIs" dxfId="1011" priority="1170" operator="equal">
      <formula>1</formula>
    </cfRule>
  </conditionalFormatting>
  <conditionalFormatting sqref="DB80:DC80">
    <cfRule type="cellIs" dxfId="1010" priority="1165" operator="equal">
      <formula>0</formula>
    </cfRule>
    <cfRule type="cellIs" dxfId="1009" priority="1166" operator="equal">
      <formula>1</formula>
    </cfRule>
  </conditionalFormatting>
  <conditionalFormatting sqref="DC80">
    <cfRule type="cellIs" dxfId="1008" priority="1163" operator="equal">
      <formula>0</formula>
    </cfRule>
    <cfRule type="cellIs" dxfId="1007" priority="1164" operator="equal">
      <formula>1</formula>
    </cfRule>
  </conditionalFormatting>
  <conditionalFormatting sqref="CX28:DA28">
    <cfRule type="cellIs" dxfId="1006" priority="1157" operator="equal">
      <formula>0</formula>
    </cfRule>
    <cfRule type="cellIs" dxfId="1005" priority="1158" operator="equal">
      <formula>1</formula>
    </cfRule>
  </conditionalFormatting>
  <conditionalFormatting sqref="DB28:DC28">
    <cfRule type="cellIs" dxfId="1004" priority="1161" operator="equal">
      <formula>0</formula>
    </cfRule>
    <cfRule type="cellIs" dxfId="1003" priority="1162" operator="equal">
      <formula>1</formula>
    </cfRule>
  </conditionalFormatting>
  <conditionalFormatting sqref="DD28">
    <cfRule type="cellIs" dxfId="1002" priority="1159" operator="equal">
      <formula>0</formula>
    </cfRule>
    <cfRule type="cellIs" dxfId="1001" priority="1160" operator="equal">
      <formula>1</formula>
    </cfRule>
  </conditionalFormatting>
  <conditionalFormatting sqref="DB28:DC28">
    <cfRule type="cellIs" dxfId="1000" priority="1155" operator="equal">
      <formula>0</formula>
    </cfRule>
    <cfRule type="cellIs" dxfId="999" priority="1156" operator="equal">
      <formula>1</formula>
    </cfRule>
  </conditionalFormatting>
  <conditionalFormatting sqref="DC28">
    <cfRule type="cellIs" dxfId="998" priority="1153" operator="equal">
      <formula>0</formula>
    </cfRule>
    <cfRule type="cellIs" dxfId="997" priority="1154" operator="equal">
      <formula>1</formula>
    </cfRule>
  </conditionalFormatting>
  <conditionalFormatting sqref="CQ92">
    <cfRule type="cellIs" dxfId="996" priority="1291" operator="equal">
      <formula>"NO HABILITADO"</formula>
    </cfRule>
    <cfRule type="cellIs" dxfId="995" priority="1292" operator="equal">
      <formula>"OK"</formula>
    </cfRule>
  </conditionalFormatting>
  <conditionalFormatting sqref="DD92">
    <cfRule type="cellIs" dxfId="994" priority="1289" operator="equal">
      <formula>0</formula>
    </cfRule>
    <cfRule type="cellIs" dxfId="993" priority="1290" operator="equal">
      <formula>1</formula>
    </cfRule>
  </conditionalFormatting>
  <conditionalFormatting sqref="DF92">
    <cfRule type="cellIs" dxfId="992" priority="1287" operator="equal">
      <formula>0</formula>
    </cfRule>
    <cfRule type="cellIs" dxfId="991" priority="1288" operator="equal">
      <formula>1</formula>
    </cfRule>
  </conditionalFormatting>
  <conditionalFormatting sqref="DB11:DC14 DB16:DC17 DB19:DC21">
    <cfRule type="cellIs" dxfId="990" priority="1285" operator="equal">
      <formula>0</formula>
    </cfRule>
    <cfRule type="cellIs" dxfId="989" priority="1286" operator="equal">
      <formula>1</formula>
    </cfRule>
  </conditionalFormatting>
  <conditionalFormatting sqref="DD11:DD14 DD16:DD17 DD19:DD21">
    <cfRule type="cellIs" dxfId="988" priority="1283" operator="equal">
      <formula>0</formula>
    </cfRule>
    <cfRule type="cellIs" dxfId="987" priority="1284" operator="equal">
      <formula>1</formula>
    </cfRule>
  </conditionalFormatting>
  <conditionalFormatting sqref="DB11:DC14 DB16:DC17 DB19:DC21">
    <cfRule type="cellIs" dxfId="986" priority="1279" operator="equal">
      <formula>0</formula>
    </cfRule>
    <cfRule type="cellIs" dxfId="985" priority="1280" operator="equal">
      <formula>1</formula>
    </cfRule>
  </conditionalFormatting>
  <conditionalFormatting sqref="DC11:DC14 DC16:DC17 DC19:DC21">
    <cfRule type="cellIs" dxfId="984" priority="1277" operator="equal">
      <formula>0</formula>
    </cfRule>
    <cfRule type="cellIs" dxfId="983" priority="1278" operator="equal">
      <formula>1</formula>
    </cfRule>
  </conditionalFormatting>
  <conditionalFormatting sqref="CY92">
    <cfRule type="cellIs" dxfId="982" priority="1273" operator="equal">
      <formula>0</formula>
    </cfRule>
    <cfRule type="cellIs" dxfId="981" priority="1274" operator="equal">
      <formula>1</formula>
    </cfRule>
  </conditionalFormatting>
  <conditionalFormatting sqref="DA92">
    <cfRule type="cellIs" dxfId="980" priority="1275" operator="equal">
      <formula>0</formula>
    </cfRule>
    <cfRule type="cellIs" dxfId="979" priority="1276" operator="equal">
      <formula>1</formula>
    </cfRule>
  </conditionalFormatting>
  <conditionalFormatting sqref="DI95">
    <cfRule type="cellIs" dxfId="978" priority="1151" operator="equal">
      <formula>"OK"</formula>
    </cfRule>
    <cfRule type="cellIs" dxfId="977" priority="1152" operator="equal">
      <formula>"NO HABILITADO"</formula>
    </cfRule>
  </conditionalFormatting>
  <conditionalFormatting sqref="DT95">
    <cfRule type="cellIs" dxfId="976" priority="1149" operator="equal">
      <formula>"OK"</formula>
    </cfRule>
    <cfRule type="cellIs" dxfId="975" priority="1150" operator="equal">
      <formula>"NO HABILITADO"</formula>
    </cfRule>
  </conditionalFormatting>
  <conditionalFormatting sqref="DO11:DR14 DO16:DR17 DO19:DR21 DO18">
    <cfRule type="cellIs" dxfId="974" priority="1137" operator="equal">
      <formula>0</formula>
    </cfRule>
    <cfRule type="cellIs" dxfId="973" priority="1138" operator="equal">
      <formula>1</formula>
    </cfRule>
  </conditionalFormatting>
  <conditionalFormatting sqref="DO22:DR27 DO29:DR32">
    <cfRule type="cellIs" dxfId="972" priority="1123" operator="equal">
      <formula>0</formula>
    </cfRule>
    <cfRule type="cellIs" dxfId="971" priority="1124" operator="equal">
      <formula>1</formula>
    </cfRule>
  </conditionalFormatting>
  <conditionalFormatting sqref="DS22:DT27 DS29:DT32">
    <cfRule type="cellIs" dxfId="970" priority="1127" operator="equal">
      <formula>0</formula>
    </cfRule>
    <cfRule type="cellIs" dxfId="969" priority="1128" operator="equal">
      <formula>1</formula>
    </cfRule>
  </conditionalFormatting>
  <conditionalFormatting sqref="DU22:DU27 DU29:DU32">
    <cfRule type="cellIs" dxfId="968" priority="1125" operator="equal">
      <formula>0</formula>
    </cfRule>
    <cfRule type="cellIs" dxfId="967" priority="1126" operator="equal">
      <formula>1</formula>
    </cfRule>
  </conditionalFormatting>
  <conditionalFormatting sqref="DS22:DT27 DS29:DT32">
    <cfRule type="cellIs" dxfId="966" priority="1121" operator="equal">
      <formula>0</formula>
    </cfRule>
    <cfRule type="cellIs" dxfId="965" priority="1122" operator="equal">
      <formula>1</formula>
    </cfRule>
  </conditionalFormatting>
  <conditionalFormatting sqref="DT22:DT27 DT29:DT32">
    <cfRule type="cellIs" dxfId="964" priority="1119" operator="equal">
      <formula>0</formula>
    </cfRule>
    <cfRule type="cellIs" dxfId="963" priority="1120" operator="equal">
      <formula>1</formula>
    </cfRule>
  </conditionalFormatting>
  <conditionalFormatting sqref="DO34:DR42 DO44:DR45">
    <cfRule type="cellIs" dxfId="962" priority="1113" operator="equal">
      <formula>0</formula>
    </cfRule>
    <cfRule type="cellIs" dxfId="961" priority="1114" operator="equal">
      <formula>1</formula>
    </cfRule>
  </conditionalFormatting>
  <conditionalFormatting sqref="DS34:DT42 DS44:DT45">
    <cfRule type="cellIs" dxfId="960" priority="1117" operator="equal">
      <formula>0</formula>
    </cfRule>
    <cfRule type="cellIs" dxfId="959" priority="1118" operator="equal">
      <formula>1</formula>
    </cfRule>
  </conditionalFormatting>
  <conditionalFormatting sqref="DU34:DU42 DU44:DU45">
    <cfRule type="cellIs" dxfId="958" priority="1115" operator="equal">
      <formula>0</formula>
    </cfRule>
    <cfRule type="cellIs" dxfId="957" priority="1116" operator="equal">
      <formula>1</formula>
    </cfRule>
  </conditionalFormatting>
  <conditionalFormatting sqref="DS34:DT42 DS44:DT45">
    <cfRule type="cellIs" dxfId="956" priority="1111" operator="equal">
      <formula>0</formula>
    </cfRule>
    <cfRule type="cellIs" dxfId="955" priority="1112" operator="equal">
      <formula>1</formula>
    </cfRule>
  </conditionalFormatting>
  <conditionalFormatting sqref="DT34:DT42 DT44:DT45">
    <cfRule type="cellIs" dxfId="954" priority="1109" operator="equal">
      <formula>0</formula>
    </cfRule>
    <cfRule type="cellIs" dxfId="953" priority="1110" operator="equal">
      <formula>1</formula>
    </cfRule>
  </conditionalFormatting>
  <conditionalFormatting sqref="DO47:DR48 DO50:DR55 DO58:DR62 DO64:DR65 DO67:DR70">
    <cfRule type="cellIs" dxfId="952" priority="1103" operator="equal">
      <formula>0</formula>
    </cfRule>
    <cfRule type="cellIs" dxfId="951" priority="1104" operator="equal">
      <formula>1</formula>
    </cfRule>
  </conditionalFormatting>
  <conditionalFormatting sqref="DT47:DT48 DT50:DT55 DT58:DT62 DT64:DT65 DT67:DT70">
    <cfRule type="cellIs" dxfId="950" priority="1099" operator="equal">
      <formula>0</formula>
    </cfRule>
    <cfRule type="cellIs" dxfId="949" priority="1100" operator="equal">
      <formula>1</formula>
    </cfRule>
  </conditionalFormatting>
  <conditionalFormatting sqref="DO72:DR79">
    <cfRule type="cellIs" dxfId="948" priority="1093" operator="equal">
      <formula>0</formula>
    </cfRule>
    <cfRule type="cellIs" dxfId="947" priority="1094" operator="equal">
      <formula>1</formula>
    </cfRule>
  </conditionalFormatting>
  <conditionalFormatting sqref="DT72:DT79">
    <cfRule type="cellIs" dxfId="946" priority="1089" operator="equal">
      <formula>0</formula>
    </cfRule>
    <cfRule type="cellIs" dxfId="945" priority="1090" operator="equal">
      <formula>1</formula>
    </cfRule>
  </conditionalFormatting>
  <conditionalFormatting sqref="DO15:DR15">
    <cfRule type="cellIs" dxfId="944" priority="1083" operator="equal">
      <formula>0</formula>
    </cfRule>
    <cfRule type="cellIs" dxfId="943" priority="1084" operator="equal">
      <formula>1</formula>
    </cfRule>
  </conditionalFormatting>
  <conditionalFormatting sqref="DT15">
    <cfRule type="cellIs" dxfId="942" priority="1079" operator="equal">
      <formula>0</formula>
    </cfRule>
    <cfRule type="cellIs" dxfId="941" priority="1080" operator="equal">
      <formula>1</formula>
    </cfRule>
  </conditionalFormatting>
  <conditionalFormatting sqref="DO43:DR43">
    <cfRule type="cellIs" dxfId="940" priority="1069" operator="equal">
      <formula>0</formula>
    </cfRule>
    <cfRule type="cellIs" dxfId="939" priority="1070" operator="equal">
      <formula>1</formula>
    </cfRule>
  </conditionalFormatting>
  <conditionalFormatting sqref="DS43:DT43">
    <cfRule type="cellIs" dxfId="938" priority="1073" operator="equal">
      <formula>0</formula>
    </cfRule>
    <cfRule type="cellIs" dxfId="937" priority="1074" operator="equal">
      <formula>1</formula>
    </cfRule>
  </conditionalFormatting>
  <conditionalFormatting sqref="DU43">
    <cfRule type="cellIs" dxfId="936" priority="1071" operator="equal">
      <formula>0</formula>
    </cfRule>
    <cfRule type="cellIs" dxfId="935" priority="1072" operator="equal">
      <formula>1</formula>
    </cfRule>
  </conditionalFormatting>
  <conditionalFormatting sqref="DS43:DT43">
    <cfRule type="cellIs" dxfId="934" priority="1067" operator="equal">
      <formula>0</formula>
    </cfRule>
    <cfRule type="cellIs" dxfId="933" priority="1068" operator="equal">
      <formula>1</formula>
    </cfRule>
  </conditionalFormatting>
  <conditionalFormatting sqref="DT43">
    <cfRule type="cellIs" dxfId="932" priority="1065" operator="equal">
      <formula>0</formula>
    </cfRule>
    <cfRule type="cellIs" dxfId="931" priority="1066" operator="equal">
      <formula>1</formula>
    </cfRule>
  </conditionalFormatting>
  <conditionalFormatting sqref="DO46:DR46">
    <cfRule type="cellIs" dxfId="930" priority="1059" operator="equal">
      <formula>0</formula>
    </cfRule>
    <cfRule type="cellIs" dxfId="929" priority="1060" operator="equal">
      <formula>1</formula>
    </cfRule>
  </conditionalFormatting>
  <conditionalFormatting sqref="DS46:DT46">
    <cfRule type="cellIs" dxfId="928" priority="1063" operator="equal">
      <formula>0</formula>
    </cfRule>
    <cfRule type="cellIs" dxfId="927" priority="1064" operator="equal">
      <formula>1</formula>
    </cfRule>
  </conditionalFormatting>
  <conditionalFormatting sqref="DU46">
    <cfRule type="cellIs" dxfId="926" priority="1061" operator="equal">
      <formula>0</formula>
    </cfRule>
    <cfRule type="cellIs" dxfId="925" priority="1062" operator="equal">
      <formula>1</formula>
    </cfRule>
  </conditionalFormatting>
  <conditionalFormatting sqref="DS46:DT46">
    <cfRule type="cellIs" dxfId="924" priority="1057" operator="equal">
      <formula>0</formula>
    </cfRule>
    <cfRule type="cellIs" dxfId="923" priority="1058" operator="equal">
      <formula>1</formula>
    </cfRule>
  </conditionalFormatting>
  <conditionalFormatting sqref="DT46">
    <cfRule type="cellIs" dxfId="922" priority="1055" operator="equal">
      <formula>0</formula>
    </cfRule>
    <cfRule type="cellIs" dxfId="921" priority="1056" operator="equal">
      <formula>1</formula>
    </cfRule>
  </conditionalFormatting>
  <conditionalFormatting sqref="DO56:DR56">
    <cfRule type="cellIs" dxfId="920" priority="1049" operator="equal">
      <formula>0</formula>
    </cfRule>
    <cfRule type="cellIs" dxfId="919" priority="1050" operator="equal">
      <formula>1</formula>
    </cfRule>
  </conditionalFormatting>
  <conditionalFormatting sqref="DS56:DT56">
    <cfRule type="cellIs" dxfId="918" priority="1053" operator="equal">
      <formula>0</formula>
    </cfRule>
    <cfRule type="cellIs" dxfId="917" priority="1054" operator="equal">
      <formula>1</formula>
    </cfRule>
  </conditionalFormatting>
  <conditionalFormatting sqref="DU56">
    <cfRule type="cellIs" dxfId="916" priority="1051" operator="equal">
      <formula>0</formula>
    </cfRule>
    <cfRule type="cellIs" dxfId="915" priority="1052" operator="equal">
      <formula>1</formula>
    </cfRule>
  </conditionalFormatting>
  <conditionalFormatting sqref="DS56:DT56">
    <cfRule type="cellIs" dxfId="914" priority="1047" operator="equal">
      <formula>0</formula>
    </cfRule>
    <cfRule type="cellIs" dxfId="913" priority="1048" operator="equal">
      <formula>1</formula>
    </cfRule>
  </conditionalFormatting>
  <conditionalFormatting sqref="DT56">
    <cfRule type="cellIs" dxfId="912" priority="1045" operator="equal">
      <formula>0</formula>
    </cfRule>
    <cfRule type="cellIs" dxfId="911" priority="1046" operator="equal">
      <formula>1</formula>
    </cfRule>
  </conditionalFormatting>
  <conditionalFormatting sqref="DO57">
    <cfRule type="cellIs" dxfId="910" priority="1043" operator="equal">
      <formula>0</formula>
    </cfRule>
    <cfRule type="cellIs" dxfId="909" priority="1044" operator="equal">
      <formula>1</formula>
    </cfRule>
  </conditionalFormatting>
  <conditionalFormatting sqref="DO63">
    <cfRule type="cellIs" dxfId="908" priority="1041" operator="equal">
      <formula>0</formula>
    </cfRule>
    <cfRule type="cellIs" dxfId="907" priority="1042" operator="equal">
      <formula>1</formula>
    </cfRule>
  </conditionalFormatting>
  <conditionalFormatting sqref="DO66">
    <cfRule type="cellIs" dxfId="906" priority="1039" operator="equal">
      <formula>0</formula>
    </cfRule>
    <cfRule type="cellIs" dxfId="905" priority="1040" operator="equal">
      <formula>1</formula>
    </cfRule>
  </conditionalFormatting>
  <conditionalFormatting sqref="DO71:DR71">
    <cfRule type="cellIs" dxfId="904" priority="1033" operator="equal">
      <formula>0</formula>
    </cfRule>
    <cfRule type="cellIs" dxfId="903" priority="1034" operator="equal">
      <formula>1</formula>
    </cfRule>
  </conditionalFormatting>
  <conditionalFormatting sqref="DS71:DT71">
    <cfRule type="cellIs" dxfId="902" priority="1037" operator="equal">
      <formula>0</formula>
    </cfRule>
    <cfRule type="cellIs" dxfId="901" priority="1038" operator="equal">
      <formula>1</formula>
    </cfRule>
  </conditionalFormatting>
  <conditionalFormatting sqref="DU71">
    <cfRule type="cellIs" dxfId="900" priority="1035" operator="equal">
      <formula>0</formula>
    </cfRule>
    <cfRule type="cellIs" dxfId="899" priority="1036" operator="equal">
      <formula>1</formula>
    </cfRule>
  </conditionalFormatting>
  <conditionalFormatting sqref="DS71:DT71">
    <cfRule type="cellIs" dxfId="898" priority="1031" operator="equal">
      <formula>0</formula>
    </cfRule>
    <cfRule type="cellIs" dxfId="897" priority="1032" operator="equal">
      <formula>1</formula>
    </cfRule>
  </conditionalFormatting>
  <conditionalFormatting sqref="DT71">
    <cfRule type="cellIs" dxfId="896" priority="1029" operator="equal">
      <formula>0</formula>
    </cfRule>
    <cfRule type="cellIs" dxfId="895" priority="1030" operator="equal">
      <formula>1</formula>
    </cfRule>
  </conditionalFormatting>
  <conditionalFormatting sqref="DO80:DR80">
    <cfRule type="cellIs" dxfId="894" priority="1023" operator="equal">
      <formula>0</formula>
    </cfRule>
    <cfRule type="cellIs" dxfId="893" priority="1024" operator="equal">
      <formula>1</formula>
    </cfRule>
  </conditionalFormatting>
  <conditionalFormatting sqref="DS80:DT80">
    <cfRule type="cellIs" dxfId="892" priority="1027" operator="equal">
      <formula>0</formula>
    </cfRule>
    <cfRule type="cellIs" dxfId="891" priority="1028" operator="equal">
      <formula>1</formula>
    </cfRule>
  </conditionalFormatting>
  <conditionalFormatting sqref="DU80">
    <cfRule type="cellIs" dxfId="890" priority="1025" operator="equal">
      <formula>0</formula>
    </cfRule>
    <cfRule type="cellIs" dxfId="889" priority="1026" operator="equal">
      <formula>1</formula>
    </cfRule>
  </conditionalFormatting>
  <conditionalFormatting sqref="DS80:DT80">
    <cfRule type="cellIs" dxfId="888" priority="1021" operator="equal">
      <formula>0</formula>
    </cfRule>
    <cfRule type="cellIs" dxfId="887" priority="1022" operator="equal">
      <formula>1</formula>
    </cfRule>
  </conditionalFormatting>
  <conditionalFormatting sqref="DT80">
    <cfRule type="cellIs" dxfId="886" priority="1019" operator="equal">
      <formula>0</formula>
    </cfRule>
    <cfRule type="cellIs" dxfId="885" priority="1020" operator="equal">
      <formula>1</formula>
    </cfRule>
  </conditionalFormatting>
  <conditionalFormatting sqref="DO28:DR28">
    <cfRule type="cellIs" dxfId="884" priority="1013" operator="equal">
      <formula>0</formula>
    </cfRule>
    <cfRule type="cellIs" dxfId="883" priority="1014" operator="equal">
      <formula>1</formula>
    </cfRule>
  </conditionalFormatting>
  <conditionalFormatting sqref="DS28:DT28">
    <cfRule type="cellIs" dxfId="882" priority="1017" operator="equal">
      <formula>0</formula>
    </cfRule>
    <cfRule type="cellIs" dxfId="881" priority="1018" operator="equal">
      <formula>1</formula>
    </cfRule>
  </conditionalFormatting>
  <conditionalFormatting sqref="DU28">
    <cfRule type="cellIs" dxfId="880" priority="1015" operator="equal">
      <formula>0</formula>
    </cfRule>
    <cfRule type="cellIs" dxfId="879" priority="1016" operator="equal">
      <formula>1</formula>
    </cfRule>
  </conditionalFormatting>
  <conditionalFormatting sqref="DS28:DT28">
    <cfRule type="cellIs" dxfId="878" priority="1011" operator="equal">
      <formula>0</formula>
    </cfRule>
    <cfRule type="cellIs" dxfId="877" priority="1012" operator="equal">
      <formula>1</formula>
    </cfRule>
  </conditionalFormatting>
  <conditionalFormatting sqref="DT28">
    <cfRule type="cellIs" dxfId="876" priority="1009" operator="equal">
      <formula>0</formula>
    </cfRule>
    <cfRule type="cellIs" dxfId="875" priority="1010" operator="equal">
      <formula>1</formula>
    </cfRule>
  </conditionalFormatting>
  <conditionalFormatting sqref="DH92">
    <cfRule type="cellIs" dxfId="874" priority="1147" operator="equal">
      <formula>"NO HABILITADO"</formula>
    </cfRule>
    <cfRule type="cellIs" dxfId="873" priority="1148" operator="equal">
      <formula>"OK"</formula>
    </cfRule>
  </conditionalFormatting>
  <conditionalFormatting sqref="DU92">
    <cfRule type="cellIs" dxfId="872" priority="1145" operator="equal">
      <formula>0</formula>
    </cfRule>
    <cfRule type="cellIs" dxfId="871" priority="1146" operator="equal">
      <formula>1</formula>
    </cfRule>
  </conditionalFormatting>
  <conditionalFormatting sqref="DW92">
    <cfRule type="cellIs" dxfId="870" priority="1143" operator="equal">
      <formula>0</formula>
    </cfRule>
    <cfRule type="cellIs" dxfId="869" priority="1144" operator="equal">
      <formula>1</formula>
    </cfRule>
  </conditionalFormatting>
  <conditionalFormatting sqref="DS11:DT14 DS16:DT17 DS19:DT21">
    <cfRule type="cellIs" dxfId="868" priority="1141" operator="equal">
      <formula>0</formula>
    </cfRule>
    <cfRule type="cellIs" dxfId="867" priority="1142" operator="equal">
      <formula>1</formula>
    </cfRule>
  </conditionalFormatting>
  <conditionalFormatting sqref="DU11:DU14 DU16:DU17 DU19:DU21">
    <cfRule type="cellIs" dxfId="866" priority="1139" operator="equal">
      <formula>0</formula>
    </cfRule>
    <cfRule type="cellIs" dxfId="865" priority="1140" operator="equal">
      <formula>1</formula>
    </cfRule>
  </conditionalFormatting>
  <conditionalFormatting sqref="DS11:DT14 DS16:DT17 DS19:DT21">
    <cfRule type="cellIs" dxfId="864" priority="1135" operator="equal">
      <formula>0</formula>
    </cfRule>
    <cfRule type="cellIs" dxfId="863" priority="1136" operator="equal">
      <formula>1</formula>
    </cfRule>
  </conditionalFormatting>
  <conditionalFormatting sqref="DT11:DT14 DT16:DT17 DT19:DT21">
    <cfRule type="cellIs" dxfId="862" priority="1133" operator="equal">
      <formula>0</formula>
    </cfRule>
    <cfRule type="cellIs" dxfId="861" priority="1134" operator="equal">
      <formula>1</formula>
    </cfRule>
  </conditionalFormatting>
  <conditionalFormatting sqref="DP92">
    <cfRule type="cellIs" dxfId="860" priority="1129" operator="equal">
      <formula>0</formula>
    </cfRule>
    <cfRule type="cellIs" dxfId="859" priority="1130" operator="equal">
      <formula>1</formula>
    </cfRule>
  </conditionalFormatting>
  <conditionalFormatting sqref="DR92">
    <cfRule type="cellIs" dxfId="858" priority="1131" operator="equal">
      <formula>0</formula>
    </cfRule>
    <cfRule type="cellIs" dxfId="857" priority="1132" operator="equal">
      <formula>1</formula>
    </cfRule>
  </conditionalFormatting>
  <conditionalFormatting sqref="DZ95">
    <cfRule type="cellIs" dxfId="856" priority="1007" operator="equal">
      <formula>"OK"</formula>
    </cfRule>
    <cfRule type="cellIs" dxfId="855" priority="1008" operator="equal">
      <formula>"NO HABILITADO"</formula>
    </cfRule>
  </conditionalFormatting>
  <conditionalFormatting sqref="EK95">
    <cfRule type="cellIs" dxfId="854" priority="1005" operator="equal">
      <formula>"OK"</formula>
    </cfRule>
    <cfRule type="cellIs" dxfId="853" priority="1006" operator="equal">
      <formula>"NO HABILITADO"</formula>
    </cfRule>
  </conditionalFormatting>
  <conditionalFormatting sqref="EF11:EI14 EF16:EI17 EF19:EI21 EF18">
    <cfRule type="cellIs" dxfId="852" priority="993" operator="equal">
      <formula>0</formula>
    </cfRule>
    <cfRule type="cellIs" dxfId="851" priority="994" operator="equal">
      <formula>1</formula>
    </cfRule>
  </conditionalFormatting>
  <conditionalFormatting sqref="EF22:EI27 EF29:EI32">
    <cfRule type="cellIs" dxfId="850" priority="979" operator="equal">
      <formula>0</formula>
    </cfRule>
    <cfRule type="cellIs" dxfId="849" priority="980" operator="equal">
      <formula>1</formula>
    </cfRule>
  </conditionalFormatting>
  <conditionalFormatting sqref="EJ22:EK27 EJ29:EK32">
    <cfRule type="cellIs" dxfId="848" priority="983" operator="equal">
      <formula>0</formula>
    </cfRule>
    <cfRule type="cellIs" dxfId="847" priority="984" operator="equal">
      <formula>1</formula>
    </cfRule>
  </conditionalFormatting>
  <conditionalFormatting sqref="EL22:EL27 EL29:EL32">
    <cfRule type="cellIs" dxfId="846" priority="981" operator="equal">
      <formula>0</formula>
    </cfRule>
    <cfRule type="cellIs" dxfId="845" priority="982" operator="equal">
      <formula>1</formula>
    </cfRule>
  </conditionalFormatting>
  <conditionalFormatting sqref="EJ22:EK27 EJ29:EK32">
    <cfRule type="cellIs" dxfId="844" priority="977" operator="equal">
      <formula>0</formula>
    </cfRule>
    <cfRule type="cellIs" dxfId="843" priority="978" operator="equal">
      <formula>1</formula>
    </cfRule>
  </conditionalFormatting>
  <conditionalFormatting sqref="EK22:EK27 EK29:EK32">
    <cfRule type="cellIs" dxfId="842" priority="975" operator="equal">
      <formula>0</formula>
    </cfRule>
    <cfRule type="cellIs" dxfId="841" priority="976" operator="equal">
      <formula>1</formula>
    </cfRule>
  </conditionalFormatting>
  <conditionalFormatting sqref="EF34:EI42 EF44:EI45">
    <cfRule type="cellIs" dxfId="840" priority="969" operator="equal">
      <formula>0</formula>
    </cfRule>
    <cfRule type="cellIs" dxfId="839" priority="970" operator="equal">
      <formula>1</formula>
    </cfRule>
  </conditionalFormatting>
  <conditionalFormatting sqref="EJ34:EK42 EJ44:EK45">
    <cfRule type="cellIs" dxfId="838" priority="973" operator="equal">
      <formula>0</formula>
    </cfRule>
    <cfRule type="cellIs" dxfId="837" priority="974" operator="equal">
      <formula>1</formula>
    </cfRule>
  </conditionalFormatting>
  <conditionalFormatting sqref="EL34:EL42 EL44:EL45">
    <cfRule type="cellIs" dxfId="836" priority="971" operator="equal">
      <formula>0</formula>
    </cfRule>
    <cfRule type="cellIs" dxfId="835" priority="972" operator="equal">
      <formula>1</formula>
    </cfRule>
  </conditionalFormatting>
  <conditionalFormatting sqref="EJ34:EK42 EJ44:EK45">
    <cfRule type="cellIs" dxfId="834" priority="967" operator="equal">
      <formula>0</formula>
    </cfRule>
    <cfRule type="cellIs" dxfId="833" priority="968" operator="equal">
      <formula>1</formula>
    </cfRule>
  </conditionalFormatting>
  <conditionalFormatting sqref="EK34:EK42 EK44:EK45">
    <cfRule type="cellIs" dxfId="832" priority="965" operator="equal">
      <formula>0</formula>
    </cfRule>
    <cfRule type="cellIs" dxfId="831" priority="966" operator="equal">
      <formula>1</formula>
    </cfRule>
  </conditionalFormatting>
  <conditionalFormatting sqref="EF72:EI79">
    <cfRule type="cellIs" dxfId="830" priority="949" operator="equal">
      <formula>0</formula>
    </cfRule>
    <cfRule type="cellIs" dxfId="829" priority="950" operator="equal">
      <formula>1</formula>
    </cfRule>
  </conditionalFormatting>
  <conditionalFormatting sqref="EL72:EL79">
    <cfRule type="cellIs" dxfId="828" priority="951" operator="equal">
      <formula>0</formula>
    </cfRule>
    <cfRule type="cellIs" dxfId="827" priority="952" operator="equal">
      <formula>1</formula>
    </cfRule>
  </conditionalFormatting>
  <conditionalFormatting sqref="EJ72:EK79">
    <cfRule type="cellIs" dxfId="826" priority="947" operator="equal">
      <formula>0</formula>
    </cfRule>
    <cfRule type="cellIs" dxfId="825" priority="948" operator="equal">
      <formula>1</formula>
    </cfRule>
  </conditionalFormatting>
  <conditionalFormatting sqref="EK72:EK79">
    <cfRule type="cellIs" dxfId="824" priority="945" operator="equal">
      <formula>0</formula>
    </cfRule>
    <cfRule type="cellIs" dxfId="823" priority="946" operator="equal">
      <formula>1</formula>
    </cfRule>
  </conditionalFormatting>
  <conditionalFormatting sqref="EF15:EI15">
    <cfRule type="cellIs" dxfId="822" priority="939" operator="equal">
      <formula>0</formula>
    </cfRule>
    <cfRule type="cellIs" dxfId="821" priority="940" operator="equal">
      <formula>1</formula>
    </cfRule>
  </conditionalFormatting>
  <conditionalFormatting sqref="EJ15:EK15">
    <cfRule type="cellIs" dxfId="820" priority="943" operator="equal">
      <formula>0</formula>
    </cfRule>
    <cfRule type="cellIs" dxfId="819" priority="944" operator="equal">
      <formula>1</formula>
    </cfRule>
  </conditionalFormatting>
  <conditionalFormatting sqref="EL15">
    <cfRule type="cellIs" dxfId="818" priority="941" operator="equal">
      <formula>0</formula>
    </cfRule>
    <cfRule type="cellIs" dxfId="817" priority="942" operator="equal">
      <formula>1</formula>
    </cfRule>
  </conditionalFormatting>
  <conditionalFormatting sqref="EJ15:EK15">
    <cfRule type="cellIs" dxfId="816" priority="937" operator="equal">
      <formula>0</formula>
    </cfRule>
    <cfRule type="cellIs" dxfId="815" priority="938" operator="equal">
      <formula>1</formula>
    </cfRule>
  </conditionalFormatting>
  <conditionalFormatting sqref="EK15">
    <cfRule type="cellIs" dxfId="814" priority="935" operator="equal">
      <formula>0</formula>
    </cfRule>
    <cfRule type="cellIs" dxfId="813" priority="936" operator="equal">
      <formula>1</formula>
    </cfRule>
  </conditionalFormatting>
  <conditionalFormatting sqref="EF33">
    <cfRule type="cellIs" dxfId="812" priority="933" operator="equal">
      <formula>0</formula>
    </cfRule>
    <cfRule type="cellIs" dxfId="811" priority="934" operator="equal">
      <formula>1</formula>
    </cfRule>
  </conditionalFormatting>
  <conditionalFormatting sqref="EF49">
    <cfRule type="cellIs" dxfId="810" priority="931" operator="equal">
      <formula>0</formula>
    </cfRule>
    <cfRule type="cellIs" dxfId="809" priority="932" operator="equal">
      <formula>1</formula>
    </cfRule>
  </conditionalFormatting>
  <conditionalFormatting sqref="EF43:EI43">
    <cfRule type="cellIs" dxfId="808" priority="925" operator="equal">
      <formula>0</formula>
    </cfRule>
    <cfRule type="cellIs" dxfId="807" priority="926" operator="equal">
      <formula>1</formula>
    </cfRule>
  </conditionalFormatting>
  <conditionalFormatting sqref="EJ43:EK43">
    <cfRule type="cellIs" dxfId="806" priority="929" operator="equal">
      <formula>0</formula>
    </cfRule>
    <cfRule type="cellIs" dxfId="805" priority="930" operator="equal">
      <formula>1</formula>
    </cfRule>
  </conditionalFormatting>
  <conditionalFormatting sqref="EL43">
    <cfRule type="cellIs" dxfId="804" priority="927" operator="equal">
      <formula>0</formula>
    </cfRule>
    <cfRule type="cellIs" dxfId="803" priority="928" operator="equal">
      <formula>1</formula>
    </cfRule>
  </conditionalFormatting>
  <conditionalFormatting sqref="EJ43:EK43">
    <cfRule type="cellIs" dxfId="802" priority="923" operator="equal">
      <formula>0</formula>
    </cfRule>
    <cfRule type="cellIs" dxfId="801" priority="924" operator="equal">
      <formula>1</formula>
    </cfRule>
  </conditionalFormatting>
  <conditionalFormatting sqref="EK43">
    <cfRule type="cellIs" dxfId="800" priority="921" operator="equal">
      <formula>0</formula>
    </cfRule>
    <cfRule type="cellIs" dxfId="799" priority="922" operator="equal">
      <formula>1</formula>
    </cfRule>
  </conditionalFormatting>
  <conditionalFormatting sqref="EF46:EI46">
    <cfRule type="cellIs" dxfId="798" priority="915" operator="equal">
      <formula>0</formula>
    </cfRule>
    <cfRule type="cellIs" dxfId="797" priority="916" operator="equal">
      <formula>1</formula>
    </cfRule>
  </conditionalFormatting>
  <conditionalFormatting sqref="EL46">
    <cfRule type="cellIs" dxfId="796" priority="917" operator="equal">
      <formula>0</formula>
    </cfRule>
    <cfRule type="cellIs" dxfId="795" priority="918" operator="equal">
      <formula>1</formula>
    </cfRule>
  </conditionalFormatting>
  <conditionalFormatting sqref="EJ46:EK46">
    <cfRule type="cellIs" dxfId="794" priority="913" operator="equal">
      <formula>0</formula>
    </cfRule>
    <cfRule type="cellIs" dxfId="793" priority="914" operator="equal">
      <formula>1</formula>
    </cfRule>
  </conditionalFormatting>
  <conditionalFormatting sqref="EK46">
    <cfRule type="cellIs" dxfId="792" priority="911" operator="equal">
      <formula>0</formula>
    </cfRule>
    <cfRule type="cellIs" dxfId="791" priority="912" operator="equal">
      <formula>1</formula>
    </cfRule>
  </conditionalFormatting>
  <conditionalFormatting sqref="EF56:EI56">
    <cfRule type="cellIs" dxfId="790" priority="905" operator="equal">
      <formula>0</formula>
    </cfRule>
    <cfRule type="cellIs" dxfId="789" priority="906" operator="equal">
      <formula>1</formula>
    </cfRule>
  </conditionalFormatting>
  <conditionalFormatting sqref="EJ56:EK56">
    <cfRule type="cellIs" dxfId="788" priority="909" operator="equal">
      <formula>0</formula>
    </cfRule>
    <cfRule type="cellIs" dxfId="787" priority="910" operator="equal">
      <formula>1</formula>
    </cfRule>
  </conditionalFormatting>
  <conditionalFormatting sqref="EL56">
    <cfRule type="cellIs" dxfId="786" priority="907" operator="equal">
      <formula>0</formula>
    </cfRule>
    <cfRule type="cellIs" dxfId="785" priority="908" operator="equal">
      <formula>1</formula>
    </cfRule>
  </conditionalFormatting>
  <conditionalFormatting sqref="EJ56:EK56">
    <cfRule type="cellIs" dxfId="784" priority="903" operator="equal">
      <formula>0</formula>
    </cfRule>
    <cfRule type="cellIs" dxfId="783" priority="904" operator="equal">
      <formula>1</formula>
    </cfRule>
  </conditionalFormatting>
  <conditionalFormatting sqref="EK56">
    <cfRule type="cellIs" dxfId="782" priority="901" operator="equal">
      <formula>0</formula>
    </cfRule>
    <cfRule type="cellIs" dxfId="781" priority="902" operator="equal">
      <formula>1</formula>
    </cfRule>
  </conditionalFormatting>
  <conditionalFormatting sqref="EF57">
    <cfRule type="cellIs" dxfId="780" priority="899" operator="equal">
      <formula>0</formula>
    </cfRule>
    <cfRule type="cellIs" dxfId="779" priority="900" operator="equal">
      <formula>1</formula>
    </cfRule>
  </conditionalFormatting>
  <conditionalFormatting sqref="EF63">
    <cfRule type="cellIs" dxfId="778" priority="897" operator="equal">
      <formula>0</formula>
    </cfRule>
    <cfRule type="cellIs" dxfId="777" priority="898" operator="equal">
      <formula>1</formula>
    </cfRule>
  </conditionalFormatting>
  <conditionalFormatting sqref="EF66">
    <cfRule type="cellIs" dxfId="776" priority="895" operator="equal">
      <formula>0</formula>
    </cfRule>
    <cfRule type="cellIs" dxfId="775" priority="896" operator="equal">
      <formula>1</formula>
    </cfRule>
  </conditionalFormatting>
  <conditionalFormatting sqref="EF71:EI71">
    <cfRule type="cellIs" dxfId="774" priority="889" operator="equal">
      <formula>0</formula>
    </cfRule>
    <cfRule type="cellIs" dxfId="773" priority="890" operator="equal">
      <formula>1</formula>
    </cfRule>
  </conditionalFormatting>
  <conditionalFormatting sqref="EJ71:EK71">
    <cfRule type="cellIs" dxfId="772" priority="893" operator="equal">
      <formula>0</formula>
    </cfRule>
    <cfRule type="cellIs" dxfId="771" priority="894" operator="equal">
      <formula>1</formula>
    </cfRule>
  </conditionalFormatting>
  <conditionalFormatting sqref="EL71">
    <cfRule type="cellIs" dxfId="770" priority="891" operator="equal">
      <formula>0</formula>
    </cfRule>
    <cfRule type="cellIs" dxfId="769" priority="892" operator="equal">
      <formula>1</formula>
    </cfRule>
  </conditionalFormatting>
  <conditionalFormatting sqref="EJ71:EK71">
    <cfRule type="cellIs" dxfId="768" priority="887" operator="equal">
      <formula>0</formula>
    </cfRule>
    <cfRule type="cellIs" dxfId="767" priority="888" operator="equal">
      <formula>1</formula>
    </cfRule>
  </conditionalFormatting>
  <conditionalFormatting sqref="EK71">
    <cfRule type="cellIs" dxfId="766" priority="885" operator="equal">
      <formula>0</formula>
    </cfRule>
    <cfRule type="cellIs" dxfId="765" priority="886" operator="equal">
      <formula>1</formula>
    </cfRule>
  </conditionalFormatting>
  <conditionalFormatting sqref="EF80:EI80">
    <cfRule type="cellIs" dxfId="764" priority="879" operator="equal">
      <formula>0</formula>
    </cfRule>
    <cfRule type="cellIs" dxfId="763" priority="880" operator="equal">
      <formula>1</formula>
    </cfRule>
  </conditionalFormatting>
  <conditionalFormatting sqref="EJ80:EK80">
    <cfRule type="cellIs" dxfId="762" priority="883" operator="equal">
      <formula>0</formula>
    </cfRule>
    <cfRule type="cellIs" dxfId="761" priority="884" operator="equal">
      <formula>1</formula>
    </cfRule>
  </conditionalFormatting>
  <conditionalFormatting sqref="EL80">
    <cfRule type="cellIs" dxfId="760" priority="881" operator="equal">
      <formula>0</formula>
    </cfRule>
    <cfRule type="cellIs" dxfId="759" priority="882" operator="equal">
      <formula>1</formula>
    </cfRule>
  </conditionalFormatting>
  <conditionalFormatting sqref="EJ80:EK80">
    <cfRule type="cellIs" dxfId="758" priority="877" operator="equal">
      <formula>0</formula>
    </cfRule>
    <cfRule type="cellIs" dxfId="757" priority="878" operator="equal">
      <formula>1</formula>
    </cfRule>
  </conditionalFormatting>
  <conditionalFormatting sqref="EK80">
    <cfRule type="cellIs" dxfId="756" priority="875" operator="equal">
      <formula>0</formula>
    </cfRule>
    <cfRule type="cellIs" dxfId="755" priority="876" operator="equal">
      <formula>1</formula>
    </cfRule>
  </conditionalFormatting>
  <conditionalFormatting sqref="EF28:EI28">
    <cfRule type="cellIs" dxfId="754" priority="869" operator="equal">
      <formula>0</formula>
    </cfRule>
    <cfRule type="cellIs" dxfId="753" priority="870" operator="equal">
      <formula>1</formula>
    </cfRule>
  </conditionalFormatting>
  <conditionalFormatting sqref="EJ28:EK28">
    <cfRule type="cellIs" dxfId="752" priority="873" operator="equal">
      <formula>0</formula>
    </cfRule>
    <cfRule type="cellIs" dxfId="751" priority="874" operator="equal">
      <formula>1</formula>
    </cfRule>
  </conditionalFormatting>
  <conditionalFormatting sqref="EL28">
    <cfRule type="cellIs" dxfId="750" priority="871" operator="equal">
      <formula>0</formula>
    </cfRule>
    <cfRule type="cellIs" dxfId="749" priority="872" operator="equal">
      <formula>1</formula>
    </cfRule>
  </conditionalFormatting>
  <conditionalFormatting sqref="EJ28:EK28">
    <cfRule type="cellIs" dxfId="748" priority="867" operator="equal">
      <formula>0</formula>
    </cfRule>
    <cfRule type="cellIs" dxfId="747" priority="868" operator="equal">
      <formula>1</formula>
    </cfRule>
  </conditionalFormatting>
  <conditionalFormatting sqref="EK28">
    <cfRule type="cellIs" dxfId="746" priority="865" operator="equal">
      <formula>0</formula>
    </cfRule>
    <cfRule type="cellIs" dxfId="745" priority="866" operator="equal">
      <formula>1</formula>
    </cfRule>
  </conditionalFormatting>
  <conditionalFormatting sqref="DY92">
    <cfRule type="cellIs" dxfId="744" priority="1003" operator="equal">
      <formula>"NO HABILITADO"</formula>
    </cfRule>
    <cfRule type="cellIs" dxfId="743" priority="1004" operator="equal">
      <formula>"OK"</formula>
    </cfRule>
  </conditionalFormatting>
  <conditionalFormatting sqref="EL92">
    <cfRule type="cellIs" dxfId="742" priority="1001" operator="equal">
      <formula>0</formula>
    </cfRule>
    <cfRule type="cellIs" dxfId="741" priority="1002" operator="equal">
      <formula>1</formula>
    </cfRule>
  </conditionalFormatting>
  <conditionalFormatting sqref="EN92">
    <cfRule type="cellIs" dxfId="740" priority="999" operator="equal">
      <formula>0</formula>
    </cfRule>
    <cfRule type="cellIs" dxfId="739" priority="1000" operator="equal">
      <formula>1</formula>
    </cfRule>
  </conditionalFormatting>
  <conditionalFormatting sqref="EJ11:EK14 EJ16:EK17 EJ19:EK21">
    <cfRule type="cellIs" dxfId="738" priority="997" operator="equal">
      <formula>0</formula>
    </cfRule>
    <cfRule type="cellIs" dxfId="737" priority="998" operator="equal">
      <formula>1</formula>
    </cfRule>
  </conditionalFormatting>
  <conditionalFormatting sqref="EL11:EL14 EL16:EL17 EL19:EL21">
    <cfRule type="cellIs" dxfId="736" priority="995" operator="equal">
      <formula>0</formula>
    </cfRule>
    <cfRule type="cellIs" dxfId="735" priority="996" operator="equal">
      <formula>1</formula>
    </cfRule>
  </conditionalFormatting>
  <conditionalFormatting sqref="EJ11:EK14 EJ16:EK17 EJ19:EK21">
    <cfRule type="cellIs" dxfId="734" priority="991" operator="equal">
      <formula>0</formula>
    </cfRule>
    <cfRule type="cellIs" dxfId="733" priority="992" operator="equal">
      <formula>1</formula>
    </cfRule>
  </conditionalFormatting>
  <conditionalFormatting sqref="EK11:EK14 EK16:EK17 EK19:EK21">
    <cfRule type="cellIs" dxfId="732" priority="989" operator="equal">
      <formula>0</formula>
    </cfRule>
    <cfRule type="cellIs" dxfId="731" priority="990" operator="equal">
      <formula>1</formula>
    </cfRule>
  </conditionalFormatting>
  <conditionalFormatting sqref="EG92">
    <cfRule type="cellIs" dxfId="730" priority="985" operator="equal">
      <formula>0</formula>
    </cfRule>
    <cfRule type="cellIs" dxfId="729" priority="986" operator="equal">
      <formula>1</formula>
    </cfRule>
  </conditionalFormatting>
  <conditionalFormatting sqref="EI92">
    <cfRule type="cellIs" dxfId="728" priority="987" operator="equal">
      <formula>0</formula>
    </cfRule>
    <cfRule type="cellIs" dxfId="727" priority="988" operator="equal">
      <formula>1</formula>
    </cfRule>
  </conditionalFormatting>
  <conditionalFormatting sqref="EQ95">
    <cfRule type="cellIs" dxfId="726" priority="863" operator="equal">
      <formula>"OK"</formula>
    </cfRule>
    <cfRule type="cellIs" dxfId="725" priority="864" operator="equal">
      <formula>"NO HABILITADO"</formula>
    </cfRule>
  </conditionalFormatting>
  <conditionalFormatting sqref="FB95">
    <cfRule type="cellIs" dxfId="724" priority="861" operator="equal">
      <formula>"OK"</formula>
    </cfRule>
    <cfRule type="cellIs" dxfId="723" priority="862" operator="equal">
      <formula>"NO HABILITADO"</formula>
    </cfRule>
  </conditionalFormatting>
  <conditionalFormatting sqref="EW11:EZ14 EW16:EZ17 EW19:EZ21 EW18">
    <cfRule type="cellIs" dxfId="722" priority="849" operator="equal">
      <formula>0</formula>
    </cfRule>
    <cfRule type="cellIs" dxfId="721" priority="850" operator="equal">
      <formula>1</formula>
    </cfRule>
  </conditionalFormatting>
  <conditionalFormatting sqref="EW22:EZ27 EW29:EZ32">
    <cfRule type="cellIs" dxfId="720" priority="835" operator="equal">
      <formula>0</formula>
    </cfRule>
    <cfRule type="cellIs" dxfId="719" priority="836" operator="equal">
      <formula>1</formula>
    </cfRule>
  </conditionalFormatting>
  <conditionalFormatting sqref="FA22:FB27 FA29:FB32">
    <cfRule type="cellIs" dxfId="718" priority="839" operator="equal">
      <formula>0</formula>
    </cfRule>
    <cfRule type="cellIs" dxfId="717" priority="840" operator="equal">
      <formula>1</formula>
    </cfRule>
  </conditionalFormatting>
  <conditionalFormatting sqref="FC22:FC27 FC29:FC32">
    <cfRule type="cellIs" dxfId="716" priority="837" operator="equal">
      <formula>0</formula>
    </cfRule>
    <cfRule type="cellIs" dxfId="715" priority="838" operator="equal">
      <formula>1</formula>
    </cfRule>
  </conditionalFormatting>
  <conditionalFormatting sqref="FA22:FB27 FA29:FB32">
    <cfRule type="cellIs" dxfId="714" priority="833" operator="equal">
      <formula>0</formula>
    </cfRule>
    <cfRule type="cellIs" dxfId="713" priority="834" operator="equal">
      <formula>1</formula>
    </cfRule>
  </conditionalFormatting>
  <conditionalFormatting sqref="FB22:FB27 FB29:FB32">
    <cfRule type="cellIs" dxfId="712" priority="831" operator="equal">
      <formula>0</formula>
    </cfRule>
    <cfRule type="cellIs" dxfId="711" priority="832" operator="equal">
      <formula>1</formula>
    </cfRule>
  </conditionalFormatting>
  <conditionalFormatting sqref="EW34:EZ42 EW44:EZ45">
    <cfRule type="cellIs" dxfId="710" priority="825" operator="equal">
      <formula>0</formula>
    </cfRule>
    <cfRule type="cellIs" dxfId="709" priority="826" operator="equal">
      <formula>1</formula>
    </cfRule>
  </conditionalFormatting>
  <conditionalFormatting sqref="FA34:FB42 FA44:FB45">
    <cfRule type="cellIs" dxfId="708" priority="829" operator="equal">
      <formula>0</formula>
    </cfRule>
    <cfRule type="cellIs" dxfId="707" priority="830" operator="equal">
      <formula>1</formula>
    </cfRule>
  </conditionalFormatting>
  <conditionalFormatting sqref="FC34:FC42 FC44:FC45">
    <cfRule type="cellIs" dxfId="706" priority="827" operator="equal">
      <formula>0</formula>
    </cfRule>
    <cfRule type="cellIs" dxfId="705" priority="828" operator="equal">
      <formula>1</formula>
    </cfRule>
  </conditionalFormatting>
  <conditionalFormatting sqref="FA34:FB42 FA44:FB45">
    <cfRule type="cellIs" dxfId="704" priority="823" operator="equal">
      <formula>0</formula>
    </cfRule>
    <cfRule type="cellIs" dxfId="703" priority="824" operator="equal">
      <formula>1</formula>
    </cfRule>
  </conditionalFormatting>
  <conditionalFormatting sqref="FB34:FB42 FB44:FB45">
    <cfRule type="cellIs" dxfId="702" priority="821" operator="equal">
      <formula>0</formula>
    </cfRule>
    <cfRule type="cellIs" dxfId="701" priority="822" operator="equal">
      <formula>1</formula>
    </cfRule>
  </conditionalFormatting>
  <conditionalFormatting sqref="EW47:EZ48 EW50:EZ55 EW58:EZ62 EW64:EZ65 EW67:EZ70">
    <cfRule type="cellIs" dxfId="700" priority="815" operator="equal">
      <formula>0</formula>
    </cfRule>
    <cfRule type="cellIs" dxfId="699" priority="816" operator="equal">
      <formula>1</formula>
    </cfRule>
  </conditionalFormatting>
  <conditionalFormatting sqref="FA47:FB48 FA50:FB55 FA58:FB62 FA64:FB65 FA67:FB70">
    <cfRule type="cellIs" dxfId="698" priority="819" operator="equal">
      <formula>0</formula>
    </cfRule>
    <cfRule type="cellIs" dxfId="697" priority="820" operator="equal">
      <formula>1</formula>
    </cfRule>
  </conditionalFormatting>
  <conditionalFormatting sqref="FC47:FC48 FC50:FC55 FC58:FC62 FC64:FC65 FC67:FC70">
    <cfRule type="cellIs" dxfId="696" priority="817" operator="equal">
      <formula>0</formula>
    </cfRule>
    <cfRule type="cellIs" dxfId="695" priority="818" operator="equal">
      <formula>1</formula>
    </cfRule>
  </conditionalFormatting>
  <conditionalFormatting sqref="FA47:FB48 FA50:FB55 FA58:FB62 FA64:FB65 FA67:FB70">
    <cfRule type="cellIs" dxfId="694" priority="813" operator="equal">
      <formula>0</formula>
    </cfRule>
    <cfRule type="cellIs" dxfId="693" priority="814" operator="equal">
      <formula>1</formula>
    </cfRule>
  </conditionalFormatting>
  <conditionalFormatting sqref="FB47:FB48 FB50:FB55 FB58:FB62 FB64:FB65 FB67:FB70">
    <cfRule type="cellIs" dxfId="692" priority="811" operator="equal">
      <formula>0</formula>
    </cfRule>
    <cfRule type="cellIs" dxfId="691" priority="812" operator="equal">
      <formula>1</formula>
    </cfRule>
  </conditionalFormatting>
  <conditionalFormatting sqref="EW72:EZ79">
    <cfRule type="cellIs" dxfId="690" priority="805" operator="equal">
      <formula>0</formula>
    </cfRule>
    <cfRule type="cellIs" dxfId="689" priority="806" operator="equal">
      <formula>1</formula>
    </cfRule>
  </conditionalFormatting>
  <conditionalFormatting sqref="FA72:FB79">
    <cfRule type="cellIs" dxfId="688" priority="809" operator="equal">
      <formula>0</formula>
    </cfRule>
    <cfRule type="cellIs" dxfId="687" priority="810" operator="equal">
      <formula>1</formula>
    </cfRule>
  </conditionalFormatting>
  <conditionalFormatting sqref="FC72:FC79">
    <cfRule type="cellIs" dxfId="686" priority="807" operator="equal">
      <formula>0</formula>
    </cfRule>
    <cfRule type="cellIs" dxfId="685" priority="808" operator="equal">
      <formula>1</formula>
    </cfRule>
  </conditionalFormatting>
  <conditionalFormatting sqref="FA72:FB79">
    <cfRule type="cellIs" dxfId="684" priority="803" operator="equal">
      <formula>0</formula>
    </cfRule>
    <cfRule type="cellIs" dxfId="683" priority="804" operator="equal">
      <formula>1</formula>
    </cfRule>
  </conditionalFormatting>
  <conditionalFormatting sqref="FB72:FB79">
    <cfRule type="cellIs" dxfId="682" priority="801" operator="equal">
      <formula>0</formula>
    </cfRule>
    <cfRule type="cellIs" dxfId="681" priority="802" operator="equal">
      <formula>1</formula>
    </cfRule>
  </conditionalFormatting>
  <conditionalFormatting sqref="EW15:EZ15">
    <cfRule type="cellIs" dxfId="680" priority="795" operator="equal">
      <formula>0</formula>
    </cfRule>
    <cfRule type="cellIs" dxfId="679" priority="796" operator="equal">
      <formula>1</formula>
    </cfRule>
  </conditionalFormatting>
  <conditionalFormatting sqref="FA15:FB15">
    <cfRule type="cellIs" dxfId="678" priority="799" operator="equal">
      <formula>0</formula>
    </cfRule>
    <cfRule type="cellIs" dxfId="677" priority="800" operator="equal">
      <formula>1</formula>
    </cfRule>
  </conditionalFormatting>
  <conditionalFormatting sqref="FC15">
    <cfRule type="cellIs" dxfId="676" priority="797" operator="equal">
      <formula>0</formula>
    </cfRule>
    <cfRule type="cellIs" dxfId="675" priority="798" operator="equal">
      <formula>1</formula>
    </cfRule>
  </conditionalFormatting>
  <conditionalFormatting sqref="FA15:FB15">
    <cfRule type="cellIs" dxfId="674" priority="793" operator="equal">
      <formula>0</formula>
    </cfRule>
    <cfRule type="cellIs" dxfId="673" priority="794" operator="equal">
      <formula>1</formula>
    </cfRule>
  </conditionalFormatting>
  <conditionalFormatting sqref="FB15">
    <cfRule type="cellIs" dxfId="672" priority="791" operator="equal">
      <formula>0</formula>
    </cfRule>
    <cfRule type="cellIs" dxfId="671" priority="792" operator="equal">
      <formula>1</formula>
    </cfRule>
  </conditionalFormatting>
  <conditionalFormatting sqref="EW33">
    <cfRule type="cellIs" dxfId="670" priority="789" operator="equal">
      <formula>0</formula>
    </cfRule>
    <cfRule type="cellIs" dxfId="669" priority="790" operator="equal">
      <formula>1</formula>
    </cfRule>
  </conditionalFormatting>
  <conditionalFormatting sqref="EW49">
    <cfRule type="cellIs" dxfId="668" priority="787" operator="equal">
      <formula>0</formula>
    </cfRule>
    <cfRule type="cellIs" dxfId="667" priority="788" operator="equal">
      <formula>1</formula>
    </cfRule>
  </conditionalFormatting>
  <conditionalFormatting sqref="EW43:EZ43">
    <cfRule type="cellIs" dxfId="666" priority="781" operator="equal">
      <formula>0</formula>
    </cfRule>
    <cfRule type="cellIs" dxfId="665" priority="782" operator="equal">
      <formula>1</formula>
    </cfRule>
  </conditionalFormatting>
  <conditionalFormatting sqref="FA43:FB43">
    <cfRule type="cellIs" dxfId="664" priority="785" operator="equal">
      <formula>0</formula>
    </cfRule>
    <cfRule type="cellIs" dxfId="663" priority="786" operator="equal">
      <formula>1</formula>
    </cfRule>
  </conditionalFormatting>
  <conditionalFormatting sqref="FC43">
    <cfRule type="cellIs" dxfId="662" priority="783" operator="equal">
      <formula>0</formula>
    </cfRule>
    <cfRule type="cellIs" dxfId="661" priority="784" operator="equal">
      <formula>1</formula>
    </cfRule>
  </conditionalFormatting>
  <conditionalFormatting sqref="FA43:FB43">
    <cfRule type="cellIs" dxfId="660" priority="779" operator="equal">
      <formula>0</formula>
    </cfRule>
    <cfRule type="cellIs" dxfId="659" priority="780" operator="equal">
      <formula>1</formula>
    </cfRule>
  </conditionalFormatting>
  <conditionalFormatting sqref="FB43">
    <cfRule type="cellIs" dxfId="658" priority="777" operator="equal">
      <formula>0</formula>
    </cfRule>
    <cfRule type="cellIs" dxfId="657" priority="778" operator="equal">
      <formula>1</formula>
    </cfRule>
  </conditionalFormatting>
  <conditionalFormatting sqref="EW46:EZ46">
    <cfRule type="cellIs" dxfId="656" priority="771" operator="equal">
      <formula>0</formula>
    </cfRule>
    <cfRule type="cellIs" dxfId="655" priority="772" operator="equal">
      <formula>1</formula>
    </cfRule>
  </conditionalFormatting>
  <conditionalFormatting sqref="FA46:FB46">
    <cfRule type="cellIs" dxfId="654" priority="775" operator="equal">
      <formula>0</formula>
    </cfRule>
    <cfRule type="cellIs" dxfId="653" priority="776" operator="equal">
      <formula>1</formula>
    </cfRule>
  </conditionalFormatting>
  <conditionalFormatting sqref="FC46">
    <cfRule type="cellIs" dxfId="652" priority="773" operator="equal">
      <formula>0</formula>
    </cfRule>
    <cfRule type="cellIs" dxfId="651" priority="774" operator="equal">
      <formula>1</formula>
    </cfRule>
  </conditionalFormatting>
  <conditionalFormatting sqref="FA46:FB46">
    <cfRule type="cellIs" dxfId="650" priority="769" operator="equal">
      <formula>0</formula>
    </cfRule>
    <cfRule type="cellIs" dxfId="649" priority="770" operator="equal">
      <formula>1</formula>
    </cfRule>
  </conditionalFormatting>
  <conditionalFormatting sqref="FB46">
    <cfRule type="cellIs" dxfId="648" priority="767" operator="equal">
      <formula>0</formula>
    </cfRule>
    <cfRule type="cellIs" dxfId="647" priority="768" operator="equal">
      <formula>1</formula>
    </cfRule>
  </conditionalFormatting>
  <conditionalFormatting sqref="EW56:EZ56">
    <cfRule type="cellIs" dxfId="646" priority="761" operator="equal">
      <formula>0</formula>
    </cfRule>
    <cfRule type="cellIs" dxfId="645" priority="762" operator="equal">
      <formula>1</formula>
    </cfRule>
  </conditionalFormatting>
  <conditionalFormatting sqref="FA56:FB56">
    <cfRule type="cellIs" dxfId="644" priority="765" operator="equal">
      <formula>0</formula>
    </cfRule>
    <cfRule type="cellIs" dxfId="643" priority="766" operator="equal">
      <formula>1</formula>
    </cfRule>
  </conditionalFormatting>
  <conditionalFormatting sqref="FC56">
    <cfRule type="cellIs" dxfId="642" priority="763" operator="equal">
      <formula>0</formula>
    </cfRule>
    <cfRule type="cellIs" dxfId="641" priority="764" operator="equal">
      <formula>1</formula>
    </cfRule>
  </conditionalFormatting>
  <conditionalFormatting sqref="FA56:FB56">
    <cfRule type="cellIs" dxfId="640" priority="759" operator="equal">
      <formula>0</formula>
    </cfRule>
    <cfRule type="cellIs" dxfId="639" priority="760" operator="equal">
      <formula>1</formula>
    </cfRule>
  </conditionalFormatting>
  <conditionalFormatting sqref="FB56">
    <cfRule type="cellIs" dxfId="638" priority="757" operator="equal">
      <formula>0</formula>
    </cfRule>
    <cfRule type="cellIs" dxfId="637" priority="758" operator="equal">
      <formula>1</formula>
    </cfRule>
  </conditionalFormatting>
  <conditionalFormatting sqref="EW57">
    <cfRule type="cellIs" dxfId="636" priority="755" operator="equal">
      <formula>0</formula>
    </cfRule>
    <cfRule type="cellIs" dxfId="635" priority="756" operator="equal">
      <formula>1</formula>
    </cfRule>
  </conditionalFormatting>
  <conditionalFormatting sqref="EW63">
    <cfRule type="cellIs" dxfId="634" priority="753" operator="equal">
      <formula>0</formula>
    </cfRule>
    <cfRule type="cellIs" dxfId="633" priority="754" operator="equal">
      <formula>1</formula>
    </cfRule>
  </conditionalFormatting>
  <conditionalFormatting sqref="EW66">
    <cfRule type="cellIs" dxfId="632" priority="751" operator="equal">
      <formula>0</formula>
    </cfRule>
    <cfRule type="cellIs" dxfId="631" priority="752" operator="equal">
      <formula>1</formula>
    </cfRule>
  </conditionalFormatting>
  <conditionalFormatting sqref="EW71:EZ71">
    <cfRule type="cellIs" dxfId="630" priority="745" operator="equal">
      <formula>0</formula>
    </cfRule>
    <cfRule type="cellIs" dxfId="629" priority="746" operator="equal">
      <formula>1</formula>
    </cfRule>
  </conditionalFormatting>
  <conditionalFormatting sqref="FA71:FB71">
    <cfRule type="cellIs" dxfId="628" priority="749" operator="equal">
      <formula>0</formula>
    </cfRule>
    <cfRule type="cellIs" dxfId="627" priority="750" operator="equal">
      <formula>1</formula>
    </cfRule>
  </conditionalFormatting>
  <conditionalFormatting sqref="FC71">
    <cfRule type="cellIs" dxfId="626" priority="747" operator="equal">
      <formula>0</formula>
    </cfRule>
    <cfRule type="cellIs" dxfId="625" priority="748" operator="equal">
      <formula>1</formula>
    </cfRule>
  </conditionalFormatting>
  <conditionalFormatting sqref="FA71:FB71">
    <cfRule type="cellIs" dxfId="624" priority="743" operator="equal">
      <formula>0</formula>
    </cfRule>
    <cfRule type="cellIs" dxfId="623" priority="744" operator="equal">
      <formula>1</formula>
    </cfRule>
  </conditionalFormatting>
  <conditionalFormatting sqref="FB71">
    <cfRule type="cellIs" dxfId="622" priority="741" operator="equal">
      <formula>0</formula>
    </cfRule>
    <cfRule type="cellIs" dxfId="621" priority="742" operator="equal">
      <formula>1</formula>
    </cfRule>
  </conditionalFormatting>
  <conditionalFormatting sqref="EW80:EZ80">
    <cfRule type="cellIs" dxfId="620" priority="735" operator="equal">
      <formula>0</formula>
    </cfRule>
    <cfRule type="cellIs" dxfId="619" priority="736" operator="equal">
      <formula>1</formula>
    </cfRule>
  </conditionalFormatting>
  <conditionalFormatting sqref="FA80:FB80">
    <cfRule type="cellIs" dxfId="618" priority="739" operator="equal">
      <formula>0</formula>
    </cfRule>
    <cfRule type="cellIs" dxfId="617" priority="740" operator="equal">
      <formula>1</formula>
    </cfRule>
  </conditionalFormatting>
  <conditionalFormatting sqref="FC80">
    <cfRule type="cellIs" dxfId="616" priority="737" operator="equal">
      <formula>0</formula>
    </cfRule>
    <cfRule type="cellIs" dxfId="615" priority="738" operator="equal">
      <formula>1</formula>
    </cfRule>
  </conditionalFormatting>
  <conditionalFormatting sqref="FA80:FB80">
    <cfRule type="cellIs" dxfId="614" priority="733" operator="equal">
      <formula>0</formula>
    </cfRule>
    <cfRule type="cellIs" dxfId="613" priority="734" operator="equal">
      <formula>1</formula>
    </cfRule>
  </conditionalFormatting>
  <conditionalFormatting sqref="FB80">
    <cfRule type="cellIs" dxfId="612" priority="731" operator="equal">
      <formula>0</formula>
    </cfRule>
    <cfRule type="cellIs" dxfId="611" priority="732" operator="equal">
      <formula>1</formula>
    </cfRule>
  </conditionalFormatting>
  <conditionalFormatting sqref="EW28:EZ28">
    <cfRule type="cellIs" dxfId="610" priority="725" operator="equal">
      <formula>0</formula>
    </cfRule>
    <cfRule type="cellIs" dxfId="609" priority="726" operator="equal">
      <formula>1</formula>
    </cfRule>
  </conditionalFormatting>
  <conditionalFormatting sqref="FA28:FB28">
    <cfRule type="cellIs" dxfId="608" priority="729" operator="equal">
      <formula>0</formula>
    </cfRule>
    <cfRule type="cellIs" dxfId="607" priority="730" operator="equal">
      <formula>1</formula>
    </cfRule>
  </conditionalFormatting>
  <conditionalFormatting sqref="FC28">
    <cfRule type="cellIs" dxfId="606" priority="727" operator="equal">
      <formula>0</formula>
    </cfRule>
    <cfRule type="cellIs" dxfId="605" priority="728" operator="equal">
      <formula>1</formula>
    </cfRule>
  </conditionalFormatting>
  <conditionalFormatting sqref="FA28:FB28">
    <cfRule type="cellIs" dxfId="604" priority="723" operator="equal">
      <formula>0</formula>
    </cfRule>
    <cfRule type="cellIs" dxfId="603" priority="724" operator="equal">
      <formula>1</formula>
    </cfRule>
  </conditionalFormatting>
  <conditionalFormatting sqref="FB28">
    <cfRule type="cellIs" dxfId="602" priority="721" operator="equal">
      <formula>0</formula>
    </cfRule>
    <cfRule type="cellIs" dxfId="601" priority="722" operator="equal">
      <formula>1</formula>
    </cfRule>
  </conditionalFormatting>
  <conditionalFormatting sqref="EP92">
    <cfRule type="cellIs" dxfId="600" priority="859" operator="equal">
      <formula>"NO HABILITADO"</formula>
    </cfRule>
    <cfRule type="cellIs" dxfId="599" priority="860" operator="equal">
      <formula>"OK"</formula>
    </cfRule>
  </conditionalFormatting>
  <conditionalFormatting sqref="FC92">
    <cfRule type="cellIs" dxfId="598" priority="857" operator="equal">
      <formula>0</formula>
    </cfRule>
    <cfRule type="cellIs" dxfId="597" priority="858" operator="equal">
      <formula>1</formula>
    </cfRule>
  </conditionalFormatting>
  <conditionalFormatting sqref="FE92">
    <cfRule type="cellIs" dxfId="596" priority="855" operator="equal">
      <formula>0</formula>
    </cfRule>
    <cfRule type="cellIs" dxfId="595" priority="856" operator="equal">
      <formula>1</formula>
    </cfRule>
  </conditionalFormatting>
  <conditionalFormatting sqref="FA11:FB14 FA16:FB17 FA19:FB21">
    <cfRule type="cellIs" dxfId="594" priority="853" operator="equal">
      <formula>0</formula>
    </cfRule>
    <cfRule type="cellIs" dxfId="593" priority="854" operator="equal">
      <formula>1</formula>
    </cfRule>
  </conditionalFormatting>
  <conditionalFormatting sqref="FC11:FC14 FC16:FC17 FC19:FC21">
    <cfRule type="cellIs" dxfId="592" priority="851" operator="equal">
      <formula>0</formula>
    </cfRule>
    <cfRule type="cellIs" dxfId="591" priority="852" operator="equal">
      <formula>1</formula>
    </cfRule>
  </conditionalFormatting>
  <conditionalFormatting sqref="FA11:FB14 FA16:FB17 FA19:FB21">
    <cfRule type="cellIs" dxfId="590" priority="847" operator="equal">
      <formula>0</formula>
    </cfRule>
    <cfRule type="cellIs" dxfId="589" priority="848" operator="equal">
      <formula>1</formula>
    </cfRule>
  </conditionalFormatting>
  <conditionalFormatting sqref="FB11:FB14 FB16:FB17 FB19:FB21">
    <cfRule type="cellIs" dxfId="588" priority="845" operator="equal">
      <formula>0</formula>
    </cfRule>
    <cfRule type="cellIs" dxfId="587" priority="846" operator="equal">
      <formula>1</formula>
    </cfRule>
  </conditionalFormatting>
  <conditionalFormatting sqref="EX92">
    <cfRule type="cellIs" dxfId="586" priority="841" operator="equal">
      <formula>0</formula>
    </cfRule>
    <cfRule type="cellIs" dxfId="585" priority="842" operator="equal">
      <formula>1</formula>
    </cfRule>
  </conditionalFormatting>
  <conditionalFormatting sqref="EZ92">
    <cfRule type="cellIs" dxfId="584" priority="843" operator="equal">
      <formula>0</formula>
    </cfRule>
    <cfRule type="cellIs" dxfId="583" priority="844" operator="equal">
      <formula>1</formula>
    </cfRule>
  </conditionalFormatting>
  <conditionalFormatting sqref="FH95">
    <cfRule type="cellIs" dxfId="582" priority="719" operator="equal">
      <formula>"OK"</formula>
    </cfRule>
    <cfRule type="cellIs" dxfId="581" priority="720" operator="equal">
      <formula>"NO HABILITADO"</formula>
    </cfRule>
  </conditionalFormatting>
  <conditionalFormatting sqref="FS95">
    <cfRule type="cellIs" dxfId="580" priority="717" operator="equal">
      <formula>"OK"</formula>
    </cfRule>
    <cfRule type="cellIs" dxfId="579" priority="718" operator="equal">
      <formula>"NO HABILITADO"</formula>
    </cfRule>
  </conditionalFormatting>
  <conditionalFormatting sqref="FN11:FQ14 FN16:FQ17 FN19:FQ21 FN18">
    <cfRule type="cellIs" dxfId="578" priority="705" operator="equal">
      <formula>0</formula>
    </cfRule>
    <cfRule type="cellIs" dxfId="577" priority="706" operator="equal">
      <formula>1</formula>
    </cfRule>
  </conditionalFormatting>
  <conditionalFormatting sqref="FR22:FS27 FR29:FS32">
    <cfRule type="cellIs" dxfId="576" priority="695" operator="equal">
      <formula>0</formula>
    </cfRule>
    <cfRule type="cellIs" dxfId="575" priority="696" operator="equal">
      <formula>1</formula>
    </cfRule>
  </conditionalFormatting>
  <conditionalFormatting sqref="FT22:FT27 FT29:FT32">
    <cfRule type="cellIs" dxfId="574" priority="693" operator="equal">
      <formula>0</formula>
    </cfRule>
    <cfRule type="cellIs" dxfId="573" priority="694" operator="equal">
      <formula>1</formula>
    </cfRule>
  </conditionalFormatting>
  <conditionalFormatting sqref="FR22:FS27 FR29:FS32">
    <cfRule type="cellIs" dxfId="572" priority="689" operator="equal">
      <formula>0</formula>
    </cfRule>
    <cfRule type="cellIs" dxfId="571" priority="690" operator="equal">
      <formula>1</formula>
    </cfRule>
  </conditionalFormatting>
  <conditionalFormatting sqref="FS22:FS27 FS29:FS32">
    <cfRule type="cellIs" dxfId="570" priority="687" operator="equal">
      <formula>0</formula>
    </cfRule>
    <cfRule type="cellIs" dxfId="569" priority="688" operator="equal">
      <formula>1</formula>
    </cfRule>
  </conditionalFormatting>
  <conditionalFormatting sqref="FR34:FS42 FR44:FS45">
    <cfRule type="cellIs" dxfId="568" priority="685" operator="equal">
      <formula>0</formula>
    </cfRule>
    <cfRule type="cellIs" dxfId="567" priority="686" operator="equal">
      <formula>1</formula>
    </cfRule>
  </conditionalFormatting>
  <conditionalFormatting sqref="FT34:FT42 FT44:FT45">
    <cfRule type="cellIs" dxfId="566" priority="683" operator="equal">
      <formula>0</formula>
    </cfRule>
    <cfRule type="cellIs" dxfId="565" priority="684" operator="equal">
      <formula>1</formula>
    </cfRule>
  </conditionalFormatting>
  <conditionalFormatting sqref="FR34:FS42 FR44:FS45">
    <cfRule type="cellIs" dxfId="564" priority="679" operator="equal">
      <formula>0</formula>
    </cfRule>
    <cfRule type="cellIs" dxfId="563" priority="680" operator="equal">
      <formula>1</formula>
    </cfRule>
  </conditionalFormatting>
  <conditionalFormatting sqref="FS34:FS42 FS44:FS45">
    <cfRule type="cellIs" dxfId="562" priority="677" operator="equal">
      <formula>0</formula>
    </cfRule>
    <cfRule type="cellIs" dxfId="561" priority="678" operator="equal">
      <formula>1</formula>
    </cfRule>
  </conditionalFormatting>
  <conditionalFormatting sqref="FR47:FS48 FR50:FS55 FR58:FS62 FR64:FS65 FR67:FS70">
    <cfRule type="cellIs" dxfId="560" priority="675" operator="equal">
      <formula>0</formula>
    </cfRule>
    <cfRule type="cellIs" dxfId="559" priority="676" operator="equal">
      <formula>1</formula>
    </cfRule>
  </conditionalFormatting>
  <conditionalFormatting sqref="FT47:FT48 FT50:FT55 FT58:FT62 FT64:FT65 FT67:FT70">
    <cfRule type="cellIs" dxfId="558" priority="673" operator="equal">
      <formula>0</formula>
    </cfRule>
    <cfRule type="cellIs" dxfId="557" priority="674" operator="equal">
      <formula>1</formula>
    </cfRule>
  </conditionalFormatting>
  <conditionalFormatting sqref="FR47:FS48 FR50:FS55 FR58:FS62 FR64:FS65 FR67:FS70">
    <cfRule type="cellIs" dxfId="556" priority="669" operator="equal">
      <formula>0</formula>
    </cfRule>
    <cfRule type="cellIs" dxfId="555" priority="670" operator="equal">
      <formula>1</formula>
    </cfRule>
  </conditionalFormatting>
  <conditionalFormatting sqref="FS47:FS48 FS50:FS55 FS58:FS62 FS64:FS65 FS67:FS70">
    <cfRule type="cellIs" dxfId="554" priority="667" operator="equal">
      <formula>0</formula>
    </cfRule>
    <cfRule type="cellIs" dxfId="553" priority="668" operator="equal">
      <formula>1</formula>
    </cfRule>
  </conditionalFormatting>
  <conditionalFormatting sqref="FR72:FS79">
    <cfRule type="cellIs" dxfId="552" priority="665" operator="equal">
      <formula>0</formula>
    </cfRule>
    <cfRule type="cellIs" dxfId="551" priority="666" operator="equal">
      <formula>1</formula>
    </cfRule>
  </conditionalFormatting>
  <conditionalFormatting sqref="FT72:FT79">
    <cfRule type="cellIs" dxfId="550" priority="663" operator="equal">
      <formula>0</formula>
    </cfRule>
    <cfRule type="cellIs" dxfId="549" priority="664" operator="equal">
      <formula>1</formula>
    </cfRule>
  </conditionalFormatting>
  <conditionalFormatting sqref="FR72:FS79">
    <cfRule type="cellIs" dxfId="548" priority="659" operator="equal">
      <formula>0</formula>
    </cfRule>
    <cfRule type="cellIs" dxfId="547" priority="660" operator="equal">
      <formula>1</formula>
    </cfRule>
  </conditionalFormatting>
  <conditionalFormatting sqref="FS72:FS79">
    <cfRule type="cellIs" dxfId="546" priority="657" operator="equal">
      <formula>0</formula>
    </cfRule>
    <cfRule type="cellIs" dxfId="545" priority="658" operator="equal">
      <formula>1</formula>
    </cfRule>
  </conditionalFormatting>
  <conditionalFormatting sqref="FN15:FQ15">
    <cfRule type="cellIs" dxfId="544" priority="651" operator="equal">
      <formula>0</formula>
    </cfRule>
    <cfRule type="cellIs" dxfId="543" priority="652" operator="equal">
      <formula>1</formula>
    </cfRule>
  </conditionalFormatting>
  <conditionalFormatting sqref="FR15:FS15">
    <cfRule type="cellIs" dxfId="542" priority="655" operator="equal">
      <formula>0</formula>
    </cfRule>
    <cfRule type="cellIs" dxfId="541" priority="656" operator="equal">
      <formula>1</formula>
    </cfRule>
  </conditionalFormatting>
  <conditionalFormatting sqref="FT15">
    <cfRule type="cellIs" dxfId="540" priority="653" operator="equal">
      <formula>0</formula>
    </cfRule>
    <cfRule type="cellIs" dxfId="539" priority="654" operator="equal">
      <formula>1</formula>
    </cfRule>
  </conditionalFormatting>
  <conditionalFormatting sqref="FR15:FS15">
    <cfRule type="cellIs" dxfId="538" priority="649" operator="equal">
      <formula>0</formula>
    </cfRule>
    <cfRule type="cellIs" dxfId="537" priority="650" operator="equal">
      <formula>1</formula>
    </cfRule>
  </conditionalFormatting>
  <conditionalFormatting sqref="FS15">
    <cfRule type="cellIs" dxfId="536" priority="647" operator="equal">
      <formula>0</formula>
    </cfRule>
    <cfRule type="cellIs" dxfId="535" priority="648" operator="equal">
      <formula>1</formula>
    </cfRule>
  </conditionalFormatting>
  <conditionalFormatting sqref="FN33">
    <cfRule type="cellIs" dxfId="534" priority="645" operator="equal">
      <formula>0</formula>
    </cfRule>
    <cfRule type="cellIs" dxfId="533" priority="646" operator="equal">
      <formula>1</formula>
    </cfRule>
  </conditionalFormatting>
  <conditionalFormatting sqref="FN49">
    <cfRule type="cellIs" dxfId="532" priority="643" operator="equal">
      <formula>0</formula>
    </cfRule>
    <cfRule type="cellIs" dxfId="531" priority="644" operator="equal">
      <formula>1</formula>
    </cfRule>
  </conditionalFormatting>
  <conditionalFormatting sqref="FN43:FQ43">
    <cfRule type="cellIs" dxfId="530" priority="637" operator="equal">
      <formula>0</formula>
    </cfRule>
    <cfRule type="cellIs" dxfId="529" priority="638" operator="equal">
      <formula>1</formula>
    </cfRule>
  </conditionalFormatting>
  <conditionalFormatting sqref="FR43:FS43">
    <cfRule type="cellIs" dxfId="528" priority="641" operator="equal">
      <formula>0</formula>
    </cfRule>
    <cfRule type="cellIs" dxfId="527" priority="642" operator="equal">
      <formula>1</formula>
    </cfRule>
  </conditionalFormatting>
  <conditionalFormatting sqref="FT43">
    <cfRule type="cellIs" dxfId="526" priority="639" operator="equal">
      <formula>0</formula>
    </cfRule>
    <cfRule type="cellIs" dxfId="525" priority="640" operator="equal">
      <formula>1</formula>
    </cfRule>
  </conditionalFormatting>
  <conditionalFormatting sqref="FR43:FS43">
    <cfRule type="cellIs" dxfId="524" priority="635" operator="equal">
      <formula>0</formula>
    </cfRule>
    <cfRule type="cellIs" dxfId="523" priority="636" operator="equal">
      <formula>1</formula>
    </cfRule>
  </conditionalFormatting>
  <conditionalFormatting sqref="FS43">
    <cfRule type="cellIs" dxfId="522" priority="633" operator="equal">
      <formula>0</formula>
    </cfRule>
    <cfRule type="cellIs" dxfId="521" priority="634" operator="equal">
      <formula>1</formula>
    </cfRule>
  </conditionalFormatting>
  <conditionalFormatting sqref="FN46:FQ46">
    <cfRule type="cellIs" dxfId="520" priority="627" operator="equal">
      <formula>0</formula>
    </cfRule>
    <cfRule type="cellIs" dxfId="519" priority="628" operator="equal">
      <formula>1</formula>
    </cfRule>
  </conditionalFormatting>
  <conditionalFormatting sqref="FR46:FS46">
    <cfRule type="cellIs" dxfId="518" priority="631" operator="equal">
      <formula>0</formula>
    </cfRule>
    <cfRule type="cellIs" dxfId="517" priority="632" operator="equal">
      <formula>1</formula>
    </cfRule>
  </conditionalFormatting>
  <conditionalFormatting sqref="FT46">
    <cfRule type="cellIs" dxfId="516" priority="629" operator="equal">
      <formula>0</formula>
    </cfRule>
    <cfRule type="cellIs" dxfId="515" priority="630" operator="equal">
      <formula>1</formula>
    </cfRule>
  </conditionalFormatting>
  <conditionalFormatting sqref="FR46:FS46">
    <cfRule type="cellIs" dxfId="514" priority="625" operator="equal">
      <formula>0</formula>
    </cfRule>
    <cfRule type="cellIs" dxfId="513" priority="626" operator="equal">
      <formula>1</formula>
    </cfRule>
  </conditionalFormatting>
  <conditionalFormatting sqref="FS46">
    <cfRule type="cellIs" dxfId="512" priority="623" operator="equal">
      <formula>0</formula>
    </cfRule>
    <cfRule type="cellIs" dxfId="511" priority="624" operator="equal">
      <formula>1</formula>
    </cfRule>
  </conditionalFormatting>
  <conditionalFormatting sqref="FN56:FQ56">
    <cfRule type="cellIs" dxfId="510" priority="617" operator="equal">
      <formula>0</formula>
    </cfRule>
    <cfRule type="cellIs" dxfId="509" priority="618" operator="equal">
      <formula>1</formula>
    </cfRule>
  </conditionalFormatting>
  <conditionalFormatting sqref="FR56:FS56">
    <cfRule type="cellIs" dxfId="508" priority="621" operator="equal">
      <formula>0</formula>
    </cfRule>
    <cfRule type="cellIs" dxfId="507" priority="622" operator="equal">
      <formula>1</formula>
    </cfRule>
  </conditionalFormatting>
  <conditionalFormatting sqref="FT56">
    <cfRule type="cellIs" dxfId="506" priority="619" operator="equal">
      <formula>0</formula>
    </cfRule>
    <cfRule type="cellIs" dxfId="505" priority="620" operator="equal">
      <formula>1</formula>
    </cfRule>
  </conditionalFormatting>
  <conditionalFormatting sqref="FR56:FS56">
    <cfRule type="cellIs" dxfId="504" priority="615" operator="equal">
      <formula>0</formula>
    </cfRule>
    <cfRule type="cellIs" dxfId="503" priority="616" operator="equal">
      <formula>1</formula>
    </cfRule>
  </conditionalFormatting>
  <conditionalFormatting sqref="FS56">
    <cfRule type="cellIs" dxfId="502" priority="613" operator="equal">
      <formula>0</formula>
    </cfRule>
    <cfRule type="cellIs" dxfId="501" priority="614" operator="equal">
      <formula>1</formula>
    </cfRule>
  </conditionalFormatting>
  <conditionalFormatting sqref="FN57">
    <cfRule type="cellIs" dxfId="500" priority="611" operator="equal">
      <formula>0</formula>
    </cfRule>
    <cfRule type="cellIs" dxfId="499" priority="612" operator="equal">
      <formula>1</formula>
    </cfRule>
  </conditionalFormatting>
  <conditionalFormatting sqref="FN63">
    <cfRule type="cellIs" dxfId="498" priority="609" operator="equal">
      <formula>0</formula>
    </cfRule>
    <cfRule type="cellIs" dxfId="497" priority="610" operator="equal">
      <formula>1</formula>
    </cfRule>
  </conditionalFormatting>
  <conditionalFormatting sqref="FN66">
    <cfRule type="cellIs" dxfId="496" priority="607" operator="equal">
      <formula>0</formula>
    </cfRule>
    <cfRule type="cellIs" dxfId="495" priority="608" operator="equal">
      <formula>1</formula>
    </cfRule>
  </conditionalFormatting>
  <conditionalFormatting sqref="FN71:FQ71">
    <cfRule type="cellIs" dxfId="494" priority="601" operator="equal">
      <formula>0</formula>
    </cfRule>
    <cfRule type="cellIs" dxfId="493" priority="602" operator="equal">
      <formula>1</formula>
    </cfRule>
  </conditionalFormatting>
  <conditionalFormatting sqref="FR71:FS71">
    <cfRule type="cellIs" dxfId="492" priority="605" operator="equal">
      <formula>0</formula>
    </cfRule>
    <cfRule type="cellIs" dxfId="491" priority="606" operator="equal">
      <formula>1</formula>
    </cfRule>
  </conditionalFormatting>
  <conditionalFormatting sqref="FT71">
    <cfRule type="cellIs" dxfId="490" priority="603" operator="equal">
      <formula>0</formula>
    </cfRule>
    <cfRule type="cellIs" dxfId="489" priority="604" operator="equal">
      <formula>1</formula>
    </cfRule>
  </conditionalFormatting>
  <conditionalFormatting sqref="FR71:FS71">
    <cfRule type="cellIs" dxfId="488" priority="599" operator="equal">
      <formula>0</formula>
    </cfRule>
    <cfRule type="cellIs" dxfId="487" priority="600" operator="equal">
      <formula>1</formula>
    </cfRule>
  </conditionalFormatting>
  <conditionalFormatting sqref="FS71">
    <cfRule type="cellIs" dxfId="486" priority="597" operator="equal">
      <formula>0</formula>
    </cfRule>
    <cfRule type="cellIs" dxfId="485" priority="598" operator="equal">
      <formula>1</formula>
    </cfRule>
  </conditionalFormatting>
  <conditionalFormatting sqref="FN80:FQ80">
    <cfRule type="cellIs" dxfId="484" priority="591" operator="equal">
      <formula>0</formula>
    </cfRule>
    <cfRule type="cellIs" dxfId="483" priority="592" operator="equal">
      <formula>1</formula>
    </cfRule>
  </conditionalFormatting>
  <conditionalFormatting sqref="FR80:FS80">
    <cfRule type="cellIs" dxfId="482" priority="595" operator="equal">
      <formula>0</formula>
    </cfRule>
    <cfRule type="cellIs" dxfId="481" priority="596" operator="equal">
      <formula>1</formula>
    </cfRule>
  </conditionalFormatting>
  <conditionalFormatting sqref="FT80">
    <cfRule type="cellIs" dxfId="480" priority="593" operator="equal">
      <formula>0</formula>
    </cfRule>
    <cfRule type="cellIs" dxfId="479" priority="594" operator="equal">
      <formula>1</formula>
    </cfRule>
  </conditionalFormatting>
  <conditionalFormatting sqref="FR80:FS80">
    <cfRule type="cellIs" dxfId="478" priority="589" operator="equal">
      <formula>0</formula>
    </cfRule>
    <cfRule type="cellIs" dxfId="477" priority="590" operator="equal">
      <formula>1</formula>
    </cfRule>
  </conditionalFormatting>
  <conditionalFormatting sqref="FS80">
    <cfRule type="cellIs" dxfId="476" priority="587" operator="equal">
      <formula>0</formula>
    </cfRule>
    <cfRule type="cellIs" dxfId="475" priority="588" operator="equal">
      <formula>1</formula>
    </cfRule>
  </conditionalFormatting>
  <conditionalFormatting sqref="FN28:FQ28">
    <cfRule type="cellIs" dxfId="474" priority="581" operator="equal">
      <formula>0</formula>
    </cfRule>
    <cfRule type="cellIs" dxfId="473" priority="582" operator="equal">
      <formula>1</formula>
    </cfRule>
  </conditionalFormatting>
  <conditionalFormatting sqref="FR28:FS28">
    <cfRule type="cellIs" dxfId="472" priority="585" operator="equal">
      <formula>0</formula>
    </cfRule>
    <cfRule type="cellIs" dxfId="471" priority="586" operator="equal">
      <formula>1</formula>
    </cfRule>
  </conditionalFormatting>
  <conditionalFormatting sqref="FT28">
    <cfRule type="cellIs" dxfId="470" priority="583" operator="equal">
      <formula>0</formula>
    </cfRule>
    <cfRule type="cellIs" dxfId="469" priority="584" operator="equal">
      <formula>1</formula>
    </cfRule>
  </conditionalFormatting>
  <conditionalFormatting sqref="FR28:FS28">
    <cfRule type="cellIs" dxfId="468" priority="579" operator="equal">
      <formula>0</formula>
    </cfRule>
    <cfRule type="cellIs" dxfId="467" priority="580" operator="equal">
      <formula>1</formula>
    </cfRule>
  </conditionalFormatting>
  <conditionalFormatting sqref="FS28">
    <cfRule type="cellIs" dxfId="466" priority="577" operator="equal">
      <formula>0</formula>
    </cfRule>
    <cfRule type="cellIs" dxfId="465" priority="578" operator="equal">
      <formula>1</formula>
    </cfRule>
  </conditionalFormatting>
  <conditionalFormatting sqref="FG92">
    <cfRule type="cellIs" dxfId="464" priority="715" operator="equal">
      <formula>"NO HABILITADO"</formula>
    </cfRule>
    <cfRule type="cellIs" dxfId="463" priority="716" operator="equal">
      <formula>"OK"</formula>
    </cfRule>
  </conditionalFormatting>
  <conditionalFormatting sqref="FT92">
    <cfRule type="cellIs" dxfId="462" priority="713" operator="equal">
      <formula>0</formula>
    </cfRule>
    <cfRule type="cellIs" dxfId="461" priority="714" operator="equal">
      <formula>1</formula>
    </cfRule>
  </conditionalFormatting>
  <conditionalFormatting sqref="FV92">
    <cfRule type="cellIs" dxfId="460" priority="711" operator="equal">
      <formula>0</formula>
    </cfRule>
    <cfRule type="cellIs" dxfId="459" priority="712" operator="equal">
      <formula>1</formula>
    </cfRule>
  </conditionalFormatting>
  <conditionalFormatting sqref="FR11:FS14 FR16:FS17 FR19:FS21">
    <cfRule type="cellIs" dxfId="458" priority="709" operator="equal">
      <formula>0</formula>
    </cfRule>
    <cfRule type="cellIs" dxfId="457" priority="710" operator="equal">
      <formula>1</formula>
    </cfRule>
  </conditionalFormatting>
  <conditionalFormatting sqref="FT11:FT14 FT16:FT17 FT19:FT21">
    <cfRule type="cellIs" dxfId="456" priority="707" operator="equal">
      <formula>0</formula>
    </cfRule>
    <cfRule type="cellIs" dxfId="455" priority="708" operator="equal">
      <formula>1</formula>
    </cfRule>
  </conditionalFormatting>
  <conditionalFormatting sqref="FR11:FS14 FR16:FS17 FR19:FS21">
    <cfRule type="cellIs" dxfId="454" priority="703" operator="equal">
      <formula>0</formula>
    </cfRule>
    <cfRule type="cellIs" dxfId="453" priority="704" operator="equal">
      <formula>1</formula>
    </cfRule>
  </conditionalFormatting>
  <conditionalFormatting sqref="FS11:FS14 FS16:FS17 FS19:FS21">
    <cfRule type="cellIs" dxfId="452" priority="701" operator="equal">
      <formula>0</formula>
    </cfRule>
    <cfRule type="cellIs" dxfId="451" priority="702" operator="equal">
      <formula>1</formula>
    </cfRule>
  </conditionalFormatting>
  <conditionalFormatting sqref="FO92">
    <cfRule type="cellIs" dxfId="450" priority="697" operator="equal">
      <formula>0</formula>
    </cfRule>
    <cfRule type="cellIs" dxfId="449" priority="698" operator="equal">
      <formula>1</formula>
    </cfRule>
  </conditionalFormatting>
  <conditionalFormatting sqref="FQ92">
    <cfRule type="cellIs" dxfId="448" priority="699" operator="equal">
      <formula>0</formula>
    </cfRule>
    <cfRule type="cellIs" dxfId="447" priority="700" operator="equal">
      <formula>1</formula>
    </cfRule>
  </conditionalFormatting>
  <conditionalFormatting sqref="FY95">
    <cfRule type="cellIs" dxfId="446" priority="575" operator="equal">
      <formula>"OK"</formula>
    </cfRule>
    <cfRule type="cellIs" dxfId="445" priority="576" operator="equal">
      <formula>"NO HABILITADO"</formula>
    </cfRule>
  </conditionalFormatting>
  <conditionalFormatting sqref="GJ95">
    <cfRule type="cellIs" dxfId="444" priority="573" operator="equal">
      <formula>"OK"</formula>
    </cfRule>
    <cfRule type="cellIs" dxfId="443" priority="574" operator="equal">
      <formula>"NO HABILITADO"</formula>
    </cfRule>
  </conditionalFormatting>
  <conditionalFormatting sqref="GE11:GH14 GE16:GH17 GE19:GH21 GE18">
    <cfRule type="cellIs" dxfId="442" priority="561" operator="equal">
      <formula>0</formula>
    </cfRule>
    <cfRule type="cellIs" dxfId="441" priority="562" operator="equal">
      <formula>1</formula>
    </cfRule>
  </conditionalFormatting>
  <conditionalFormatting sqref="GE22:GH27 GE29:GH32">
    <cfRule type="cellIs" dxfId="440" priority="547" operator="equal">
      <formula>0</formula>
    </cfRule>
    <cfRule type="cellIs" dxfId="439" priority="548" operator="equal">
      <formula>1</formula>
    </cfRule>
  </conditionalFormatting>
  <conditionalFormatting sqref="GI22:GJ27 GI29:GJ32">
    <cfRule type="cellIs" dxfId="438" priority="551" operator="equal">
      <formula>0</formula>
    </cfRule>
    <cfRule type="cellIs" dxfId="437" priority="552" operator="equal">
      <formula>1</formula>
    </cfRule>
  </conditionalFormatting>
  <conditionalFormatting sqref="GK22:GK27 GK29:GK32">
    <cfRule type="cellIs" dxfId="436" priority="549" operator="equal">
      <formula>0</formula>
    </cfRule>
    <cfRule type="cellIs" dxfId="435" priority="550" operator="equal">
      <formula>1</formula>
    </cfRule>
  </conditionalFormatting>
  <conditionalFormatting sqref="GI22:GJ27 GI29:GJ32">
    <cfRule type="cellIs" dxfId="434" priority="545" operator="equal">
      <formula>0</formula>
    </cfRule>
    <cfRule type="cellIs" dxfId="433" priority="546" operator="equal">
      <formula>1</formula>
    </cfRule>
  </conditionalFormatting>
  <conditionalFormatting sqref="GJ22:GJ27 GJ29:GJ32">
    <cfRule type="cellIs" dxfId="432" priority="543" operator="equal">
      <formula>0</formula>
    </cfRule>
    <cfRule type="cellIs" dxfId="431" priority="544" operator="equal">
      <formula>1</formula>
    </cfRule>
  </conditionalFormatting>
  <conditionalFormatting sqref="GE34:GH42 GE44:GH45">
    <cfRule type="cellIs" dxfId="430" priority="537" operator="equal">
      <formula>0</formula>
    </cfRule>
    <cfRule type="cellIs" dxfId="429" priority="538" operator="equal">
      <formula>1</formula>
    </cfRule>
  </conditionalFormatting>
  <conditionalFormatting sqref="GI34:GJ42 GI44:GJ45">
    <cfRule type="cellIs" dxfId="428" priority="541" operator="equal">
      <formula>0</formula>
    </cfRule>
    <cfRule type="cellIs" dxfId="427" priority="542" operator="equal">
      <formula>1</formula>
    </cfRule>
  </conditionalFormatting>
  <conditionalFormatting sqref="GK34:GK42 GK44:GK45">
    <cfRule type="cellIs" dxfId="426" priority="539" operator="equal">
      <formula>0</formula>
    </cfRule>
    <cfRule type="cellIs" dxfId="425" priority="540" operator="equal">
      <formula>1</formula>
    </cfRule>
  </conditionalFormatting>
  <conditionalFormatting sqref="GI34:GJ42 GI44:GJ45">
    <cfRule type="cellIs" dxfId="424" priority="535" operator="equal">
      <formula>0</formula>
    </cfRule>
    <cfRule type="cellIs" dxfId="423" priority="536" operator="equal">
      <formula>1</formula>
    </cfRule>
  </conditionalFormatting>
  <conditionalFormatting sqref="GJ34:GJ42 GJ44:GJ45">
    <cfRule type="cellIs" dxfId="422" priority="533" operator="equal">
      <formula>0</formula>
    </cfRule>
    <cfRule type="cellIs" dxfId="421" priority="534" operator="equal">
      <formula>1</formula>
    </cfRule>
  </conditionalFormatting>
  <conditionalFormatting sqref="GE47:GH48 GE50:GH55 GE58:GH62 GE64:GH65 GE67:GH70">
    <cfRule type="cellIs" dxfId="420" priority="527" operator="equal">
      <formula>0</formula>
    </cfRule>
    <cfRule type="cellIs" dxfId="419" priority="528" operator="equal">
      <formula>1</formula>
    </cfRule>
  </conditionalFormatting>
  <conditionalFormatting sqref="GI47:GJ48 GI50:GJ55 GI58:GJ62 GI64:GJ65 GI67:GJ70">
    <cfRule type="cellIs" dxfId="418" priority="531" operator="equal">
      <formula>0</formula>
    </cfRule>
    <cfRule type="cellIs" dxfId="417" priority="532" operator="equal">
      <formula>1</formula>
    </cfRule>
  </conditionalFormatting>
  <conditionalFormatting sqref="GK47:GK48 GK50:GK55 GK58:GK62 GK64:GK65 GK67:GK70">
    <cfRule type="cellIs" dxfId="416" priority="529" operator="equal">
      <formula>0</formula>
    </cfRule>
    <cfRule type="cellIs" dxfId="415" priority="530" operator="equal">
      <formula>1</formula>
    </cfRule>
  </conditionalFormatting>
  <conditionalFormatting sqref="GI47:GJ48 GI50:GJ55 GI58:GJ62 GI64:GJ65 GI67:GJ70">
    <cfRule type="cellIs" dxfId="414" priority="525" operator="equal">
      <formula>0</formula>
    </cfRule>
    <cfRule type="cellIs" dxfId="413" priority="526" operator="equal">
      <formula>1</formula>
    </cfRule>
  </conditionalFormatting>
  <conditionalFormatting sqref="GJ47:GJ48 GJ50:GJ55 GJ58:GJ62 GJ64:GJ65 GJ67:GJ70">
    <cfRule type="cellIs" dxfId="412" priority="523" operator="equal">
      <formula>0</formula>
    </cfRule>
    <cfRule type="cellIs" dxfId="411" priority="524" operator="equal">
      <formula>1</formula>
    </cfRule>
  </conditionalFormatting>
  <conditionalFormatting sqref="GE72:GH79">
    <cfRule type="cellIs" dxfId="410" priority="517" operator="equal">
      <formula>0</formula>
    </cfRule>
    <cfRule type="cellIs" dxfId="409" priority="518" operator="equal">
      <formula>1</formula>
    </cfRule>
  </conditionalFormatting>
  <conditionalFormatting sqref="GI72:GJ79">
    <cfRule type="cellIs" dxfId="408" priority="521" operator="equal">
      <formula>0</formula>
    </cfRule>
    <cfRule type="cellIs" dxfId="407" priority="522" operator="equal">
      <formula>1</formula>
    </cfRule>
  </conditionalFormatting>
  <conditionalFormatting sqref="GK72:GK79">
    <cfRule type="cellIs" dxfId="406" priority="519" operator="equal">
      <formula>0</formula>
    </cfRule>
    <cfRule type="cellIs" dxfId="405" priority="520" operator="equal">
      <formula>1</formula>
    </cfRule>
  </conditionalFormatting>
  <conditionalFormatting sqref="GI72:GJ79">
    <cfRule type="cellIs" dxfId="404" priority="515" operator="equal">
      <formula>0</formula>
    </cfRule>
    <cfRule type="cellIs" dxfId="403" priority="516" operator="equal">
      <formula>1</formula>
    </cfRule>
  </conditionalFormatting>
  <conditionalFormatting sqref="GJ72:GJ79">
    <cfRule type="cellIs" dxfId="402" priority="513" operator="equal">
      <formula>0</formula>
    </cfRule>
    <cfRule type="cellIs" dxfId="401" priority="514" operator="equal">
      <formula>1</formula>
    </cfRule>
  </conditionalFormatting>
  <conditionalFormatting sqref="GE15:GH15">
    <cfRule type="cellIs" dxfId="400" priority="507" operator="equal">
      <formula>0</formula>
    </cfRule>
    <cfRule type="cellIs" dxfId="399" priority="508" operator="equal">
      <formula>1</formula>
    </cfRule>
  </conditionalFormatting>
  <conditionalFormatting sqref="GI15:GJ15">
    <cfRule type="cellIs" dxfId="398" priority="511" operator="equal">
      <formula>0</formula>
    </cfRule>
    <cfRule type="cellIs" dxfId="397" priority="512" operator="equal">
      <formula>1</formula>
    </cfRule>
  </conditionalFormatting>
  <conditionalFormatting sqref="GK15">
    <cfRule type="cellIs" dxfId="396" priority="509" operator="equal">
      <formula>0</formula>
    </cfRule>
    <cfRule type="cellIs" dxfId="395" priority="510" operator="equal">
      <formula>1</formula>
    </cfRule>
  </conditionalFormatting>
  <conditionalFormatting sqref="GI15:GJ15">
    <cfRule type="cellIs" dxfId="394" priority="505" operator="equal">
      <formula>0</formula>
    </cfRule>
    <cfRule type="cellIs" dxfId="393" priority="506" operator="equal">
      <formula>1</formula>
    </cfRule>
  </conditionalFormatting>
  <conditionalFormatting sqref="GJ15">
    <cfRule type="cellIs" dxfId="392" priority="503" operator="equal">
      <formula>0</formula>
    </cfRule>
    <cfRule type="cellIs" dxfId="391" priority="504" operator="equal">
      <formula>1</formula>
    </cfRule>
  </conditionalFormatting>
  <conditionalFormatting sqref="GE33">
    <cfRule type="cellIs" dxfId="390" priority="501" operator="equal">
      <formula>0</formula>
    </cfRule>
    <cfRule type="cellIs" dxfId="389" priority="502" operator="equal">
      <formula>1</formula>
    </cfRule>
  </conditionalFormatting>
  <conditionalFormatting sqref="GE49">
    <cfRule type="cellIs" dxfId="388" priority="499" operator="equal">
      <formula>0</formula>
    </cfRule>
    <cfRule type="cellIs" dxfId="387" priority="500" operator="equal">
      <formula>1</formula>
    </cfRule>
  </conditionalFormatting>
  <conditionalFormatting sqref="GE43:GH43">
    <cfRule type="cellIs" dxfId="386" priority="493" operator="equal">
      <formula>0</formula>
    </cfRule>
    <cfRule type="cellIs" dxfId="385" priority="494" operator="equal">
      <formula>1</formula>
    </cfRule>
  </conditionalFormatting>
  <conditionalFormatting sqref="GI43:GJ43">
    <cfRule type="cellIs" dxfId="384" priority="497" operator="equal">
      <formula>0</formula>
    </cfRule>
    <cfRule type="cellIs" dxfId="383" priority="498" operator="equal">
      <formula>1</formula>
    </cfRule>
  </conditionalFormatting>
  <conditionalFormatting sqref="GK43">
    <cfRule type="cellIs" dxfId="382" priority="495" operator="equal">
      <formula>0</formula>
    </cfRule>
    <cfRule type="cellIs" dxfId="381" priority="496" operator="equal">
      <formula>1</formula>
    </cfRule>
  </conditionalFormatting>
  <conditionalFormatting sqref="GI43:GJ43">
    <cfRule type="cellIs" dxfId="380" priority="491" operator="equal">
      <formula>0</formula>
    </cfRule>
    <cfRule type="cellIs" dxfId="379" priority="492" operator="equal">
      <formula>1</formula>
    </cfRule>
  </conditionalFormatting>
  <conditionalFormatting sqref="GJ43">
    <cfRule type="cellIs" dxfId="378" priority="489" operator="equal">
      <formula>0</formula>
    </cfRule>
    <cfRule type="cellIs" dxfId="377" priority="490" operator="equal">
      <formula>1</formula>
    </cfRule>
  </conditionalFormatting>
  <conditionalFormatting sqref="GE46:GH46">
    <cfRule type="cellIs" dxfId="376" priority="483" operator="equal">
      <formula>0</formula>
    </cfRule>
    <cfRule type="cellIs" dxfId="375" priority="484" operator="equal">
      <formula>1</formula>
    </cfRule>
  </conditionalFormatting>
  <conditionalFormatting sqref="GI46:GJ46">
    <cfRule type="cellIs" dxfId="374" priority="487" operator="equal">
      <formula>0</formula>
    </cfRule>
    <cfRule type="cellIs" dxfId="373" priority="488" operator="equal">
      <formula>1</formula>
    </cfRule>
  </conditionalFormatting>
  <conditionalFormatting sqref="GK46">
    <cfRule type="cellIs" dxfId="372" priority="485" operator="equal">
      <formula>0</formula>
    </cfRule>
    <cfRule type="cellIs" dxfId="371" priority="486" operator="equal">
      <formula>1</formula>
    </cfRule>
  </conditionalFormatting>
  <conditionalFormatting sqref="GI46:GJ46">
    <cfRule type="cellIs" dxfId="370" priority="481" operator="equal">
      <formula>0</formula>
    </cfRule>
    <cfRule type="cellIs" dxfId="369" priority="482" operator="equal">
      <formula>1</formula>
    </cfRule>
  </conditionalFormatting>
  <conditionalFormatting sqref="GJ46">
    <cfRule type="cellIs" dxfId="368" priority="479" operator="equal">
      <formula>0</formula>
    </cfRule>
    <cfRule type="cellIs" dxfId="367" priority="480" operator="equal">
      <formula>1</formula>
    </cfRule>
  </conditionalFormatting>
  <conditionalFormatting sqref="GE56:GH56">
    <cfRule type="cellIs" dxfId="366" priority="473" operator="equal">
      <formula>0</formula>
    </cfRule>
    <cfRule type="cellIs" dxfId="365" priority="474" operator="equal">
      <formula>1</formula>
    </cfRule>
  </conditionalFormatting>
  <conditionalFormatting sqref="GJ56">
    <cfRule type="cellIs" dxfId="364" priority="469" operator="equal">
      <formula>0</formula>
    </cfRule>
    <cfRule type="cellIs" dxfId="363" priority="470" operator="equal">
      <formula>1</formula>
    </cfRule>
  </conditionalFormatting>
  <conditionalFormatting sqref="GE66">
    <cfRule type="cellIs" dxfId="362" priority="463" operator="equal">
      <formula>0</formula>
    </cfRule>
    <cfRule type="cellIs" dxfId="361" priority="464" operator="equal">
      <formula>1</formula>
    </cfRule>
  </conditionalFormatting>
  <conditionalFormatting sqref="GI71:GJ71">
    <cfRule type="cellIs" dxfId="360" priority="461" operator="equal">
      <formula>0</formula>
    </cfRule>
    <cfRule type="cellIs" dxfId="359" priority="462" operator="equal">
      <formula>1</formula>
    </cfRule>
  </conditionalFormatting>
  <conditionalFormatting sqref="GI71:GJ71">
    <cfRule type="cellIs" dxfId="358" priority="455" operator="equal">
      <formula>0</formula>
    </cfRule>
    <cfRule type="cellIs" dxfId="357" priority="456" operator="equal">
      <formula>1</formula>
    </cfRule>
  </conditionalFormatting>
  <conditionalFormatting sqref="GI80:GJ80">
    <cfRule type="cellIs" dxfId="356" priority="451" operator="equal">
      <formula>0</formula>
    </cfRule>
    <cfRule type="cellIs" dxfId="355" priority="452" operator="equal">
      <formula>1</formula>
    </cfRule>
  </conditionalFormatting>
  <conditionalFormatting sqref="GI80:GJ80">
    <cfRule type="cellIs" dxfId="354" priority="445" operator="equal">
      <formula>0</formula>
    </cfRule>
    <cfRule type="cellIs" dxfId="353" priority="446" operator="equal">
      <formula>1</formula>
    </cfRule>
  </conditionalFormatting>
  <conditionalFormatting sqref="GE28:GH28">
    <cfRule type="cellIs" dxfId="352" priority="437" operator="equal">
      <formula>0</formula>
    </cfRule>
    <cfRule type="cellIs" dxfId="351" priority="438" operator="equal">
      <formula>1</formula>
    </cfRule>
  </conditionalFormatting>
  <conditionalFormatting sqref="GI28:GJ28">
    <cfRule type="cellIs" dxfId="350" priority="441" operator="equal">
      <formula>0</formula>
    </cfRule>
    <cfRule type="cellIs" dxfId="349" priority="442" operator="equal">
      <formula>1</formula>
    </cfRule>
  </conditionalFormatting>
  <conditionalFormatting sqref="GK28">
    <cfRule type="cellIs" dxfId="348" priority="439" operator="equal">
      <formula>0</formula>
    </cfRule>
    <cfRule type="cellIs" dxfId="347" priority="440" operator="equal">
      <formula>1</formula>
    </cfRule>
  </conditionalFormatting>
  <conditionalFormatting sqref="GI28:GJ28">
    <cfRule type="cellIs" dxfId="346" priority="435" operator="equal">
      <formula>0</formula>
    </cfRule>
    <cfRule type="cellIs" dxfId="345" priority="436" operator="equal">
      <formula>1</formula>
    </cfRule>
  </conditionalFormatting>
  <conditionalFormatting sqref="GJ28">
    <cfRule type="cellIs" dxfId="344" priority="433" operator="equal">
      <formula>0</formula>
    </cfRule>
    <cfRule type="cellIs" dxfId="343" priority="434" operator="equal">
      <formula>1</formula>
    </cfRule>
  </conditionalFormatting>
  <conditionalFormatting sqref="FX92">
    <cfRule type="cellIs" dxfId="342" priority="571" operator="equal">
      <formula>"NO HABILITADO"</formula>
    </cfRule>
    <cfRule type="cellIs" dxfId="341" priority="572" operator="equal">
      <formula>"OK"</formula>
    </cfRule>
  </conditionalFormatting>
  <conditionalFormatting sqref="GK92">
    <cfRule type="cellIs" dxfId="340" priority="569" operator="equal">
      <formula>0</formula>
    </cfRule>
    <cfRule type="cellIs" dxfId="339" priority="570" operator="equal">
      <formula>1</formula>
    </cfRule>
  </conditionalFormatting>
  <conditionalFormatting sqref="GM92">
    <cfRule type="cellIs" dxfId="338" priority="567" operator="equal">
      <formula>0</formula>
    </cfRule>
    <cfRule type="cellIs" dxfId="337" priority="568" operator="equal">
      <formula>1</formula>
    </cfRule>
  </conditionalFormatting>
  <conditionalFormatting sqref="GI11:GJ14 GI16:GJ17 GI19:GJ21">
    <cfRule type="cellIs" dxfId="336" priority="565" operator="equal">
      <formula>0</formula>
    </cfRule>
    <cfRule type="cellIs" dxfId="335" priority="566" operator="equal">
      <formula>1</formula>
    </cfRule>
  </conditionalFormatting>
  <conditionalFormatting sqref="GK11:GK14 GK16:GK17 GK19:GK21">
    <cfRule type="cellIs" dxfId="334" priority="563" operator="equal">
      <formula>0</formula>
    </cfRule>
    <cfRule type="cellIs" dxfId="333" priority="564" operator="equal">
      <formula>1</formula>
    </cfRule>
  </conditionalFormatting>
  <conditionalFormatting sqref="GI11:GJ14 GI16:GJ17 GI19:GJ21">
    <cfRule type="cellIs" dxfId="332" priority="559" operator="equal">
      <formula>0</formula>
    </cfRule>
    <cfRule type="cellIs" dxfId="331" priority="560" operator="equal">
      <formula>1</formula>
    </cfRule>
  </conditionalFormatting>
  <conditionalFormatting sqref="GJ11:GJ14 GJ16:GJ17 GJ19:GJ21">
    <cfRule type="cellIs" dxfId="330" priority="557" operator="equal">
      <formula>0</formula>
    </cfRule>
    <cfRule type="cellIs" dxfId="329" priority="558" operator="equal">
      <formula>1</formula>
    </cfRule>
  </conditionalFormatting>
  <conditionalFormatting sqref="GF92">
    <cfRule type="cellIs" dxfId="328" priority="553" operator="equal">
      <formula>0</formula>
    </cfRule>
    <cfRule type="cellIs" dxfId="327" priority="554" operator="equal">
      <formula>1</formula>
    </cfRule>
  </conditionalFormatting>
  <conditionalFormatting sqref="GH92">
    <cfRule type="cellIs" dxfId="326" priority="555" operator="equal">
      <formula>0</formula>
    </cfRule>
    <cfRule type="cellIs" dxfId="325" priority="556" operator="equal">
      <formula>1</formula>
    </cfRule>
  </conditionalFormatting>
  <conditionalFormatting sqref="GP95">
    <cfRule type="cellIs" dxfId="324" priority="431" operator="equal">
      <formula>"OK"</formula>
    </cfRule>
    <cfRule type="cellIs" dxfId="323" priority="432" operator="equal">
      <formula>"NO HABILITADO"</formula>
    </cfRule>
  </conditionalFormatting>
  <conditionalFormatting sqref="HA95">
    <cfRule type="cellIs" dxfId="322" priority="429" operator="equal">
      <formula>"OK"</formula>
    </cfRule>
    <cfRule type="cellIs" dxfId="321" priority="430" operator="equal">
      <formula>"NO HABILITADO"</formula>
    </cfRule>
  </conditionalFormatting>
  <conditionalFormatting sqref="GV11:GY14 GV16:GY17 GV19:GY21 GV18">
    <cfRule type="cellIs" dxfId="320" priority="417" operator="equal">
      <formula>0</formula>
    </cfRule>
    <cfRule type="cellIs" dxfId="319" priority="418" operator="equal">
      <formula>1</formula>
    </cfRule>
  </conditionalFormatting>
  <conditionalFormatting sqref="GV22:GY27 GV29:GY32">
    <cfRule type="cellIs" dxfId="318" priority="403" operator="equal">
      <formula>0</formula>
    </cfRule>
    <cfRule type="cellIs" dxfId="317" priority="404" operator="equal">
      <formula>1</formula>
    </cfRule>
  </conditionalFormatting>
  <conditionalFormatting sqref="GZ22:HA27 GZ29:HA32">
    <cfRule type="cellIs" dxfId="316" priority="407" operator="equal">
      <formula>0</formula>
    </cfRule>
    <cfRule type="cellIs" dxfId="315" priority="408" operator="equal">
      <formula>1</formula>
    </cfRule>
  </conditionalFormatting>
  <conditionalFormatting sqref="HB22:HB27 HB29:HB32">
    <cfRule type="cellIs" dxfId="314" priority="405" operator="equal">
      <formula>0</formula>
    </cfRule>
    <cfRule type="cellIs" dxfId="313" priority="406" operator="equal">
      <formula>1</formula>
    </cfRule>
  </conditionalFormatting>
  <conditionalFormatting sqref="GZ22:HA27 GZ29:HA32">
    <cfRule type="cellIs" dxfId="312" priority="401" operator="equal">
      <formula>0</formula>
    </cfRule>
    <cfRule type="cellIs" dxfId="311" priority="402" operator="equal">
      <formula>1</formula>
    </cfRule>
  </conditionalFormatting>
  <conditionalFormatting sqref="HA22:HA27 HA29:HA32">
    <cfRule type="cellIs" dxfId="310" priority="399" operator="equal">
      <formula>0</formula>
    </cfRule>
    <cfRule type="cellIs" dxfId="309" priority="400" operator="equal">
      <formula>1</formula>
    </cfRule>
  </conditionalFormatting>
  <conditionalFormatting sqref="GV34:GY42 GV44:GY45">
    <cfRule type="cellIs" dxfId="308" priority="393" operator="equal">
      <formula>0</formula>
    </cfRule>
    <cfRule type="cellIs" dxfId="307" priority="394" operator="equal">
      <formula>1</formula>
    </cfRule>
  </conditionalFormatting>
  <conditionalFormatting sqref="GZ34:HA42 GZ44:HA45">
    <cfRule type="cellIs" dxfId="306" priority="397" operator="equal">
      <formula>0</formula>
    </cfRule>
    <cfRule type="cellIs" dxfId="305" priority="398" operator="equal">
      <formula>1</formula>
    </cfRule>
  </conditionalFormatting>
  <conditionalFormatting sqref="HB34:HB42 HB44:HB45">
    <cfRule type="cellIs" dxfId="304" priority="395" operator="equal">
      <formula>0</formula>
    </cfRule>
    <cfRule type="cellIs" dxfId="303" priority="396" operator="equal">
      <formula>1</formula>
    </cfRule>
  </conditionalFormatting>
  <conditionalFormatting sqref="GZ34:HA42 GZ44:HA45">
    <cfRule type="cellIs" dxfId="302" priority="391" operator="equal">
      <formula>0</formula>
    </cfRule>
    <cfRule type="cellIs" dxfId="301" priority="392" operator="equal">
      <formula>1</formula>
    </cfRule>
  </conditionalFormatting>
  <conditionalFormatting sqref="HA34:HA42 HA44:HA45">
    <cfRule type="cellIs" dxfId="300" priority="389" operator="equal">
      <formula>0</formula>
    </cfRule>
    <cfRule type="cellIs" dxfId="299" priority="390" operator="equal">
      <formula>1</formula>
    </cfRule>
  </conditionalFormatting>
  <conditionalFormatting sqref="GV47:GY48 GV50:GY55 GV58:GY62 GV64:GY65 GV67:GY70">
    <cfRule type="cellIs" dxfId="298" priority="383" operator="equal">
      <formula>0</formula>
    </cfRule>
    <cfRule type="cellIs" dxfId="297" priority="384" operator="equal">
      <formula>1</formula>
    </cfRule>
  </conditionalFormatting>
  <conditionalFormatting sqref="GZ47:HA48 GZ50:HA55 GZ58:HA62 GZ64:HA65 GZ67:HA70">
    <cfRule type="cellIs" dxfId="296" priority="387" operator="equal">
      <formula>0</formula>
    </cfRule>
    <cfRule type="cellIs" dxfId="295" priority="388" operator="equal">
      <formula>1</formula>
    </cfRule>
  </conditionalFormatting>
  <conditionalFormatting sqref="HB47:HB48 HB50:HB55 HB58:HB62 HB64:HB65 HB67:HB70">
    <cfRule type="cellIs" dxfId="294" priority="385" operator="equal">
      <formula>0</formula>
    </cfRule>
    <cfRule type="cellIs" dxfId="293" priority="386" operator="equal">
      <formula>1</formula>
    </cfRule>
  </conditionalFormatting>
  <conditionalFormatting sqref="GZ47:HA48 GZ50:HA55 GZ58:HA62 GZ64:HA65 GZ67:HA70">
    <cfRule type="cellIs" dxfId="292" priority="381" operator="equal">
      <formula>0</formula>
    </cfRule>
    <cfRule type="cellIs" dxfId="291" priority="382" operator="equal">
      <formula>1</formula>
    </cfRule>
  </conditionalFormatting>
  <conditionalFormatting sqref="HA47:HA48 HA50:HA55 HA58:HA62 HA64:HA65 HA67:HA70">
    <cfRule type="cellIs" dxfId="290" priority="379" operator="equal">
      <formula>0</formula>
    </cfRule>
    <cfRule type="cellIs" dxfId="289" priority="380" operator="equal">
      <formula>1</formula>
    </cfRule>
  </conditionalFormatting>
  <conditionalFormatting sqref="GV72:GY79">
    <cfRule type="cellIs" dxfId="288" priority="373" operator="equal">
      <formula>0</formula>
    </cfRule>
    <cfRule type="cellIs" dxfId="287" priority="374" operator="equal">
      <formula>1</formula>
    </cfRule>
  </conditionalFormatting>
  <conditionalFormatting sqref="GZ72:HA79">
    <cfRule type="cellIs" dxfId="286" priority="377" operator="equal">
      <formula>0</formula>
    </cfRule>
    <cfRule type="cellIs" dxfId="285" priority="378" operator="equal">
      <formula>1</formula>
    </cfRule>
  </conditionalFormatting>
  <conditionalFormatting sqref="HB72:HB79">
    <cfRule type="cellIs" dxfId="284" priority="375" operator="equal">
      <formula>0</formula>
    </cfRule>
    <cfRule type="cellIs" dxfId="283" priority="376" operator="equal">
      <formula>1</formula>
    </cfRule>
  </conditionalFormatting>
  <conditionalFormatting sqref="GZ72:HA79">
    <cfRule type="cellIs" dxfId="282" priority="371" operator="equal">
      <formula>0</formula>
    </cfRule>
    <cfRule type="cellIs" dxfId="281" priority="372" operator="equal">
      <formula>1</formula>
    </cfRule>
  </conditionalFormatting>
  <conditionalFormatting sqref="HA72:HA79">
    <cfRule type="cellIs" dxfId="280" priority="369" operator="equal">
      <formula>0</formula>
    </cfRule>
    <cfRule type="cellIs" dxfId="279" priority="370" operator="equal">
      <formula>1</formula>
    </cfRule>
  </conditionalFormatting>
  <conditionalFormatting sqref="GV15:GY15">
    <cfRule type="cellIs" dxfId="278" priority="363" operator="equal">
      <formula>0</formula>
    </cfRule>
    <cfRule type="cellIs" dxfId="277" priority="364" operator="equal">
      <formula>1</formula>
    </cfRule>
  </conditionalFormatting>
  <conditionalFormatting sqref="GZ15:HA15">
    <cfRule type="cellIs" dxfId="276" priority="367" operator="equal">
      <formula>0</formula>
    </cfRule>
    <cfRule type="cellIs" dxfId="275" priority="368" operator="equal">
      <formula>1</formula>
    </cfRule>
  </conditionalFormatting>
  <conditionalFormatting sqref="HB15">
    <cfRule type="cellIs" dxfId="274" priority="365" operator="equal">
      <formula>0</formula>
    </cfRule>
    <cfRule type="cellIs" dxfId="273" priority="366" operator="equal">
      <formula>1</formula>
    </cfRule>
  </conditionalFormatting>
  <conditionalFormatting sqref="GZ15:HA15">
    <cfRule type="cellIs" dxfId="272" priority="361" operator="equal">
      <formula>0</formula>
    </cfRule>
    <cfRule type="cellIs" dxfId="271" priority="362" operator="equal">
      <formula>1</formula>
    </cfRule>
  </conditionalFormatting>
  <conditionalFormatting sqref="HA15">
    <cfRule type="cellIs" dxfId="270" priority="359" operator="equal">
      <formula>0</formula>
    </cfRule>
    <cfRule type="cellIs" dxfId="269" priority="360" operator="equal">
      <formula>1</formula>
    </cfRule>
  </conditionalFormatting>
  <conditionalFormatting sqref="GV33">
    <cfRule type="cellIs" dxfId="268" priority="357" operator="equal">
      <formula>0</formula>
    </cfRule>
    <cfRule type="cellIs" dxfId="267" priority="358" operator="equal">
      <formula>1</formula>
    </cfRule>
  </conditionalFormatting>
  <conditionalFormatting sqref="GV49">
    <cfRule type="cellIs" dxfId="266" priority="355" operator="equal">
      <formula>0</formula>
    </cfRule>
    <cfRule type="cellIs" dxfId="265" priority="356" operator="equal">
      <formula>1</formula>
    </cfRule>
  </conditionalFormatting>
  <conditionalFormatting sqref="GV43:GY43">
    <cfRule type="cellIs" dxfId="264" priority="349" operator="equal">
      <formula>0</formula>
    </cfRule>
    <cfRule type="cellIs" dxfId="263" priority="350" operator="equal">
      <formula>1</formula>
    </cfRule>
  </conditionalFormatting>
  <conditionalFormatting sqref="GZ43:HA43">
    <cfRule type="cellIs" dxfId="262" priority="353" operator="equal">
      <formula>0</formula>
    </cfRule>
    <cfRule type="cellIs" dxfId="261" priority="354" operator="equal">
      <formula>1</formula>
    </cfRule>
  </conditionalFormatting>
  <conditionalFormatting sqref="HB43">
    <cfRule type="cellIs" dxfId="260" priority="351" operator="equal">
      <formula>0</formula>
    </cfRule>
    <cfRule type="cellIs" dxfId="259" priority="352" operator="equal">
      <formula>1</formula>
    </cfRule>
  </conditionalFormatting>
  <conditionalFormatting sqref="GZ43:HA43">
    <cfRule type="cellIs" dxfId="258" priority="347" operator="equal">
      <formula>0</formula>
    </cfRule>
    <cfRule type="cellIs" dxfId="257" priority="348" operator="equal">
      <formula>1</formula>
    </cfRule>
  </conditionalFormatting>
  <conditionalFormatting sqref="HA43">
    <cfRule type="cellIs" dxfId="256" priority="345" operator="equal">
      <formula>0</formula>
    </cfRule>
    <cfRule type="cellIs" dxfId="255" priority="346" operator="equal">
      <formula>1</formula>
    </cfRule>
  </conditionalFormatting>
  <conditionalFormatting sqref="GV46:GY46">
    <cfRule type="cellIs" dxfId="254" priority="339" operator="equal">
      <formula>0</formula>
    </cfRule>
    <cfRule type="cellIs" dxfId="253" priority="340" operator="equal">
      <formula>1</formula>
    </cfRule>
  </conditionalFormatting>
  <conditionalFormatting sqref="GZ46:HA46">
    <cfRule type="cellIs" dxfId="252" priority="343" operator="equal">
      <formula>0</formula>
    </cfRule>
    <cfRule type="cellIs" dxfId="251" priority="344" operator="equal">
      <formula>1</formula>
    </cfRule>
  </conditionalFormatting>
  <conditionalFormatting sqref="HB46">
    <cfRule type="cellIs" dxfId="250" priority="341" operator="equal">
      <formula>0</formula>
    </cfRule>
    <cfRule type="cellIs" dxfId="249" priority="342" operator="equal">
      <formula>1</formula>
    </cfRule>
  </conditionalFormatting>
  <conditionalFormatting sqref="GZ46:HA46">
    <cfRule type="cellIs" dxfId="248" priority="337" operator="equal">
      <formula>0</formula>
    </cfRule>
    <cfRule type="cellIs" dxfId="247" priority="338" operator="equal">
      <formula>1</formula>
    </cfRule>
  </conditionalFormatting>
  <conditionalFormatting sqref="HA46">
    <cfRule type="cellIs" dxfId="246" priority="335" operator="equal">
      <formula>0</formula>
    </cfRule>
    <cfRule type="cellIs" dxfId="245" priority="336" operator="equal">
      <formula>1</formula>
    </cfRule>
  </conditionalFormatting>
  <conditionalFormatting sqref="GV56:GY56">
    <cfRule type="cellIs" dxfId="244" priority="329" operator="equal">
      <formula>0</formula>
    </cfRule>
    <cfRule type="cellIs" dxfId="243" priority="330" operator="equal">
      <formula>1</formula>
    </cfRule>
  </conditionalFormatting>
  <conditionalFormatting sqref="GZ56:HA56">
    <cfRule type="cellIs" dxfId="242" priority="333" operator="equal">
      <formula>0</formula>
    </cfRule>
    <cfRule type="cellIs" dxfId="241" priority="334" operator="equal">
      <formula>1</formula>
    </cfRule>
  </conditionalFormatting>
  <conditionalFormatting sqref="HB56">
    <cfRule type="cellIs" dxfId="240" priority="331" operator="equal">
      <formula>0</formula>
    </cfRule>
    <cfRule type="cellIs" dxfId="239" priority="332" operator="equal">
      <formula>1</formula>
    </cfRule>
  </conditionalFormatting>
  <conditionalFormatting sqref="GZ56:HA56">
    <cfRule type="cellIs" dxfId="238" priority="327" operator="equal">
      <formula>0</formula>
    </cfRule>
    <cfRule type="cellIs" dxfId="237" priority="328" operator="equal">
      <formula>1</formula>
    </cfRule>
  </conditionalFormatting>
  <conditionalFormatting sqref="HA56">
    <cfRule type="cellIs" dxfId="236" priority="325" operator="equal">
      <formula>0</formula>
    </cfRule>
    <cfRule type="cellIs" dxfId="235" priority="326" operator="equal">
      <formula>1</formula>
    </cfRule>
  </conditionalFormatting>
  <conditionalFormatting sqref="GV57">
    <cfRule type="cellIs" dxfId="234" priority="323" operator="equal">
      <formula>0</formula>
    </cfRule>
    <cfRule type="cellIs" dxfId="233" priority="324" operator="equal">
      <formula>1</formula>
    </cfRule>
  </conditionalFormatting>
  <conditionalFormatting sqref="GV63">
    <cfRule type="cellIs" dxfId="232" priority="321" operator="equal">
      <formula>0</formula>
    </cfRule>
    <cfRule type="cellIs" dxfId="231" priority="322" operator="equal">
      <formula>1</formula>
    </cfRule>
  </conditionalFormatting>
  <conditionalFormatting sqref="GV66">
    <cfRule type="cellIs" dxfId="230" priority="319" operator="equal">
      <formula>0</formula>
    </cfRule>
    <cfRule type="cellIs" dxfId="229" priority="320" operator="equal">
      <formula>1</formula>
    </cfRule>
  </conditionalFormatting>
  <conditionalFormatting sqref="GV71:GY71">
    <cfRule type="cellIs" dxfId="228" priority="313" operator="equal">
      <formula>0</formula>
    </cfRule>
    <cfRule type="cellIs" dxfId="227" priority="314" operator="equal">
      <formula>1</formula>
    </cfRule>
  </conditionalFormatting>
  <conditionalFormatting sqref="GZ71:HA71">
    <cfRule type="cellIs" dxfId="226" priority="317" operator="equal">
      <formula>0</formula>
    </cfRule>
    <cfRule type="cellIs" dxfId="225" priority="318" operator="equal">
      <formula>1</formula>
    </cfRule>
  </conditionalFormatting>
  <conditionalFormatting sqref="HB71">
    <cfRule type="cellIs" dxfId="224" priority="315" operator="equal">
      <formula>0</formula>
    </cfRule>
    <cfRule type="cellIs" dxfId="223" priority="316" operator="equal">
      <formula>1</formula>
    </cfRule>
  </conditionalFormatting>
  <conditionalFormatting sqref="GZ71:HA71">
    <cfRule type="cellIs" dxfId="222" priority="311" operator="equal">
      <formula>0</formula>
    </cfRule>
    <cfRule type="cellIs" dxfId="221" priority="312" operator="equal">
      <formula>1</formula>
    </cfRule>
  </conditionalFormatting>
  <conditionalFormatting sqref="HA71">
    <cfRule type="cellIs" dxfId="220" priority="309" operator="equal">
      <formula>0</formula>
    </cfRule>
    <cfRule type="cellIs" dxfId="219" priority="310" operator="equal">
      <formula>1</formula>
    </cfRule>
  </conditionalFormatting>
  <conditionalFormatting sqref="GV80:GY80">
    <cfRule type="cellIs" dxfId="218" priority="303" operator="equal">
      <formula>0</formula>
    </cfRule>
    <cfRule type="cellIs" dxfId="217" priority="304" operator="equal">
      <formula>1</formula>
    </cfRule>
  </conditionalFormatting>
  <conditionalFormatting sqref="GZ80:HA80">
    <cfRule type="cellIs" dxfId="216" priority="307" operator="equal">
      <formula>0</formula>
    </cfRule>
    <cfRule type="cellIs" dxfId="215" priority="308" operator="equal">
      <formula>1</formula>
    </cfRule>
  </conditionalFormatting>
  <conditionalFormatting sqref="HB80">
    <cfRule type="cellIs" dxfId="214" priority="305" operator="equal">
      <formula>0</formula>
    </cfRule>
    <cfRule type="cellIs" dxfId="213" priority="306" operator="equal">
      <formula>1</formula>
    </cfRule>
  </conditionalFormatting>
  <conditionalFormatting sqref="GZ80:HA80">
    <cfRule type="cellIs" dxfId="212" priority="301" operator="equal">
      <formula>0</formula>
    </cfRule>
    <cfRule type="cellIs" dxfId="211" priority="302" operator="equal">
      <formula>1</formula>
    </cfRule>
  </conditionalFormatting>
  <conditionalFormatting sqref="HA80">
    <cfRule type="cellIs" dxfId="210" priority="299" operator="equal">
      <formula>0</formula>
    </cfRule>
    <cfRule type="cellIs" dxfId="209" priority="300" operator="equal">
      <formula>1</formula>
    </cfRule>
  </conditionalFormatting>
  <conditionalFormatting sqref="GV28:GY28">
    <cfRule type="cellIs" dxfId="208" priority="293" operator="equal">
      <formula>0</formula>
    </cfRule>
    <cfRule type="cellIs" dxfId="207" priority="294" operator="equal">
      <formula>1</formula>
    </cfRule>
  </conditionalFormatting>
  <conditionalFormatting sqref="GZ28:HA28">
    <cfRule type="cellIs" dxfId="206" priority="297" operator="equal">
      <formula>0</formula>
    </cfRule>
    <cfRule type="cellIs" dxfId="205" priority="298" operator="equal">
      <formula>1</formula>
    </cfRule>
  </conditionalFormatting>
  <conditionalFormatting sqref="HB28">
    <cfRule type="cellIs" dxfId="204" priority="295" operator="equal">
      <formula>0</formula>
    </cfRule>
    <cfRule type="cellIs" dxfId="203" priority="296" operator="equal">
      <formula>1</formula>
    </cfRule>
  </conditionalFormatting>
  <conditionalFormatting sqref="GZ28:HA28">
    <cfRule type="cellIs" dxfId="202" priority="291" operator="equal">
      <formula>0</formula>
    </cfRule>
    <cfRule type="cellIs" dxfId="201" priority="292" operator="equal">
      <formula>1</formula>
    </cfRule>
  </conditionalFormatting>
  <conditionalFormatting sqref="HA28">
    <cfRule type="cellIs" dxfId="200" priority="289" operator="equal">
      <formula>0</formula>
    </cfRule>
    <cfRule type="cellIs" dxfId="199" priority="290" operator="equal">
      <formula>1</formula>
    </cfRule>
  </conditionalFormatting>
  <conditionalFormatting sqref="GO92">
    <cfRule type="cellIs" dxfId="198" priority="427" operator="equal">
      <formula>"NO HABILITADO"</formula>
    </cfRule>
    <cfRule type="cellIs" dxfId="197" priority="428" operator="equal">
      <formula>"OK"</formula>
    </cfRule>
  </conditionalFormatting>
  <conditionalFormatting sqref="HB92">
    <cfRule type="cellIs" dxfId="196" priority="425" operator="equal">
      <formula>0</formula>
    </cfRule>
    <cfRule type="cellIs" dxfId="195" priority="426" operator="equal">
      <formula>1</formula>
    </cfRule>
  </conditionalFormatting>
  <conditionalFormatting sqref="HD92">
    <cfRule type="cellIs" dxfId="194" priority="423" operator="equal">
      <formula>0</formula>
    </cfRule>
    <cfRule type="cellIs" dxfId="193" priority="424" operator="equal">
      <formula>1</formula>
    </cfRule>
  </conditionalFormatting>
  <conditionalFormatting sqref="GZ11:HA14 GZ16:HA17 GZ19:HA21">
    <cfRule type="cellIs" dxfId="192" priority="421" operator="equal">
      <formula>0</formula>
    </cfRule>
    <cfRule type="cellIs" dxfId="191" priority="422" operator="equal">
      <formula>1</formula>
    </cfRule>
  </conditionalFormatting>
  <conditionalFormatting sqref="HB11:HB14 HB16:HB17 HB19:HB21">
    <cfRule type="cellIs" dxfId="190" priority="419" operator="equal">
      <formula>0</formula>
    </cfRule>
    <cfRule type="cellIs" dxfId="189" priority="420" operator="equal">
      <formula>1</formula>
    </cfRule>
  </conditionalFormatting>
  <conditionalFormatting sqref="GZ11:HA14 GZ16:HA17 GZ19:HA21">
    <cfRule type="cellIs" dxfId="188" priority="415" operator="equal">
      <formula>0</formula>
    </cfRule>
    <cfRule type="cellIs" dxfId="187" priority="416" operator="equal">
      <formula>1</formula>
    </cfRule>
  </conditionalFormatting>
  <conditionalFormatting sqref="HA11:HA14 HA16:HA17 HA19:HA21">
    <cfRule type="cellIs" dxfId="186" priority="413" operator="equal">
      <formula>0</formula>
    </cfRule>
    <cfRule type="cellIs" dxfId="185" priority="414" operator="equal">
      <formula>1</formula>
    </cfRule>
  </conditionalFormatting>
  <conditionalFormatting sqref="GW92">
    <cfRule type="cellIs" dxfId="184" priority="409" operator="equal">
      <formula>0</formula>
    </cfRule>
    <cfRule type="cellIs" dxfId="183" priority="410" operator="equal">
      <formula>1</formula>
    </cfRule>
  </conditionalFormatting>
  <conditionalFormatting sqref="GY92">
    <cfRule type="cellIs" dxfId="182" priority="411" operator="equal">
      <formula>0</formula>
    </cfRule>
    <cfRule type="cellIs" dxfId="181" priority="412" operator="equal">
      <formula>1</formula>
    </cfRule>
  </conditionalFormatting>
  <conditionalFormatting sqref="HG95">
    <cfRule type="cellIs" dxfId="180" priority="287" operator="equal">
      <formula>"OK"</formula>
    </cfRule>
    <cfRule type="cellIs" dxfId="179" priority="288" operator="equal">
      <formula>"NO HABILITADO"</formula>
    </cfRule>
  </conditionalFormatting>
  <conditionalFormatting sqref="HR95">
    <cfRule type="cellIs" dxfId="178" priority="285" operator="equal">
      <formula>"OK"</formula>
    </cfRule>
    <cfRule type="cellIs" dxfId="177" priority="286" operator="equal">
      <formula>"NO HABILITADO"</formula>
    </cfRule>
  </conditionalFormatting>
  <conditionalFormatting sqref="HM11:HP14 HM16:HP17 HM19:HP21 HM18">
    <cfRule type="cellIs" dxfId="176" priority="273" operator="equal">
      <formula>0</formula>
    </cfRule>
    <cfRule type="cellIs" dxfId="175" priority="274" operator="equal">
      <formula>1</formula>
    </cfRule>
  </conditionalFormatting>
  <conditionalFormatting sqref="HM22:HP27 HM29:HP32">
    <cfRule type="cellIs" dxfId="174" priority="259" operator="equal">
      <formula>0</formula>
    </cfRule>
    <cfRule type="cellIs" dxfId="173" priority="260" operator="equal">
      <formula>1</formula>
    </cfRule>
  </conditionalFormatting>
  <conditionalFormatting sqref="HQ22:HR27 HQ29:HR32">
    <cfRule type="cellIs" dxfId="172" priority="263" operator="equal">
      <formula>0</formula>
    </cfRule>
    <cfRule type="cellIs" dxfId="171" priority="264" operator="equal">
      <formula>1</formula>
    </cfRule>
  </conditionalFormatting>
  <conditionalFormatting sqref="HS22:HS27 HS29:HS32">
    <cfRule type="cellIs" dxfId="170" priority="261" operator="equal">
      <formula>0</formula>
    </cfRule>
    <cfRule type="cellIs" dxfId="169" priority="262" operator="equal">
      <formula>1</formula>
    </cfRule>
  </conditionalFormatting>
  <conditionalFormatting sqref="HQ22:HR27 HQ29:HR32">
    <cfRule type="cellIs" dxfId="168" priority="257" operator="equal">
      <formula>0</formula>
    </cfRule>
    <cfRule type="cellIs" dxfId="167" priority="258" operator="equal">
      <formula>1</formula>
    </cfRule>
  </conditionalFormatting>
  <conditionalFormatting sqref="HR22:HR27 HR29:HR32">
    <cfRule type="cellIs" dxfId="166" priority="255" operator="equal">
      <formula>0</formula>
    </cfRule>
    <cfRule type="cellIs" dxfId="165" priority="256" operator="equal">
      <formula>1</formula>
    </cfRule>
  </conditionalFormatting>
  <conditionalFormatting sqref="HM34:HP42 HM44:HP45">
    <cfRule type="cellIs" dxfId="164" priority="249" operator="equal">
      <formula>0</formula>
    </cfRule>
    <cfRule type="cellIs" dxfId="163" priority="250" operator="equal">
      <formula>1</formula>
    </cfRule>
  </conditionalFormatting>
  <conditionalFormatting sqref="HQ34:HR42 HQ44:HR45">
    <cfRule type="cellIs" dxfId="162" priority="253" operator="equal">
      <formula>0</formula>
    </cfRule>
    <cfRule type="cellIs" dxfId="161" priority="254" operator="equal">
      <formula>1</formula>
    </cfRule>
  </conditionalFormatting>
  <conditionalFormatting sqref="HS34:HS42 HS44:HS45">
    <cfRule type="cellIs" dxfId="160" priority="251" operator="equal">
      <formula>0</formula>
    </cfRule>
    <cfRule type="cellIs" dxfId="159" priority="252" operator="equal">
      <formula>1</formula>
    </cfRule>
  </conditionalFormatting>
  <conditionalFormatting sqref="HQ34:HR42 HQ44:HR45">
    <cfRule type="cellIs" dxfId="158" priority="247" operator="equal">
      <formula>0</formula>
    </cfRule>
    <cfRule type="cellIs" dxfId="157" priority="248" operator="equal">
      <formula>1</formula>
    </cfRule>
  </conditionalFormatting>
  <conditionalFormatting sqref="HR34:HR42 HR44:HR45">
    <cfRule type="cellIs" dxfId="156" priority="245" operator="equal">
      <formula>0</formula>
    </cfRule>
    <cfRule type="cellIs" dxfId="155" priority="246" operator="equal">
      <formula>1</formula>
    </cfRule>
  </conditionalFormatting>
  <conditionalFormatting sqref="HM47:HP48 HM50:HP55 HM58:HP62 HM64:HP65 HM67:HP70">
    <cfRule type="cellIs" dxfId="154" priority="239" operator="equal">
      <formula>0</formula>
    </cfRule>
    <cfRule type="cellIs" dxfId="153" priority="240" operator="equal">
      <formula>1</formula>
    </cfRule>
  </conditionalFormatting>
  <conditionalFormatting sqref="HQ47:HR48 HQ50:HR55 HQ58:HR62 HQ64:HR65 HQ67:HR70">
    <cfRule type="cellIs" dxfId="152" priority="243" operator="equal">
      <formula>0</formula>
    </cfRule>
    <cfRule type="cellIs" dxfId="151" priority="244" operator="equal">
      <formula>1</formula>
    </cfRule>
  </conditionalFormatting>
  <conditionalFormatting sqref="HS47:HS48 HS50:HS55 HS58:HS62 HS64:HS65 HS67:HS70">
    <cfRule type="cellIs" dxfId="150" priority="241" operator="equal">
      <formula>0</formula>
    </cfRule>
    <cfRule type="cellIs" dxfId="149" priority="242" operator="equal">
      <formula>1</formula>
    </cfRule>
  </conditionalFormatting>
  <conditionalFormatting sqref="HQ47:HR48 HQ50:HR55 HQ58:HR62 HQ64:HR65 HQ67:HR70">
    <cfRule type="cellIs" dxfId="148" priority="237" operator="equal">
      <formula>0</formula>
    </cfRule>
    <cfRule type="cellIs" dxfId="147" priority="238" operator="equal">
      <formula>1</formula>
    </cfRule>
  </conditionalFormatting>
  <conditionalFormatting sqref="HR47:HR48 HR50:HR55 HR58:HR62 HR64:HR65 HR67:HR70">
    <cfRule type="cellIs" dxfId="146" priority="235" operator="equal">
      <formula>0</formula>
    </cfRule>
    <cfRule type="cellIs" dxfId="145" priority="236" operator="equal">
      <formula>1</formula>
    </cfRule>
  </conditionalFormatting>
  <conditionalFormatting sqref="HM72:HP79">
    <cfRule type="cellIs" dxfId="144" priority="229" operator="equal">
      <formula>0</formula>
    </cfRule>
    <cfRule type="cellIs" dxfId="143" priority="230" operator="equal">
      <formula>1</formula>
    </cfRule>
  </conditionalFormatting>
  <conditionalFormatting sqref="HQ72:HR79">
    <cfRule type="cellIs" dxfId="142" priority="233" operator="equal">
      <formula>0</formula>
    </cfRule>
    <cfRule type="cellIs" dxfId="141" priority="234" operator="equal">
      <formula>1</formula>
    </cfRule>
  </conditionalFormatting>
  <conditionalFormatting sqref="HS72:HS79">
    <cfRule type="cellIs" dxfId="140" priority="231" operator="equal">
      <formula>0</formula>
    </cfRule>
    <cfRule type="cellIs" dxfId="139" priority="232" operator="equal">
      <formula>1</formula>
    </cfRule>
  </conditionalFormatting>
  <conditionalFormatting sqref="HQ72:HR79">
    <cfRule type="cellIs" dxfId="138" priority="227" operator="equal">
      <formula>0</formula>
    </cfRule>
    <cfRule type="cellIs" dxfId="137" priority="228" operator="equal">
      <formula>1</formula>
    </cfRule>
  </conditionalFormatting>
  <conditionalFormatting sqref="HR72:HR79">
    <cfRule type="cellIs" dxfId="136" priority="225" operator="equal">
      <formula>0</formula>
    </cfRule>
    <cfRule type="cellIs" dxfId="135" priority="226" operator="equal">
      <formula>1</formula>
    </cfRule>
  </conditionalFormatting>
  <conditionalFormatting sqref="HM15:HP15">
    <cfRule type="cellIs" dxfId="134" priority="219" operator="equal">
      <formula>0</formula>
    </cfRule>
    <cfRule type="cellIs" dxfId="133" priority="220" operator="equal">
      <formula>1</formula>
    </cfRule>
  </conditionalFormatting>
  <conditionalFormatting sqref="HQ15:HR15">
    <cfRule type="cellIs" dxfId="132" priority="223" operator="equal">
      <formula>0</formula>
    </cfRule>
    <cfRule type="cellIs" dxfId="131" priority="224" operator="equal">
      <formula>1</formula>
    </cfRule>
  </conditionalFormatting>
  <conditionalFormatting sqref="HS15">
    <cfRule type="cellIs" dxfId="130" priority="221" operator="equal">
      <formula>0</formula>
    </cfRule>
    <cfRule type="cellIs" dxfId="129" priority="222" operator="equal">
      <formula>1</formula>
    </cfRule>
  </conditionalFormatting>
  <conditionalFormatting sqref="HQ15:HR15">
    <cfRule type="cellIs" dxfId="128" priority="217" operator="equal">
      <formula>0</formula>
    </cfRule>
    <cfRule type="cellIs" dxfId="127" priority="218" operator="equal">
      <formula>1</formula>
    </cfRule>
  </conditionalFormatting>
  <conditionalFormatting sqref="HR15">
    <cfRule type="cellIs" dxfId="126" priority="215" operator="equal">
      <formula>0</formula>
    </cfRule>
    <cfRule type="cellIs" dxfId="125" priority="216" operator="equal">
      <formula>1</formula>
    </cfRule>
  </conditionalFormatting>
  <conditionalFormatting sqref="HM33">
    <cfRule type="cellIs" dxfId="124" priority="213" operator="equal">
      <formula>0</formula>
    </cfRule>
    <cfRule type="cellIs" dxfId="123" priority="214" operator="equal">
      <formula>1</formula>
    </cfRule>
  </conditionalFormatting>
  <conditionalFormatting sqref="HM49">
    <cfRule type="cellIs" dxfId="122" priority="211" operator="equal">
      <formula>0</formula>
    </cfRule>
    <cfRule type="cellIs" dxfId="121" priority="212" operator="equal">
      <formula>1</formula>
    </cfRule>
  </conditionalFormatting>
  <conditionalFormatting sqref="HM43:HP43">
    <cfRule type="cellIs" dxfId="120" priority="205" operator="equal">
      <formula>0</formula>
    </cfRule>
    <cfRule type="cellIs" dxfId="119" priority="206" operator="equal">
      <formula>1</formula>
    </cfRule>
  </conditionalFormatting>
  <conditionalFormatting sqref="HQ43:HR43">
    <cfRule type="cellIs" dxfId="118" priority="209" operator="equal">
      <formula>0</formula>
    </cfRule>
    <cfRule type="cellIs" dxfId="117" priority="210" operator="equal">
      <formula>1</formula>
    </cfRule>
  </conditionalFormatting>
  <conditionalFormatting sqref="HS43">
    <cfRule type="cellIs" dxfId="116" priority="207" operator="equal">
      <formula>0</formula>
    </cfRule>
    <cfRule type="cellIs" dxfId="115" priority="208" operator="equal">
      <formula>1</formula>
    </cfRule>
  </conditionalFormatting>
  <conditionalFormatting sqref="HQ43:HR43">
    <cfRule type="cellIs" dxfId="114" priority="203" operator="equal">
      <formula>0</formula>
    </cfRule>
    <cfRule type="cellIs" dxfId="113" priority="204" operator="equal">
      <formula>1</formula>
    </cfRule>
  </conditionalFormatting>
  <conditionalFormatting sqref="HR43">
    <cfRule type="cellIs" dxfId="112" priority="201" operator="equal">
      <formula>0</formula>
    </cfRule>
    <cfRule type="cellIs" dxfId="111" priority="202" operator="equal">
      <formula>1</formula>
    </cfRule>
  </conditionalFormatting>
  <conditionalFormatting sqref="HM46:HP46">
    <cfRule type="cellIs" dxfId="110" priority="195" operator="equal">
      <formula>0</formula>
    </cfRule>
    <cfRule type="cellIs" dxfId="109" priority="196" operator="equal">
      <formula>1</formula>
    </cfRule>
  </conditionalFormatting>
  <conditionalFormatting sqref="HQ46:HR46">
    <cfRule type="cellIs" dxfId="108" priority="199" operator="equal">
      <formula>0</formula>
    </cfRule>
    <cfRule type="cellIs" dxfId="107" priority="200" operator="equal">
      <formula>1</formula>
    </cfRule>
  </conditionalFormatting>
  <conditionalFormatting sqref="HS46">
    <cfRule type="cellIs" dxfId="106" priority="197" operator="equal">
      <formula>0</formula>
    </cfRule>
    <cfRule type="cellIs" dxfId="105" priority="198" operator="equal">
      <formula>1</formula>
    </cfRule>
  </conditionalFormatting>
  <conditionalFormatting sqref="HQ46:HR46">
    <cfRule type="cellIs" dxfId="104" priority="193" operator="equal">
      <formula>0</formula>
    </cfRule>
    <cfRule type="cellIs" dxfId="103" priority="194" operator="equal">
      <formula>1</formula>
    </cfRule>
  </conditionalFormatting>
  <conditionalFormatting sqref="HR46">
    <cfRule type="cellIs" dxfId="102" priority="191" operator="equal">
      <formula>0</formula>
    </cfRule>
    <cfRule type="cellIs" dxfId="101" priority="192" operator="equal">
      <formula>1</formula>
    </cfRule>
  </conditionalFormatting>
  <conditionalFormatting sqref="HM56:HP56">
    <cfRule type="cellIs" dxfId="100" priority="185" operator="equal">
      <formula>0</formula>
    </cfRule>
    <cfRule type="cellIs" dxfId="99" priority="186" operator="equal">
      <formula>1</formula>
    </cfRule>
  </conditionalFormatting>
  <conditionalFormatting sqref="HQ56:HR56">
    <cfRule type="cellIs" dxfId="98" priority="189" operator="equal">
      <formula>0</formula>
    </cfRule>
    <cfRule type="cellIs" dxfId="97" priority="190" operator="equal">
      <formula>1</formula>
    </cfRule>
  </conditionalFormatting>
  <conditionalFormatting sqref="HS56">
    <cfRule type="cellIs" dxfId="96" priority="187" operator="equal">
      <formula>0</formula>
    </cfRule>
    <cfRule type="cellIs" dxfId="95" priority="188" operator="equal">
      <formula>1</formula>
    </cfRule>
  </conditionalFormatting>
  <conditionalFormatting sqref="HQ56:HR56">
    <cfRule type="cellIs" dxfId="94" priority="183" operator="equal">
      <formula>0</formula>
    </cfRule>
    <cfRule type="cellIs" dxfId="93" priority="184" operator="equal">
      <formula>1</formula>
    </cfRule>
  </conditionalFormatting>
  <conditionalFormatting sqref="HR56">
    <cfRule type="cellIs" dxfId="92" priority="181" operator="equal">
      <formula>0</formula>
    </cfRule>
    <cfRule type="cellIs" dxfId="91" priority="182" operator="equal">
      <formula>1</formula>
    </cfRule>
  </conditionalFormatting>
  <conditionalFormatting sqref="HM57">
    <cfRule type="cellIs" dxfId="90" priority="179" operator="equal">
      <formula>0</formula>
    </cfRule>
    <cfRule type="cellIs" dxfId="89" priority="180" operator="equal">
      <formula>1</formula>
    </cfRule>
  </conditionalFormatting>
  <conditionalFormatting sqref="HM63">
    <cfRule type="cellIs" dxfId="88" priority="177" operator="equal">
      <formula>0</formula>
    </cfRule>
    <cfRule type="cellIs" dxfId="87" priority="178" operator="equal">
      <formula>1</formula>
    </cfRule>
  </conditionalFormatting>
  <conditionalFormatting sqref="HM66">
    <cfRule type="cellIs" dxfId="86" priority="175" operator="equal">
      <formula>0</formula>
    </cfRule>
    <cfRule type="cellIs" dxfId="85" priority="176" operator="equal">
      <formula>1</formula>
    </cfRule>
  </conditionalFormatting>
  <conditionalFormatting sqref="HM71:HP71">
    <cfRule type="cellIs" dxfId="84" priority="169" operator="equal">
      <formula>0</formula>
    </cfRule>
    <cfRule type="cellIs" dxfId="83" priority="170" operator="equal">
      <formula>1</formula>
    </cfRule>
  </conditionalFormatting>
  <conditionalFormatting sqref="HQ71:HR71">
    <cfRule type="cellIs" dxfId="82" priority="173" operator="equal">
      <formula>0</formula>
    </cfRule>
    <cfRule type="cellIs" dxfId="81" priority="174" operator="equal">
      <formula>1</formula>
    </cfRule>
  </conditionalFormatting>
  <conditionalFormatting sqref="HS71">
    <cfRule type="cellIs" dxfId="80" priority="171" operator="equal">
      <formula>0</formula>
    </cfRule>
    <cfRule type="cellIs" dxfId="79" priority="172" operator="equal">
      <formula>1</formula>
    </cfRule>
  </conditionalFormatting>
  <conditionalFormatting sqref="HQ71:HR71">
    <cfRule type="cellIs" dxfId="78" priority="167" operator="equal">
      <formula>0</formula>
    </cfRule>
    <cfRule type="cellIs" dxfId="77" priority="168" operator="equal">
      <formula>1</formula>
    </cfRule>
  </conditionalFormatting>
  <conditionalFormatting sqref="HR71">
    <cfRule type="cellIs" dxfId="76" priority="165" operator="equal">
      <formula>0</formula>
    </cfRule>
    <cfRule type="cellIs" dxfId="75" priority="166" operator="equal">
      <formula>1</formula>
    </cfRule>
  </conditionalFormatting>
  <conditionalFormatting sqref="HM80:HP80">
    <cfRule type="cellIs" dxfId="74" priority="159" operator="equal">
      <formula>0</formula>
    </cfRule>
    <cfRule type="cellIs" dxfId="73" priority="160" operator="equal">
      <formula>1</formula>
    </cfRule>
  </conditionalFormatting>
  <conditionalFormatting sqref="HQ80:HR80">
    <cfRule type="cellIs" dxfId="72" priority="163" operator="equal">
      <formula>0</formula>
    </cfRule>
    <cfRule type="cellIs" dxfId="71" priority="164" operator="equal">
      <formula>1</formula>
    </cfRule>
  </conditionalFormatting>
  <conditionalFormatting sqref="HS80">
    <cfRule type="cellIs" dxfId="70" priority="161" operator="equal">
      <formula>0</formula>
    </cfRule>
    <cfRule type="cellIs" dxfId="69" priority="162" operator="equal">
      <formula>1</formula>
    </cfRule>
  </conditionalFormatting>
  <conditionalFormatting sqref="HQ80:HR80">
    <cfRule type="cellIs" dxfId="68" priority="157" operator="equal">
      <formula>0</formula>
    </cfRule>
    <cfRule type="cellIs" dxfId="67" priority="158" operator="equal">
      <formula>1</formula>
    </cfRule>
  </conditionalFormatting>
  <conditionalFormatting sqref="HR80">
    <cfRule type="cellIs" dxfId="66" priority="155" operator="equal">
      <formula>0</formula>
    </cfRule>
    <cfRule type="cellIs" dxfId="65" priority="156" operator="equal">
      <formula>1</formula>
    </cfRule>
  </conditionalFormatting>
  <conditionalFormatting sqref="HM28:HP28">
    <cfRule type="cellIs" dxfId="64" priority="149" operator="equal">
      <formula>0</formula>
    </cfRule>
    <cfRule type="cellIs" dxfId="63" priority="150" operator="equal">
      <formula>1</formula>
    </cfRule>
  </conditionalFormatting>
  <conditionalFormatting sqref="HQ28:HR28">
    <cfRule type="cellIs" dxfId="62" priority="153" operator="equal">
      <formula>0</formula>
    </cfRule>
    <cfRule type="cellIs" dxfId="61" priority="154" operator="equal">
      <formula>1</formula>
    </cfRule>
  </conditionalFormatting>
  <conditionalFormatting sqref="HS28">
    <cfRule type="cellIs" dxfId="60" priority="151" operator="equal">
      <formula>0</formula>
    </cfRule>
    <cfRule type="cellIs" dxfId="59" priority="152" operator="equal">
      <formula>1</formula>
    </cfRule>
  </conditionalFormatting>
  <conditionalFormatting sqref="HQ28:HR28">
    <cfRule type="cellIs" dxfId="58" priority="147" operator="equal">
      <formula>0</formula>
    </cfRule>
    <cfRule type="cellIs" dxfId="57" priority="148" operator="equal">
      <formula>1</formula>
    </cfRule>
  </conditionalFormatting>
  <conditionalFormatting sqref="HR28">
    <cfRule type="cellIs" dxfId="56" priority="145" operator="equal">
      <formula>0</formula>
    </cfRule>
    <cfRule type="cellIs" dxfId="55" priority="146" operator="equal">
      <formula>1</formula>
    </cfRule>
  </conditionalFormatting>
  <conditionalFormatting sqref="HF92">
    <cfRule type="cellIs" dxfId="54" priority="283" operator="equal">
      <formula>"NO HABILITADO"</formula>
    </cfRule>
    <cfRule type="cellIs" dxfId="53" priority="284" operator="equal">
      <formula>"OK"</formula>
    </cfRule>
  </conditionalFormatting>
  <conditionalFormatting sqref="HS92">
    <cfRule type="cellIs" dxfId="52" priority="281" operator="equal">
      <formula>0</formula>
    </cfRule>
    <cfRule type="cellIs" dxfId="51" priority="282" operator="equal">
      <formula>1</formula>
    </cfRule>
  </conditionalFormatting>
  <conditionalFormatting sqref="HU92">
    <cfRule type="cellIs" dxfId="50" priority="279" operator="equal">
      <formula>0</formula>
    </cfRule>
    <cfRule type="cellIs" dxfId="49" priority="280" operator="equal">
      <formula>1</formula>
    </cfRule>
  </conditionalFormatting>
  <conditionalFormatting sqref="HQ11:HR14 HQ16:HR17 HQ19:HR21">
    <cfRule type="cellIs" dxfId="48" priority="277" operator="equal">
      <formula>0</formula>
    </cfRule>
    <cfRule type="cellIs" dxfId="47" priority="278" operator="equal">
      <formula>1</formula>
    </cfRule>
  </conditionalFormatting>
  <conditionalFormatting sqref="HS11:HS14 HS16:HS17 HS19:HS21">
    <cfRule type="cellIs" dxfId="46" priority="275" operator="equal">
      <formula>0</formula>
    </cfRule>
    <cfRule type="cellIs" dxfId="45" priority="276" operator="equal">
      <formula>1</formula>
    </cfRule>
  </conditionalFormatting>
  <conditionalFormatting sqref="HQ11:HR14 HQ16:HR17 HQ19:HR21">
    <cfRule type="cellIs" dxfId="44" priority="271" operator="equal">
      <formula>0</formula>
    </cfRule>
    <cfRule type="cellIs" dxfId="43" priority="272" operator="equal">
      <formula>1</formula>
    </cfRule>
  </conditionalFormatting>
  <conditionalFormatting sqref="HR11:HR14 HR16:HR17 HR19:HR21">
    <cfRule type="cellIs" dxfId="42" priority="269" operator="equal">
      <formula>0</formula>
    </cfRule>
    <cfRule type="cellIs" dxfId="41" priority="270" operator="equal">
      <formula>1</formula>
    </cfRule>
  </conditionalFormatting>
  <conditionalFormatting sqref="HN92">
    <cfRule type="cellIs" dxfId="40" priority="265" operator="equal">
      <formula>0</formula>
    </cfRule>
    <cfRule type="cellIs" dxfId="39" priority="266" operator="equal">
      <formula>1</formula>
    </cfRule>
  </conditionalFormatting>
  <conditionalFormatting sqref="HP92">
    <cfRule type="cellIs" dxfId="38" priority="267" operator="equal">
      <formula>0</formula>
    </cfRule>
    <cfRule type="cellIs" dxfId="37" priority="268" operator="equal">
      <formula>1</formula>
    </cfRule>
  </conditionalFormatting>
  <conditionalFormatting sqref="HX95">
    <cfRule type="cellIs" dxfId="36" priority="143" operator="equal">
      <formula>"OK"</formula>
    </cfRule>
    <cfRule type="cellIs" dxfId="35" priority="144" operator="equal">
      <formula>"NO HABILITADO"</formula>
    </cfRule>
  </conditionalFormatting>
  <conditionalFormatting sqref="II95">
    <cfRule type="cellIs" dxfId="34" priority="141" operator="equal">
      <formula>"OK"</formula>
    </cfRule>
    <cfRule type="cellIs" dxfId="33" priority="142" operator="equal">
      <formula>"NO HABILITADO"</formula>
    </cfRule>
  </conditionalFormatting>
  <conditionalFormatting sqref="HW92">
    <cfRule type="cellIs" dxfId="32" priority="139" operator="equal">
      <formula>"NO HABILITADO"</formula>
    </cfRule>
    <cfRule type="cellIs" dxfId="31" priority="140" operator="equal">
      <formula>"OK"</formula>
    </cfRule>
  </conditionalFormatting>
  <conditionalFormatting sqref="IJ92">
    <cfRule type="cellIs" dxfId="30" priority="137" operator="equal">
      <formula>0</formula>
    </cfRule>
    <cfRule type="cellIs" dxfId="29" priority="138" operator="equal">
      <formula>1</formula>
    </cfRule>
  </conditionalFormatting>
  <conditionalFormatting sqref="IL92">
    <cfRule type="cellIs" dxfId="28" priority="135" operator="equal">
      <formula>0</formula>
    </cfRule>
    <cfRule type="cellIs" dxfId="27" priority="136" operator="equal">
      <formula>1</formula>
    </cfRule>
  </conditionalFormatting>
  <conditionalFormatting sqref="IH11:II14 IH16:II17 IH19:II21">
    <cfRule type="cellIs" dxfId="26" priority="133" operator="equal">
      <formula>0</formula>
    </cfRule>
    <cfRule type="cellIs" dxfId="25" priority="134" operator="equal">
      <formula>1</formula>
    </cfRule>
  </conditionalFormatting>
  <conditionalFormatting sqref="IJ11:IJ14 IJ16:IJ17 IJ19:IJ21">
    <cfRule type="cellIs" dxfId="24" priority="131" operator="equal">
      <formula>0</formula>
    </cfRule>
    <cfRule type="cellIs" dxfId="23" priority="132" operator="equal">
      <formula>1</formula>
    </cfRule>
  </conditionalFormatting>
  <conditionalFormatting sqref="IH11:II14 IH16:II17 IH19:II21">
    <cfRule type="cellIs" dxfId="22" priority="127" operator="equal">
      <formula>0</formula>
    </cfRule>
    <cfRule type="cellIs" dxfId="21" priority="128" operator="equal">
      <formula>1</formula>
    </cfRule>
  </conditionalFormatting>
  <conditionalFormatting sqref="II11:II14 II16:II17 II19:II21">
    <cfRule type="cellIs" dxfId="20" priority="125" operator="equal">
      <formula>0</formula>
    </cfRule>
    <cfRule type="cellIs" dxfId="19" priority="126" operator="equal">
      <formula>1</formula>
    </cfRule>
  </conditionalFormatting>
  <conditionalFormatting sqref="IE92">
    <cfRule type="cellIs" dxfId="18" priority="121" operator="equal">
      <formula>0</formula>
    </cfRule>
    <cfRule type="cellIs" dxfId="17" priority="122" operator="equal">
      <formula>1</formula>
    </cfRule>
  </conditionalFormatting>
  <conditionalFormatting sqref="IG92">
    <cfRule type="cellIs" dxfId="16" priority="123" operator="equal">
      <formula>0</formula>
    </cfRule>
    <cfRule type="cellIs" dxfId="15" priority="124" operator="equal">
      <formula>1</formula>
    </cfRule>
  </conditionalFormatting>
  <pageMargins left="0.7" right="0.7" top="0.75" bottom="0.75" header="0.3" footer="0.3"/>
  <pageSetup paperSize="9" orientation="portrait" horizontalDpi="4294967292"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
  <sheetViews>
    <sheetView topLeftCell="A16" zoomScale="70" zoomScaleNormal="70" workbookViewId="0">
      <selection activeCell="F7" sqref="F7"/>
    </sheetView>
  </sheetViews>
  <sheetFormatPr baseColWidth="10" defaultColWidth="11.42578125" defaultRowHeight="15" x14ac:dyDescent="0.25"/>
  <cols>
    <col min="1" max="1" width="11.42578125" style="70"/>
    <col min="2" max="2" width="77.42578125" style="70" customWidth="1"/>
    <col min="3" max="3" width="25.42578125" style="70" customWidth="1"/>
    <col min="4" max="4" width="23.42578125" style="143" customWidth="1"/>
    <col min="5" max="5" width="20.7109375" style="143" customWidth="1"/>
    <col min="6" max="6" width="24" style="144" customWidth="1"/>
    <col min="7" max="7" width="26.28515625" style="144" customWidth="1"/>
    <col min="8" max="8" width="20.7109375" style="70" customWidth="1"/>
    <col min="9" max="9" width="76.28515625" style="70" customWidth="1"/>
    <col min="10" max="32" width="20.7109375" style="70" customWidth="1"/>
    <col min="33" max="16384" width="11.42578125" style="70"/>
  </cols>
  <sheetData>
    <row r="3" spans="1:9" ht="27.75" x14ac:dyDescent="0.25">
      <c r="A3" s="133" t="s">
        <v>128</v>
      </c>
      <c r="B3" s="134"/>
      <c r="C3" s="134"/>
      <c r="D3" s="134"/>
      <c r="E3" s="134"/>
      <c r="F3" s="134"/>
      <c r="G3" s="134"/>
      <c r="H3" s="134"/>
      <c r="I3" s="135"/>
    </row>
    <row r="4" spans="1:9" ht="81" x14ac:dyDescent="0.25">
      <c r="A4" s="136" t="s">
        <v>2</v>
      </c>
      <c r="B4" s="137" t="s">
        <v>3</v>
      </c>
      <c r="C4" s="136" t="s">
        <v>131</v>
      </c>
      <c r="D4" s="136" t="s">
        <v>134</v>
      </c>
      <c r="E4" s="136" t="s">
        <v>129</v>
      </c>
      <c r="F4" s="136" t="s">
        <v>130</v>
      </c>
      <c r="G4" s="136" t="s">
        <v>162</v>
      </c>
      <c r="H4" s="138" t="s">
        <v>132</v>
      </c>
      <c r="I4" s="136" t="s">
        <v>133</v>
      </c>
    </row>
    <row r="5" spans="1:9" ht="139.5" customHeight="1" x14ac:dyDescent="0.25">
      <c r="A5" s="139">
        <v>1</v>
      </c>
      <c r="B5" s="140" t="str">
        <f t="shared" ref="B5:B11" si="0">VLOOKUP(A5,LISTA_OFERENTES,2,FALSE)</f>
        <v>CONCRETOS Y MEZCLAS S.A</v>
      </c>
      <c r="C5" s="373" t="s">
        <v>348</v>
      </c>
      <c r="D5" s="373" t="str">
        <f t="shared" ref="D5" ca="1" si="1">VLOOKUP(A5,EXPERIENCIA,4,FALSE)</f>
        <v>H</v>
      </c>
      <c r="E5" s="373" t="str">
        <f t="shared" ref="E5" si="2">VLOOKUP(A5,C_FINANCIERA,3,FALSE)</f>
        <v>H</v>
      </c>
      <c r="F5" s="373" t="str">
        <f t="shared" ref="F5" si="3">VLOOKUP(A5,R_COMERCIALES,3,FALSE)</f>
        <v>H</v>
      </c>
      <c r="G5" s="373" t="str">
        <f t="shared" ref="G5" si="4">VLOOKUP(A5,EST_UNI,3,FALSE)</f>
        <v>H</v>
      </c>
      <c r="H5" s="142" t="s">
        <v>465</v>
      </c>
      <c r="I5" s="371" t="s">
        <v>469</v>
      </c>
    </row>
    <row r="6" spans="1:9" ht="23.25" x14ac:dyDescent="0.3">
      <c r="A6" s="139">
        <v>2</v>
      </c>
      <c r="B6" s="140" t="str">
        <f t="shared" si="0"/>
        <v>INGAP S.A.S</v>
      </c>
      <c r="C6" s="141" t="s">
        <v>348</v>
      </c>
      <c r="D6" s="141" t="str">
        <f t="shared" ref="D6:D18" ca="1" si="5">VLOOKUP(A6,EXPERIENCIA,4,FALSE)</f>
        <v>H</v>
      </c>
      <c r="E6" s="141" t="str">
        <f t="shared" ref="E6:E18" si="6">VLOOKUP(A6,C_FINANCIERA,3,FALSE)</f>
        <v>H</v>
      </c>
      <c r="F6" s="141" t="str">
        <f t="shared" ref="F6:F11" si="7">VLOOKUP(A6,R_COMERCIALES,3,FALSE)</f>
        <v>H</v>
      </c>
      <c r="G6" s="141" t="str">
        <f t="shared" ref="G6:G18" si="8">VLOOKUP(A6,EST_UNI,3,FALSE)</f>
        <v>H</v>
      </c>
      <c r="H6" s="142" t="str">
        <f t="shared" ref="H6:H18" ca="1" si="9">IF(AND(C6="H",D6="H",E6="H",F6="H",G6="H"),"H","NH")</f>
        <v>H</v>
      </c>
      <c r="I6" s="220"/>
    </row>
    <row r="7" spans="1:9" ht="23.25" x14ac:dyDescent="0.3">
      <c r="A7" s="139">
        <v>3</v>
      </c>
      <c r="B7" s="140" t="str">
        <f t="shared" si="0"/>
        <v xml:space="preserve">VIACOL INGENIEROS CONTRATISTAS </v>
      </c>
      <c r="C7" s="141" t="s">
        <v>348</v>
      </c>
      <c r="D7" s="141" t="str">
        <f t="shared" ca="1" si="5"/>
        <v>H</v>
      </c>
      <c r="E7" s="141" t="str">
        <f t="shared" si="6"/>
        <v>H</v>
      </c>
      <c r="F7" s="141" t="str">
        <f t="shared" si="7"/>
        <v>H</v>
      </c>
      <c r="G7" s="141" t="str">
        <f t="shared" si="8"/>
        <v>H</v>
      </c>
      <c r="H7" s="142" t="str">
        <f t="shared" ca="1" si="9"/>
        <v>H</v>
      </c>
      <c r="I7" s="220"/>
    </row>
    <row r="8" spans="1:9" ht="182.25" x14ac:dyDescent="0.25">
      <c r="A8" s="139">
        <v>4</v>
      </c>
      <c r="B8" s="140" t="str">
        <f t="shared" si="0"/>
        <v>CÉSAR AUGUSTO GIRALDO ATEHORTÚA</v>
      </c>
      <c r="C8" s="373" t="s">
        <v>348</v>
      </c>
      <c r="D8" s="373" t="str">
        <f t="shared" ca="1" si="5"/>
        <v>NH</v>
      </c>
      <c r="E8" s="373" t="str">
        <f t="shared" si="6"/>
        <v>H</v>
      </c>
      <c r="F8" s="373" t="str">
        <f t="shared" si="7"/>
        <v>H</v>
      </c>
      <c r="G8" s="373" t="str">
        <f t="shared" si="8"/>
        <v>H</v>
      </c>
      <c r="H8" s="142" t="str">
        <f t="shared" ca="1" si="9"/>
        <v>NH</v>
      </c>
      <c r="I8" s="371" t="s">
        <v>471</v>
      </c>
    </row>
    <row r="9" spans="1:9" ht="23.25" x14ac:dyDescent="0.3">
      <c r="A9" s="139">
        <v>5</v>
      </c>
      <c r="B9" s="140" t="str">
        <f t="shared" si="0"/>
        <v>JUAN CARLOS RESTREPO GUTIERREZ</v>
      </c>
      <c r="C9" s="141" t="s">
        <v>348</v>
      </c>
      <c r="D9" s="141" t="str">
        <f t="shared" ca="1" si="5"/>
        <v>H</v>
      </c>
      <c r="E9" s="141" t="str">
        <f t="shared" si="6"/>
        <v>H</v>
      </c>
      <c r="F9" s="141" t="str">
        <f t="shared" si="7"/>
        <v>H</v>
      </c>
      <c r="G9" s="141" t="str">
        <f t="shared" si="8"/>
        <v>H</v>
      </c>
      <c r="H9" s="142" t="str">
        <f t="shared" ca="1" si="9"/>
        <v>H</v>
      </c>
      <c r="I9" s="220"/>
    </row>
    <row r="10" spans="1:9" ht="23.25" x14ac:dyDescent="0.3">
      <c r="A10" s="139">
        <v>6</v>
      </c>
      <c r="B10" s="140" t="str">
        <f t="shared" si="0"/>
        <v>ANGELA MARÍA CÁRDENAS ZAPATA</v>
      </c>
      <c r="C10" s="141" t="s">
        <v>348</v>
      </c>
      <c r="D10" s="141" t="str">
        <f t="shared" ca="1" si="5"/>
        <v>H</v>
      </c>
      <c r="E10" s="141" t="str">
        <f t="shared" si="6"/>
        <v>H</v>
      </c>
      <c r="F10" s="141" t="str">
        <f t="shared" si="7"/>
        <v>H</v>
      </c>
      <c r="G10" s="141" t="str">
        <f t="shared" si="8"/>
        <v>H</v>
      </c>
      <c r="H10" s="142" t="str">
        <f t="shared" ca="1" si="9"/>
        <v>H</v>
      </c>
      <c r="I10" s="220"/>
    </row>
    <row r="11" spans="1:9" ht="182.25" x14ac:dyDescent="0.25">
      <c r="A11" s="139">
        <v>7</v>
      </c>
      <c r="B11" s="140" t="str">
        <f t="shared" si="0"/>
        <v>ASEM S.A.S</v>
      </c>
      <c r="C11" s="373" t="s">
        <v>465</v>
      </c>
      <c r="D11" s="373" t="str">
        <f t="shared" ca="1" si="5"/>
        <v>H</v>
      </c>
      <c r="E11" s="373" t="str">
        <f t="shared" si="6"/>
        <v>H</v>
      </c>
      <c r="F11" s="373" t="str">
        <f t="shared" si="7"/>
        <v>H</v>
      </c>
      <c r="G11" s="373" t="str">
        <f t="shared" si="8"/>
        <v>H</v>
      </c>
      <c r="H11" s="142" t="str">
        <f t="shared" ca="1" si="9"/>
        <v>NH</v>
      </c>
      <c r="I11" s="372" t="s">
        <v>470</v>
      </c>
    </row>
    <row r="12" spans="1:9" ht="23.25" x14ac:dyDescent="0.3">
      <c r="A12" s="139">
        <v>8</v>
      </c>
      <c r="B12" s="140" t="str">
        <f t="shared" ref="B12:B14" si="10">VLOOKUP(A12,LISTA_OFERENTES,2,FALSE)</f>
        <v>LUIS CARLOS PARRA VELASQUEZ</v>
      </c>
      <c r="C12" s="141" t="s">
        <v>348</v>
      </c>
      <c r="D12" s="141" t="str">
        <f t="shared" ca="1" si="5"/>
        <v>H</v>
      </c>
      <c r="E12" s="141" t="str">
        <f t="shared" si="6"/>
        <v>H</v>
      </c>
      <c r="F12" s="141" t="str">
        <f t="shared" ref="F12:F14" si="11">VLOOKUP(A12,R_COMERCIALES,3,FALSE)</f>
        <v>H</v>
      </c>
      <c r="G12" s="141" t="str">
        <f t="shared" si="8"/>
        <v>H</v>
      </c>
      <c r="H12" s="142" t="str">
        <f t="shared" ca="1" si="9"/>
        <v>H</v>
      </c>
      <c r="I12" s="220"/>
    </row>
    <row r="13" spans="1:9" ht="23.25" x14ac:dyDescent="0.3">
      <c r="A13" s="139">
        <v>9</v>
      </c>
      <c r="B13" s="140" t="str">
        <f t="shared" si="10"/>
        <v>KA S.A.</v>
      </c>
      <c r="C13" s="141" t="s">
        <v>348</v>
      </c>
      <c r="D13" s="141" t="str">
        <f t="shared" ca="1" si="5"/>
        <v>H</v>
      </c>
      <c r="E13" s="141" t="str">
        <f t="shared" si="6"/>
        <v>H</v>
      </c>
      <c r="F13" s="141" t="str">
        <f t="shared" si="11"/>
        <v>H</v>
      </c>
      <c r="G13" s="141" t="str">
        <f t="shared" si="8"/>
        <v>H</v>
      </c>
      <c r="H13" s="142" t="str">
        <f t="shared" ca="1" si="9"/>
        <v>H</v>
      </c>
      <c r="I13" s="220"/>
    </row>
    <row r="14" spans="1:9" ht="23.25" x14ac:dyDescent="0.3">
      <c r="A14" s="139">
        <v>10</v>
      </c>
      <c r="B14" s="140" t="str">
        <f t="shared" si="10"/>
        <v xml:space="preserve">DANIEL JOSE NIEVES VERGARA </v>
      </c>
      <c r="C14" s="141" t="s">
        <v>348</v>
      </c>
      <c r="D14" s="141" t="str">
        <f t="shared" ca="1" si="5"/>
        <v>H</v>
      </c>
      <c r="E14" s="141" t="str">
        <f t="shared" si="6"/>
        <v>H</v>
      </c>
      <c r="F14" s="141" t="str">
        <f t="shared" si="11"/>
        <v>H</v>
      </c>
      <c r="G14" s="141" t="str">
        <f t="shared" si="8"/>
        <v>H</v>
      </c>
      <c r="H14" s="142" t="str">
        <f t="shared" ca="1" si="9"/>
        <v>H</v>
      </c>
      <c r="I14" s="220"/>
    </row>
    <row r="15" spans="1:9" ht="23.25" x14ac:dyDescent="0.3">
      <c r="A15" s="139">
        <v>11</v>
      </c>
      <c r="B15" s="140" t="str">
        <f t="shared" ref="B15:B18" si="12">VLOOKUP(A15,LISTA_OFERENTES,2,FALSE)</f>
        <v xml:space="preserve">CARLOS ANDRES ACEBEDO ESCOBAR </v>
      </c>
      <c r="C15" s="141" t="s">
        <v>348</v>
      </c>
      <c r="D15" s="141" t="str">
        <f t="shared" ca="1" si="5"/>
        <v>H</v>
      </c>
      <c r="E15" s="141" t="str">
        <f t="shared" si="6"/>
        <v>H</v>
      </c>
      <c r="F15" s="141" t="str">
        <f t="shared" ref="F15:F18" si="13">VLOOKUP(A15,R_COMERCIALES,3,FALSE)</f>
        <v>H</v>
      </c>
      <c r="G15" s="141" t="str">
        <f t="shared" si="8"/>
        <v>H</v>
      </c>
      <c r="H15" s="142" t="str">
        <f t="shared" ca="1" si="9"/>
        <v>H</v>
      </c>
      <c r="I15" s="220"/>
    </row>
    <row r="16" spans="1:9" ht="23.25" x14ac:dyDescent="0.3">
      <c r="A16" s="139">
        <v>12</v>
      </c>
      <c r="B16" s="140" t="str">
        <f t="shared" si="12"/>
        <v>CONDEIN S.A.S</v>
      </c>
      <c r="C16" s="141" t="s">
        <v>348</v>
      </c>
      <c r="D16" s="141" t="str">
        <f t="shared" ca="1" si="5"/>
        <v>H</v>
      </c>
      <c r="E16" s="141" t="str">
        <f t="shared" si="6"/>
        <v>H</v>
      </c>
      <c r="F16" s="141" t="str">
        <f t="shared" si="13"/>
        <v>H</v>
      </c>
      <c r="G16" s="141" t="str">
        <f t="shared" si="8"/>
        <v>H</v>
      </c>
      <c r="H16" s="142" t="str">
        <f t="shared" ca="1" si="9"/>
        <v>H</v>
      </c>
      <c r="I16" s="220"/>
    </row>
    <row r="17" spans="1:9" ht="285.75" customHeight="1" x14ac:dyDescent="0.25">
      <c r="A17" s="139">
        <v>13</v>
      </c>
      <c r="B17" s="140" t="str">
        <f t="shared" si="12"/>
        <v>CONSTRUVALORES S.A.S</v>
      </c>
      <c r="C17" s="373" t="s">
        <v>348</v>
      </c>
      <c r="D17" s="373" t="str">
        <f t="shared" ca="1" si="5"/>
        <v>H</v>
      </c>
      <c r="E17" s="373" t="str">
        <f t="shared" si="6"/>
        <v>H</v>
      </c>
      <c r="F17" s="373" t="str">
        <f t="shared" si="13"/>
        <v>NH</v>
      </c>
      <c r="G17" s="373" t="str">
        <f t="shared" si="8"/>
        <v>NH</v>
      </c>
      <c r="H17" s="142" t="str">
        <f t="shared" ca="1" si="9"/>
        <v>NH</v>
      </c>
      <c r="I17" s="371" t="s">
        <v>472</v>
      </c>
    </row>
    <row r="18" spans="1:9" ht="23.25" x14ac:dyDescent="0.3">
      <c r="A18" s="139">
        <v>14</v>
      </c>
      <c r="B18" s="140" t="str">
        <f t="shared" si="12"/>
        <v>WILLIAMS.CO S.A.S</v>
      </c>
      <c r="C18" s="141" t="s">
        <v>348</v>
      </c>
      <c r="D18" s="141" t="str">
        <f t="shared" ca="1" si="5"/>
        <v>H</v>
      </c>
      <c r="E18" s="141" t="str">
        <f t="shared" si="6"/>
        <v>H</v>
      </c>
      <c r="F18" s="141" t="str">
        <f t="shared" si="13"/>
        <v>H</v>
      </c>
      <c r="G18" s="141" t="str">
        <f t="shared" si="8"/>
        <v>H</v>
      </c>
      <c r="H18" s="142" t="str">
        <f t="shared" ca="1" si="9"/>
        <v>H</v>
      </c>
      <c r="I18" s="220"/>
    </row>
    <row r="19" spans="1:9" ht="20.25" x14ac:dyDescent="0.3">
      <c r="D19" s="141"/>
    </row>
  </sheetData>
  <sheetProtection algorithmName="SHA-512" hashValue="nWYwS8shFZ9P81xr+H4swyE3k7hQ7NAkdm6aDTYtyNNkSKBOyojmHkFqWhIJufvbCf5wGCUHZY95FSu6tQTt7A==" saltValue="/DyKWffX29LUSJkjJjsLcQ==" spinCount="100000" sheet="1" objects="1" scenarios="1"/>
  <conditionalFormatting sqref="H5:H18">
    <cfRule type="cellIs" dxfId="14" priority="25" operator="equal">
      <formula>"NH"</formula>
    </cfRule>
    <cfRule type="cellIs" dxfId="13" priority="26" operator="equal">
      <formula>"H"</formula>
    </cfRule>
  </conditionalFormatting>
  <conditionalFormatting sqref="E6:E18">
    <cfRule type="cellIs" dxfId="12" priority="24" operator="equal">
      <formula>"NH"</formula>
    </cfRule>
  </conditionalFormatting>
  <conditionalFormatting sqref="G6:G18">
    <cfRule type="cellIs" dxfId="11" priority="22" operator="equal">
      <formula>"NH"</formula>
    </cfRule>
  </conditionalFormatting>
  <conditionalFormatting sqref="F6:F14">
    <cfRule type="cellIs" dxfId="10" priority="19" operator="equal">
      <formula>"NH"</formula>
    </cfRule>
  </conditionalFormatting>
  <conditionalFormatting sqref="F15:F18">
    <cfRule type="cellIs" dxfId="9" priority="13" operator="equal">
      <formula>"NH"</formula>
    </cfRule>
  </conditionalFormatting>
  <conditionalFormatting sqref="C5:C18">
    <cfRule type="cellIs" dxfId="8" priority="7" operator="equal">
      <formula>"NH"</formula>
    </cfRule>
  </conditionalFormatting>
  <conditionalFormatting sqref="D6:D19">
    <cfRule type="cellIs" dxfId="7" priority="6" operator="equal">
      <formula>"NH"</formula>
    </cfRule>
  </conditionalFormatting>
  <conditionalFormatting sqref="E5">
    <cfRule type="cellIs" dxfId="6" priority="4" operator="equal">
      <formula>"NH"</formula>
    </cfRule>
  </conditionalFormatting>
  <conditionalFormatting sqref="G5">
    <cfRule type="cellIs" dxfId="5" priority="3" operator="equal">
      <formula>"NH"</formula>
    </cfRule>
  </conditionalFormatting>
  <conditionalFormatting sqref="F5">
    <cfRule type="cellIs" dxfId="4" priority="2" operator="equal">
      <formula>"NH"</formula>
    </cfRule>
  </conditionalFormatting>
  <conditionalFormatting sqref="D5">
    <cfRule type="cellIs" dxfId="3" priority="1" operator="equal">
      <formula>"NH"</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0"/>
  <sheetViews>
    <sheetView topLeftCell="D1" zoomScale="85" zoomScaleNormal="85" workbookViewId="0">
      <selection activeCell="W16" sqref="W16"/>
    </sheetView>
  </sheetViews>
  <sheetFormatPr baseColWidth="10" defaultColWidth="11.42578125" defaultRowHeight="15" outlineLevelRow="1" x14ac:dyDescent="0.25"/>
  <cols>
    <col min="1" max="1" width="9.85546875" style="70" customWidth="1"/>
    <col min="2" max="2" width="21.28515625" style="70" customWidth="1"/>
    <col min="3" max="3" width="19.7109375" style="70" customWidth="1"/>
    <col min="4" max="4" width="9.28515625" style="70" customWidth="1"/>
    <col min="5" max="5" width="17" style="70" bestFit="1" customWidth="1"/>
    <col min="6" max="6" width="6.7109375" style="70" customWidth="1"/>
    <col min="7" max="7" width="16.85546875" style="70" customWidth="1"/>
    <col min="8" max="8" width="6.7109375" style="70" customWidth="1"/>
    <col min="9" max="9" width="20.28515625" style="70" customWidth="1"/>
    <col min="10" max="10" width="6.7109375" style="70" customWidth="1"/>
    <col min="11" max="11" width="18.28515625" style="70" customWidth="1"/>
    <col min="12" max="12" width="6.7109375" style="70" customWidth="1"/>
    <col min="13" max="13" width="20.5703125" style="70" customWidth="1"/>
    <col min="14" max="14" width="6.7109375" style="70" customWidth="1"/>
    <col min="15" max="15" width="16.5703125" style="70" customWidth="1"/>
    <col min="16" max="16" width="6.7109375" style="70" customWidth="1"/>
    <col min="17" max="17" width="17" style="70" bestFit="1" customWidth="1"/>
    <col min="18" max="18" width="6.7109375" style="70" customWidth="1"/>
    <col min="19" max="19" width="17" style="70" bestFit="1" customWidth="1"/>
    <col min="20" max="20" width="6.7109375" style="70" customWidth="1"/>
    <col min="21" max="21" width="17" style="70" bestFit="1" customWidth="1"/>
    <col min="22" max="22" width="6.7109375" style="70" customWidth="1"/>
    <col min="23" max="23" width="17" style="70" bestFit="1" customWidth="1"/>
    <col min="24" max="24" width="6.7109375" style="70" customWidth="1"/>
    <col min="25" max="25" width="17" style="70" bestFit="1" customWidth="1"/>
    <col min="26" max="26" width="6.7109375" style="70" customWidth="1"/>
    <col min="27" max="27" width="14.85546875" style="70" customWidth="1"/>
    <col min="28" max="28" width="6.7109375" style="70" customWidth="1"/>
    <col min="29" max="29" width="17" style="70" bestFit="1" customWidth="1"/>
    <col min="30" max="30" width="6.7109375" style="70" customWidth="1"/>
    <col min="31" max="31" width="14.85546875" style="70" hidden="1" customWidth="1"/>
    <col min="32" max="32" width="6.7109375" style="70" hidden="1" customWidth="1"/>
    <col min="33" max="33" width="14.85546875" style="70" hidden="1" customWidth="1"/>
    <col min="34" max="34" width="6.7109375" style="70" hidden="1" customWidth="1"/>
    <col min="35" max="35" width="14.85546875" style="70" hidden="1" customWidth="1"/>
    <col min="36" max="36" width="6.7109375" style="70" hidden="1" customWidth="1"/>
    <col min="37" max="37" width="4.7109375" style="70" customWidth="1"/>
    <col min="38" max="38" width="27.5703125" style="70" customWidth="1"/>
    <col min="39" max="40" width="13.42578125" style="70" bestFit="1" customWidth="1"/>
    <col min="41" max="41" width="16.85546875" style="70" customWidth="1"/>
    <col min="42" max="16384" width="11.42578125" style="70"/>
  </cols>
  <sheetData>
    <row r="1" spans="1:41" s="146" customFormat="1" ht="24.75" customHeight="1" x14ac:dyDescent="0.25">
      <c r="A1" s="656" t="s">
        <v>135</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145"/>
      <c r="AB1" s="145"/>
      <c r="AC1" s="145"/>
      <c r="AD1" s="145"/>
      <c r="AE1" s="145"/>
      <c r="AF1" s="145"/>
      <c r="AG1" s="145"/>
      <c r="AH1" s="145"/>
      <c r="AI1" s="145"/>
      <c r="AJ1" s="145"/>
    </row>
    <row r="3" spans="1:41" x14ac:dyDescent="0.25">
      <c r="A3" s="658" t="s">
        <v>136</v>
      </c>
      <c r="B3" s="658"/>
      <c r="E3" s="659" t="s">
        <v>137</v>
      </c>
      <c r="F3" s="659"/>
      <c r="G3" s="659"/>
      <c r="H3" s="659"/>
      <c r="K3" s="660" t="s">
        <v>138</v>
      </c>
      <c r="L3" s="660"/>
      <c r="M3" s="660"/>
    </row>
    <row r="4" spans="1:41" s="147" customFormat="1" ht="30.75" customHeight="1" x14ac:dyDescent="0.25">
      <c r="A4" s="163" t="s">
        <v>139</v>
      </c>
      <c r="B4" s="221">
        <v>27</v>
      </c>
      <c r="E4" s="658" t="s">
        <v>140</v>
      </c>
      <c r="F4" s="658"/>
      <c r="G4" s="658" t="s">
        <v>141</v>
      </c>
      <c r="H4" s="658"/>
      <c r="K4" s="661" t="str">
        <f>+'10. EVALUACIÓN'!I8</f>
        <v>Desviación estándar</v>
      </c>
      <c r="L4" s="662"/>
      <c r="M4" s="663"/>
    </row>
    <row r="5" spans="1:41" ht="30.75" customHeight="1" x14ac:dyDescent="0.25">
      <c r="A5" s="164" t="s">
        <v>142</v>
      </c>
      <c r="B5" s="221">
        <v>37</v>
      </c>
      <c r="E5" s="667">
        <v>140</v>
      </c>
      <c r="F5" s="667"/>
      <c r="G5" s="667">
        <v>60</v>
      </c>
      <c r="H5" s="667"/>
      <c r="K5" s="664"/>
      <c r="L5" s="665"/>
      <c r="M5" s="666"/>
    </row>
    <row r="6" spans="1:41" x14ac:dyDescent="0.25">
      <c r="A6" s="126"/>
      <c r="B6" s="126"/>
      <c r="D6" s="148"/>
    </row>
    <row r="7" spans="1:41" s="149" customFormat="1" ht="21" customHeight="1" x14ac:dyDescent="0.25">
      <c r="A7" s="650" t="s">
        <v>105</v>
      </c>
      <c r="B7" s="163" t="s">
        <v>143</v>
      </c>
      <c r="C7" s="653">
        <v>1</v>
      </c>
      <c r="D7" s="654"/>
      <c r="E7" s="655">
        <v>2</v>
      </c>
      <c r="F7" s="655"/>
      <c r="G7" s="655">
        <v>3</v>
      </c>
      <c r="H7" s="655"/>
      <c r="I7" s="655">
        <v>4</v>
      </c>
      <c r="J7" s="655"/>
      <c r="K7" s="655">
        <v>5</v>
      </c>
      <c r="L7" s="655"/>
      <c r="M7" s="655">
        <v>6</v>
      </c>
      <c r="N7" s="655"/>
      <c r="O7" s="655">
        <v>7</v>
      </c>
      <c r="P7" s="655"/>
      <c r="Q7" s="655">
        <v>8</v>
      </c>
      <c r="R7" s="655"/>
      <c r="S7" s="655">
        <v>9</v>
      </c>
      <c r="T7" s="655"/>
      <c r="U7" s="655">
        <v>10</v>
      </c>
      <c r="V7" s="655"/>
      <c r="W7" s="655">
        <v>11</v>
      </c>
      <c r="X7" s="655"/>
      <c r="Y7" s="655">
        <v>12</v>
      </c>
      <c r="Z7" s="655"/>
      <c r="AA7" s="655">
        <v>13</v>
      </c>
      <c r="AB7" s="655"/>
      <c r="AC7" s="655">
        <v>14</v>
      </c>
      <c r="AD7" s="655"/>
      <c r="AE7" s="655">
        <v>15</v>
      </c>
      <c r="AF7" s="655"/>
      <c r="AG7" s="655">
        <v>16</v>
      </c>
      <c r="AH7" s="655"/>
      <c r="AI7" s="655">
        <v>17</v>
      </c>
      <c r="AJ7" s="655"/>
    </row>
    <row r="8" spans="1:41" s="147" customFormat="1" ht="35.25" customHeight="1" x14ac:dyDescent="0.25">
      <c r="A8" s="650"/>
      <c r="B8" s="150" t="s">
        <v>144</v>
      </c>
      <c r="C8" s="651" t="str">
        <f>IF(C7="","",IF(VLOOKUP(C7,EVALUACION,5,FALSE)="H","Habilitado","No habilitado"))</f>
        <v>No habilitado</v>
      </c>
      <c r="D8" s="652"/>
      <c r="E8" s="651" t="str">
        <f ca="1">IF(E7="","",IF(VLOOKUP(E7,EVALUACION,5,FALSE)="H","Habilitado","No habilitado"))</f>
        <v>Habilitado</v>
      </c>
      <c r="F8" s="652"/>
      <c r="G8" s="651" t="str">
        <f ca="1">IF(G7="","",IF(VLOOKUP(G7,EVALUACION,5,FALSE)="H","Habilitado","No habilitado"))</f>
        <v>Habilitado</v>
      </c>
      <c r="H8" s="652"/>
      <c r="I8" s="651" t="str">
        <f ca="1">IF(I7="","",IF(VLOOKUP(I7,EVALUACION,5,FALSE)="H","Habilitado","No habilitado"))</f>
        <v>No habilitado</v>
      </c>
      <c r="J8" s="652"/>
      <c r="K8" s="651" t="str">
        <f ca="1">IF(K7="","",IF(VLOOKUP(K7,EVALUACION,5,FALSE)="H","Habilitado","No habilitado"))</f>
        <v>Habilitado</v>
      </c>
      <c r="L8" s="652"/>
      <c r="M8" s="651" t="str">
        <f ca="1">IF(M7="","",IF(VLOOKUP(M7,EVALUACION,5,FALSE)="H","Habilitado","No habilitado"))</f>
        <v>Habilitado</v>
      </c>
      <c r="N8" s="652"/>
      <c r="O8" s="651" t="str">
        <f ca="1">IF(O7="","",IF(VLOOKUP(O7,EVALUACION,5,FALSE)="H","Habilitado","No habilitado"))</f>
        <v>No habilitado</v>
      </c>
      <c r="P8" s="652"/>
      <c r="Q8" s="651" t="str">
        <f ca="1">IF(Q7="","",IF(VLOOKUP(Q7,EVALUACION,5,FALSE)="H","Habilitado","No habilitado"))</f>
        <v>Habilitado</v>
      </c>
      <c r="R8" s="652"/>
      <c r="S8" s="651" t="str">
        <f ca="1">IF(S7="","",IF(VLOOKUP(S7,EVALUACION,5,FALSE)="H","Habilitado","No habilitado"))</f>
        <v>Habilitado</v>
      </c>
      <c r="T8" s="652"/>
      <c r="U8" s="651" t="str">
        <f ca="1">IF(U7="","",IF(VLOOKUP(U7,EVALUACION,5,FALSE)="H","Habilitado","No habilitado"))</f>
        <v>Habilitado</v>
      </c>
      <c r="V8" s="652"/>
      <c r="W8" s="651" t="str">
        <f ca="1">IF(W7="","",IF(VLOOKUP(W7,EVALUACION,5,FALSE)="H","Habilitado","No habilitado"))</f>
        <v>Habilitado</v>
      </c>
      <c r="X8" s="652"/>
      <c r="Y8" s="651" t="str">
        <f ca="1">IF(Y7="","",IF(VLOOKUP(Y7,EVALUACION,5,FALSE)="H","Habilitado","No habilitado"))</f>
        <v>Habilitado</v>
      </c>
      <c r="Z8" s="652"/>
      <c r="AA8" s="651" t="str">
        <f ca="1">IF(AA7="","",IF(VLOOKUP(AA7,EVALUACION,5,FALSE)="H","Habilitado","No habilitado"))</f>
        <v>No habilitado</v>
      </c>
      <c r="AB8" s="652"/>
      <c r="AC8" s="651" t="str">
        <f ca="1">IF(AC7="","",IF(VLOOKUP(AC7,EVALUACION,5,FALSE)="H","Habilitado","No habilitado"))</f>
        <v>Habilitado</v>
      </c>
      <c r="AD8" s="652"/>
      <c r="AE8" s="651" t="str">
        <f>IF(AE7="","",IF(VLOOKUP(AE7,EVALUACION,5,FALSE)="H","Habilitado","No habilitado"))</f>
        <v>No habilitado</v>
      </c>
      <c r="AF8" s="652"/>
      <c r="AG8" s="651" t="str">
        <f>IF(AG7="","",IF(VLOOKUP(AG7,EVALUACION,5,FALSE)="H","Habilitado","No habilitado"))</f>
        <v>No habilitado</v>
      </c>
      <c r="AH8" s="652"/>
      <c r="AI8" s="651" t="str">
        <f>IF(AI7="","",IF(VLOOKUP(AI7,EVALUACION,5,FALSE)="H","Habilitado","No habilitado"))</f>
        <v>No habilitado</v>
      </c>
      <c r="AJ8" s="652"/>
    </row>
    <row r="9" spans="1:41" s="147" customFormat="1" ht="23.25" customHeight="1" x14ac:dyDescent="0.25">
      <c r="A9" s="650" t="s">
        <v>145</v>
      </c>
      <c r="B9" s="650"/>
      <c r="C9" s="645" t="str">
        <f>IF(C14="","",SUM(D14:D101))</f>
        <v/>
      </c>
      <c r="D9" s="646"/>
      <c r="E9" s="645">
        <f ca="1">IF(E14="","",SUM(F14:F101))</f>
        <v>41.481481481481474</v>
      </c>
      <c r="F9" s="646"/>
      <c r="G9" s="645">
        <f t="shared" ref="G9" ca="1" si="0">IF(G14="","",SUM(H14:H101))</f>
        <v>62.222222222222207</v>
      </c>
      <c r="H9" s="646"/>
      <c r="I9" s="645" t="str">
        <f t="shared" ref="I9" ca="1" si="1">IF(I14="","",SUM(J14:J101))</f>
        <v/>
      </c>
      <c r="J9" s="646"/>
      <c r="K9" s="645">
        <f t="shared" ref="K9" ca="1" si="2">IF(K14="","",SUM(L14:L101))</f>
        <v>93.333333333333343</v>
      </c>
      <c r="L9" s="646"/>
      <c r="M9" s="645">
        <f t="shared" ref="M9" ca="1" si="3">IF(M14="","",SUM(N14:N101))</f>
        <v>108.88888888888891</v>
      </c>
      <c r="N9" s="646"/>
      <c r="O9" s="645" t="str">
        <f t="shared" ref="O9" ca="1" si="4">IF(O14="","",SUM(P14:P101))</f>
        <v/>
      </c>
      <c r="P9" s="646"/>
      <c r="Q9" s="645">
        <f t="shared" ref="Q9" ca="1" si="5">IF(Q14="","",SUM(R14:R101))</f>
        <v>57.037037037037024</v>
      </c>
      <c r="R9" s="646"/>
      <c r="S9" s="645">
        <f t="shared" ref="S9" ca="1" si="6">IF(S14="","",SUM(T14:T101))</f>
        <v>72.592592592592581</v>
      </c>
      <c r="T9" s="646"/>
      <c r="U9" s="645">
        <f t="shared" ref="U9" ca="1" si="7">IF(U14="","",SUM(V14:V101))</f>
        <v>57.037037037037024</v>
      </c>
      <c r="V9" s="646"/>
      <c r="W9" s="645">
        <f t="shared" ref="W9" ca="1" si="8">IF(W14="","",SUM(X14:X101))</f>
        <v>57.037037037037024</v>
      </c>
      <c r="X9" s="646"/>
      <c r="Y9" s="645">
        <f t="shared" ref="Y9" ca="1" si="9">IF(Y14="","",SUM(Z14:Z101))</f>
        <v>88.148148148148152</v>
      </c>
      <c r="Z9" s="646"/>
      <c r="AA9" s="645" t="str">
        <f t="shared" ref="AA9" ca="1" si="10">IF(AA14="","",SUM(AB14:AB101))</f>
        <v/>
      </c>
      <c r="AB9" s="646"/>
      <c r="AC9" s="645">
        <f t="shared" ref="AC9" ca="1" si="11">IF(AC14="","",SUM(AD14:AD101))</f>
        <v>41.481481481481474</v>
      </c>
      <c r="AD9" s="646"/>
      <c r="AE9" s="645" t="str">
        <f>IF(AE77="","",SUM(AF77:AF101))</f>
        <v/>
      </c>
      <c r="AF9" s="646"/>
      <c r="AG9" s="645" t="str">
        <f>IF(AG77="","",SUM(AH77:AH101))</f>
        <v/>
      </c>
      <c r="AH9" s="646"/>
      <c r="AI9" s="645" t="str">
        <f>IF(AI77="","",SUM(AJ77:AJ101))</f>
        <v/>
      </c>
      <c r="AJ9" s="646"/>
    </row>
    <row r="10" spans="1:41" s="147" customFormat="1" ht="23.25" customHeight="1" x14ac:dyDescent="0.25">
      <c r="A10" s="650" t="s">
        <v>146</v>
      </c>
      <c r="B10" s="650"/>
      <c r="C10" s="645" t="str">
        <f>IF(C104="","",SUM(D104:D140))</f>
        <v/>
      </c>
      <c r="D10" s="646"/>
      <c r="E10" s="645">
        <f ca="1">IF(E104="","",SUM(F104:F140))</f>
        <v>29.189189189189182</v>
      </c>
      <c r="F10" s="646"/>
      <c r="G10" s="645">
        <f ca="1">IF(G104="","",SUM(H104:H140))</f>
        <v>29.189189189189182</v>
      </c>
      <c r="H10" s="646"/>
      <c r="I10" s="645" t="str">
        <f t="shared" ref="I10" ca="1" si="12">IF(I104="","",SUM(J104:J140))</f>
        <v/>
      </c>
      <c r="J10" s="646"/>
      <c r="K10" s="645">
        <f t="shared" ref="K10" ca="1" si="13">IF(K104="","",SUM(L104:L140))</f>
        <v>19.459459459459456</v>
      </c>
      <c r="L10" s="646"/>
      <c r="M10" s="645">
        <f t="shared" ref="M10" ca="1" si="14">IF(M104="","",SUM(N104:N140))</f>
        <v>24.324324324324319</v>
      </c>
      <c r="N10" s="646"/>
      <c r="O10" s="645" t="str">
        <f t="shared" ref="O10" ca="1" si="15">IF(O104="","",SUM(P104:P140))</f>
        <v/>
      </c>
      <c r="P10" s="646"/>
      <c r="Q10" s="645">
        <f t="shared" ref="Q10" ca="1" si="16">IF(Q104="","",SUM(R104:R140))</f>
        <v>12.972972972972972</v>
      </c>
      <c r="R10" s="646"/>
      <c r="S10" s="645">
        <f t="shared" ref="S10" ca="1" si="17">IF(S104="","",SUM(T104:T140))</f>
        <v>19.459459459459456</v>
      </c>
      <c r="T10" s="646"/>
      <c r="U10" s="645">
        <f t="shared" ref="U10" ca="1" si="18">IF(U104="","",SUM(V104:V140))</f>
        <v>14.594594594594593</v>
      </c>
      <c r="V10" s="646"/>
      <c r="W10" s="645">
        <f t="shared" ref="W10" ca="1" si="19">IF(W104="","",SUM(X104:X140))</f>
        <v>25.94594594594594</v>
      </c>
      <c r="X10" s="646"/>
      <c r="Y10" s="645">
        <f t="shared" ref="Y10" ca="1" si="20">IF(Y104="","",SUM(Z104:Z140))</f>
        <v>38.918918918918912</v>
      </c>
      <c r="Z10" s="646"/>
      <c r="AA10" s="645" t="str">
        <f ca="1">IF(AA104="","",SUM(AB104:AB140))</f>
        <v/>
      </c>
      <c r="AB10" s="646"/>
      <c r="AC10" s="645">
        <f t="shared" ref="AC10" ca="1" si="21">IF(AC104="","",SUM(AD104:AD140))</f>
        <v>22.702702702702698</v>
      </c>
      <c r="AD10" s="646"/>
      <c r="AE10" s="645" t="str">
        <f>IF(AE104="","",SUM(AF104:AF135))</f>
        <v/>
      </c>
      <c r="AF10" s="646"/>
      <c r="AG10" s="645" t="str">
        <f>IF(AG104="","",SUM(AH104:AH135))</f>
        <v/>
      </c>
      <c r="AH10" s="646"/>
      <c r="AI10" s="645" t="str">
        <f>IF(AI104="","",SUM(AJ104:AJ135))</f>
        <v/>
      </c>
      <c r="AJ10" s="646"/>
    </row>
    <row r="11" spans="1:41" s="147" customFormat="1" ht="23.25" customHeight="1" x14ac:dyDescent="0.25">
      <c r="A11" s="650" t="s">
        <v>147</v>
      </c>
      <c r="B11" s="650"/>
      <c r="C11" s="645" t="str">
        <f>IF(C7="","",IF(C8="No habilitado","",C9+C10))</f>
        <v/>
      </c>
      <c r="D11" s="646"/>
      <c r="E11" s="645">
        <f ca="1">IF(E7="","",IF(E8="No habilitado","",E9+E10))</f>
        <v>70.67067067067066</v>
      </c>
      <c r="F11" s="646"/>
      <c r="G11" s="645">
        <f t="shared" ref="G11" ca="1" si="22">IF(G7="","",IF(G8="No habilitado","",G9+G10))</f>
        <v>91.411411411411393</v>
      </c>
      <c r="H11" s="646"/>
      <c r="I11" s="645" t="str">
        <f t="shared" ref="I11" ca="1" si="23">IF(I7="","",IF(I8="No habilitado","",I9+I10))</f>
        <v/>
      </c>
      <c r="J11" s="646"/>
      <c r="K11" s="645">
        <f t="shared" ref="K11" ca="1" si="24">IF(K7="","",IF(K8="No habilitado","",K9+K10))</f>
        <v>112.7927927927928</v>
      </c>
      <c r="L11" s="646"/>
      <c r="M11" s="645">
        <f t="shared" ref="M11" ca="1" si="25">IF(M7="","",IF(M8="No habilitado","",M9+M10))</f>
        <v>133.21321321321324</v>
      </c>
      <c r="N11" s="646"/>
      <c r="O11" s="645" t="str">
        <f t="shared" ref="O11" ca="1" si="26">IF(O7="","",IF(O8="No habilitado","",O9+O10))</f>
        <v/>
      </c>
      <c r="P11" s="646"/>
      <c r="Q11" s="645">
        <f t="shared" ref="Q11" ca="1" si="27">IF(Q7="","",IF(Q8="No habilitado","",Q9+Q10))</f>
        <v>70.010010010009992</v>
      </c>
      <c r="R11" s="646"/>
      <c r="S11" s="645">
        <f t="shared" ref="S11" ca="1" si="28">IF(S7="","",IF(S8="No habilitado","",S9+S10))</f>
        <v>92.052052052052034</v>
      </c>
      <c r="T11" s="646"/>
      <c r="U11" s="645">
        <f t="shared" ref="U11" ca="1" si="29">IF(U7="","",IF(U8="No habilitado","",U9+U10))</f>
        <v>71.63163163163162</v>
      </c>
      <c r="V11" s="646"/>
      <c r="W11" s="645">
        <f t="shared" ref="W11" ca="1" si="30">IF(W7="","",IF(W8="No habilitado","",W9+W10))</f>
        <v>82.982982982982961</v>
      </c>
      <c r="X11" s="646"/>
      <c r="Y11" s="645">
        <f t="shared" ref="Y11" ca="1" si="31">IF(Y7="","",IF(Y8="No habilitado","",Y9+Y10))</f>
        <v>127.06706706706706</v>
      </c>
      <c r="Z11" s="646"/>
      <c r="AA11" s="645" t="str">
        <f t="shared" ref="AA11" ca="1" si="32">IF(AA7="","",IF(AA8="No habilitado","",AA9+AA10))</f>
        <v/>
      </c>
      <c r="AB11" s="646"/>
      <c r="AC11" s="645">
        <f t="shared" ref="AC11" ca="1" si="33">IF(AC7="","",IF(AC8="No habilitado","",AC9+AC10))</f>
        <v>64.184184184184176</v>
      </c>
      <c r="AD11" s="646"/>
      <c r="AE11" s="645" t="str">
        <f t="shared" ref="AE11" si="34">IF(AE7="","",IF(AE8="No habilitado","",AE9+AE10))</f>
        <v/>
      </c>
      <c r="AF11" s="646"/>
      <c r="AG11" s="645" t="str">
        <f t="shared" ref="AG11" si="35">IF(AG7="","",IF(AG8="No habilitado","",AG9+AG10))</f>
        <v/>
      </c>
      <c r="AH11" s="646"/>
      <c r="AI11" s="645" t="str">
        <f t="shared" ref="AI11" si="36">IF(AI7="","",IF(AI8="No habilitado","",AI9+AI10))</f>
        <v/>
      </c>
      <c r="AJ11" s="646"/>
    </row>
    <row r="12" spans="1:41" ht="21" customHeight="1" x14ac:dyDescent="0.25"/>
    <row r="13" spans="1:41" ht="21.75" customHeight="1" x14ac:dyDescent="0.25">
      <c r="A13" s="151" t="s">
        <v>148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N13" s="70" t="s">
        <v>349</v>
      </c>
      <c r="AO13" s="70" t="s">
        <v>350</v>
      </c>
    </row>
    <row r="14" spans="1:41" ht="21.75" customHeight="1" outlineLevel="1" x14ac:dyDescent="0.25">
      <c r="A14" s="362">
        <v>1.1000000000000001</v>
      </c>
      <c r="B14" s="153">
        <f ca="1">IF(A14="","",IF($K$4="Media aritmética",ROUND(AVERAGE(C14,E14,G14,I14,K14,M14,O14,Q14,S14,U14,W14,Y14,AA14,AC14,AE14,AG14,AI14),2),ROUND(_xlfn.STDEV.P(C14,E14,G14,I14,K14,M14,O14,Q14,S14,U14,W14,Y14,AA14,AC14,AE14,AG14,AI14),2)))</f>
        <v>4057766.39</v>
      </c>
      <c r="C14" s="154" t="str">
        <f t="shared" ref="C14:C45" si="37">IF($C$8="Habilitado",IF($A14="","",ROUND(VLOOKUP($A14,OFERENTE_1,15,FALSE),2)),"")</f>
        <v/>
      </c>
      <c r="D14" s="155" t="str">
        <f>IF($A14="","",IF(C14="","",IF($K$4="Media aritmética",(C14&lt;=$B14)*($E$5/$B$4)+(C14&gt;$B14)*0,IF(AND(ROUND(AVERAGE($C14,$E14,$G14,$I14,$K14,$M14,$O14,$Q14,$S14,$U14,$W14,$Y14,$AA14,$AC14,$AE14,$AG14,$AI14),2)-$B14/2&lt;=C14,(ROUND(AVERAGE($C14,$E14,$G14,$I14,$K14,$M14,$O14,$Q14,$S14,$U14,$W14,$Y14,$AA14,$AC14,$AE14,$AG14,$AI14),2)+$B14/2&gt;=C14)),($E$5/$B$4),0))))</f>
        <v/>
      </c>
      <c r="E14" s="154">
        <f t="shared" ref="E14:E45" ca="1" si="38">IF($E$8="Habilitado",IF($A14="","",ROUND(VLOOKUP($A14,OFERENTE_2,15,FALSE),2)),"")</f>
        <v>30962135</v>
      </c>
      <c r="F14" s="155">
        <f ca="1">IF($A14="","",IF(E14="","",IF($K$4="Media aritmética",(E14&lt;=$B14)*($E$5/$B$4)+(E14&gt;$B14)*0,IF(AND(ROUND(AVERAGE($C14,$E14,$G14,$I14,$K14,$M14,$O14,$Q14,$S14,$U14,$W14,$Y14,$AA14,$AC14,$AE14,$AG14,$AI14),2)-$B14/2&lt;=E14,(ROUND(AVERAGE($C14,$E14,$G14,$I14,$K14,$M14,$O14,$Q14,$S14,$U14,$W14,$Y14,$AA14,$AC14,$AE14,$AG14,$AI14),2)+$B14/2&gt;=E14)),($E$5/$B$4),0))))</f>
        <v>5.1851851851851851</v>
      </c>
      <c r="G14" s="154">
        <f t="shared" ref="G14:G45" ca="1" si="39">IF($G$8="Habilitado",IF($A14="","",ROUND(VLOOKUP($A14,OFERENTE_3,15,FALSE),2)),"")</f>
        <v>28512599</v>
      </c>
      <c r="H14" s="155">
        <f ca="1">IF($A14="","",IF(G14="","",IF($K$4="Media aritmética",(G14&lt;=$B14)*($E$5/$B$4)+(G14&gt;$B14)*0,IF(AND(ROUND(AVERAGE($C14,$E14,$G14,$I14,$K14,$M14,$O14,$Q14,$S14,$U14,$W14,$Y14,$AA14,$AC14,$AE14,$AG14,$AI14),2)-$B14/2&lt;=G14,(ROUND(AVERAGE($C14,$E14,$G14,$I14,$K14,$M14,$O14,$Q14,$S14,$U14,$W14,$Y14,$AA14,$AC14,$AE14,$AG14,$AI14),2)+$B14/2&gt;=G14)),($E$5/$B$4),0))))</f>
        <v>5.1851851851851851</v>
      </c>
      <c r="I14" s="154" t="str">
        <f t="shared" ref="I14:I45" ca="1" si="40">IF($I$8="Habilitado",IF($A14="","",ROUND(VLOOKUP($A14,OFERENTE_4,15,FALSE),2)),"")</f>
        <v/>
      </c>
      <c r="J14" s="155" t="str">
        <f ca="1">IF($A14="","",IF(I14="","",IF($K$4="Media aritmética",(I14&lt;=$B14)*($E$5/$B$4)+(I14&gt;$B14)*0,IF(AND(ROUND(AVERAGE($C14,$E14,$G14,$I14,$K14,$M14,$O14,$Q14,$S14,$U14,$W14,$Y14,$AA14,$AC14,$AE14,$AG14,$AI14),2)-$B14/2&lt;=I14,(ROUND(AVERAGE($C14,$E14,$G14,$I14,$K14,$M14,$O14,$Q14,$S14,$U14,$W14,$Y14,$AA14,$AC14,$AE14,$AG14,$AI14),2)+$B14/2&gt;=I14)),($E$5/$B$4),0))))</f>
        <v/>
      </c>
      <c r="K14" s="154">
        <f t="shared" ref="K14:K45" ca="1" si="41">IF($K$8="Habilitado",IF($A14="","",ROUND(VLOOKUP($A14,OFERENTE_5,15,FALSE),2)),"")</f>
        <v>28414617</v>
      </c>
      <c r="L14" s="155">
        <f ca="1">IF($A14="","",IF(K14="","",IF($K$4="Media aritmética",(K14&lt;=$B14)*($E$5/$B$4)+(K14&gt;$B14)*0,IF(AND(ROUND(AVERAGE($C14,$E14,$G14,$I14,$K14,$M14,$O14,$Q14,$S14,$U14,$W14,$Y14,$AA14,$AC14,$AE14,$AG14,$AI14),2)-$B14/2&lt;=K14,(ROUND(AVERAGE($C14,$E14,$G14,$I14,$K14,$M14,$O14,$Q14,$S14,$U14,$W14,$Y14,$AA14,$AC14,$AE14,$AG14,$AI14),2)+$B14/2&gt;=K14)),($E$5/$B$4),0))))</f>
        <v>5.1851851851851851</v>
      </c>
      <c r="M14" s="154">
        <f t="shared" ref="M14:M77" ca="1" si="42">IF($M$8="Habilitado",IF($A14="","",ROUND(VLOOKUP($A14,OFERENTE_6,15,FALSE),2)),"")</f>
        <v>28414617</v>
      </c>
      <c r="N14" s="155">
        <f ca="1">IF($A14="","",IF(M14="","",IF($K$4="Media aritmética",(M14&lt;=$B14)*($E$5/$B$4)+(M14&gt;$B14)*0,IF(AND(ROUND(AVERAGE($C14,$E14,$G14,$I14,$K14,$M14,$O14,$Q14,$S14,$U14,$W14,$Y14,$AA14,$AC14,$AE14,$AG14,$AI14),2)-$B14/2&lt;=M14,(ROUND(AVERAGE($C14,$E14,$G14,$I14,$K14,$M14,$O14,$Q14,$S14,$U14,$W14,$Y14,$AA14,$AC14,$AE14,$AG14,$AI14),2)+$B14/2&gt;=M14)),($E$5/$B$4),0))))</f>
        <v>5.1851851851851851</v>
      </c>
      <c r="O14" s="154" t="str">
        <f t="shared" ref="O14:O45" ca="1" si="43">IF($O$8="Habilitado",IF($A14="","",ROUND(VLOOKUP($A14,OFERENTE_7,15,FALSE),2)),"")</f>
        <v/>
      </c>
      <c r="P14" s="155" t="str">
        <f ca="1">IF($A14="","",IF(O14="","",IF($K$4="Media aritmética",(O14&lt;=$B14)*($E$5/$B$4)+(O14&gt;$B14)*0,IF(AND(ROUND(AVERAGE($C14,$E14,$G14,$I14,$K14,$M14,$O14,$Q14,$S14,$U14,$W14,$Y14,$AA14,$AC14,$AE14,$AG14,$AI14),2)-$B14/2&lt;=O14,(ROUND(AVERAGE($C14,$E14,$G14,$I14,$K14,$M14,$O14,$Q14,$S14,$U14,$W14,$Y14,$AA14,$AC14,$AE14,$AG14,$AI14),2)+$B14/2&gt;=O14)),($E$5/$B$4),0))))</f>
        <v/>
      </c>
      <c r="Q14" s="154">
        <f t="shared" ref="Q14:Q45" ca="1" si="44">IF($Q$8="Habilitado",IF($A14="","",ROUND(VLOOKUP($A14,OFERENTE_8,15,FALSE),2)),"")</f>
        <v>35273318</v>
      </c>
      <c r="R14" s="155">
        <f ca="1">IF($A14="","",IF(Q14="","",IF($K$4="Media aritmética",(Q14&lt;=$B14)*($E$5/$B$4)+(Q14&gt;$B14)*0,IF(AND(ROUND(AVERAGE($C14,$E14,$G14,$I14,$K14,$M14,$O14,$Q14,$S14,$U14,$W14,$Y14,$AA14,$AC14,$AE14,$AG14,$AI14),2)-$B14/2&lt;=Q14,(ROUND(AVERAGE($C14,$E14,$G14,$I14,$K14,$M14,$O14,$Q14,$S14,$U14,$W14,$Y14,$AA14,$AC14,$AE14,$AG14,$AI14),2)+$B14/2&gt;=Q14)),($E$5/$B$4),0))))</f>
        <v>0</v>
      </c>
      <c r="S14" s="154">
        <f t="shared" ref="S14:S45" ca="1" si="45">IF($S$8="Habilitado",IF($A14="","",ROUND(VLOOKUP($A14,OFERENTE_9,15,FALSE),2)),"")</f>
        <v>27434803</v>
      </c>
      <c r="T14" s="155">
        <f ca="1">IF($A14="","",IF(S14="","",IF($K$4="Media aritmética",(S14&lt;=$B14)*($E$5/$B$4)+(S14&gt;$B14)*0,IF(AND(ROUND(AVERAGE($C14,$E14,$G14,$I14,$K14,$M14,$O14,$Q14,$S14,$U14,$W14,$Y14,$AA14,$AC14,$AE14,$AG14,$AI14),2)-$B14/2&lt;=S14,(ROUND(AVERAGE($C14,$E14,$G14,$I14,$K14,$M14,$O14,$Q14,$S14,$U14,$W14,$Y14,$AA14,$AC14,$AE14,$AG14,$AI14),2)+$B14/2&gt;=S14)),($E$5/$B$4),0))))</f>
        <v>0</v>
      </c>
      <c r="U14" s="154">
        <f t="shared" ref="U14:U45" ca="1" si="46">IF($U$8="Habilitado",IF($A14="","",ROUND(VLOOKUP($A14,OFERENTE_10,15,FALSE),2)),"")</f>
        <v>33578239</v>
      </c>
      <c r="V14" s="155">
        <f ca="1">IF($A14="","",IF(U14="","",IF($K$4="Media aritmética",(U14&lt;=$B14)*($E$5/$B$4)+(U14&gt;$B14)*0,IF(AND(ROUND(AVERAGE($C14,$E14,$G14,$I14,$K14,$M14,$O14,$Q14,$S14,$U14,$W14,$Y14,$AA14,$AC14,$AE14,$AG14,$AI14),2)-$B14/2&lt;=U14,(ROUND(AVERAGE($C14,$E14,$G14,$I14,$K14,$M14,$O14,$Q14,$S14,$U14,$W14,$Y14,$AA14,$AC14,$AE14,$AG14,$AI14),2)+$B14/2&gt;=U14)),($E$5/$B$4),0))))</f>
        <v>0</v>
      </c>
      <c r="W14" s="154">
        <f t="shared" ref="W14:W45" ca="1" si="47">IF($W$8="Habilitado",IF($A14="","",ROUND(VLOOKUP($A14,OFERENTE_11,15,FALSE),2)),"")</f>
        <v>23515545</v>
      </c>
      <c r="X14" s="155">
        <f ca="1">IF($A14="","",IF(W14="","",IF($K$4="Media aritmética",(W14&lt;=$B14)*($E$5/$B$4)+(W14&gt;$B14)*0,IF(AND(ROUND(AVERAGE($C14,$E14,$G14,$I14,$K14,$M14,$O14,$Q14,$S14,$U14,$W14,$Y14,$AA14,$AC14,$AE14,$AG14,$AI14),2)-$B14/2&lt;=W14,(ROUND(AVERAGE($C14,$E14,$G14,$I14,$K14,$M14,$O14,$Q14,$S14,$U14,$W14,$Y14,$AA14,$AC14,$AE14,$AG14,$AI14),2)+$B14/2&gt;=W14)),($E$5/$B$4),0))))</f>
        <v>0</v>
      </c>
      <c r="Y14" s="154">
        <f t="shared" ref="Y14:Y45" ca="1" si="48">IF($Y$8="Habilitado",IF($A14="","",ROUND(VLOOKUP($A14,OFERENTE_12,15,FALSE),2)),"")</f>
        <v>23515545</v>
      </c>
      <c r="Z14" s="155">
        <f ca="1">IF($A14="","",IF(Y14="","",IF($K$4="Media aritmética",(Y14&lt;=$B14)*($E$5/$B$4)+(Y14&gt;$B14)*0,IF(AND(ROUND(AVERAGE($C14,$E14,$G14,$I14,$K14,$M14,$O14,$Q14,$S14,$U14,$W14,$Y14,$AA14,$AC14,$AE14,$AG14,$AI14),2)-$B14/2&lt;=Y14,(ROUND(AVERAGE($C14,$E14,$G14,$I14,$K14,$M14,$O14,$Q14,$S14,$U14,$W14,$Y14,$AA14,$AC14,$AE14,$AG14,$AI14),2)+$B14/2&gt;=Y14)),($E$5/$B$4),0))))</f>
        <v>0</v>
      </c>
      <c r="AA14" s="154" t="str">
        <f t="shared" ref="AA14:AA45" ca="1" si="49">IF($AA$8="Habilitado",IF($A14="","",ROUND(VLOOKUP($A14,OFERENTE_13,15,FALSE),2)),"")</f>
        <v/>
      </c>
      <c r="AB14" s="155" t="str">
        <f ca="1">IF($A14="","",IF(AA14="","",IF($K$4="Media aritmética",(AA14&lt;=$B14)*($E$5/$B$4)+(AA14&gt;$B14)*0,IF(AND(ROUND(AVERAGE($C14,$E14,$G14,$I14,$K14,$M14,$O14,$Q14,$S14,$U14,$W14,$Y14,$AA14,$AC14,$AE14,$AG14,$AI14),2)-$B14/2&lt;=AA14,(ROUND(AVERAGE($C14,$E14,$G14,$I14,$K14,$M14,$O14,$Q14,$S14,$U14,$W14,$Y14,$AA14,$AC14,$AE14,$AG14,$AI14),2)+$B14/2&gt;=AA14)),($E$5/$B$4),0))))</f>
        <v/>
      </c>
      <c r="AC14" s="154">
        <f t="shared" ref="AC14:AC45" ca="1" si="50">IF($AC$8="Habilitado",IF($A14="","",ROUND(VLOOKUP($A14,OFERENTE_14,15,FALSE),2)),"")</f>
        <v>35273318</v>
      </c>
      <c r="AD14" s="155">
        <f ca="1">IF($A14="","",IF(AC14="","",IF($K$4="Media aritmética",(AC14&lt;=$B14)*($E$5/$B$4)+(AC14&gt;$B14)*0,IF(AND(ROUND(AVERAGE($C14,$E14,$G14,$I14,$K14,$M14,$O14,$Q14,$S14,$U14,$W14,$Y14,$AA14,$AC14,$AE14,$AG14,$AI14),2)-$B14/2&lt;=AC14,(ROUND(AVERAGE($C14,$E14,$G14,$I14,$K14,$M14,$O14,$Q14,$S14,$U14,$W14,$Y14,$AA14,$AC14,$AE14,$AG14,$AI14),2)+$B14/2&gt;=AC14)),($E$5/$B$4),0))))</f>
        <v>0</v>
      </c>
      <c r="AE14" s="151"/>
      <c r="AF14" s="151"/>
      <c r="AG14" s="151"/>
      <c r="AH14" s="151"/>
      <c r="AI14" s="151"/>
      <c r="AJ14" s="151"/>
      <c r="AL14" s="255">
        <f ca="1">AVERAGE(C14,E14,G14,I14,K14,M14,O14,Q14,S14,U14,W14,Y14,AC14)</f>
        <v>29489473.600000001</v>
      </c>
      <c r="AM14" s="70">
        <f ca="1">_xlfn.STDEV.P(C14,E14,G14,I14,K14,M14,O14,Q14,S14,U14,W14,Y14,AC14)</f>
        <v>4057766.3892548373</v>
      </c>
      <c r="AN14" s="365">
        <f ca="1">AL14+(AM14/2)</f>
        <v>31518356.794627421</v>
      </c>
      <c r="AO14" s="365">
        <f ca="1">AL14-(AM14/2)</f>
        <v>27460590.405372582</v>
      </c>
    </row>
    <row r="15" spans="1:41" ht="21.75" customHeight="1" outlineLevel="1" x14ac:dyDescent="0.25">
      <c r="A15" s="362">
        <v>1.2</v>
      </c>
      <c r="B15" s="153">
        <f t="shared" ref="B15:B68" ca="1" si="51">IF(A15="","",IF($K$4="Media aritmética",ROUND(AVERAGE(C15,E15,G15,I15,K15,M15,O15,Q15,S15,U15,W15,Y15,AA15,AC15,AE15,AG15,AI15),2),ROUND(_xlfn.STDEV.P(C15,E15,G15,I15,K15,M15,O15,Q15,S15,U15,W15,Y15,AA15,AC15,AE15,AG15,AI15),2)))</f>
        <v>2526318.15</v>
      </c>
      <c r="C15" s="154" t="str">
        <f t="shared" si="37"/>
        <v/>
      </c>
      <c r="D15" s="155" t="str">
        <f t="shared" ref="D15:D68" si="52">IF($A15="","",IF(C15="","",IF($K$4="Media aritmética",(C15&lt;=$B15)*($E$5/$B$4)+(C15&gt;$B15)*0,IF(AND(ROUND(AVERAGE($C15,$E15,$G15,$I15,$K15,$M15,$O15,$Q15,$S15,$U15,$W15,$Y15,$AA15,$AC15,$AE15,$AG15,$AI15),2)-$B15/2&lt;=C15,(ROUND(AVERAGE($C15,$E15,$G15,$I15,$K15,$M15,$O15,$Q15,$S15,$U15,$W15,$Y15,$AA15,$AC15,$AE15,$AG15,$AI15),2)+$B15/2&gt;=C15)),($E$5/$B$4),0))))</f>
        <v/>
      </c>
      <c r="E15" s="154">
        <f t="shared" ca="1" si="38"/>
        <v>19125000</v>
      </c>
      <c r="F15" s="155">
        <f t="shared" ref="F15:F68" ca="1" si="53">IF($A15="","",IF(E15="","",IF($K$4="Media aritmética",(E15&lt;=$B15)*($E$5/$B$4)+(E15&gt;$B15)*0,IF(AND(ROUND(AVERAGE($C15,$E15,$G15,$I15,$K15,$M15,$O15,$Q15,$S15,$U15,$W15,$Y15,$AA15,$AC15,$AE15,$AG15,$AI15),2)-$B15/2&lt;=E15,(ROUND(AVERAGE($C15,$E15,$G15,$I15,$K15,$M15,$O15,$Q15,$S15,$U15,$W15,$Y15,$AA15,$AC15,$AE15,$AG15,$AI15),2)+$B15/2&gt;=E15)),($E$5/$B$4),0))))</f>
        <v>5.1851851851851851</v>
      </c>
      <c r="G15" s="154">
        <f t="shared" ca="1" si="39"/>
        <v>19788000</v>
      </c>
      <c r="H15" s="155">
        <f t="shared" ref="H15:H68" ca="1" si="54">IF($A15="","",IF(G15="","",IF($K$4="Media aritmética",(G15&lt;=$B15)*($E$5/$B$4)+(G15&gt;$B15)*0,IF(AND(ROUND(AVERAGE($C15,$E15,$G15,$I15,$K15,$M15,$O15,$Q15,$S15,$U15,$W15,$Y15,$AA15,$AC15,$AE15,$AG15,$AI15),2)-$B15/2&lt;=G15,(ROUND(AVERAGE($C15,$E15,$G15,$I15,$K15,$M15,$O15,$Q15,$S15,$U15,$W15,$Y15,$AA15,$AC15,$AE15,$AG15,$AI15),2)+$B15/2&gt;=G15)),($E$5/$B$4),0))))</f>
        <v>5.1851851851851851</v>
      </c>
      <c r="I15" s="154" t="str">
        <f t="shared" ca="1" si="40"/>
        <v/>
      </c>
      <c r="J15" s="155" t="str">
        <f t="shared" ref="J15:J68" ca="1" si="55">IF($A15="","",IF(I15="","",IF($K$4="Media aritmética",(I15&lt;=$B15)*($E$5/$B$4)+(I15&gt;$B15)*0,IF(AND(ROUND(AVERAGE($C15,$E15,$G15,$I15,$K15,$M15,$O15,$Q15,$S15,$U15,$W15,$Y15,$AA15,$AC15,$AE15,$AG15,$AI15),2)-$B15/2&lt;=I15,(ROUND(AVERAGE($C15,$E15,$G15,$I15,$K15,$M15,$O15,$Q15,$S15,$U15,$W15,$Y15,$AA15,$AC15,$AE15,$AG15,$AI15),2)+$B15/2&gt;=I15)),($E$5/$B$4),0))))</f>
        <v/>
      </c>
      <c r="K15" s="154">
        <f t="shared" ca="1" si="41"/>
        <v>18487500</v>
      </c>
      <c r="L15" s="155">
        <f t="shared" ref="L15:L68" ca="1" si="56">IF($A15="","",IF(K15="","",IF($K$4="Media aritmética",(K15&lt;=$B15)*($E$5/$B$4)+(K15&gt;$B15)*0,IF(AND(ROUND(AVERAGE($C15,$E15,$G15,$I15,$K15,$M15,$O15,$Q15,$S15,$U15,$W15,$Y15,$AA15,$AC15,$AE15,$AG15,$AI15),2)-$B15/2&lt;=K15,(ROUND(AVERAGE($C15,$E15,$G15,$I15,$K15,$M15,$O15,$Q15,$S15,$U15,$W15,$Y15,$AA15,$AC15,$AE15,$AG15,$AI15),2)+$B15/2&gt;=K15)),($E$5/$B$4),0))))</f>
        <v>5.1851851851851851</v>
      </c>
      <c r="M15" s="154">
        <f t="shared" ca="1" si="42"/>
        <v>18742500</v>
      </c>
      <c r="N15" s="155">
        <f t="shared" ref="N15:N68" ca="1" si="57">IF($A15="","",IF(M15="","",IF($K$4="Media aritmética",(M15&lt;=$B15)*($E$5/$B$4)+(M15&gt;$B15)*0,IF(AND(ROUND(AVERAGE($C15,$E15,$G15,$I15,$K15,$M15,$O15,$Q15,$S15,$U15,$W15,$Y15,$AA15,$AC15,$AE15,$AG15,$AI15),2)-$B15/2&lt;=M15,(ROUND(AVERAGE($C15,$E15,$G15,$I15,$K15,$M15,$O15,$Q15,$S15,$U15,$W15,$Y15,$AA15,$AC15,$AE15,$AG15,$AI15),2)+$B15/2&gt;=M15)),($E$5/$B$4),0))))</f>
        <v>5.1851851851851851</v>
      </c>
      <c r="O15" s="154" t="str">
        <f t="shared" ca="1" si="43"/>
        <v/>
      </c>
      <c r="P15" s="155" t="str">
        <f t="shared" ref="P15:P68" ca="1" si="58">IF($A15="","",IF(O15="","",IF($K$4="Media aritmética",(O15&lt;=$B15)*($E$5/$B$4)+(O15&gt;$B15)*0,IF(AND(ROUND(AVERAGE($C15,$E15,$G15,$I15,$K15,$M15,$O15,$Q15,$S15,$U15,$W15,$Y15,$AA15,$AC15,$AE15,$AG15,$AI15),2)-$B15/2&lt;=O15,(ROUND(AVERAGE($C15,$E15,$G15,$I15,$K15,$M15,$O15,$Q15,$S15,$U15,$W15,$Y15,$AA15,$AC15,$AE15,$AG15,$AI15),2)+$B15/2&gt;=O15)),($E$5/$B$4),0))))</f>
        <v/>
      </c>
      <c r="Q15" s="154">
        <f t="shared" ca="1" si="44"/>
        <v>21675000</v>
      </c>
      <c r="R15" s="155">
        <f t="shared" ref="R15:R68" ca="1" si="59">IF($A15="","",IF(Q15="","",IF($K$4="Media aritmética",(Q15&lt;=$B15)*($E$5/$B$4)+(Q15&gt;$B15)*0,IF(AND(ROUND(AVERAGE($C15,$E15,$G15,$I15,$K15,$M15,$O15,$Q15,$S15,$U15,$W15,$Y15,$AA15,$AC15,$AE15,$AG15,$AI15),2)-$B15/2&lt;=Q15,(ROUND(AVERAGE($C15,$E15,$G15,$I15,$K15,$M15,$O15,$Q15,$S15,$U15,$W15,$Y15,$AA15,$AC15,$AE15,$AG15,$AI15),2)+$B15/2&gt;=Q15)),($E$5/$B$4),0))))</f>
        <v>0</v>
      </c>
      <c r="S15" s="154">
        <f t="shared" ca="1" si="45"/>
        <v>17850000</v>
      </c>
      <c r="T15" s="155">
        <f t="shared" ref="T15:T68" ca="1" si="60">IF($A15="","",IF(S15="","",IF($K$4="Media aritmética",(S15&lt;=$B15)*($E$5/$B$4)+(S15&gt;$B15)*0,IF(AND(ROUND(AVERAGE($C15,$E15,$G15,$I15,$K15,$M15,$O15,$Q15,$S15,$U15,$W15,$Y15,$AA15,$AC15,$AE15,$AG15,$AI15),2)-$B15/2&lt;=S15,(ROUND(AVERAGE($C15,$E15,$G15,$I15,$K15,$M15,$O15,$Q15,$S15,$U15,$W15,$Y15,$AA15,$AC15,$AE15,$AG15,$AI15),2)+$B15/2&gt;=S15)),($E$5/$B$4),0))))</f>
        <v>0</v>
      </c>
      <c r="U15" s="154">
        <f t="shared" ca="1" si="46"/>
        <v>20234250</v>
      </c>
      <c r="V15" s="155">
        <f t="shared" ref="V15:V68" ca="1" si="61">IF($A15="","",IF(U15="","",IF($K$4="Media aritmética",(U15&lt;=$B15)*($E$5/$B$4)+(U15&gt;$B15)*0,IF(AND(ROUND(AVERAGE($C15,$E15,$G15,$I15,$K15,$M15,$O15,$Q15,$S15,$U15,$W15,$Y15,$AA15,$AC15,$AE15,$AG15,$AI15),2)-$B15/2&lt;=U15,(ROUND(AVERAGE($C15,$E15,$G15,$I15,$K15,$M15,$O15,$Q15,$S15,$U15,$W15,$Y15,$AA15,$AC15,$AE15,$AG15,$AI15),2)+$B15/2&gt;=U15)),($E$5/$B$4),0))))</f>
        <v>5.1851851851851851</v>
      </c>
      <c r="W15" s="154">
        <f t="shared" ca="1" si="47"/>
        <v>15300000</v>
      </c>
      <c r="X15" s="155">
        <f t="shared" ref="X15:X76" ca="1" si="62">IF($A15="","",IF(W15="","",IF($K$4="Media aritmética",(W15&lt;=$B15)*($E$5/$B$4)+(W15&gt;$B15)*0,IF(AND(ROUND(AVERAGE($C15,$E15,$G15,$I15,$K15,$M15,$O15,$Q15,$S15,$U15,$W15,$Y15,$AA15,$AC15,$AE15,$AG15,$AI15),2)-$B15/2&lt;=W15,(ROUND(AVERAGE($C15,$E15,$G15,$I15,$K15,$M15,$O15,$Q15,$S15,$U15,$W15,$Y15,$AA15,$AC15,$AE15,$AG15,$AI15),2)+$B15/2&gt;=W15)),($E$5/$B$4),0))))</f>
        <v>0</v>
      </c>
      <c r="Y15" s="154">
        <f t="shared" ca="1" si="48"/>
        <v>20400000</v>
      </c>
      <c r="Z15" s="155">
        <f t="shared" ref="Z15:Z76" ca="1" si="63">IF($A15="","",IF(Y15="","",IF($K$4="Media aritmética",(Y15&lt;=$B15)*($E$5/$B$4)+(Y15&gt;$B15)*0,IF(AND(ROUND(AVERAGE($C15,$E15,$G15,$I15,$K15,$M15,$O15,$Q15,$S15,$U15,$W15,$Y15,$AA15,$AC15,$AE15,$AG15,$AI15),2)-$B15/2&lt;=Y15,(ROUND(AVERAGE($C15,$E15,$G15,$I15,$K15,$M15,$O15,$Q15,$S15,$U15,$W15,$Y15,$AA15,$AC15,$AE15,$AG15,$AI15),2)+$B15/2&gt;=Y15)),($E$5/$B$4),0))))</f>
        <v>5.1851851851851851</v>
      </c>
      <c r="AA15" s="154" t="str">
        <f t="shared" ca="1" si="49"/>
        <v/>
      </c>
      <c r="AB15" s="155" t="str">
        <f t="shared" ref="AB15:AB76" ca="1" si="64">IF($A15="","",IF(AA15="","",IF($K$4="Media aritmética",(AA15&lt;=$B15)*($E$5/$B$4)+(AA15&gt;$B15)*0,IF(AND(ROUND(AVERAGE($C15,$E15,$G15,$I15,$K15,$M15,$O15,$Q15,$S15,$U15,$W15,$Y15,$AA15,$AC15,$AE15,$AG15,$AI15),2)-$B15/2&lt;=AA15,(ROUND(AVERAGE($C15,$E15,$G15,$I15,$K15,$M15,$O15,$Q15,$S15,$U15,$W15,$Y15,$AA15,$AC15,$AE15,$AG15,$AI15),2)+$B15/2&gt;=AA15)),($E$5/$B$4),0))))</f>
        <v/>
      </c>
      <c r="AC15" s="154">
        <f t="shared" ca="1" si="50"/>
        <v>25500000</v>
      </c>
      <c r="AD15" s="155">
        <f t="shared" ref="AD15:AD76" ca="1" si="65">IF($A15="","",IF(AC15="","",IF($K$4="Media aritmética",(AC15&lt;=$B15)*($E$5/$B$4)+(AC15&gt;$B15)*0,IF(AND(ROUND(AVERAGE($C15,$E15,$G15,$I15,$K15,$M15,$O15,$Q15,$S15,$U15,$W15,$Y15,$AA15,$AC15,$AE15,$AG15,$AI15),2)-$B15/2&lt;=AC15,(ROUND(AVERAGE($C15,$E15,$G15,$I15,$K15,$M15,$O15,$Q15,$S15,$U15,$W15,$Y15,$AA15,$AC15,$AE15,$AG15,$AI15),2)+$B15/2&gt;=AC15)),($E$5/$B$4),0))))</f>
        <v>0</v>
      </c>
      <c r="AE15" s="151"/>
      <c r="AF15" s="151"/>
      <c r="AG15" s="151"/>
      <c r="AH15" s="151"/>
      <c r="AI15" s="151"/>
      <c r="AJ15" s="151"/>
      <c r="AL15" s="255">
        <f t="shared" ref="AL15:AL78" ca="1" si="66">AVERAGE(C15,E15,G15,I15,K15,M15,O15,Q15,S15,U15,W15,Y15,AC15)</f>
        <v>19710225</v>
      </c>
      <c r="AM15" s="70">
        <f t="shared" ref="AM15:AM78" ca="1" si="67">_xlfn.STDEV.P(C15,E15,G15,I15,K15,M15,O15,Q15,S15,U15,W15,Y15,AC15)</f>
        <v>2526318.1520990264</v>
      </c>
      <c r="AN15" s="365">
        <f t="shared" ref="AN15:AN78" ca="1" si="68">AL15+(AM15/2)</f>
        <v>20973384.076049514</v>
      </c>
      <c r="AO15" s="365">
        <f t="shared" ref="AO15:AO78" ca="1" si="69">AL15-(AM15/2)</f>
        <v>18447065.923950486</v>
      </c>
    </row>
    <row r="16" spans="1:41" ht="21.75" customHeight="1" outlineLevel="1" x14ac:dyDescent="0.25">
      <c r="A16" s="362">
        <v>1.3</v>
      </c>
      <c r="B16" s="153">
        <f t="shared" ca="1" si="51"/>
        <v>1991750.13</v>
      </c>
      <c r="C16" s="154" t="str">
        <f t="shared" si="37"/>
        <v/>
      </c>
      <c r="D16" s="155" t="str">
        <f t="shared" si="52"/>
        <v/>
      </c>
      <c r="E16" s="154">
        <f t="shared" ca="1" si="38"/>
        <v>13685000</v>
      </c>
      <c r="F16" s="155">
        <f t="shared" ca="1" si="53"/>
        <v>0</v>
      </c>
      <c r="G16" s="154">
        <f t="shared" ca="1" si="39"/>
        <v>12367500</v>
      </c>
      <c r="H16" s="155">
        <f t="shared" ca="1" si="54"/>
        <v>5.1851851851851851</v>
      </c>
      <c r="I16" s="154" t="str">
        <f t="shared" ca="1" si="40"/>
        <v/>
      </c>
      <c r="J16" s="155" t="str">
        <f t="shared" ca="1" si="55"/>
        <v/>
      </c>
      <c r="K16" s="154">
        <f t="shared" ca="1" si="41"/>
        <v>10625000</v>
      </c>
      <c r="L16" s="155">
        <f t="shared" ca="1" si="56"/>
        <v>0</v>
      </c>
      <c r="M16" s="154">
        <f t="shared" ca="1" si="42"/>
        <v>12325000</v>
      </c>
      <c r="N16" s="155">
        <f t="shared" ca="1" si="57"/>
        <v>5.1851851851851851</v>
      </c>
      <c r="O16" s="154" t="str">
        <f t="shared" ca="1" si="43"/>
        <v/>
      </c>
      <c r="P16" s="155" t="str">
        <f t="shared" ca="1" si="58"/>
        <v/>
      </c>
      <c r="Q16" s="154">
        <f t="shared" ca="1" si="44"/>
        <v>14875000</v>
      </c>
      <c r="R16" s="155">
        <f t="shared" ca="1" si="59"/>
        <v>0</v>
      </c>
      <c r="S16" s="154">
        <f t="shared" ca="1" si="45"/>
        <v>9350000</v>
      </c>
      <c r="T16" s="155">
        <f t="shared" ca="1" si="60"/>
        <v>0</v>
      </c>
      <c r="U16" s="154">
        <f t="shared" ca="1" si="46"/>
        <v>13644200</v>
      </c>
      <c r="V16" s="155">
        <f t="shared" ca="1" si="61"/>
        <v>0</v>
      </c>
      <c r="W16" s="154">
        <f t="shared" ca="1" si="47"/>
        <v>10200000</v>
      </c>
      <c r="X16" s="155">
        <f t="shared" ca="1" si="62"/>
        <v>0</v>
      </c>
      <c r="Y16" s="154">
        <f t="shared" ca="1" si="48"/>
        <v>10200000</v>
      </c>
      <c r="Z16" s="155">
        <f t="shared" ca="1" si="63"/>
        <v>0</v>
      </c>
      <c r="AA16" s="154" t="str">
        <f t="shared" ca="1" si="49"/>
        <v/>
      </c>
      <c r="AB16" s="155" t="str">
        <f t="shared" ca="1" si="64"/>
        <v/>
      </c>
      <c r="AC16" s="154">
        <f t="shared" ca="1" si="50"/>
        <v>15300000</v>
      </c>
      <c r="AD16" s="155">
        <f t="shared" ca="1" si="65"/>
        <v>0</v>
      </c>
      <c r="AE16" s="151"/>
      <c r="AF16" s="151"/>
      <c r="AG16" s="151"/>
      <c r="AH16" s="151"/>
      <c r="AI16" s="151"/>
      <c r="AJ16" s="151"/>
      <c r="AL16" s="255">
        <f t="shared" ca="1" si="66"/>
        <v>12257170</v>
      </c>
      <c r="AM16" s="70">
        <f t="shared" ca="1" si="67"/>
        <v>1991750.1299359817</v>
      </c>
      <c r="AN16" s="365">
        <f t="shared" ca="1" si="68"/>
        <v>13253045.06496799</v>
      </c>
      <c r="AO16" s="365">
        <f t="shared" ca="1" si="69"/>
        <v>11261294.93503201</v>
      </c>
    </row>
    <row r="17" spans="1:41" ht="21.75" customHeight="1" outlineLevel="1" x14ac:dyDescent="0.25">
      <c r="A17" s="363">
        <v>1.7</v>
      </c>
      <c r="B17" s="153">
        <f t="shared" ca="1" si="51"/>
        <v>499828.33</v>
      </c>
      <c r="C17" s="154" t="str">
        <f t="shared" si="37"/>
        <v/>
      </c>
      <c r="D17" s="155" t="str">
        <f t="shared" si="52"/>
        <v/>
      </c>
      <c r="E17" s="154">
        <f t="shared" ca="1" si="38"/>
        <v>1062500</v>
      </c>
      <c r="F17" s="155">
        <f t="shared" ca="1" si="53"/>
        <v>5.1851851851851851</v>
      </c>
      <c r="G17" s="154">
        <f t="shared" ca="1" si="39"/>
        <v>700825</v>
      </c>
      <c r="H17" s="155">
        <f t="shared" ca="1" si="54"/>
        <v>0</v>
      </c>
      <c r="I17" s="154" t="str">
        <f t="shared" ca="1" si="40"/>
        <v/>
      </c>
      <c r="J17" s="155" t="str">
        <f t="shared" ca="1" si="55"/>
        <v/>
      </c>
      <c r="K17" s="154">
        <f t="shared" ca="1" si="41"/>
        <v>2380000</v>
      </c>
      <c r="L17" s="155">
        <f t="shared" ca="1" si="56"/>
        <v>0</v>
      </c>
      <c r="M17" s="154">
        <f t="shared" ca="1" si="42"/>
        <v>735250</v>
      </c>
      <c r="N17" s="155">
        <f t="shared" ca="1" si="57"/>
        <v>0</v>
      </c>
      <c r="O17" s="154" t="str">
        <f t="shared" ca="1" si="43"/>
        <v/>
      </c>
      <c r="P17" s="155" t="str">
        <f t="shared" ca="1" si="58"/>
        <v/>
      </c>
      <c r="Q17" s="154">
        <f t="shared" ca="1" si="44"/>
        <v>892500</v>
      </c>
      <c r="R17" s="155">
        <f t="shared" ca="1" si="59"/>
        <v>5.1851851851851851</v>
      </c>
      <c r="S17" s="154">
        <f t="shared" ca="1" si="45"/>
        <v>1020000</v>
      </c>
      <c r="T17" s="155">
        <f t="shared" ca="1" si="60"/>
        <v>5.1851851851851851</v>
      </c>
      <c r="U17" s="154">
        <f t="shared" ca="1" si="46"/>
        <v>470900</v>
      </c>
      <c r="V17" s="155">
        <f t="shared" ca="1" si="61"/>
        <v>0</v>
      </c>
      <c r="W17" s="154">
        <f t="shared" ca="1" si="47"/>
        <v>637500</v>
      </c>
      <c r="X17" s="155">
        <f t="shared" ca="1" si="62"/>
        <v>0</v>
      </c>
      <c r="Y17" s="154">
        <f t="shared" ca="1" si="48"/>
        <v>935000</v>
      </c>
      <c r="Z17" s="155">
        <f t="shared" ca="1" si="63"/>
        <v>5.1851851851851851</v>
      </c>
      <c r="AA17" s="154" t="str">
        <f t="shared" ca="1" si="49"/>
        <v/>
      </c>
      <c r="AB17" s="155" t="str">
        <f t="shared" ca="1" si="64"/>
        <v/>
      </c>
      <c r="AC17" s="154">
        <f t="shared" ca="1" si="50"/>
        <v>1062500</v>
      </c>
      <c r="AD17" s="155">
        <f t="shared" ca="1" si="65"/>
        <v>5.1851851851851851</v>
      </c>
      <c r="AE17" s="151"/>
      <c r="AF17" s="151"/>
      <c r="AG17" s="151"/>
      <c r="AH17" s="151"/>
      <c r="AI17" s="151"/>
      <c r="AJ17" s="151"/>
      <c r="AL17" s="255">
        <f t="shared" ca="1" si="66"/>
        <v>989697.5</v>
      </c>
      <c r="AM17" s="70">
        <f t="shared" ca="1" si="67"/>
        <v>499828.33433715021</v>
      </c>
      <c r="AN17" s="365">
        <f t="shared" ca="1" si="68"/>
        <v>1239611.6671685751</v>
      </c>
      <c r="AO17" s="365">
        <f t="shared" ca="1" si="69"/>
        <v>739783.33283142489</v>
      </c>
    </row>
    <row r="18" spans="1:41" ht="21.75" customHeight="1" outlineLevel="1" x14ac:dyDescent="0.25">
      <c r="A18" s="362">
        <v>2.1</v>
      </c>
      <c r="B18" s="153">
        <f t="shared" ca="1" si="51"/>
        <v>18574670.52</v>
      </c>
      <c r="C18" s="154" t="str">
        <f t="shared" si="37"/>
        <v/>
      </c>
      <c r="D18" s="155" t="str">
        <f t="shared" si="52"/>
        <v/>
      </c>
      <c r="E18" s="154">
        <f t="shared" ca="1" si="38"/>
        <v>172550482</v>
      </c>
      <c r="F18" s="155">
        <f t="shared" ca="1" si="53"/>
        <v>0</v>
      </c>
      <c r="G18" s="154">
        <f t="shared" ca="1" si="39"/>
        <v>110925310</v>
      </c>
      <c r="H18" s="155">
        <f t="shared" ca="1" si="54"/>
        <v>0</v>
      </c>
      <c r="I18" s="154" t="str">
        <f t="shared" ca="1" si="40"/>
        <v/>
      </c>
      <c r="J18" s="155" t="str">
        <f t="shared" ca="1" si="55"/>
        <v/>
      </c>
      <c r="K18" s="154">
        <f t="shared" ca="1" si="41"/>
        <v>117087827</v>
      </c>
      <c r="L18" s="155">
        <f t="shared" ca="1" si="56"/>
        <v>0</v>
      </c>
      <c r="M18" s="154">
        <f t="shared" ca="1" si="42"/>
        <v>133110372</v>
      </c>
      <c r="N18" s="155">
        <f t="shared" ca="1" si="57"/>
        <v>5.1851851851851851</v>
      </c>
      <c r="O18" s="154" t="str">
        <f t="shared" ca="1" si="43"/>
        <v/>
      </c>
      <c r="P18" s="155" t="str">
        <f t="shared" ca="1" si="58"/>
        <v/>
      </c>
      <c r="Q18" s="154">
        <f t="shared" ca="1" si="44"/>
        <v>129412861</v>
      </c>
      <c r="R18" s="155">
        <f t="shared" ca="1" si="59"/>
        <v>5.1851851851851851</v>
      </c>
      <c r="S18" s="154">
        <f t="shared" ca="1" si="45"/>
        <v>131877868</v>
      </c>
      <c r="T18" s="155">
        <f t="shared" ca="1" si="60"/>
        <v>5.1851851851851851</v>
      </c>
      <c r="U18" s="154">
        <f t="shared" ca="1" si="46"/>
        <v>136696957</v>
      </c>
      <c r="V18" s="155">
        <f t="shared" ca="1" si="61"/>
        <v>5.1851851851851851</v>
      </c>
      <c r="W18" s="154">
        <f t="shared" ca="1" si="47"/>
        <v>123250344</v>
      </c>
      <c r="X18" s="155">
        <f t="shared" ca="1" si="62"/>
        <v>5.1851851851851851</v>
      </c>
      <c r="Y18" s="154">
        <f t="shared" ca="1" si="48"/>
        <v>135575379</v>
      </c>
      <c r="Z18" s="155">
        <f t="shared" ca="1" si="63"/>
        <v>5.1851851851851851</v>
      </c>
      <c r="AA18" s="154" t="str">
        <f t="shared" ca="1" si="49"/>
        <v/>
      </c>
      <c r="AB18" s="155" t="str">
        <f t="shared" ca="1" si="64"/>
        <v/>
      </c>
      <c r="AC18" s="154">
        <f t="shared" ca="1" si="50"/>
        <v>98600275</v>
      </c>
      <c r="AD18" s="155">
        <f t="shared" ca="1" si="65"/>
        <v>0</v>
      </c>
      <c r="AE18" s="151"/>
      <c r="AF18" s="151"/>
      <c r="AG18" s="151"/>
      <c r="AH18" s="151"/>
      <c r="AI18" s="151"/>
      <c r="AJ18" s="151"/>
      <c r="AL18" s="255">
        <f t="shared" ca="1" si="66"/>
        <v>128908767.5</v>
      </c>
      <c r="AM18" s="70">
        <f t="shared" ca="1" si="67"/>
        <v>18574670.520836554</v>
      </c>
      <c r="AN18" s="365">
        <f t="shared" ca="1" si="68"/>
        <v>138196102.76041827</v>
      </c>
      <c r="AO18" s="365">
        <f t="shared" ca="1" si="69"/>
        <v>119621432.23958172</v>
      </c>
    </row>
    <row r="19" spans="1:41" ht="21.75" customHeight="1" outlineLevel="1" x14ac:dyDescent="0.25">
      <c r="A19" s="362">
        <v>2.2000000000000002</v>
      </c>
      <c r="B19" s="153">
        <f t="shared" ca="1" si="51"/>
        <v>2978251.17</v>
      </c>
      <c r="C19" s="154" t="str">
        <f t="shared" si="37"/>
        <v/>
      </c>
      <c r="D19" s="155" t="str">
        <f t="shared" si="52"/>
        <v/>
      </c>
      <c r="E19" s="154">
        <f t="shared" ca="1" si="38"/>
        <v>31025000</v>
      </c>
      <c r="F19" s="155">
        <f t="shared" ca="1" si="53"/>
        <v>0</v>
      </c>
      <c r="G19" s="154">
        <f t="shared" ca="1" si="39"/>
        <v>19125000</v>
      </c>
      <c r="H19" s="155">
        <f t="shared" ca="1" si="54"/>
        <v>0</v>
      </c>
      <c r="I19" s="154" t="str">
        <f t="shared" ca="1" si="40"/>
        <v/>
      </c>
      <c r="J19" s="155" t="str">
        <f t="shared" ca="1" si="55"/>
        <v/>
      </c>
      <c r="K19" s="154">
        <f t="shared" ca="1" si="41"/>
        <v>23375000</v>
      </c>
      <c r="L19" s="155">
        <f t="shared" ca="1" si="56"/>
        <v>5.1851851851851851</v>
      </c>
      <c r="M19" s="154">
        <f t="shared" ca="1" si="42"/>
        <v>22950000</v>
      </c>
      <c r="N19" s="155">
        <f t="shared" ca="1" si="57"/>
        <v>5.1851851851851851</v>
      </c>
      <c r="O19" s="154" t="str">
        <f t="shared" ca="1" si="43"/>
        <v/>
      </c>
      <c r="P19" s="155" t="str">
        <f t="shared" ca="1" si="58"/>
        <v/>
      </c>
      <c r="Q19" s="154">
        <f t="shared" ca="1" si="44"/>
        <v>24437500</v>
      </c>
      <c r="R19" s="155">
        <f t="shared" ca="1" si="59"/>
        <v>5.1851851851851851</v>
      </c>
      <c r="S19" s="154">
        <f t="shared" ca="1" si="45"/>
        <v>22737500</v>
      </c>
      <c r="T19" s="155">
        <f t="shared" ca="1" si="60"/>
        <v>5.1851851851851851</v>
      </c>
      <c r="U19" s="154">
        <f t="shared" ca="1" si="46"/>
        <v>23919000</v>
      </c>
      <c r="V19" s="155">
        <f t="shared" ca="1" si="61"/>
        <v>5.1851851851851851</v>
      </c>
      <c r="W19" s="154">
        <f t="shared" ca="1" si="47"/>
        <v>21250000</v>
      </c>
      <c r="X19" s="155">
        <f t="shared" ca="1" si="62"/>
        <v>0</v>
      </c>
      <c r="Y19" s="154">
        <f t="shared" ca="1" si="48"/>
        <v>24437500</v>
      </c>
      <c r="Z19" s="155">
        <f t="shared" ca="1" si="63"/>
        <v>5.1851851851851851</v>
      </c>
      <c r="AA19" s="154" t="str">
        <f t="shared" ca="1" si="49"/>
        <v/>
      </c>
      <c r="AB19" s="155" t="str">
        <f t="shared" ca="1" si="64"/>
        <v/>
      </c>
      <c r="AC19" s="154">
        <f t="shared" ca="1" si="50"/>
        <v>21250000</v>
      </c>
      <c r="AD19" s="155">
        <f t="shared" ca="1" si="65"/>
        <v>0</v>
      </c>
      <c r="AE19" s="151"/>
      <c r="AF19" s="151"/>
      <c r="AG19" s="151"/>
      <c r="AH19" s="151"/>
      <c r="AI19" s="151"/>
      <c r="AJ19" s="151"/>
      <c r="AL19" s="255">
        <f t="shared" ca="1" si="66"/>
        <v>23450650</v>
      </c>
      <c r="AM19" s="70">
        <f t="shared" ca="1" si="67"/>
        <v>2978251.1735077011</v>
      </c>
      <c r="AN19" s="365">
        <f t="shared" ca="1" si="68"/>
        <v>24939775.586753849</v>
      </c>
      <c r="AO19" s="365">
        <f t="shared" ca="1" si="69"/>
        <v>21961524.413246151</v>
      </c>
    </row>
    <row r="20" spans="1:41" ht="21.75" customHeight="1" outlineLevel="1" x14ac:dyDescent="0.25">
      <c r="A20" s="362">
        <v>2.2999999999999998</v>
      </c>
      <c r="B20" s="153">
        <f t="shared" ca="1" si="51"/>
        <v>11293067.630000001</v>
      </c>
      <c r="C20" s="154" t="str">
        <f t="shared" si="37"/>
        <v/>
      </c>
      <c r="D20" s="155" t="str">
        <f t="shared" si="52"/>
        <v/>
      </c>
      <c r="E20" s="154">
        <f t="shared" ca="1" si="38"/>
        <v>14025000</v>
      </c>
      <c r="F20" s="155">
        <f t="shared" ca="1" si="53"/>
        <v>0</v>
      </c>
      <c r="G20" s="154">
        <f t="shared" ca="1" si="39"/>
        <v>38250000</v>
      </c>
      <c r="H20" s="155">
        <f t="shared" ca="1" si="54"/>
        <v>5.1851851851851851</v>
      </c>
      <c r="I20" s="154" t="str">
        <f t="shared" ca="1" si="40"/>
        <v/>
      </c>
      <c r="J20" s="155" t="str">
        <f t="shared" ca="1" si="55"/>
        <v/>
      </c>
      <c r="K20" s="154">
        <f t="shared" ca="1" si="41"/>
        <v>46750000</v>
      </c>
      <c r="L20" s="155">
        <f t="shared" ca="1" si="56"/>
        <v>5.1851851851851851</v>
      </c>
      <c r="M20" s="154">
        <f t="shared" ca="1" si="42"/>
        <v>45900000</v>
      </c>
      <c r="N20" s="155">
        <f t="shared" ca="1" si="57"/>
        <v>5.1851851851851851</v>
      </c>
      <c r="O20" s="154" t="str">
        <f t="shared" ca="1" si="43"/>
        <v/>
      </c>
      <c r="P20" s="155" t="str">
        <f t="shared" ca="1" si="58"/>
        <v/>
      </c>
      <c r="Q20" s="154">
        <f t="shared" ca="1" si="44"/>
        <v>61625000</v>
      </c>
      <c r="R20" s="155">
        <f t="shared" ca="1" si="59"/>
        <v>0</v>
      </c>
      <c r="S20" s="154">
        <f t="shared" ca="1" si="45"/>
        <v>46750000</v>
      </c>
      <c r="T20" s="155">
        <f t="shared" ca="1" si="60"/>
        <v>5.1851851851851851</v>
      </c>
      <c r="U20" s="154">
        <f t="shared" ca="1" si="46"/>
        <v>46954000</v>
      </c>
      <c r="V20" s="155">
        <f t="shared" ca="1" si="61"/>
        <v>5.1851851851851851</v>
      </c>
      <c r="W20" s="154">
        <f t="shared" ca="1" si="47"/>
        <v>42500000</v>
      </c>
      <c r="X20" s="155">
        <f t="shared" ca="1" si="62"/>
        <v>5.1851851851851851</v>
      </c>
      <c r="Y20" s="154">
        <f t="shared" ca="1" si="48"/>
        <v>46750000</v>
      </c>
      <c r="Z20" s="155">
        <f t="shared" ca="1" si="63"/>
        <v>5.1851851851851851</v>
      </c>
      <c r="AA20" s="154" t="str">
        <f t="shared" ca="1" si="49"/>
        <v/>
      </c>
      <c r="AB20" s="155" t="str">
        <f t="shared" ca="1" si="64"/>
        <v/>
      </c>
      <c r="AC20" s="154">
        <f t="shared" ca="1" si="50"/>
        <v>42500000</v>
      </c>
      <c r="AD20" s="155">
        <f t="shared" ca="1" si="65"/>
        <v>5.1851851851851851</v>
      </c>
      <c r="AE20" s="151"/>
      <c r="AF20" s="151"/>
      <c r="AG20" s="151"/>
      <c r="AH20" s="151"/>
      <c r="AI20" s="151"/>
      <c r="AJ20" s="151"/>
      <c r="AL20" s="255">
        <f t="shared" ca="1" si="66"/>
        <v>43200400</v>
      </c>
      <c r="AM20" s="70">
        <f t="shared" ca="1" si="67"/>
        <v>11293067.627531502</v>
      </c>
      <c r="AN20" s="365">
        <f t="shared" ca="1" si="68"/>
        <v>48846933.813765749</v>
      </c>
      <c r="AO20" s="365">
        <f t="shared" ca="1" si="69"/>
        <v>37553866.186234251</v>
      </c>
    </row>
    <row r="21" spans="1:41" ht="21.75" customHeight="1" outlineLevel="1" x14ac:dyDescent="0.25">
      <c r="A21" s="362">
        <v>2.4</v>
      </c>
      <c r="B21" s="153">
        <f t="shared" ca="1" si="51"/>
        <v>3134883.96</v>
      </c>
      <c r="C21" s="154" t="str">
        <f t="shared" si="37"/>
        <v/>
      </c>
      <c r="D21" s="155" t="str">
        <f t="shared" si="52"/>
        <v/>
      </c>
      <c r="E21" s="154">
        <f t="shared" ca="1" si="38"/>
        <v>16575000</v>
      </c>
      <c r="F21" s="155">
        <f t="shared" ca="1" si="53"/>
        <v>0</v>
      </c>
      <c r="G21" s="154">
        <f t="shared" ca="1" si="39"/>
        <v>8925000</v>
      </c>
      <c r="H21" s="155">
        <f t="shared" ca="1" si="54"/>
        <v>0</v>
      </c>
      <c r="I21" s="154" t="str">
        <f t="shared" ca="1" si="40"/>
        <v/>
      </c>
      <c r="J21" s="155" t="str">
        <f t="shared" ca="1" si="55"/>
        <v/>
      </c>
      <c r="K21" s="154">
        <f t="shared" ca="1" si="41"/>
        <v>10200000</v>
      </c>
      <c r="L21" s="155">
        <f t="shared" ca="1" si="56"/>
        <v>0</v>
      </c>
      <c r="M21" s="154">
        <f t="shared" ca="1" si="42"/>
        <v>10582500</v>
      </c>
      <c r="N21" s="155">
        <f t="shared" ca="1" si="57"/>
        <v>0</v>
      </c>
      <c r="O21" s="154" t="str">
        <f t="shared" ca="1" si="43"/>
        <v/>
      </c>
      <c r="P21" s="155" t="str">
        <f t="shared" ca="1" si="58"/>
        <v/>
      </c>
      <c r="Q21" s="154">
        <f t="shared" ca="1" si="44"/>
        <v>9562500</v>
      </c>
      <c r="R21" s="155">
        <f t="shared" ca="1" si="59"/>
        <v>0</v>
      </c>
      <c r="S21" s="154">
        <f t="shared" ca="1" si="45"/>
        <v>13387500</v>
      </c>
      <c r="T21" s="155">
        <f t="shared" ca="1" si="60"/>
        <v>5.1851851851851851</v>
      </c>
      <c r="U21" s="154">
        <f t="shared" ca="1" si="46"/>
        <v>13608075</v>
      </c>
      <c r="V21" s="155">
        <f t="shared" ca="1" si="61"/>
        <v>5.1851851851851851</v>
      </c>
      <c r="W21" s="154">
        <f t="shared" ca="1" si="47"/>
        <v>12750000</v>
      </c>
      <c r="X21" s="155">
        <f t="shared" ca="1" si="62"/>
        <v>5.1851851851851851</v>
      </c>
      <c r="Y21" s="154">
        <f t="shared" ca="1" si="48"/>
        <v>15300000</v>
      </c>
      <c r="Z21" s="155">
        <f t="shared" ca="1" si="63"/>
        <v>0</v>
      </c>
      <c r="AA21" s="154" t="str">
        <f t="shared" ca="1" si="49"/>
        <v/>
      </c>
      <c r="AB21" s="155" t="str">
        <f t="shared" ca="1" si="64"/>
        <v/>
      </c>
      <c r="AC21" s="154">
        <f t="shared" ca="1" si="50"/>
        <v>19125000</v>
      </c>
      <c r="AD21" s="155">
        <f t="shared" ca="1" si="65"/>
        <v>0</v>
      </c>
      <c r="AE21" s="151"/>
      <c r="AF21" s="151"/>
      <c r="AG21" s="151"/>
      <c r="AH21" s="151"/>
      <c r="AI21" s="151"/>
      <c r="AJ21" s="151"/>
      <c r="AL21" s="255">
        <f t="shared" ca="1" si="66"/>
        <v>13001557.5</v>
      </c>
      <c r="AM21" s="70">
        <f t="shared" ca="1" si="67"/>
        <v>3134883.9643208901</v>
      </c>
      <c r="AN21" s="365">
        <f t="shared" ca="1" si="68"/>
        <v>14568999.482160445</v>
      </c>
      <c r="AO21" s="365">
        <f t="shared" ca="1" si="69"/>
        <v>11434115.517839555</v>
      </c>
    </row>
    <row r="22" spans="1:41" ht="21.75" customHeight="1" outlineLevel="1" x14ac:dyDescent="0.25">
      <c r="A22" s="364">
        <v>2.11</v>
      </c>
      <c r="B22" s="153">
        <f t="shared" ca="1" si="51"/>
        <v>802255.92</v>
      </c>
      <c r="C22" s="154" t="str">
        <f t="shared" si="37"/>
        <v/>
      </c>
      <c r="D22" s="155" t="str">
        <f t="shared" si="52"/>
        <v/>
      </c>
      <c r="E22" s="154">
        <f t="shared" ca="1" si="38"/>
        <v>5015000</v>
      </c>
      <c r="F22" s="155">
        <f t="shared" ca="1" si="53"/>
        <v>0</v>
      </c>
      <c r="G22" s="154">
        <f t="shared" ca="1" si="39"/>
        <v>3400000</v>
      </c>
      <c r="H22" s="155">
        <f t="shared" ca="1" si="54"/>
        <v>0</v>
      </c>
      <c r="I22" s="154" t="str">
        <f t="shared" ca="1" si="40"/>
        <v/>
      </c>
      <c r="J22" s="155" t="str">
        <f t="shared" ca="1" si="55"/>
        <v/>
      </c>
      <c r="K22" s="154">
        <f t="shared" ca="1" si="41"/>
        <v>4250000</v>
      </c>
      <c r="L22" s="155">
        <f t="shared" ca="1" si="56"/>
        <v>5.1851851851851851</v>
      </c>
      <c r="M22" s="154">
        <f t="shared" ca="1" si="42"/>
        <v>4250000</v>
      </c>
      <c r="N22" s="155">
        <f t="shared" ca="1" si="57"/>
        <v>5.1851851851851851</v>
      </c>
      <c r="O22" s="154" t="str">
        <f t="shared" ca="1" si="43"/>
        <v/>
      </c>
      <c r="P22" s="155" t="str">
        <f t="shared" ca="1" si="58"/>
        <v/>
      </c>
      <c r="Q22" s="154">
        <f t="shared" ca="1" si="44"/>
        <v>2975000</v>
      </c>
      <c r="R22" s="155">
        <f t="shared" ca="1" si="59"/>
        <v>0</v>
      </c>
      <c r="S22" s="154">
        <f t="shared" ca="1" si="45"/>
        <v>5610000</v>
      </c>
      <c r="T22" s="155">
        <f t="shared" ca="1" si="60"/>
        <v>0</v>
      </c>
      <c r="U22" s="154">
        <f t="shared" ca="1" si="46"/>
        <v>4828000</v>
      </c>
      <c r="V22" s="155">
        <f t="shared" ca="1" si="61"/>
        <v>0</v>
      </c>
      <c r="W22" s="154">
        <f t="shared" ca="1" si="47"/>
        <v>4250000</v>
      </c>
      <c r="X22" s="155">
        <f t="shared" ca="1" si="62"/>
        <v>5.1851851851851851</v>
      </c>
      <c r="Y22" s="154">
        <f t="shared" ca="1" si="48"/>
        <v>3400000</v>
      </c>
      <c r="Z22" s="155">
        <f t="shared" ca="1" si="63"/>
        <v>0</v>
      </c>
      <c r="AA22" s="154" t="str">
        <f t="shared" ca="1" si="49"/>
        <v/>
      </c>
      <c r="AB22" s="155" t="str">
        <f t="shared" ca="1" si="64"/>
        <v/>
      </c>
      <c r="AC22" s="154">
        <f t="shared" ca="1" si="50"/>
        <v>3400000</v>
      </c>
      <c r="AD22" s="155">
        <f t="shared" ca="1" si="65"/>
        <v>0</v>
      </c>
      <c r="AE22" s="151"/>
      <c r="AF22" s="151"/>
      <c r="AG22" s="151"/>
      <c r="AH22" s="151"/>
      <c r="AI22" s="151"/>
      <c r="AJ22" s="151"/>
      <c r="AL22" s="255">
        <f t="shared" ca="1" si="66"/>
        <v>4137800</v>
      </c>
      <c r="AM22" s="70">
        <f t="shared" ca="1" si="67"/>
        <v>802255.91926766117</v>
      </c>
      <c r="AN22" s="365">
        <f t="shared" ca="1" si="68"/>
        <v>4538927.9596338309</v>
      </c>
      <c r="AO22" s="365">
        <f t="shared" ca="1" si="69"/>
        <v>3736672.0403661695</v>
      </c>
    </row>
    <row r="23" spans="1:41" ht="21.75" customHeight="1" outlineLevel="1" x14ac:dyDescent="0.25">
      <c r="A23" s="364">
        <v>2.12</v>
      </c>
      <c r="B23" s="153">
        <f t="shared" ca="1" si="51"/>
        <v>30377836.949999999</v>
      </c>
      <c r="C23" s="154" t="str">
        <f t="shared" si="37"/>
        <v/>
      </c>
      <c r="D23" s="155" t="str">
        <f t="shared" si="52"/>
        <v/>
      </c>
      <c r="E23" s="154">
        <f t="shared" ca="1" si="38"/>
        <v>25500000</v>
      </c>
      <c r="F23" s="155">
        <f t="shared" ca="1" si="53"/>
        <v>0</v>
      </c>
      <c r="G23" s="154">
        <f t="shared" ca="1" si="39"/>
        <v>114750000</v>
      </c>
      <c r="H23" s="155">
        <f t="shared" ca="1" si="54"/>
        <v>0</v>
      </c>
      <c r="I23" s="154" t="str">
        <f t="shared" ca="1" si="40"/>
        <v/>
      </c>
      <c r="J23" s="155" t="str">
        <f t="shared" ca="1" si="55"/>
        <v/>
      </c>
      <c r="K23" s="154">
        <f t="shared" ca="1" si="41"/>
        <v>89250000</v>
      </c>
      <c r="L23" s="155">
        <f t="shared" ca="1" si="56"/>
        <v>5.1851851851851851</v>
      </c>
      <c r="M23" s="154">
        <f t="shared" ca="1" si="42"/>
        <v>86700000</v>
      </c>
      <c r="N23" s="155">
        <f t="shared" ca="1" si="57"/>
        <v>5.1851851851851851</v>
      </c>
      <c r="O23" s="154" t="str">
        <f t="shared" ca="1" si="43"/>
        <v/>
      </c>
      <c r="P23" s="155" t="str">
        <f t="shared" ca="1" si="58"/>
        <v/>
      </c>
      <c r="Q23" s="154">
        <f t="shared" ca="1" si="44"/>
        <v>91800000</v>
      </c>
      <c r="R23" s="155">
        <f t="shared" ca="1" si="59"/>
        <v>5.1851851851851851</v>
      </c>
      <c r="S23" s="154">
        <f t="shared" ca="1" si="45"/>
        <v>130050000</v>
      </c>
      <c r="T23" s="155">
        <f t="shared" ca="1" si="60"/>
        <v>0</v>
      </c>
      <c r="U23" s="154">
        <f t="shared" ca="1" si="46"/>
        <v>116127000</v>
      </c>
      <c r="V23" s="155">
        <f t="shared" ca="1" si="61"/>
        <v>0</v>
      </c>
      <c r="W23" s="154">
        <f t="shared" ca="1" si="47"/>
        <v>127500000</v>
      </c>
      <c r="X23" s="155">
        <f t="shared" ca="1" si="62"/>
        <v>0</v>
      </c>
      <c r="Y23" s="154">
        <f t="shared" ca="1" si="48"/>
        <v>79050000</v>
      </c>
      <c r="Z23" s="155">
        <f t="shared" ca="1" si="63"/>
        <v>0</v>
      </c>
      <c r="AA23" s="154" t="str">
        <f t="shared" ca="1" si="49"/>
        <v/>
      </c>
      <c r="AB23" s="155" t="str">
        <f t="shared" ca="1" si="64"/>
        <v/>
      </c>
      <c r="AC23" s="154">
        <f t="shared" ca="1" si="50"/>
        <v>127500000</v>
      </c>
      <c r="AD23" s="155">
        <f t="shared" ca="1" si="65"/>
        <v>0</v>
      </c>
      <c r="AE23" s="151"/>
      <c r="AF23" s="151"/>
      <c r="AG23" s="151"/>
      <c r="AH23" s="151"/>
      <c r="AI23" s="151"/>
      <c r="AJ23" s="151"/>
      <c r="AL23" s="255">
        <f t="shared" ca="1" si="66"/>
        <v>98822700</v>
      </c>
      <c r="AM23" s="70">
        <f t="shared" ca="1" si="67"/>
        <v>30377836.947518181</v>
      </c>
      <c r="AN23" s="365">
        <f t="shared" ca="1" si="68"/>
        <v>114011618.47375908</v>
      </c>
      <c r="AO23" s="365">
        <f t="shared" ca="1" si="69"/>
        <v>83633781.526240915</v>
      </c>
    </row>
    <row r="24" spans="1:41" ht="21.75" customHeight="1" outlineLevel="1" x14ac:dyDescent="0.25">
      <c r="A24" s="363" t="s">
        <v>185</v>
      </c>
      <c r="B24" s="153">
        <f t="shared" ca="1" si="51"/>
        <v>206709.8</v>
      </c>
      <c r="C24" s="154" t="str">
        <f t="shared" si="37"/>
        <v/>
      </c>
      <c r="D24" s="155" t="str">
        <f t="shared" si="52"/>
        <v/>
      </c>
      <c r="E24" s="154">
        <f t="shared" ca="1" si="38"/>
        <v>926500</v>
      </c>
      <c r="F24" s="155">
        <f t="shared" ca="1" si="53"/>
        <v>0</v>
      </c>
      <c r="G24" s="154">
        <f t="shared" ca="1" si="39"/>
        <v>765000</v>
      </c>
      <c r="H24" s="155">
        <f t="shared" ca="1" si="54"/>
        <v>5.1851851851851851</v>
      </c>
      <c r="I24" s="154" t="str">
        <f t="shared" ca="1" si="40"/>
        <v/>
      </c>
      <c r="J24" s="155" t="str">
        <f t="shared" ca="1" si="55"/>
        <v/>
      </c>
      <c r="K24" s="154">
        <f t="shared" ca="1" si="41"/>
        <v>680000</v>
      </c>
      <c r="L24" s="155">
        <f t="shared" ca="1" si="56"/>
        <v>5.1851851851851851</v>
      </c>
      <c r="M24" s="154">
        <f t="shared" ca="1" si="42"/>
        <v>467500</v>
      </c>
      <c r="N24" s="155">
        <f t="shared" ca="1" si="57"/>
        <v>0</v>
      </c>
      <c r="O24" s="154" t="str">
        <f t="shared" ca="1" si="43"/>
        <v/>
      </c>
      <c r="P24" s="155" t="str">
        <f t="shared" ca="1" si="58"/>
        <v/>
      </c>
      <c r="Q24" s="154">
        <f t="shared" ca="1" si="44"/>
        <v>977500</v>
      </c>
      <c r="R24" s="155">
        <f t="shared" ca="1" si="59"/>
        <v>0</v>
      </c>
      <c r="S24" s="154">
        <f t="shared" ca="1" si="45"/>
        <v>1122000</v>
      </c>
      <c r="T24" s="155">
        <f t="shared" ca="1" si="60"/>
        <v>0</v>
      </c>
      <c r="U24" s="154">
        <f t="shared" ca="1" si="46"/>
        <v>874225</v>
      </c>
      <c r="V24" s="155">
        <f t="shared" ca="1" si="61"/>
        <v>0</v>
      </c>
      <c r="W24" s="154">
        <f t="shared" ca="1" si="47"/>
        <v>595000</v>
      </c>
      <c r="X24" s="155">
        <f t="shared" ca="1" si="62"/>
        <v>0</v>
      </c>
      <c r="Y24" s="154">
        <f t="shared" ca="1" si="48"/>
        <v>595000</v>
      </c>
      <c r="Z24" s="155">
        <f t="shared" ca="1" si="63"/>
        <v>0</v>
      </c>
      <c r="AA24" s="154" t="str">
        <f t="shared" ca="1" si="49"/>
        <v/>
      </c>
      <c r="AB24" s="155" t="str">
        <f t="shared" ca="1" si="64"/>
        <v/>
      </c>
      <c r="AC24" s="154">
        <f t="shared" ca="1" si="50"/>
        <v>510000</v>
      </c>
      <c r="AD24" s="155">
        <f t="shared" ca="1" si="65"/>
        <v>0</v>
      </c>
      <c r="AE24" s="151"/>
      <c r="AF24" s="151"/>
      <c r="AG24" s="151"/>
      <c r="AH24" s="151"/>
      <c r="AI24" s="151"/>
      <c r="AJ24" s="151"/>
      <c r="AL24" s="255">
        <f t="shared" ca="1" si="66"/>
        <v>751272.5</v>
      </c>
      <c r="AM24" s="70">
        <f t="shared" ca="1" si="67"/>
        <v>206709.79852500945</v>
      </c>
      <c r="AN24" s="365">
        <f t="shared" ca="1" si="68"/>
        <v>854627.39926250477</v>
      </c>
      <c r="AO24" s="365">
        <f t="shared" ca="1" si="69"/>
        <v>647917.60073749523</v>
      </c>
    </row>
    <row r="25" spans="1:41" ht="21.75" customHeight="1" outlineLevel="1" x14ac:dyDescent="0.25">
      <c r="A25" s="362" t="s">
        <v>285</v>
      </c>
      <c r="B25" s="153">
        <f t="shared" ca="1" si="51"/>
        <v>131013.83</v>
      </c>
      <c r="C25" s="154" t="str">
        <f t="shared" si="37"/>
        <v/>
      </c>
      <c r="D25" s="155" t="str">
        <f t="shared" si="52"/>
        <v/>
      </c>
      <c r="E25" s="154">
        <f t="shared" ca="1" si="38"/>
        <v>272000</v>
      </c>
      <c r="F25" s="155">
        <f t="shared" ca="1" si="53"/>
        <v>0</v>
      </c>
      <c r="G25" s="154">
        <f t="shared" ca="1" si="39"/>
        <v>107185</v>
      </c>
      <c r="H25" s="155">
        <f t="shared" ca="1" si="54"/>
        <v>0</v>
      </c>
      <c r="I25" s="154" t="str">
        <f t="shared" ca="1" si="40"/>
        <v/>
      </c>
      <c r="J25" s="155" t="str">
        <f t="shared" ca="1" si="55"/>
        <v/>
      </c>
      <c r="K25" s="154">
        <f t="shared" ca="1" si="41"/>
        <v>510000</v>
      </c>
      <c r="L25" s="155">
        <f t="shared" ca="1" si="56"/>
        <v>0</v>
      </c>
      <c r="M25" s="154">
        <f t="shared" ca="1" si="42"/>
        <v>250750</v>
      </c>
      <c r="N25" s="155">
        <f t="shared" ca="1" si="57"/>
        <v>5.1851851851851851</v>
      </c>
      <c r="O25" s="154" t="str">
        <f t="shared" ca="1" si="43"/>
        <v/>
      </c>
      <c r="P25" s="155" t="str">
        <f t="shared" ca="1" si="58"/>
        <v/>
      </c>
      <c r="Q25" s="154">
        <f t="shared" ca="1" si="44"/>
        <v>80750</v>
      </c>
      <c r="R25" s="155">
        <f t="shared" ca="1" si="59"/>
        <v>0</v>
      </c>
      <c r="S25" s="154">
        <f t="shared" ca="1" si="45"/>
        <v>272000</v>
      </c>
      <c r="T25" s="155">
        <f t="shared" ca="1" si="60"/>
        <v>0</v>
      </c>
      <c r="U25" s="154">
        <f t="shared" ca="1" si="46"/>
        <v>53865</v>
      </c>
      <c r="V25" s="155">
        <f t="shared" ca="1" si="61"/>
        <v>0</v>
      </c>
      <c r="W25" s="154">
        <f t="shared" ca="1" si="47"/>
        <v>187000</v>
      </c>
      <c r="X25" s="155">
        <f t="shared" ca="1" si="62"/>
        <v>5.1851851851851851</v>
      </c>
      <c r="Y25" s="154">
        <f t="shared" ca="1" si="48"/>
        <v>170000</v>
      </c>
      <c r="Z25" s="155">
        <f t="shared" ca="1" si="63"/>
        <v>5.1851851851851851</v>
      </c>
      <c r="AA25" s="154" t="str">
        <f t="shared" ca="1" si="49"/>
        <v/>
      </c>
      <c r="AB25" s="155" t="str">
        <f t="shared" ca="1" si="64"/>
        <v/>
      </c>
      <c r="AC25" s="154">
        <f t="shared" ca="1" si="50"/>
        <v>68000</v>
      </c>
      <c r="AD25" s="155">
        <f t="shared" ca="1" si="65"/>
        <v>0</v>
      </c>
      <c r="AE25" s="151"/>
      <c r="AF25" s="151"/>
      <c r="AG25" s="151"/>
      <c r="AH25" s="151"/>
      <c r="AI25" s="151"/>
      <c r="AJ25" s="151"/>
      <c r="AL25" s="255">
        <f t="shared" ca="1" si="66"/>
        <v>197155</v>
      </c>
      <c r="AM25" s="70">
        <f t="shared" ca="1" si="67"/>
        <v>131013.83407869567</v>
      </c>
      <c r="AN25" s="365">
        <f t="shared" ca="1" si="68"/>
        <v>262661.91703934781</v>
      </c>
      <c r="AO25" s="365">
        <f t="shared" ca="1" si="69"/>
        <v>131648.08296065216</v>
      </c>
    </row>
    <row r="26" spans="1:41" ht="21.75" customHeight="1" outlineLevel="1" x14ac:dyDescent="0.25">
      <c r="A26" s="362" t="s">
        <v>287</v>
      </c>
      <c r="B26" s="153">
        <f t="shared" ca="1" si="51"/>
        <v>2402528.7400000002</v>
      </c>
      <c r="C26" s="154" t="str">
        <f t="shared" si="37"/>
        <v/>
      </c>
      <c r="D26" s="155" t="str">
        <f t="shared" si="52"/>
        <v/>
      </c>
      <c r="E26" s="154">
        <f t="shared" ca="1" si="38"/>
        <v>8007000</v>
      </c>
      <c r="F26" s="155">
        <f t="shared" ca="1" si="53"/>
        <v>0</v>
      </c>
      <c r="G26" s="154">
        <f t="shared" ca="1" si="39"/>
        <v>2473500</v>
      </c>
      <c r="H26" s="155">
        <f t="shared" ca="1" si="54"/>
        <v>0</v>
      </c>
      <c r="I26" s="154" t="str">
        <f t="shared" ca="1" si="40"/>
        <v/>
      </c>
      <c r="J26" s="155" t="str">
        <f t="shared" ca="1" si="55"/>
        <v/>
      </c>
      <c r="K26" s="154">
        <f t="shared" ca="1" si="41"/>
        <v>6655500</v>
      </c>
      <c r="L26" s="155">
        <f t="shared" ca="1" si="56"/>
        <v>0</v>
      </c>
      <c r="M26" s="154">
        <f t="shared" ca="1" si="42"/>
        <v>7242000</v>
      </c>
      <c r="N26" s="155">
        <f t="shared" ca="1" si="57"/>
        <v>0</v>
      </c>
      <c r="O26" s="154" t="str">
        <f t="shared" ca="1" si="43"/>
        <v/>
      </c>
      <c r="P26" s="155" t="str">
        <f t="shared" ca="1" si="58"/>
        <v/>
      </c>
      <c r="Q26" s="154">
        <f t="shared" ca="1" si="44"/>
        <v>2142000</v>
      </c>
      <c r="R26" s="155">
        <f t="shared" ca="1" si="59"/>
        <v>0</v>
      </c>
      <c r="S26" s="154">
        <f t="shared" ca="1" si="45"/>
        <v>1504500</v>
      </c>
      <c r="T26" s="155">
        <f t="shared" ca="1" si="60"/>
        <v>0</v>
      </c>
      <c r="U26" s="154">
        <f t="shared" ca="1" si="46"/>
        <v>3853305</v>
      </c>
      <c r="V26" s="155">
        <f t="shared" ca="1" si="61"/>
        <v>5.1851851851851851</v>
      </c>
      <c r="W26" s="154">
        <f t="shared" ca="1" si="47"/>
        <v>5355000</v>
      </c>
      <c r="X26" s="155">
        <f t="shared" ca="1" si="62"/>
        <v>0</v>
      </c>
      <c r="Y26" s="154">
        <f t="shared" ca="1" si="48"/>
        <v>3060000</v>
      </c>
      <c r="Z26" s="155">
        <f t="shared" ca="1" si="63"/>
        <v>5.1851851851851851</v>
      </c>
      <c r="AA26" s="154" t="str">
        <f t="shared" ca="1" si="49"/>
        <v/>
      </c>
      <c r="AB26" s="155" t="str">
        <f t="shared" ca="1" si="64"/>
        <v/>
      </c>
      <c r="AC26" s="154">
        <f t="shared" ca="1" si="50"/>
        <v>918000</v>
      </c>
      <c r="AD26" s="155">
        <f t="shared" ca="1" si="65"/>
        <v>0</v>
      </c>
      <c r="AE26" s="151"/>
      <c r="AF26" s="151"/>
      <c r="AG26" s="151"/>
      <c r="AH26" s="151"/>
      <c r="AI26" s="151"/>
      <c r="AJ26" s="151"/>
      <c r="AL26" s="255">
        <f t="shared" ca="1" si="66"/>
        <v>4121080.5</v>
      </c>
      <c r="AM26" s="70">
        <f t="shared" ca="1" si="67"/>
        <v>2402528.7365237176</v>
      </c>
      <c r="AN26" s="365">
        <f t="shared" ca="1" si="68"/>
        <v>5322344.8682618588</v>
      </c>
      <c r="AO26" s="365">
        <f t="shared" ca="1" si="69"/>
        <v>2919816.1317381412</v>
      </c>
    </row>
    <row r="27" spans="1:41" ht="21.75" customHeight="1" outlineLevel="1" x14ac:dyDescent="0.25">
      <c r="A27" s="362" t="s">
        <v>289</v>
      </c>
      <c r="B27" s="153">
        <f t="shared" ca="1" si="51"/>
        <v>2290517.4</v>
      </c>
      <c r="C27" s="154" t="str">
        <f t="shared" si="37"/>
        <v/>
      </c>
      <c r="D27" s="155" t="str">
        <f t="shared" si="52"/>
        <v/>
      </c>
      <c r="E27" s="154">
        <f t="shared" ca="1" si="38"/>
        <v>9160399</v>
      </c>
      <c r="F27" s="155">
        <f t="shared" ca="1" si="53"/>
        <v>0</v>
      </c>
      <c r="G27" s="154">
        <f t="shared" ca="1" si="39"/>
        <v>3133100</v>
      </c>
      <c r="H27" s="155">
        <f t="shared" ca="1" si="54"/>
        <v>5.1851851851851851</v>
      </c>
      <c r="I27" s="154" t="str">
        <f t="shared" ca="1" si="40"/>
        <v/>
      </c>
      <c r="J27" s="155" t="str">
        <f t="shared" ca="1" si="55"/>
        <v/>
      </c>
      <c r="K27" s="154">
        <f t="shared" ca="1" si="41"/>
        <v>4462500</v>
      </c>
      <c r="L27" s="155">
        <f t="shared" ca="1" si="56"/>
        <v>5.1851851851851851</v>
      </c>
      <c r="M27" s="154">
        <f t="shared" ca="1" si="42"/>
        <v>1190000</v>
      </c>
      <c r="N27" s="155">
        <f t="shared" ca="1" si="57"/>
        <v>0</v>
      </c>
      <c r="O27" s="154" t="str">
        <f t="shared" ca="1" si="43"/>
        <v/>
      </c>
      <c r="P27" s="155" t="str">
        <f t="shared" ca="1" si="58"/>
        <v/>
      </c>
      <c r="Q27" s="154">
        <f t="shared" ca="1" si="44"/>
        <v>2550000</v>
      </c>
      <c r="R27" s="155">
        <f t="shared" ca="1" si="59"/>
        <v>0</v>
      </c>
      <c r="S27" s="154">
        <f t="shared" ca="1" si="45"/>
        <v>2125000</v>
      </c>
      <c r="T27" s="155">
        <f t="shared" ca="1" si="60"/>
        <v>0</v>
      </c>
      <c r="U27" s="154">
        <f t="shared" ca="1" si="46"/>
        <v>3859272</v>
      </c>
      <c r="V27" s="155">
        <f t="shared" ca="1" si="61"/>
        <v>5.1851851851851851</v>
      </c>
      <c r="W27" s="154">
        <f t="shared" ca="1" si="47"/>
        <v>6800000</v>
      </c>
      <c r="X27" s="155">
        <f t="shared" ca="1" si="62"/>
        <v>0</v>
      </c>
      <c r="Y27" s="154">
        <f t="shared" ca="1" si="48"/>
        <v>4080000</v>
      </c>
      <c r="Z27" s="155">
        <f t="shared" ca="1" si="63"/>
        <v>5.1851851851851851</v>
      </c>
      <c r="AA27" s="154" t="str">
        <f t="shared" ca="1" si="49"/>
        <v/>
      </c>
      <c r="AB27" s="155" t="str">
        <f t="shared" ca="1" si="64"/>
        <v/>
      </c>
      <c r="AC27" s="154">
        <f t="shared" ca="1" si="50"/>
        <v>2125000</v>
      </c>
      <c r="AD27" s="155">
        <f t="shared" ca="1" si="65"/>
        <v>0</v>
      </c>
      <c r="AE27" s="151"/>
      <c r="AF27" s="151"/>
      <c r="AG27" s="151"/>
      <c r="AH27" s="151"/>
      <c r="AI27" s="151"/>
      <c r="AJ27" s="151"/>
      <c r="AL27" s="255">
        <f t="shared" ca="1" si="66"/>
        <v>3948527.1</v>
      </c>
      <c r="AM27" s="70">
        <f t="shared" ca="1" si="67"/>
        <v>2290517.3973327707</v>
      </c>
      <c r="AN27" s="365">
        <f t="shared" ca="1" si="68"/>
        <v>5093785.7986663859</v>
      </c>
      <c r="AO27" s="365">
        <f t="shared" ca="1" si="69"/>
        <v>2803268.4013336147</v>
      </c>
    </row>
    <row r="28" spans="1:41" ht="21.75" customHeight="1" outlineLevel="1" x14ac:dyDescent="0.25">
      <c r="A28" s="362" t="s">
        <v>291</v>
      </c>
      <c r="B28" s="153">
        <f t="shared" ca="1" si="51"/>
        <v>2712092.26</v>
      </c>
      <c r="C28" s="154" t="str">
        <f t="shared" si="37"/>
        <v/>
      </c>
      <c r="D28" s="155" t="str">
        <f t="shared" si="52"/>
        <v/>
      </c>
      <c r="E28" s="154">
        <f t="shared" ca="1" si="38"/>
        <v>9987500</v>
      </c>
      <c r="F28" s="155">
        <f t="shared" ca="1" si="53"/>
        <v>0</v>
      </c>
      <c r="G28" s="154">
        <f t="shared" ca="1" si="39"/>
        <v>1442875</v>
      </c>
      <c r="H28" s="155">
        <f t="shared" ca="1" si="54"/>
        <v>0</v>
      </c>
      <c r="I28" s="154" t="str">
        <f t="shared" ca="1" si="40"/>
        <v/>
      </c>
      <c r="J28" s="155" t="str">
        <f t="shared" ca="1" si="55"/>
        <v/>
      </c>
      <c r="K28" s="154">
        <f t="shared" ca="1" si="41"/>
        <v>4250000</v>
      </c>
      <c r="L28" s="155">
        <f t="shared" ca="1" si="56"/>
        <v>5.1851851851851851</v>
      </c>
      <c r="M28" s="154">
        <f t="shared" ca="1" si="42"/>
        <v>2975000</v>
      </c>
      <c r="N28" s="155">
        <f t="shared" ca="1" si="57"/>
        <v>5.1851851851851851</v>
      </c>
      <c r="O28" s="154" t="str">
        <f t="shared" ca="1" si="43"/>
        <v/>
      </c>
      <c r="P28" s="155" t="str">
        <f t="shared" ca="1" si="58"/>
        <v/>
      </c>
      <c r="Q28" s="154">
        <f t="shared" ca="1" si="44"/>
        <v>1062500</v>
      </c>
      <c r="R28" s="155">
        <f t="shared" ca="1" si="59"/>
        <v>0</v>
      </c>
      <c r="S28" s="154">
        <f t="shared" ca="1" si="45"/>
        <v>3825000</v>
      </c>
      <c r="T28" s="155">
        <f t="shared" ca="1" si="60"/>
        <v>5.1851851851851851</v>
      </c>
      <c r="U28" s="154">
        <f t="shared" ca="1" si="46"/>
        <v>1611643</v>
      </c>
      <c r="V28" s="155">
        <f t="shared" ca="1" si="61"/>
        <v>0</v>
      </c>
      <c r="W28" s="154">
        <f t="shared" ca="1" si="47"/>
        <v>2337500</v>
      </c>
      <c r="X28" s="155">
        <f t="shared" ca="1" si="62"/>
        <v>5.1851851851851851</v>
      </c>
      <c r="Y28" s="154">
        <f t="shared" ca="1" si="48"/>
        <v>7012500</v>
      </c>
      <c r="Z28" s="155">
        <f t="shared" ca="1" si="63"/>
        <v>0</v>
      </c>
      <c r="AA28" s="154" t="str">
        <f t="shared" ca="1" si="49"/>
        <v/>
      </c>
      <c r="AB28" s="155" t="str">
        <f t="shared" ca="1" si="64"/>
        <v/>
      </c>
      <c r="AC28" s="154">
        <f t="shared" ca="1" si="50"/>
        <v>1700000</v>
      </c>
      <c r="AD28" s="155">
        <f t="shared" ca="1" si="65"/>
        <v>0</v>
      </c>
      <c r="AE28" s="151"/>
      <c r="AF28" s="151"/>
      <c r="AG28" s="151"/>
      <c r="AH28" s="151"/>
      <c r="AI28" s="151"/>
      <c r="AJ28" s="151"/>
      <c r="AL28" s="255">
        <f t="shared" ca="1" si="66"/>
        <v>3620451.8</v>
      </c>
      <c r="AM28" s="70">
        <f t="shared" ca="1" si="67"/>
        <v>2712092.2562450119</v>
      </c>
      <c r="AN28" s="365">
        <f t="shared" ca="1" si="68"/>
        <v>4976497.9281225055</v>
      </c>
      <c r="AO28" s="365">
        <f t="shared" ca="1" si="69"/>
        <v>2264405.6718774941</v>
      </c>
    </row>
    <row r="29" spans="1:41" ht="21.75" customHeight="1" outlineLevel="1" x14ac:dyDescent="0.25">
      <c r="A29" s="362" t="s">
        <v>293</v>
      </c>
      <c r="B29" s="153">
        <f t="shared" ca="1" si="51"/>
        <v>5552121.3099999996</v>
      </c>
      <c r="C29" s="154" t="str">
        <f t="shared" si="37"/>
        <v/>
      </c>
      <c r="D29" s="155" t="str">
        <f t="shared" si="52"/>
        <v/>
      </c>
      <c r="E29" s="154">
        <f t="shared" ca="1" si="38"/>
        <v>9583750</v>
      </c>
      <c r="F29" s="155">
        <f t="shared" ca="1" si="53"/>
        <v>0</v>
      </c>
      <c r="G29" s="154">
        <f t="shared" ca="1" si="39"/>
        <v>20612500</v>
      </c>
      <c r="H29" s="155">
        <f t="shared" ca="1" si="54"/>
        <v>0</v>
      </c>
      <c r="I29" s="154" t="str">
        <f t="shared" ca="1" si="40"/>
        <v/>
      </c>
      <c r="J29" s="155" t="str">
        <f t="shared" ca="1" si="55"/>
        <v/>
      </c>
      <c r="K29" s="154">
        <f t="shared" ca="1" si="41"/>
        <v>4080000</v>
      </c>
      <c r="L29" s="155">
        <f t="shared" ca="1" si="56"/>
        <v>5.1851851851851851</v>
      </c>
      <c r="M29" s="154">
        <f t="shared" ca="1" si="42"/>
        <v>2975000</v>
      </c>
      <c r="N29" s="155">
        <f t="shared" ca="1" si="57"/>
        <v>5.1851851851851851</v>
      </c>
      <c r="O29" s="154" t="str">
        <f t="shared" ca="1" si="43"/>
        <v/>
      </c>
      <c r="P29" s="155" t="str">
        <f t="shared" ca="1" si="58"/>
        <v/>
      </c>
      <c r="Q29" s="154">
        <f t="shared" ca="1" si="44"/>
        <v>2125000</v>
      </c>
      <c r="R29" s="155">
        <f t="shared" ca="1" si="59"/>
        <v>0</v>
      </c>
      <c r="S29" s="154">
        <f t="shared" ca="1" si="45"/>
        <v>3570000</v>
      </c>
      <c r="T29" s="155">
        <f t="shared" ca="1" si="60"/>
        <v>5.1851851851851851</v>
      </c>
      <c r="U29" s="154">
        <f t="shared" ca="1" si="46"/>
        <v>314755</v>
      </c>
      <c r="V29" s="155">
        <f t="shared" ca="1" si="61"/>
        <v>0</v>
      </c>
      <c r="W29" s="154">
        <f t="shared" ca="1" si="47"/>
        <v>2975000</v>
      </c>
      <c r="X29" s="155">
        <f t="shared" ca="1" si="62"/>
        <v>5.1851851851851851</v>
      </c>
      <c r="Y29" s="154">
        <f t="shared" ca="1" si="48"/>
        <v>7012500</v>
      </c>
      <c r="Z29" s="155">
        <f t="shared" ca="1" si="63"/>
        <v>5.1851851851851851</v>
      </c>
      <c r="AA29" s="154" t="str">
        <f t="shared" ca="1" si="49"/>
        <v/>
      </c>
      <c r="AB29" s="155" t="str">
        <f t="shared" ca="1" si="64"/>
        <v/>
      </c>
      <c r="AC29" s="154">
        <f t="shared" ca="1" si="50"/>
        <v>3400000</v>
      </c>
      <c r="AD29" s="155">
        <f t="shared" ca="1" si="65"/>
        <v>5.1851851851851851</v>
      </c>
      <c r="AE29" s="151"/>
      <c r="AF29" s="151"/>
      <c r="AG29" s="151"/>
      <c r="AH29" s="151"/>
      <c r="AI29" s="151"/>
      <c r="AJ29" s="151"/>
      <c r="AL29" s="255">
        <f t="shared" ca="1" si="66"/>
        <v>5664850.5</v>
      </c>
      <c r="AM29" s="70">
        <f t="shared" ca="1" si="67"/>
        <v>5552121.3099050932</v>
      </c>
      <c r="AN29" s="365">
        <f t="shared" ca="1" si="68"/>
        <v>8440911.1549525466</v>
      </c>
      <c r="AO29" s="365">
        <f t="shared" ca="1" si="69"/>
        <v>2888789.8450474534</v>
      </c>
    </row>
    <row r="30" spans="1:41" ht="21.75" customHeight="1" outlineLevel="1" x14ac:dyDescent="0.25">
      <c r="A30" s="362">
        <v>4.0999999999999996</v>
      </c>
      <c r="B30" s="153">
        <f t="shared" ca="1" si="51"/>
        <v>3891448.91</v>
      </c>
      <c r="C30" s="154" t="str">
        <f t="shared" si="37"/>
        <v/>
      </c>
      <c r="D30" s="155" t="str">
        <f t="shared" si="52"/>
        <v/>
      </c>
      <c r="E30" s="154">
        <f t="shared" ca="1" si="38"/>
        <v>11368750</v>
      </c>
      <c r="F30" s="155">
        <f t="shared" ca="1" si="53"/>
        <v>5.1851851851851851</v>
      </c>
      <c r="G30" s="154">
        <f t="shared" ca="1" si="39"/>
        <v>20612500</v>
      </c>
      <c r="H30" s="155">
        <f t="shared" ca="1" si="54"/>
        <v>0</v>
      </c>
      <c r="I30" s="154" t="str">
        <f t="shared" ca="1" si="40"/>
        <v/>
      </c>
      <c r="J30" s="155" t="str">
        <f t="shared" ca="1" si="55"/>
        <v/>
      </c>
      <c r="K30" s="154">
        <f t="shared" ca="1" si="41"/>
        <v>10200000</v>
      </c>
      <c r="L30" s="155">
        <f t="shared" ca="1" si="56"/>
        <v>5.1851851851851851</v>
      </c>
      <c r="M30" s="154">
        <f t="shared" ca="1" si="42"/>
        <v>10200000</v>
      </c>
      <c r="N30" s="155">
        <f t="shared" ca="1" si="57"/>
        <v>5.1851851851851851</v>
      </c>
      <c r="O30" s="154" t="str">
        <f t="shared" ca="1" si="43"/>
        <v/>
      </c>
      <c r="P30" s="155" t="str">
        <f t="shared" ca="1" si="58"/>
        <v/>
      </c>
      <c r="Q30" s="154">
        <f t="shared" ca="1" si="44"/>
        <v>8075000</v>
      </c>
      <c r="R30" s="155">
        <f t="shared" ca="1" si="59"/>
        <v>5.1851851851851851</v>
      </c>
      <c r="S30" s="154">
        <f t="shared" ca="1" si="45"/>
        <v>7310000</v>
      </c>
      <c r="T30" s="155">
        <f t="shared" ca="1" si="60"/>
        <v>0</v>
      </c>
      <c r="U30" s="154">
        <f t="shared" ca="1" si="46"/>
        <v>6155700</v>
      </c>
      <c r="V30" s="155">
        <f t="shared" ca="1" si="61"/>
        <v>0</v>
      </c>
      <c r="W30" s="154">
        <f t="shared" ca="1" si="47"/>
        <v>8075000</v>
      </c>
      <c r="X30" s="155">
        <f t="shared" ca="1" si="62"/>
        <v>5.1851851851851851</v>
      </c>
      <c r="Y30" s="154">
        <f t="shared" ca="1" si="48"/>
        <v>8500000</v>
      </c>
      <c r="Z30" s="155">
        <f t="shared" ca="1" si="63"/>
        <v>5.1851851851851851</v>
      </c>
      <c r="AA30" s="154" t="str">
        <f t="shared" ca="1" si="49"/>
        <v/>
      </c>
      <c r="AB30" s="155" t="str">
        <f t="shared" ca="1" si="64"/>
        <v/>
      </c>
      <c r="AC30" s="154">
        <f t="shared" ca="1" si="50"/>
        <v>7650000</v>
      </c>
      <c r="AD30" s="155">
        <f t="shared" ca="1" si="65"/>
        <v>0</v>
      </c>
      <c r="AE30" s="151"/>
      <c r="AF30" s="151"/>
      <c r="AG30" s="151"/>
      <c r="AH30" s="151"/>
      <c r="AI30" s="151"/>
      <c r="AJ30" s="151"/>
      <c r="AL30" s="255">
        <f t="shared" ca="1" si="66"/>
        <v>9814695</v>
      </c>
      <c r="AM30" s="70">
        <f t="shared" ca="1" si="67"/>
        <v>3891448.9058993179</v>
      </c>
      <c r="AN30" s="365">
        <f t="shared" ca="1" si="68"/>
        <v>11760419.452949658</v>
      </c>
      <c r="AO30" s="365">
        <f t="shared" ca="1" si="69"/>
        <v>7868970.547050341</v>
      </c>
    </row>
    <row r="31" spans="1:41" ht="21.75" customHeight="1" outlineLevel="1" x14ac:dyDescent="0.25">
      <c r="A31" s="362">
        <v>4.2</v>
      </c>
      <c r="B31" s="153">
        <f t="shared" ca="1" si="51"/>
        <v>1188663.31</v>
      </c>
      <c r="C31" s="154" t="str">
        <f t="shared" si="37"/>
        <v/>
      </c>
      <c r="D31" s="155" t="str">
        <f t="shared" si="52"/>
        <v/>
      </c>
      <c r="E31" s="154">
        <f t="shared" ca="1" si="38"/>
        <v>3995000</v>
      </c>
      <c r="F31" s="155">
        <f t="shared" ca="1" si="53"/>
        <v>5.1851851851851851</v>
      </c>
      <c r="G31" s="154">
        <f t="shared" ca="1" si="39"/>
        <v>6925800</v>
      </c>
      <c r="H31" s="155">
        <f t="shared" ca="1" si="54"/>
        <v>0</v>
      </c>
      <c r="I31" s="154" t="str">
        <f t="shared" ca="1" si="40"/>
        <v/>
      </c>
      <c r="J31" s="155" t="str">
        <f t="shared" ca="1" si="55"/>
        <v/>
      </c>
      <c r="K31" s="154">
        <f t="shared" ca="1" si="41"/>
        <v>4420000</v>
      </c>
      <c r="L31" s="155">
        <f t="shared" ca="1" si="56"/>
        <v>0</v>
      </c>
      <c r="M31" s="154">
        <f t="shared" ca="1" si="42"/>
        <v>4080000</v>
      </c>
      <c r="N31" s="155">
        <f t="shared" ca="1" si="57"/>
        <v>5.1851851851851851</v>
      </c>
      <c r="O31" s="154" t="str">
        <f t="shared" ca="1" si="43"/>
        <v/>
      </c>
      <c r="P31" s="155" t="str">
        <f t="shared" ca="1" si="58"/>
        <v/>
      </c>
      <c r="Q31" s="154">
        <f t="shared" ca="1" si="44"/>
        <v>3366000</v>
      </c>
      <c r="R31" s="155">
        <f t="shared" ca="1" si="59"/>
        <v>5.1851851851851851</v>
      </c>
      <c r="S31" s="154">
        <f t="shared" ca="1" si="45"/>
        <v>2924000</v>
      </c>
      <c r="T31" s="155">
        <f t="shared" ca="1" si="60"/>
        <v>0</v>
      </c>
      <c r="U31" s="154">
        <f t="shared" ca="1" si="46"/>
        <v>2410260</v>
      </c>
      <c r="V31" s="155">
        <f t="shared" ca="1" si="61"/>
        <v>0</v>
      </c>
      <c r="W31" s="154">
        <f t="shared" ca="1" si="47"/>
        <v>3230000</v>
      </c>
      <c r="X31" s="155">
        <f t="shared" ca="1" si="62"/>
        <v>5.1851851851851851</v>
      </c>
      <c r="Y31" s="154">
        <f t="shared" ca="1" si="48"/>
        <v>3485000</v>
      </c>
      <c r="Z31" s="155">
        <f t="shared" ca="1" si="63"/>
        <v>5.1851851851851851</v>
      </c>
      <c r="AA31" s="154" t="str">
        <f t="shared" ca="1" si="49"/>
        <v/>
      </c>
      <c r="AB31" s="155" t="str">
        <f t="shared" ca="1" si="64"/>
        <v/>
      </c>
      <c r="AC31" s="154">
        <f t="shared" ca="1" si="50"/>
        <v>3060000</v>
      </c>
      <c r="AD31" s="155">
        <f t="shared" ca="1" si="65"/>
        <v>0</v>
      </c>
      <c r="AE31" s="151"/>
      <c r="AF31" s="151"/>
      <c r="AG31" s="151"/>
      <c r="AH31" s="151"/>
      <c r="AI31" s="151"/>
      <c r="AJ31" s="151"/>
      <c r="AL31" s="255">
        <f t="shared" ca="1" si="66"/>
        <v>3789606</v>
      </c>
      <c r="AM31" s="70">
        <f t="shared" ca="1" si="67"/>
        <v>1188663.3062074389</v>
      </c>
      <c r="AN31" s="365">
        <f t="shared" ca="1" si="68"/>
        <v>4383937.6531037195</v>
      </c>
      <c r="AO31" s="365">
        <f t="shared" ca="1" si="69"/>
        <v>3195274.3468962805</v>
      </c>
    </row>
    <row r="32" spans="1:41" ht="21.75" customHeight="1" outlineLevel="1" x14ac:dyDescent="0.25">
      <c r="A32" s="362">
        <v>4.5</v>
      </c>
      <c r="B32" s="153">
        <f t="shared" ca="1" si="51"/>
        <v>5795152.7400000002</v>
      </c>
      <c r="C32" s="154" t="str">
        <f t="shared" si="37"/>
        <v/>
      </c>
      <c r="D32" s="155" t="str">
        <f t="shared" si="52"/>
        <v/>
      </c>
      <c r="E32" s="154">
        <f t="shared" ca="1" si="38"/>
        <v>33086250</v>
      </c>
      <c r="F32" s="155">
        <f t="shared" ca="1" si="53"/>
        <v>0</v>
      </c>
      <c r="G32" s="154">
        <f t="shared" ca="1" si="39"/>
        <v>17314500</v>
      </c>
      <c r="H32" s="155">
        <f t="shared" ca="1" si="54"/>
        <v>5.1851851851851851</v>
      </c>
      <c r="I32" s="154" t="str">
        <f t="shared" ca="1" si="40"/>
        <v/>
      </c>
      <c r="J32" s="155" t="str">
        <f t="shared" ca="1" si="55"/>
        <v/>
      </c>
      <c r="K32" s="154">
        <f t="shared" ca="1" si="41"/>
        <v>16575000</v>
      </c>
      <c r="L32" s="155">
        <f t="shared" ca="1" si="56"/>
        <v>5.1851851851851851</v>
      </c>
      <c r="M32" s="154">
        <f t="shared" ca="1" si="42"/>
        <v>18487500</v>
      </c>
      <c r="N32" s="155">
        <f t="shared" ca="1" si="57"/>
        <v>5.1851851851851851</v>
      </c>
      <c r="O32" s="154" t="str">
        <f t="shared" ca="1" si="43"/>
        <v/>
      </c>
      <c r="P32" s="155" t="str">
        <f t="shared" ca="1" si="58"/>
        <v/>
      </c>
      <c r="Q32" s="154">
        <f t="shared" ca="1" si="44"/>
        <v>18487500</v>
      </c>
      <c r="R32" s="155">
        <f t="shared" ca="1" si="59"/>
        <v>5.1851851851851851</v>
      </c>
      <c r="S32" s="154">
        <f t="shared" ca="1" si="45"/>
        <v>8287500</v>
      </c>
      <c r="T32" s="155">
        <f t="shared" ca="1" si="60"/>
        <v>0</v>
      </c>
      <c r="U32" s="154">
        <f t="shared" ca="1" si="46"/>
        <v>16049700</v>
      </c>
      <c r="V32" s="155">
        <f t="shared" ca="1" si="61"/>
        <v>5.1851851851851851</v>
      </c>
      <c r="W32" s="154">
        <f t="shared" ca="1" si="47"/>
        <v>16575000</v>
      </c>
      <c r="X32" s="155">
        <f t="shared" ca="1" si="62"/>
        <v>5.1851851851851851</v>
      </c>
      <c r="Y32" s="154">
        <f t="shared" ca="1" si="48"/>
        <v>20400000</v>
      </c>
      <c r="Z32" s="155">
        <f t="shared" ca="1" si="63"/>
        <v>5.1851851851851851</v>
      </c>
      <c r="AA32" s="154" t="str">
        <f t="shared" ca="1" si="49"/>
        <v/>
      </c>
      <c r="AB32" s="155" t="str">
        <f t="shared" ca="1" si="64"/>
        <v/>
      </c>
      <c r="AC32" s="154">
        <f t="shared" ca="1" si="50"/>
        <v>19125000</v>
      </c>
      <c r="AD32" s="155">
        <f t="shared" ca="1" si="65"/>
        <v>5.1851851851851851</v>
      </c>
      <c r="AE32" s="151"/>
      <c r="AF32" s="151"/>
      <c r="AG32" s="151"/>
      <c r="AH32" s="151"/>
      <c r="AI32" s="151"/>
      <c r="AJ32" s="151"/>
      <c r="AL32" s="255">
        <f t="shared" ca="1" si="66"/>
        <v>18438795</v>
      </c>
      <c r="AM32" s="70">
        <f t="shared" ca="1" si="67"/>
        <v>5795152.7385587515</v>
      </c>
      <c r="AN32" s="365">
        <f t="shared" ca="1" si="68"/>
        <v>21336371.369279377</v>
      </c>
      <c r="AO32" s="365">
        <f t="shared" ca="1" si="69"/>
        <v>15541218.630720625</v>
      </c>
    </row>
    <row r="33" spans="1:41" ht="21.75" customHeight="1" outlineLevel="1" x14ac:dyDescent="0.25">
      <c r="A33" s="362">
        <v>4.5999999999999996</v>
      </c>
      <c r="B33" s="153">
        <f t="shared" ca="1" si="51"/>
        <v>1483484.03</v>
      </c>
      <c r="C33" s="154" t="str">
        <f t="shared" si="37"/>
        <v/>
      </c>
      <c r="D33" s="155" t="str">
        <f t="shared" si="52"/>
        <v/>
      </c>
      <c r="E33" s="154">
        <f t="shared" ca="1" si="38"/>
        <v>8734770</v>
      </c>
      <c r="F33" s="155">
        <f t="shared" ca="1" si="53"/>
        <v>0</v>
      </c>
      <c r="G33" s="154">
        <f t="shared" ca="1" si="39"/>
        <v>4571028</v>
      </c>
      <c r="H33" s="155">
        <f t="shared" ca="1" si="54"/>
        <v>5.1851851851851851</v>
      </c>
      <c r="I33" s="154" t="str">
        <f t="shared" ca="1" si="40"/>
        <v/>
      </c>
      <c r="J33" s="155" t="str">
        <f t="shared" ca="1" si="55"/>
        <v/>
      </c>
      <c r="K33" s="154">
        <f t="shared" ca="1" si="41"/>
        <v>4712400</v>
      </c>
      <c r="L33" s="155">
        <f t="shared" ca="1" si="56"/>
        <v>5.1851851851851851</v>
      </c>
      <c r="M33" s="154">
        <f t="shared" ca="1" si="42"/>
        <v>4880700</v>
      </c>
      <c r="N33" s="155">
        <f t="shared" ca="1" si="57"/>
        <v>5.1851851851851851</v>
      </c>
      <c r="O33" s="154" t="str">
        <f t="shared" ca="1" si="43"/>
        <v/>
      </c>
      <c r="P33" s="155" t="str">
        <f t="shared" ca="1" si="58"/>
        <v/>
      </c>
      <c r="Q33" s="154">
        <f t="shared" ca="1" si="44"/>
        <v>5217300</v>
      </c>
      <c r="R33" s="155">
        <f t="shared" ca="1" si="59"/>
        <v>5.1851851851851851</v>
      </c>
      <c r="S33" s="154">
        <f t="shared" ca="1" si="45"/>
        <v>2423520</v>
      </c>
      <c r="T33" s="155">
        <f t="shared" ca="1" si="60"/>
        <v>0</v>
      </c>
      <c r="U33" s="154">
        <f t="shared" ca="1" si="46"/>
        <v>4371761</v>
      </c>
      <c r="V33" s="155">
        <f t="shared" ca="1" si="61"/>
        <v>5.1851851851851851</v>
      </c>
      <c r="W33" s="154">
        <f t="shared" ca="1" si="47"/>
        <v>4375800</v>
      </c>
      <c r="X33" s="155">
        <f t="shared" ca="1" si="62"/>
        <v>5.1851851851851851</v>
      </c>
      <c r="Y33" s="154">
        <f t="shared" ca="1" si="48"/>
        <v>5553900</v>
      </c>
      <c r="Z33" s="155">
        <f t="shared" ca="1" si="63"/>
        <v>5.1851851851851851</v>
      </c>
      <c r="AA33" s="154" t="str">
        <f t="shared" ca="1" si="49"/>
        <v/>
      </c>
      <c r="AB33" s="155" t="str">
        <f t="shared" ca="1" si="64"/>
        <v/>
      </c>
      <c r="AC33" s="154">
        <f t="shared" ca="1" si="50"/>
        <v>5049000</v>
      </c>
      <c r="AD33" s="155">
        <f t="shared" ca="1" si="65"/>
        <v>5.1851851851851851</v>
      </c>
      <c r="AE33" s="151"/>
      <c r="AF33" s="151"/>
      <c r="AG33" s="151"/>
      <c r="AH33" s="151"/>
      <c r="AI33" s="151"/>
      <c r="AJ33" s="151"/>
      <c r="AL33" s="255">
        <f t="shared" ca="1" si="66"/>
        <v>4989017.9000000004</v>
      </c>
      <c r="AM33" s="70">
        <f t="shared" ca="1" si="67"/>
        <v>1483484.0304499709</v>
      </c>
      <c r="AN33" s="365">
        <f t="shared" ca="1" si="68"/>
        <v>5730759.9152249862</v>
      </c>
      <c r="AO33" s="365">
        <f t="shared" ca="1" si="69"/>
        <v>4247275.8847750146</v>
      </c>
    </row>
    <row r="34" spans="1:41" ht="21.75" customHeight="1" outlineLevel="1" x14ac:dyDescent="0.25">
      <c r="A34" s="363" t="s">
        <v>304</v>
      </c>
      <c r="B34" s="153">
        <f t="shared" ca="1" si="51"/>
        <v>65386.400000000001</v>
      </c>
      <c r="C34" s="154" t="str">
        <f t="shared" si="37"/>
        <v/>
      </c>
      <c r="D34" s="155" t="str">
        <f t="shared" si="52"/>
        <v/>
      </c>
      <c r="E34" s="154">
        <f t="shared" ca="1" si="38"/>
        <v>295800</v>
      </c>
      <c r="F34" s="155">
        <f t="shared" ca="1" si="53"/>
        <v>0</v>
      </c>
      <c r="G34" s="154">
        <f t="shared" ca="1" si="39"/>
        <v>82450</v>
      </c>
      <c r="H34" s="155">
        <f t="shared" ca="1" si="54"/>
        <v>5.1851851851851851</v>
      </c>
      <c r="I34" s="154" t="str">
        <f t="shared" ca="1" si="40"/>
        <v/>
      </c>
      <c r="J34" s="155" t="str">
        <f t="shared" ca="1" si="55"/>
        <v/>
      </c>
      <c r="K34" s="154">
        <f t="shared" ca="1" si="41"/>
        <v>119000</v>
      </c>
      <c r="L34" s="155">
        <f t="shared" ca="1" si="56"/>
        <v>5.1851851851851851</v>
      </c>
      <c r="M34" s="154">
        <f t="shared" ca="1" si="42"/>
        <v>93500</v>
      </c>
      <c r="N34" s="155">
        <f t="shared" ca="1" si="57"/>
        <v>5.1851851851851851</v>
      </c>
      <c r="O34" s="154" t="str">
        <f t="shared" ca="1" si="43"/>
        <v/>
      </c>
      <c r="P34" s="155" t="str">
        <f t="shared" ca="1" si="58"/>
        <v/>
      </c>
      <c r="Q34" s="154">
        <f t="shared" ca="1" si="44"/>
        <v>131750</v>
      </c>
      <c r="R34" s="155">
        <f t="shared" ca="1" si="59"/>
        <v>5.1851851851851851</v>
      </c>
      <c r="S34" s="154">
        <f t="shared" ca="1" si="45"/>
        <v>125800</v>
      </c>
      <c r="T34" s="155">
        <f t="shared" ca="1" si="60"/>
        <v>5.1851851851851851</v>
      </c>
      <c r="U34" s="154">
        <f t="shared" ca="1" si="46"/>
        <v>58854</v>
      </c>
      <c r="V34" s="155">
        <f t="shared" ca="1" si="61"/>
        <v>0</v>
      </c>
      <c r="W34" s="154">
        <f t="shared" ca="1" si="47"/>
        <v>76500</v>
      </c>
      <c r="X34" s="155">
        <f t="shared" ca="1" si="62"/>
        <v>0</v>
      </c>
      <c r="Y34" s="154">
        <f t="shared" ca="1" si="48"/>
        <v>85000</v>
      </c>
      <c r="Z34" s="155">
        <f t="shared" ca="1" si="63"/>
        <v>5.1851851851851851</v>
      </c>
      <c r="AA34" s="154" t="str">
        <f t="shared" ca="1" si="49"/>
        <v/>
      </c>
      <c r="AB34" s="155" t="str">
        <f t="shared" ca="1" si="64"/>
        <v/>
      </c>
      <c r="AC34" s="154">
        <f t="shared" ca="1" si="50"/>
        <v>63750</v>
      </c>
      <c r="AD34" s="155">
        <f t="shared" ca="1" si="65"/>
        <v>0</v>
      </c>
      <c r="AE34" s="151"/>
      <c r="AF34" s="151"/>
      <c r="AG34" s="151"/>
      <c r="AH34" s="151"/>
      <c r="AI34" s="151"/>
      <c r="AJ34" s="151"/>
      <c r="AL34" s="255">
        <f t="shared" ca="1" si="66"/>
        <v>113240.4</v>
      </c>
      <c r="AM34" s="70">
        <f t="shared" ca="1" si="67"/>
        <v>65386.404469430803</v>
      </c>
      <c r="AN34" s="365">
        <f t="shared" ca="1" si="68"/>
        <v>145933.60223471539</v>
      </c>
      <c r="AO34" s="365">
        <f t="shared" ca="1" si="69"/>
        <v>80547.197765284596</v>
      </c>
    </row>
    <row r="35" spans="1:41" ht="21.75" customHeight="1" outlineLevel="1" x14ac:dyDescent="0.25">
      <c r="A35" s="362" t="s">
        <v>307</v>
      </c>
      <c r="B35" s="153">
        <f t="shared" ca="1" si="51"/>
        <v>328360.82</v>
      </c>
      <c r="C35" s="154" t="str">
        <f t="shared" si="37"/>
        <v/>
      </c>
      <c r="D35" s="155" t="str">
        <f t="shared" si="52"/>
        <v/>
      </c>
      <c r="E35" s="154">
        <f t="shared" ca="1" si="38"/>
        <v>1589500</v>
      </c>
      <c r="F35" s="155">
        <f t="shared" ca="1" si="53"/>
        <v>0</v>
      </c>
      <c r="G35" s="154">
        <f t="shared" ca="1" si="39"/>
        <v>1319200</v>
      </c>
      <c r="H35" s="155">
        <f t="shared" ca="1" si="54"/>
        <v>5.1851851851851851</v>
      </c>
      <c r="I35" s="154" t="str">
        <f t="shared" ca="1" si="40"/>
        <v/>
      </c>
      <c r="J35" s="155" t="str">
        <f t="shared" ca="1" si="55"/>
        <v/>
      </c>
      <c r="K35" s="154">
        <f t="shared" ca="1" si="41"/>
        <v>1360000</v>
      </c>
      <c r="L35" s="155">
        <f t="shared" ca="1" si="56"/>
        <v>5.1851851851851851</v>
      </c>
      <c r="M35" s="154">
        <f t="shared" ca="1" si="42"/>
        <v>1445000</v>
      </c>
      <c r="N35" s="155">
        <f t="shared" ca="1" si="57"/>
        <v>5.1851851851851851</v>
      </c>
      <c r="O35" s="154" t="str">
        <f t="shared" ca="1" si="43"/>
        <v/>
      </c>
      <c r="P35" s="155" t="str">
        <f t="shared" ca="1" si="58"/>
        <v/>
      </c>
      <c r="Q35" s="154">
        <f t="shared" ca="1" si="44"/>
        <v>1020000</v>
      </c>
      <c r="R35" s="155">
        <f t="shared" ca="1" si="59"/>
        <v>0</v>
      </c>
      <c r="S35" s="154">
        <f t="shared" ca="1" si="45"/>
        <v>1487500</v>
      </c>
      <c r="T35" s="155">
        <f t="shared" ca="1" si="60"/>
        <v>5.1851851851851851</v>
      </c>
      <c r="U35" s="154">
        <f t="shared" ca="1" si="46"/>
        <v>2111570</v>
      </c>
      <c r="V35" s="155">
        <f t="shared" ca="1" si="61"/>
        <v>0</v>
      </c>
      <c r="W35" s="154">
        <f t="shared" ca="1" si="47"/>
        <v>1105000</v>
      </c>
      <c r="X35" s="155">
        <f t="shared" ca="1" si="62"/>
        <v>0</v>
      </c>
      <c r="Y35" s="154">
        <f t="shared" ca="1" si="48"/>
        <v>1785000</v>
      </c>
      <c r="Z35" s="155">
        <f t="shared" ca="1" si="63"/>
        <v>0</v>
      </c>
      <c r="AA35" s="154" t="str">
        <f t="shared" ca="1" si="49"/>
        <v/>
      </c>
      <c r="AB35" s="155" t="str">
        <f t="shared" ca="1" si="64"/>
        <v/>
      </c>
      <c r="AC35" s="154">
        <f t="shared" ca="1" si="50"/>
        <v>1020000</v>
      </c>
      <c r="AD35" s="155">
        <f t="shared" ca="1" si="65"/>
        <v>0</v>
      </c>
      <c r="AE35" s="151"/>
      <c r="AF35" s="151"/>
      <c r="AG35" s="151"/>
      <c r="AH35" s="151"/>
      <c r="AI35" s="151"/>
      <c r="AJ35" s="151"/>
      <c r="AL35" s="255">
        <f t="shared" ca="1" si="66"/>
        <v>1424277</v>
      </c>
      <c r="AM35" s="70">
        <f t="shared" ca="1" si="67"/>
        <v>328360.81946693943</v>
      </c>
      <c r="AN35" s="365">
        <f t="shared" ca="1" si="68"/>
        <v>1588457.4097334696</v>
      </c>
      <c r="AO35" s="365">
        <f t="shared" ca="1" si="69"/>
        <v>1260096.5902665304</v>
      </c>
    </row>
    <row r="36" spans="1:41" ht="21.75" customHeight="1" outlineLevel="1" x14ac:dyDescent="0.25">
      <c r="A36" s="362" t="s">
        <v>316</v>
      </c>
      <c r="B36" s="153">
        <f t="shared" ca="1" si="51"/>
        <v>1134059.27</v>
      </c>
      <c r="C36" s="154" t="str">
        <f t="shared" si="37"/>
        <v/>
      </c>
      <c r="D36" s="155" t="str">
        <f t="shared" si="52"/>
        <v/>
      </c>
      <c r="E36" s="154">
        <f t="shared" ca="1" si="38"/>
        <v>1984750</v>
      </c>
      <c r="F36" s="155">
        <f t="shared" ca="1" si="53"/>
        <v>5.1851851851851851</v>
      </c>
      <c r="G36" s="154">
        <f t="shared" ca="1" si="39"/>
        <v>3298000</v>
      </c>
      <c r="H36" s="155">
        <f t="shared" ca="1" si="54"/>
        <v>0</v>
      </c>
      <c r="I36" s="154" t="str">
        <f t="shared" ca="1" si="40"/>
        <v/>
      </c>
      <c r="J36" s="155" t="str">
        <f t="shared" ca="1" si="55"/>
        <v/>
      </c>
      <c r="K36" s="154">
        <f t="shared" ca="1" si="41"/>
        <v>5525000</v>
      </c>
      <c r="L36" s="155">
        <f t="shared" ca="1" si="56"/>
        <v>0</v>
      </c>
      <c r="M36" s="154">
        <f t="shared" ca="1" si="42"/>
        <v>2125000</v>
      </c>
      <c r="N36" s="155">
        <f t="shared" ca="1" si="57"/>
        <v>5.1851851851851851</v>
      </c>
      <c r="O36" s="154" t="str">
        <f t="shared" ca="1" si="43"/>
        <v/>
      </c>
      <c r="P36" s="155" t="str">
        <f t="shared" ca="1" si="58"/>
        <v/>
      </c>
      <c r="Q36" s="154">
        <f t="shared" ca="1" si="44"/>
        <v>1232500</v>
      </c>
      <c r="R36" s="155">
        <f t="shared" ca="1" si="59"/>
        <v>0</v>
      </c>
      <c r="S36" s="154">
        <f t="shared" ca="1" si="45"/>
        <v>1955000</v>
      </c>
      <c r="T36" s="155">
        <f t="shared" ca="1" si="60"/>
        <v>5.1851851851851851</v>
      </c>
      <c r="U36" s="154">
        <f t="shared" ca="1" si="46"/>
        <v>2016370</v>
      </c>
      <c r="V36" s="155">
        <f t="shared" ca="1" si="61"/>
        <v>5.1851851851851851</v>
      </c>
      <c r="W36" s="154">
        <f t="shared" ca="1" si="47"/>
        <v>1870000</v>
      </c>
      <c r="X36" s="155">
        <f t="shared" ca="1" si="62"/>
        <v>0</v>
      </c>
      <c r="Y36" s="154">
        <f t="shared" ca="1" si="48"/>
        <v>2550000</v>
      </c>
      <c r="Z36" s="155">
        <f t="shared" ca="1" si="63"/>
        <v>5.1851851851851851</v>
      </c>
      <c r="AA36" s="154" t="str">
        <f t="shared" ca="1" si="49"/>
        <v/>
      </c>
      <c r="AB36" s="155" t="str">
        <f t="shared" ca="1" si="64"/>
        <v/>
      </c>
      <c r="AC36" s="154">
        <f t="shared" ca="1" si="50"/>
        <v>2125000</v>
      </c>
      <c r="AD36" s="155">
        <f t="shared" ca="1" si="65"/>
        <v>5.1851851851851851</v>
      </c>
      <c r="AE36" s="151"/>
      <c r="AF36" s="151"/>
      <c r="AG36" s="151"/>
      <c r="AH36" s="151"/>
      <c r="AI36" s="151"/>
      <c r="AJ36" s="151"/>
      <c r="AL36" s="255">
        <f t="shared" ca="1" si="66"/>
        <v>2468162</v>
      </c>
      <c r="AM36" s="70">
        <f t="shared" ca="1" si="67"/>
        <v>1134059.2668357329</v>
      </c>
      <c r="AN36" s="365">
        <f t="shared" ca="1" si="68"/>
        <v>3035191.6334178662</v>
      </c>
      <c r="AO36" s="365">
        <f t="shared" ca="1" si="69"/>
        <v>1901132.3665821336</v>
      </c>
    </row>
    <row r="37" spans="1:41" ht="21.75" customHeight="1" outlineLevel="1" x14ac:dyDescent="0.25">
      <c r="A37" s="362">
        <v>7.1</v>
      </c>
      <c r="B37" s="153">
        <f t="shared" ca="1" si="51"/>
        <v>853530.37</v>
      </c>
      <c r="C37" s="154" t="str">
        <f t="shared" si="37"/>
        <v/>
      </c>
      <c r="D37" s="155" t="str">
        <f t="shared" si="52"/>
        <v/>
      </c>
      <c r="E37" s="154">
        <f t="shared" ca="1" si="38"/>
        <v>7956000</v>
      </c>
      <c r="F37" s="155">
        <f t="shared" ca="1" si="53"/>
        <v>0</v>
      </c>
      <c r="G37" s="154">
        <f t="shared" ca="1" si="39"/>
        <v>7420500</v>
      </c>
      <c r="H37" s="155">
        <f t="shared" ca="1" si="54"/>
        <v>0</v>
      </c>
      <c r="I37" s="154" t="str">
        <f t="shared" ca="1" si="40"/>
        <v/>
      </c>
      <c r="J37" s="155" t="str">
        <f t="shared" ca="1" si="55"/>
        <v/>
      </c>
      <c r="K37" s="154">
        <f t="shared" ca="1" si="41"/>
        <v>6630000</v>
      </c>
      <c r="L37" s="155">
        <f t="shared" ca="1" si="56"/>
        <v>5.1851851851851851</v>
      </c>
      <c r="M37" s="154">
        <f t="shared" ca="1" si="42"/>
        <v>6834000</v>
      </c>
      <c r="N37" s="155">
        <f t="shared" ca="1" si="57"/>
        <v>5.1851851851851851</v>
      </c>
      <c r="O37" s="154" t="str">
        <f t="shared" ca="1" si="43"/>
        <v/>
      </c>
      <c r="P37" s="155" t="str">
        <f t="shared" ca="1" si="58"/>
        <v/>
      </c>
      <c r="Q37" s="154">
        <f t="shared" ca="1" si="44"/>
        <v>6120000</v>
      </c>
      <c r="R37" s="155">
        <f t="shared" ca="1" si="59"/>
        <v>0</v>
      </c>
      <c r="S37" s="154">
        <f t="shared" ca="1" si="45"/>
        <v>6630000</v>
      </c>
      <c r="T37" s="155">
        <f t="shared" ca="1" si="60"/>
        <v>5.1851851851851851</v>
      </c>
      <c r="U37" s="154">
        <f t="shared" ca="1" si="46"/>
        <v>5125500</v>
      </c>
      <c r="V37" s="155">
        <f t="shared" ca="1" si="61"/>
        <v>0</v>
      </c>
      <c r="W37" s="154">
        <f t="shared" ca="1" si="47"/>
        <v>5610000</v>
      </c>
      <c r="X37" s="155">
        <f t="shared" ca="1" si="62"/>
        <v>0</v>
      </c>
      <c r="Y37" s="154">
        <f t="shared" ca="1" si="48"/>
        <v>7650000</v>
      </c>
      <c r="Z37" s="155">
        <f t="shared" ca="1" si="63"/>
        <v>0</v>
      </c>
      <c r="AA37" s="154" t="str">
        <f t="shared" ca="1" si="49"/>
        <v/>
      </c>
      <c r="AB37" s="155" t="str">
        <f t="shared" ca="1" si="64"/>
        <v/>
      </c>
      <c r="AC37" s="154">
        <f t="shared" ca="1" si="50"/>
        <v>6120000</v>
      </c>
      <c r="AD37" s="155">
        <f t="shared" ca="1" si="65"/>
        <v>0</v>
      </c>
      <c r="AE37" s="151"/>
      <c r="AF37" s="151"/>
      <c r="AG37" s="151"/>
      <c r="AH37" s="151"/>
      <c r="AI37" s="151"/>
      <c r="AJ37" s="151"/>
      <c r="AL37" s="255">
        <f t="shared" ca="1" si="66"/>
        <v>6609600</v>
      </c>
      <c r="AM37" s="70">
        <f t="shared" ca="1" si="67"/>
        <v>853530.36852826737</v>
      </c>
      <c r="AN37" s="365">
        <f t="shared" ca="1" si="68"/>
        <v>7036365.1842641337</v>
      </c>
      <c r="AO37" s="365">
        <f t="shared" ca="1" si="69"/>
        <v>6182834.8157358663</v>
      </c>
    </row>
    <row r="38" spans="1:41" ht="21.75" customHeight="1" outlineLevel="1" x14ac:dyDescent="0.25">
      <c r="A38" s="362">
        <v>7.2</v>
      </c>
      <c r="B38" s="153">
        <f t="shared" ca="1" si="51"/>
        <v>1610880.34</v>
      </c>
      <c r="C38" s="154" t="str">
        <f t="shared" si="37"/>
        <v/>
      </c>
      <c r="D38" s="155" t="str">
        <f t="shared" si="52"/>
        <v/>
      </c>
      <c r="E38" s="154">
        <f t="shared" ca="1" si="38"/>
        <v>1707871</v>
      </c>
      <c r="F38" s="155">
        <f t="shared" ca="1" si="53"/>
        <v>5.1851851851851851</v>
      </c>
      <c r="G38" s="154">
        <f t="shared" ca="1" si="39"/>
        <v>1236750</v>
      </c>
      <c r="H38" s="155">
        <f t="shared" ca="1" si="54"/>
        <v>5.1851851851851851</v>
      </c>
      <c r="I38" s="154" t="str">
        <f t="shared" ca="1" si="40"/>
        <v/>
      </c>
      <c r="J38" s="155" t="str">
        <f t="shared" ca="1" si="55"/>
        <v/>
      </c>
      <c r="K38" s="154">
        <f t="shared" ca="1" si="41"/>
        <v>1606500</v>
      </c>
      <c r="L38" s="155">
        <f t="shared" ca="1" si="56"/>
        <v>5.1851851851851851</v>
      </c>
      <c r="M38" s="154">
        <f t="shared" ca="1" si="42"/>
        <v>1360000</v>
      </c>
      <c r="N38" s="155">
        <f t="shared" ca="1" si="57"/>
        <v>5.1851851851851851</v>
      </c>
      <c r="O38" s="154" t="str">
        <f t="shared" ca="1" si="43"/>
        <v/>
      </c>
      <c r="P38" s="155" t="str">
        <f t="shared" ca="1" si="58"/>
        <v/>
      </c>
      <c r="Q38" s="154">
        <f t="shared" ca="1" si="44"/>
        <v>1232500</v>
      </c>
      <c r="R38" s="155">
        <f t="shared" ca="1" si="59"/>
        <v>5.1851851851851851</v>
      </c>
      <c r="S38" s="154">
        <f t="shared" ca="1" si="45"/>
        <v>1955000</v>
      </c>
      <c r="T38" s="155">
        <f t="shared" ca="1" si="60"/>
        <v>5.1851851851851851</v>
      </c>
      <c r="U38" s="154">
        <f t="shared" ca="1" si="46"/>
        <v>1167900</v>
      </c>
      <c r="V38" s="155">
        <f t="shared" ca="1" si="61"/>
        <v>0</v>
      </c>
      <c r="W38" s="154">
        <f t="shared" ca="1" si="47"/>
        <v>6800000</v>
      </c>
      <c r="X38" s="155">
        <f t="shared" ca="1" si="62"/>
        <v>0</v>
      </c>
      <c r="Y38" s="154">
        <f t="shared" ca="1" si="48"/>
        <v>1445000</v>
      </c>
      <c r="Z38" s="155">
        <f t="shared" ca="1" si="63"/>
        <v>5.1851851851851851</v>
      </c>
      <c r="AA38" s="154" t="str">
        <f t="shared" ca="1" si="49"/>
        <v/>
      </c>
      <c r="AB38" s="155" t="str">
        <f t="shared" ca="1" si="64"/>
        <v/>
      </c>
      <c r="AC38" s="154">
        <f t="shared" ca="1" si="50"/>
        <v>1700000</v>
      </c>
      <c r="AD38" s="155">
        <f t="shared" ca="1" si="65"/>
        <v>5.1851851851851851</v>
      </c>
      <c r="AE38" s="151"/>
      <c r="AF38" s="151"/>
      <c r="AG38" s="151"/>
      <c r="AH38" s="151"/>
      <c r="AI38" s="151"/>
      <c r="AJ38" s="151"/>
      <c r="AL38" s="255">
        <f t="shared" ca="1" si="66"/>
        <v>2021152.1</v>
      </c>
      <c r="AM38" s="70">
        <f t="shared" ca="1" si="67"/>
        <v>1610880.3404287018</v>
      </c>
      <c r="AN38" s="365">
        <f t="shared" ca="1" si="68"/>
        <v>2826592.2702143509</v>
      </c>
      <c r="AO38" s="365">
        <f t="shared" ca="1" si="69"/>
        <v>1215711.9297856493</v>
      </c>
    </row>
    <row r="39" spans="1:41" ht="21.75" customHeight="1" outlineLevel="1" x14ac:dyDescent="0.25">
      <c r="A39" s="362">
        <v>7.5</v>
      </c>
      <c r="B39" s="153">
        <f t="shared" ca="1" si="51"/>
        <v>923781.34</v>
      </c>
      <c r="C39" s="154" t="str">
        <f t="shared" si="37"/>
        <v/>
      </c>
      <c r="D39" s="155" t="str">
        <f t="shared" si="52"/>
        <v/>
      </c>
      <c r="E39" s="154">
        <f t="shared" ca="1" si="38"/>
        <v>2422500</v>
      </c>
      <c r="F39" s="155">
        <f t="shared" ca="1" si="53"/>
        <v>0</v>
      </c>
      <c r="G39" s="154">
        <f t="shared" ca="1" si="39"/>
        <v>742050</v>
      </c>
      <c r="H39" s="155">
        <f t="shared" ca="1" si="54"/>
        <v>0</v>
      </c>
      <c r="I39" s="154" t="str">
        <f t="shared" ca="1" si="40"/>
        <v/>
      </c>
      <c r="J39" s="155" t="str">
        <f t="shared" ca="1" si="55"/>
        <v/>
      </c>
      <c r="K39" s="154">
        <f t="shared" ca="1" si="41"/>
        <v>1020000</v>
      </c>
      <c r="L39" s="155">
        <f t="shared" ca="1" si="56"/>
        <v>5.1851851851851851</v>
      </c>
      <c r="M39" s="154">
        <f t="shared" ca="1" si="42"/>
        <v>637500</v>
      </c>
      <c r="N39" s="155">
        <f t="shared" ca="1" si="57"/>
        <v>0</v>
      </c>
      <c r="O39" s="154" t="str">
        <f t="shared" ca="1" si="43"/>
        <v/>
      </c>
      <c r="P39" s="155" t="str">
        <f t="shared" ca="1" si="58"/>
        <v/>
      </c>
      <c r="Q39" s="154">
        <f t="shared" ca="1" si="44"/>
        <v>680000</v>
      </c>
      <c r="R39" s="155">
        <f t="shared" ca="1" si="59"/>
        <v>0</v>
      </c>
      <c r="S39" s="154">
        <f t="shared" ca="1" si="45"/>
        <v>1292000</v>
      </c>
      <c r="T39" s="155">
        <f t="shared" ca="1" si="60"/>
        <v>5.1851851851851851</v>
      </c>
      <c r="U39" s="154">
        <f t="shared" ca="1" si="46"/>
        <v>486396</v>
      </c>
      <c r="V39" s="155">
        <f t="shared" ca="1" si="61"/>
        <v>0</v>
      </c>
      <c r="W39" s="154">
        <f t="shared" ca="1" si="47"/>
        <v>3400000</v>
      </c>
      <c r="X39" s="155">
        <f t="shared" ca="1" si="62"/>
        <v>0</v>
      </c>
      <c r="Y39" s="154">
        <f t="shared" ca="1" si="48"/>
        <v>2380000</v>
      </c>
      <c r="Z39" s="155">
        <f t="shared" ca="1" si="63"/>
        <v>0</v>
      </c>
      <c r="AA39" s="154" t="str">
        <f t="shared" ca="1" si="49"/>
        <v/>
      </c>
      <c r="AB39" s="155" t="str">
        <f t="shared" ca="1" si="64"/>
        <v/>
      </c>
      <c r="AC39" s="154">
        <f t="shared" ca="1" si="50"/>
        <v>1275000</v>
      </c>
      <c r="AD39" s="155">
        <f t="shared" ca="1" si="65"/>
        <v>5.1851851851851851</v>
      </c>
      <c r="AE39" s="151"/>
      <c r="AF39" s="151"/>
      <c r="AG39" s="151"/>
      <c r="AH39" s="151"/>
      <c r="AI39" s="151"/>
      <c r="AJ39" s="151"/>
      <c r="AL39" s="255">
        <f t="shared" ca="1" si="66"/>
        <v>1433544.6</v>
      </c>
      <c r="AM39" s="70">
        <f t="shared" ca="1" si="67"/>
        <v>923781.33610851865</v>
      </c>
      <c r="AN39" s="365">
        <f t="shared" ca="1" si="68"/>
        <v>1895435.2680542595</v>
      </c>
      <c r="AO39" s="365">
        <f t="shared" ca="1" si="69"/>
        <v>971653.93194574071</v>
      </c>
    </row>
    <row r="40" spans="1:41" ht="21.75" customHeight="1" x14ac:dyDescent="0.25">
      <c r="A40" s="362" t="s">
        <v>332</v>
      </c>
      <c r="B40" s="153">
        <f t="shared" ca="1" si="51"/>
        <v>995285.85</v>
      </c>
      <c r="C40" s="154" t="str">
        <f t="shared" si="37"/>
        <v/>
      </c>
      <c r="D40" s="155" t="str">
        <f t="shared" si="52"/>
        <v/>
      </c>
      <c r="E40" s="154">
        <f t="shared" ca="1" si="38"/>
        <v>1245615</v>
      </c>
      <c r="F40" s="155">
        <f t="shared" ca="1" si="53"/>
        <v>5.1851851851851851</v>
      </c>
      <c r="G40" s="154">
        <f t="shared" ca="1" si="39"/>
        <v>1265180</v>
      </c>
      <c r="H40" s="155">
        <f t="shared" ca="1" si="54"/>
        <v>5.1851851851851851</v>
      </c>
      <c r="I40" s="154" t="str">
        <f t="shared" ca="1" si="40"/>
        <v/>
      </c>
      <c r="J40" s="155" t="str">
        <f t="shared" ca="1" si="55"/>
        <v/>
      </c>
      <c r="K40" s="154">
        <f t="shared" ca="1" si="41"/>
        <v>4239004</v>
      </c>
      <c r="L40" s="155">
        <f t="shared" ca="1" si="56"/>
        <v>0</v>
      </c>
      <c r="M40" s="154">
        <f t="shared" ca="1" si="42"/>
        <v>847801</v>
      </c>
      <c r="N40" s="155">
        <f t="shared" ca="1" si="57"/>
        <v>5.1851851851851851</v>
      </c>
      <c r="O40" s="154" t="str">
        <f t="shared" ca="1" si="43"/>
        <v/>
      </c>
      <c r="P40" s="155" t="str">
        <f t="shared" ca="1" si="58"/>
        <v/>
      </c>
      <c r="Q40" s="154">
        <f t="shared" ca="1" si="44"/>
        <v>847801</v>
      </c>
      <c r="R40" s="155">
        <f t="shared" ca="1" si="59"/>
        <v>5.1851851851851851</v>
      </c>
      <c r="S40" s="154">
        <f t="shared" ca="1" si="45"/>
        <v>997796</v>
      </c>
      <c r="T40" s="155">
        <f t="shared" ca="1" si="60"/>
        <v>5.1851851851851851</v>
      </c>
      <c r="U40" s="154">
        <f t="shared" ca="1" si="46"/>
        <v>1256049</v>
      </c>
      <c r="V40" s="155">
        <f t="shared" ca="1" si="61"/>
        <v>5.1851851851851851</v>
      </c>
      <c r="W40" s="154">
        <f t="shared" ca="1" si="47"/>
        <v>586939</v>
      </c>
      <c r="X40" s="155">
        <f t="shared" ca="1" si="62"/>
        <v>0</v>
      </c>
      <c r="Y40" s="154">
        <f t="shared" ca="1" si="48"/>
        <v>1369524</v>
      </c>
      <c r="Z40" s="155">
        <f t="shared" ca="1" si="63"/>
        <v>5.1851851851851851</v>
      </c>
      <c r="AA40" s="154" t="str">
        <f t="shared" ca="1" si="49"/>
        <v/>
      </c>
      <c r="AB40" s="155" t="str">
        <f t="shared" ca="1" si="64"/>
        <v/>
      </c>
      <c r="AC40" s="154">
        <f t="shared" ca="1" si="50"/>
        <v>782585</v>
      </c>
      <c r="AD40" s="155">
        <f t="shared" ca="1" si="65"/>
        <v>0</v>
      </c>
      <c r="AE40" s="151"/>
      <c r="AF40" s="151"/>
      <c r="AG40" s="151"/>
      <c r="AH40" s="151"/>
      <c r="AI40" s="151"/>
      <c r="AJ40" s="151"/>
      <c r="AL40" s="255">
        <f t="shared" ca="1" si="66"/>
        <v>1343829.4</v>
      </c>
      <c r="AM40" s="70">
        <f t="shared" ca="1" si="67"/>
        <v>995285.84775120753</v>
      </c>
      <c r="AN40" s="365">
        <f t="shared" ca="1" si="68"/>
        <v>1841472.3238756037</v>
      </c>
      <c r="AO40" s="365">
        <f t="shared" ca="1" si="69"/>
        <v>846186.47612439608</v>
      </c>
    </row>
    <row r="41" spans="1:41" ht="21.75" hidden="1" customHeight="1" x14ac:dyDescent="0.25">
      <c r="A41" s="152"/>
      <c r="B41" s="153" t="str">
        <f t="shared" si="51"/>
        <v/>
      </c>
      <c r="C41" s="154" t="str">
        <f t="shared" si="37"/>
        <v/>
      </c>
      <c r="D41" s="155" t="str">
        <f t="shared" si="52"/>
        <v/>
      </c>
      <c r="E41" s="154" t="str">
        <f t="shared" ca="1" si="38"/>
        <v/>
      </c>
      <c r="F41" s="155" t="str">
        <f t="shared" si="53"/>
        <v/>
      </c>
      <c r="G41" s="154" t="str">
        <f t="shared" ca="1" si="39"/>
        <v/>
      </c>
      <c r="H41" s="155" t="str">
        <f t="shared" si="54"/>
        <v/>
      </c>
      <c r="I41" s="154" t="str">
        <f t="shared" ca="1" si="40"/>
        <v/>
      </c>
      <c r="J41" s="155" t="str">
        <f t="shared" si="55"/>
        <v/>
      </c>
      <c r="K41" s="154" t="str">
        <f t="shared" ca="1" si="41"/>
        <v/>
      </c>
      <c r="L41" s="155" t="str">
        <f t="shared" si="56"/>
        <v/>
      </c>
      <c r="M41" s="154" t="str">
        <f t="shared" ca="1" si="42"/>
        <v/>
      </c>
      <c r="N41" s="155" t="str">
        <f t="shared" si="57"/>
        <v/>
      </c>
      <c r="O41" s="154" t="str">
        <f t="shared" ca="1" si="43"/>
        <v/>
      </c>
      <c r="P41" s="155" t="str">
        <f t="shared" si="58"/>
        <v/>
      </c>
      <c r="Q41" s="154" t="str">
        <f t="shared" ca="1" si="44"/>
        <v/>
      </c>
      <c r="R41" s="155" t="str">
        <f t="shared" si="59"/>
        <v/>
      </c>
      <c r="S41" s="154" t="str">
        <f t="shared" ca="1" si="45"/>
        <v/>
      </c>
      <c r="T41" s="155" t="str">
        <f t="shared" si="60"/>
        <v/>
      </c>
      <c r="U41" s="154" t="str">
        <f t="shared" ca="1" si="46"/>
        <v/>
      </c>
      <c r="V41" s="155" t="str">
        <f t="shared" si="61"/>
        <v/>
      </c>
      <c r="W41" s="154" t="str">
        <f t="shared" ca="1" si="47"/>
        <v/>
      </c>
      <c r="X41" s="155" t="str">
        <f t="shared" si="62"/>
        <v/>
      </c>
      <c r="Y41" s="154" t="str">
        <f t="shared" ca="1" si="48"/>
        <v/>
      </c>
      <c r="Z41" s="155" t="str">
        <f t="shared" si="63"/>
        <v/>
      </c>
      <c r="AA41" s="154" t="str">
        <f t="shared" ca="1" si="49"/>
        <v/>
      </c>
      <c r="AB41" s="155" t="str">
        <f t="shared" si="64"/>
        <v/>
      </c>
      <c r="AC41" s="154" t="str">
        <f t="shared" ca="1" si="50"/>
        <v/>
      </c>
      <c r="AD41" s="155" t="str">
        <f t="shared" si="65"/>
        <v/>
      </c>
      <c r="AE41" s="151"/>
      <c r="AF41" s="151"/>
      <c r="AG41" s="151"/>
      <c r="AH41" s="151"/>
      <c r="AI41" s="151"/>
      <c r="AJ41" s="151"/>
      <c r="AL41" s="255" t="e">
        <f t="shared" ca="1" si="66"/>
        <v>#DIV/0!</v>
      </c>
      <c r="AM41" s="70" t="e">
        <f t="shared" ca="1" si="67"/>
        <v>#DIV/0!</v>
      </c>
      <c r="AN41" s="365" t="e">
        <f t="shared" ca="1" si="68"/>
        <v>#DIV/0!</v>
      </c>
      <c r="AO41" s="365" t="e">
        <f t="shared" ca="1" si="69"/>
        <v>#DIV/0!</v>
      </c>
    </row>
    <row r="42" spans="1:41" ht="21.75" hidden="1" customHeight="1" x14ac:dyDescent="0.25">
      <c r="A42" s="152"/>
      <c r="B42" s="153" t="str">
        <f t="shared" si="51"/>
        <v/>
      </c>
      <c r="C42" s="154" t="str">
        <f t="shared" si="37"/>
        <v/>
      </c>
      <c r="D42" s="155" t="str">
        <f t="shared" si="52"/>
        <v/>
      </c>
      <c r="E42" s="154" t="str">
        <f t="shared" ca="1" si="38"/>
        <v/>
      </c>
      <c r="F42" s="155" t="str">
        <f t="shared" si="53"/>
        <v/>
      </c>
      <c r="G42" s="154" t="str">
        <f t="shared" ca="1" si="39"/>
        <v/>
      </c>
      <c r="H42" s="155" t="str">
        <f t="shared" si="54"/>
        <v/>
      </c>
      <c r="I42" s="154" t="str">
        <f t="shared" ca="1" si="40"/>
        <v/>
      </c>
      <c r="J42" s="155" t="str">
        <f t="shared" si="55"/>
        <v/>
      </c>
      <c r="K42" s="154" t="str">
        <f t="shared" ca="1" si="41"/>
        <v/>
      </c>
      <c r="L42" s="155" t="str">
        <f t="shared" si="56"/>
        <v/>
      </c>
      <c r="M42" s="154" t="str">
        <f t="shared" ca="1" si="42"/>
        <v/>
      </c>
      <c r="N42" s="155" t="str">
        <f t="shared" si="57"/>
        <v/>
      </c>
      <c r="O42" s="154" t="str">
        <f t="shared" ca="1" si="43"/>
        <v/>
      </c>
      <c r="P42" s="155" t="str">
        <f t="shared" si="58"/>
        <v/>
      </c>
      <c r="Q42" s="154" t="str">
        <f t="shared" ca="1" si="44"/>
        <v/>
      </c>
      <c r="R42" s="155" t="str">
        <f t="shared" si="59"/>
        <v/>
      </c>
      <c r="S42" s="154" t="str">
        <f t="shared" ca="1" si="45"/>
        <v/>
      </c>
      <c r="T42" s="155" t="str">
        <f t="shared" si="60"/>
        <v/>
      </c>
      <c r="U42" s="154" t="str">
        <f t="shared" ca="1" si="46"/>
        <v/>
      </c>
      <c r="V42" s="155" t="str">
        <f t="shared" si="61"/>
        <v/>
      </c>
      <c r="W42" s="154" t="str">
        <f t="shared" ca="1" si="47"/>
        <v/>
      </c>
      <c r="X42" s="155" t="str">
        <f t="shared" si="62"/>
        <v/>
      </c>
      <c r="Y42" s="154" t="str">
        <f t="shared" ca="1" si="48"/>
        <v/>
      </c>
      <c r="Z42" s="155" t="str">
        <f t="shared" si="63"/>
        <v/>
      </c>
      <c r="AA42" s="154" t="str">
        <f t="shared" ca="1" si="49"/>
        <v/>
      </c>
      <c r="AB42" s="155" t="str">
        <f t="shared" si="64"/>
        <v/>
      </c>
      <c r="AC42" s="154" t="str">
        <f t="shared" ca="1" si="50"/>
        <v/>
      </c>
      <c r="AD42" s="155" t="str">
        <f t="shared" si="65"/>
        <v/>
      </c>
      <c r="AE42" s="151"/>
      <c r="AF42" s="151"/>
      <c r="AG42" s="151"/>
      <c r="AH42" s="151"/>
      <c r="AI42" s="151"/>
      <c r="AJ42" s="151"/>
      <c r="AL42" s="255" t="e">
        <f t="shared" ca="1" si="66"/>
        <v>#DIV/0!</v>
      </c>
      <c r="AM42" s="70" t="e">
        <f t="shared" ca="1" si="67"/>
        <v>#DIV/0!</v>
      </c>
      <c r="AN42" s="365" t="e">
        <f t="shared" ca="1" si="68"/>
        <v>#DIV/0!</v>
      </c>
      <c r="AO42" s="365" t="e">
        <f t="shared" ca="1" si="69"/>
        <v>#DIV/0!</v>
      </c>
    </row>
    <row r="43" spans="1:41" ht="21.75" hidden="1" customHeight="1" x14ac:dyDescent="0.25">
      <c r="A43" s="152"/>
      <c r="B43" s="153" t="str">
        <f t="shared" si="51"/>
        <v/>
      </c>
      <c r="C43" s="154" t="str">
        <f t="shared" si="37"/>
        <v/>
      </c>
      <c r="D43" s="155" t="str">
        <f t="shared" si="52"/>
        <v/>
      </c>
      <c r="E43" s="154" t="str">
        <f t="shared" ca="1" si="38"/>
        <v/>
      </c>
      <c r="F43" s="155" t="str">
        <f t="shared" si="53"/>
        <v/>
      </c>
      <c r="G43" s="154" t="str">
        <f t="shared" ca="1" si="39"/>
        <v/>
      </c>
      <c r="H43" s="155" t="str">
        <f t="shared" si="54"/>
        <v/>
      </c>
      <c r="I43" s="154" t="str">
        <f t="shared" ca="1" si="40"/>
        <v/>
      </c>
      <c r="J43" s="155" t="str">
        <f t="shared" si="55"/>
        <v/>
      </c>
      <c r="K43" s="154" t="str">
        <f t="shared" ca="1" si="41"/>
        <v/>
      </c>
      <c r="L43" s="155" t="str">
        <f t="shared" si="56"/>
        <v/>
      </c>
      <c r="M43" s="154" t="str">
        <f t="shared" ca="1" si="42"/>
        <v/>
      </c>
      <c r="N43" s="155" t="str">
        <f t="shared" si="57"/>
        <v/>
      </c>
      <c r="O43" s="154" t="str">
        <f t="shared" ca="1" si="43"/>
        <v/>
      </c>
      <c r="P43" s="155" t="str">
        <f t="shared" si="58"/>
        <v/>
      </c>
      <c r="Q43" s="154" t="str">
        <f t="shared" ca="1" si="44"/>
        <v/>
      </c>
      <c r="R43" s="155" t="str">
        <f t="shared" si="59"/>
        <v/>
      </c>
      <c r="S43" s="154" t="str">
        <f t="shared" ca="1" si="45"/>
        <v/>
      </c>
      <c r="T43" s="155" t="str">
        <f t="shared" si="60"/>
        <v/>
      </c>
      <c r="U43" s="154" t="str">
        <f t="shared" ca="1" si="46"/>
        <v/>
      </c>
      <c r="V43" s="155" t="str">
        <f t="shared" si="61"/>
        <v/>
      </c>
      <c r="W43" s="154" t="str">
        <f t="shared" ca="1" si="47"/>
        <v/>
      </c>
      <c r="X43" s="155" t="str">
        <f t="shared" si="62"/>
        <v/>
      </c>
      <c r="Y43" s="154" t="str">
        <f t="shared" ca="1" si="48"/>
        <v/>
      </c>
      <c r="Z43" s="155" t="str">
        <f t="shared" si="63"/>
        <v/>
      </c>
      <c r="AA43" s="154" t="str">
        <f t="shared" ca="1" si="49"/>
        <v/>
      </c>
      <c r="AB43" s="155" t="str">
        <f t="shared" si="64"/>
        <v/>
      </c>
      <c r="AC43" s="154" t="str">
        <f t="shared" ca="1" si="50"/>
        <v/>
      </c>
      <c r="AD43" s="155" t="str">
        <f t="shared" si="65"/>
        <v/>
      </c>
      <c r="AE43" s="151"/>
      <c r="AF43" s="151"/>
      <c r="AG43" s="151"/>
      <c r="AH43" s="151"/>
      <c r="AI43" s="151"/>
      <c r="AJ43" s="151"/>
      <c r="AL43" s="255" t="e">
        <f t="shared" ca="1" si="66"/>
        <v>#DIV/0!</v>
      </c>
      <c r="AM43" s="70" t="e">
        <f t="shared" ca="1" si="67"/>
        <v>#DIV/0!</v>
      </c>
      <c r="AN43" s="365" t="e">
        <f t="shared" ca="1" si="68"/>
        <v>#DIV/0!</v>
      </c>
      <c r="AO43" s="365" t="e">
        <f t="shared" ca="1" si="69"/>
        <v>#DIV/0!</v>
      </c>
    </row>
    <row r="44" spans="1:41" ht="21.75" hidden="1" customHeight="1" x14ac:dyDescent="0.25">
      <c r="A44" s="152"/>
      <c r="B44" s="153" t="str">
        <f t="shared" si="51"/>
        <v/>
      </c>
      <c r="C44" s="154" t="str">
        <f t="shared" si="37"/>
        <v/>
      </c>
      <c r="D44" s="155" t="str">
        <f t="shared" si="52"/>
        <v/>
      </c>
      <c r="E44" s="154" t="str">
        <f t="shared" ca="1" si="38"/>
        <v/>
      </c>
      <c r="F44" s="155" t="str">
        <f t="shared" si="53"/>
        <v/>
      </c>
      <c r="G44" s="154" t="str">
        <f t="shared" ca="1" si="39"/>
        <v/>
      </c>
      <c r="H44" s="155" t="str">
        <f t="shared" si="54"/>
        <v/>
      </c>
      <c r="I44" s="154" t="str">
        <f t="shared" ca="1" si="40"/>
        <v/>
      </c>
      <c r="J44" s="155" t="str">
        <f t="shared" si="55"/>
        <v/>
      </c>
      <c r="K44" s="154" t="str">
        <f t="shared" ca="1" si="41"/>
        <v/>
      </c>
      <c r="L44" s="155" t="str">
        <f t="shared" si="56"/>
        <v/>
      </c>
      <c r="M44" s="154" t="str">
        <f t="shared" ca="1" si="42"/>
        <v/>
      </c>
      <c r="N44" s="155" t="str">
        <f t="shared" si="57"/>
        <v/>
      </c>
      <c r="O44" s="154" t="str">
        <f t="shared" ca="1" si="43"/>
        <v/>
      </c>
      <c r="P44" s="155" t="str">
        <f t="shared" si="58"/>
        <v/>
      </c>
      <c r="Q44" s="154" t="str">
        <f t="shared" ca="1" si="44"/>
        <v/>
      </c>
      <c r="R44" s="155" t="str">
        <f t="shared" si="59"/>
        <v/>
      </c>
      <c r="S44" s="154" t="str">
        <f t="shared" ca="1" si="45"/>
        <v/>
      </c>
      <c r="T44" s="155" t="str">
        <f t="shared" si="60"/>
        <v/>
      </c>
      <c r="U44" s="154" t="str">
        <f t="shared" ca="1" si="46"/>
        <v/>
      </c>
      <c r="V44" s="155" t="str">
        <f t="shared" si="61"/>
        <v/>
      </c>
      <c r="W44" s="154" t="str">
        <f t="shared" ca="1" si="47"/>
        <v/>
      </c>
      <c r="X44" s="155" t="str">
        <f t="shared" si="62"/>
        <v/>
      </c>
      <c r="Y44" s="154" t="str">
        <f t="shared" ca="1" si="48"/>
        <v/>
      </c>
      <c r="Z44" s="155" t="str">
        <f t="shared" si="63"/>
        <v/>
      </c>
      <c r="AA44" s="154" t="str">
        <f t="shared" ca="1" si="49"/>
        <v/>
      </c>
      <c r="AB44" s="155" t="str">
        <f t="shared" si="64"/>
        <v/>
      </c>
      <c r="AC44" s="154" t="str">
        <f t="shared" ca="1" si="50"/>
        <v/>
      </c>
      <c r="AD44" s="155" t="str">
        <f t="shared" si="65"/>
        <v/>
      </c>
      <c r="AE44" s="151"/>
      <c r="AF44" s="151"/>
      <c r="AG44" s="151"/>
      <c r="AH44" s="151"/>
      <c r="AI44" s="151"/>
      <c r="AJ44" s="151"/>
      <c r="AL44" s="255" t="e">
        <f t="shared" ca="1" si="66"/>
        <v>#DIV/0!</v>
      </c>
      <c r="AM44" s="70" t="e">
        <f t="shared" ca="1" si="67"/>
        <v>#DIV/0!</v>
      </c>
      <c r="AN44" s="365" t="e">
        <f t="shared" ca="1" si="68"/>
        <v>#DIV/0!</v>
      </c>
      <c r="AO44" s="365" t="e">
        <f t="shared" ca="1" si="69"/>
        <v>#DIV/0!</v>
      </c>
    </row>
    <row r="45" spans="1:41" ht="21.75" hidden="1" customHeight="1" x14ac:dyDescent="0.25">
      <c r="A45" s="152"/>
      <c r="B45" s="153" t="str">
        <f t="shared" si="51"/>
        <v/>
      </c>
      <c r="C45" s="154" t="str">
        <f t="shared" si="37"/>
        <v/>
      </c>
      <c r="D45" s="155" t="str">
        <f t="shared" si="52"/>
        <v/>
      </c>
      <c r="E45" s="154" t="str">
        <f t="shared" ca="1" si="38"/>
        <v/>
      </c>
      <c r="F45" s="155" t="str">
        <f t="shared" si="53"/>
        <v/>
      </c>
      <c r="G45" s="154" t="str">
        <f t="shared" ca="1" si="39"/>
        <v/>
      </c>
      <c r="H45" s="155" t="str">
        <f t="shared" si="54"/>
        <v/>
      </c>
      <c r="I45" s="154" t="str">
        <f t="shared" ca="1" si="40"/>
        <v/>
      </c>
      <c r="J45" s="155" t="str">
        <f t="shared" si="55"/>
        <v/>
      </c>
      <c r="K45" s="154" t="str">
        <f t="shared" ca="1" si="41"/>
        <v/>
      </c>
      <c r="L45" s="155" t="str">
        <f t="shared" si="56"/>
        <v/>
      </c>
      <c r="M45" s="154" t="str">
        <f t="shared" ca="1" si="42"/>
        <v/>
      </c>
      <c r="N45" s="155" t="str">
        <f t="shared" si="57"/>
        <v/>
      </c>
      <c r="O45" s="154" t="str">
        <f t="shared" ca="1" si="43"/>
        <v/>
      </c>
      <c r="P45" s="155" t="str">
        <f t="shared" si="58"/>
        <v/>
      </c>
      <c r="Q45" s="154" t="str">
        <f t="shared" ca="1" si="44"/>
        <v/>
      </c>
      <c r="R45" s="155" t="str">
        <f t="shared" si="59"/>
        <v/>
      </c>
      <c r="S45" s="154" t="str">
        <f t="shared" ca="1" si="45"/>
        <v/>
      </c>
      <c r="T45" s="155" t="str">
        <f t="shared" si="60"/>
        <v/>
      </c>
      <c r="U45" s="154" t="str">
        <f t="shared" ca="1" si="46"/>
        <v/>
      </c>
      <c r="V45" s="155" t="str">
        <f t="shared" si="61"/>
        <v/>
      </c>
      <c r="W45" s="154" t="str">
        <f t="shared" ca="1" si="47"/>
        <v/>
      </c>
      <c r="X45" s="155" t="str">
        <f t="shared" si="62"/>
        <v/>
      </c>
      <c r="Y45" s="154" t="str">
        <f t="shared" ca="1" si="48"/>
        <v/>
      </c>
      <c r="Z45" s="155" t="str">
        <f t="shared" si="63"/>
        <v/>
      </c>
      <c r="AA45" s="154" t="str">
        <f t="shared" ca="1" si="49"/>
        <v/>
      </c>
      <c r="AB45" s="155" t="str">
        <f t="shared" si="64"/>
        <v/>
      </c>
      <c r="AC45" s="154" t="str">
        <f t="shared" ca="1" si="50"/>
        <v/>
      </c>
      <c r="AD45" s="155" t="str">
        <f t="shared" si="65"/>
        <v/>
      </c>
      <c r="AE45" s="151"/>
      <c r="AF45" s="151"/>
      <c r="AG45" s="151"/>
      <c r="AH45" s="151"/>
      <c r="AI45" s="151"/>
      <c r="AJ45" s="151"/>
      <c r="AL45" s="255" t="e">
        <f t="shared" ca="1" si="66"/>
        <v>#DIV/0!</v>
      </c>
      <c r="AM45" s="70" t="e">
        <f t="shared" ca="1" si="67"/>
        <v>#DIV/0!</v>
      </c>
      <c r="AN45" s="365" t="e">
        <f t="shared" ca="1" si="68"/>
        <v>#DIV/0!</v>
      </c>
      <c r="AO45" s="365" t="e">
        <f t="shared" ca="1" si="69"/>
        <v>#DIV/0!</v>
      </c>
    </row>
    <row r="46" spans="1:41" ht="21.75" hidden="1" customHeight="1" x14ac:dyDescent="0.25">
      <c r="A46" s="152"/>
      <c r="B46" s="153" t="str">
        <f t="shared" si="51"/>
        <v/>
      </c>
      <c r="C46" s="154" t="str">
        <f t="shared" ref="C46:C101" si="70">IF($C$8="Habilitado",IF($A46="","",ROUND(VLOOKUP($A46,OFERENTE_1,15,FALSE),2)),"")</f>
        <v/>
      </c>
      <c r="D46" s="155" t="str">
        <f t="shared" si="52"/>
        <v/>
      </c>
      <c r="E46" s="154" t="str">
        <f t="shared" ref="E46:E101" ca="1" si="71">IF($E$8="Habilitado",IF($A46="","",ROUND(VLOOKUP($A46,OFERENTE_2,15,FALSE),2)),"")</f>
        <v/>
      </c>
      <c r="F46" s="155" t="str">
        <f t="shared" si="53"/>
        <v/>
      </c>
      <c r="G46" s="154" t="str">
        <f t="shared" ref="G46:G101" ca="1" si="72">IF($G$8="Habilitado",IF($A46="","",ROUND(VLOOKUP($A46,OFERENTE_3,15,FALSE),2)),"")</f>
        <v/>
      </c>
      <c r="H46" s="155" t="str">
        <f t="shared" si="54"/>
        <v/>
      </c>
      <c r="I46" s="154" t="str">
        <f t="shared" ref="I46:I101" ca="1" si="73">IF($I$8="Habilitado",IF($A46="","",ROUND(VLOOKUP($A46,OFERENTE_4,15,FALSE),2)),"")</f>
        <v/>
      </c>
      <c r="J46" s="155" t="str">
        <f t="shared" si="55"/>
        <v/>
      </c>
      <c r="K46" s="154" t="str">
        <f t="shared" ref="K46:K101" ca="1" si="74">IF($K$8="Habilitado",IF($A46="","",ROUND(VLOOKUP($A46,OFERENTE_5,15,FALSE),2)),"")</f>
        <v/>
      </c>
      <c r="L46" s="155" t="str">
        <f t="shared" si="56"/>
        <v/>
      </c>
      <c r="M46" s="154" t="str">
        <f t="shared" ca="1" si="42"/>
        <v/>
      </c>
      <c r="N46" s="155" t="str">
        <f t="shared" si="57"/>
        <v/>
      </c>
      <c r="O46" s="154" t="str">
        <f t="shared" ref="O46:O101" ca="1" si="75">IF($O$8="Habilitado",IF($A46="","",ROUND(VLOOKUP($A46,OFERENTE_7,15,FALSE),2)),"")</f>
        <v/>
      </c>
      <c r="P46" s="155" t="str">
        <f t="shared" si="58"/>
        <v/>
      </c>
      <c r="Q46" s="154" t="str">
        <f t="shared" ref="Q46:Q77" ca="1" si="76">IF($Q$8="Habilitado",IF($A46="","",ROUND(VLOOKUP($A46,OFERENTE_8,15,FALSE),2)),"")</f>
        <v/>
      </c>
      <c r="R46" s="155" t="str">
        <f t="shared" si="59"/>
        <v/>
      </c>
      <c r="S46" s="154" t="str">
        <f t="shared" ref="S46:S77" ca="1" si="77">IF($S$8="Habilitado",IF($A46="","",ROUND(VLOOKUP($A46,OFERENTE_9,15,FALSE),2)),"")</f>
        <v/>
      </c>
      <c r="T46" s="155" t="str">
        <f t="shared" si="60"/>
        <v/>
      </c>
      <c r="U46" s="154" t="str">
        <f t="shared" ref="U46:U77" ca="1" si="78">IF($U$8="Habilitado",IF($A46="","",ROUND(VLOOKUP($A46,OFERENTE_10,15,FALSE),2)),"")</f>
        <v/>
      </c>
      <c r="V46" s="155" t="str">
        <f t="shared" si="61"/>
        <v/>
      </c>
      <c r="W46" s="154" t="str">
        <f t="shared" ref="W46:W77" ca="1" si="79">IF($W$8="Habilitado",IF($A46="","",ROUND(VLOOKUP($A46,OFERENTE_11,15,FALSE),2)),"")</f>
        <v/>
      </c>
      <c r="X46" s="155" t="str">
        <f t="shared" si="62"/>
        <v/>
      </c>
      <c r="Y46" s="154" t="str">
        <f t="shared" ref="Y46:Y77" ca="1" si="80">IF($Y$8="Habilitado",IF($A46="","",ROUND(VLOOKUP($A46,OFERENTE_12,15,FALSE),2)),"")</f>
        <v/>
      </c>
      <c r="Z46" s="155" t="str">
        <f t="shared" si="63"/>
        <v/>
      </c>
      <c r="AA46" s="154" t="str">
        <f t="shared" ref="AA46:AA77" ca="1" si="81">IF($AA$8="Habilitado",IF($A46="","",ROUND(VLOOKUP($A46,OFERENTE_13,15,FALSE),2)),"")</f>
        <v/>
      </c>
      <c r="AB46" s="155" t="str">
        <f t="shared" si="64"/>
        <v/>
      </c>
      <c r="AC46" s="154" t="str">
        <f t="shared" ref="AC46:AC77" ca="1" si="82">IF($AC$8="Habilitado",IF($A46="","",ROUND(VLOOKUP($A46,OFERENTE_14,15,FALSE),2)),"")</f>
        <v/>
      </c>
      <c r="AD46" s="155" t="str">
        <f t="shared" si="65"/>
        <v/>
      </c>
      <c r="AE46" s="151"/>
      <c r="AF46" s="151"/>
      <c r="AG46" s="151"/>
      <c r="AH46" s="151"/>
      <c r="AI46" s="151"/>
      <c r="AJ46" s="151"/>
      <c r="AL46" s="255" t="e">
        <f t="shared" ca="1" si="66"/>
        <v>#DIV/0!</v>
      </c>
      <c r="AM46" s="70" t="e">
        <f t="shared" ca="1" si="67"/>
        <v>#DIV/0!</v>
      </c>
      <c r="AN46" s="365" t="e">
        <f t="shared" ca="1" si="68"/>
        <v>#DIV/0!</v>
      </c>
      <c r="AO46" s="365" t="e">
        <f t="shared" ca="1" si="69"/>
        <v>#DIV/0!</v>
      </c>
    </row>
    <row r="47" spans="1:41" ht="21.75" hidden="1" customHeight="1" x14ac:dyDescent="0.25">
      <c r="A47" s="152"/>
      <c r="B47" s="153" t="str">
        <f t="shared" si="51"/>
        <v/>
      </c>
      <c r="C47" s="154" t="str">
        <f t="shared" si="70"/>
        <v/>
      </c>
      <c r="D47" s="155" t="str">
        <f t="shared" si="52"/>
        <v/>
      </c>
      <c r="E47" s="154" t="str">
        <f t="shared" ca="1" si="71"/>
        <v/>
      </c>
      <c r="F47" s="155" t="str">
        <f t="shared" si="53"/>
        <v/>
      </c>
      <c r="G47" s="154" t="str">
        <f t="shared" ca="1" si="72"/>
        <v/>
      </c>
      <c r="H47" s="155" t="str">
        <f t="shared" si="54"/>
        <v/>
      </c>
      <c r="I47" s="154" t="str">
        <f t="shared" ca="1" si="73"/>
        <v/>
      </c>
      <c r="J47" s="155" t="str">
        <f t="shared" si="55"/>
        <v/>
      </c>
      <c r="K47" s="154" t="str">
        <f t="shared" ca="1" si="74"/>
        <v/>
      </c>
      <c r="L47" s="155" t="str">
        <f t="shared" si="56"/>
        <v/>
      </c>
      <c r="M47" s="154" t="str">
        <f t="shared" ca="1" si="42"/>
        <v/>
      </c>
      <c r="N47" s="155" t="str">
        <f t="shared" si="57"/>
        <v/>
      </c>
      <c r="O47" s="154" t="str">
        <f t="shared" ca="1" si="75"/>
        <v/>
      </c>
      <c r="P47" s="155" t="str">
        <f t="shared" si="58"/>
        <v/>
      </c>
      <c r="Q47" s="154" t="str">
        <f t="shared" ca="1" si="76"/>
        <v/>
      </c>
      <c r="R47" s="155" t="str">
        <f t="shared" si="59"/>
        <v/>
      </c>
      <c r="S47" s="154" t="str">
        <f t="shared" ca="1" si="77"/>
        <v/>
      </c>
      <c r="T47" s="155" t="str">
        <f t="shared" si="60"/>
        <v/>
      </c>
      <c r="U47" s="154" t="str">
        <f t="shared" ca="1" si="78"/>
        <v/>
      </c>
      <c r="V47" s="155" t="str">
        <f t="shared" si="61"/>
        <v/>
      </c>
      <c r="W47" s="154" t="str">
        <f t="shared" ca="1" si="79"/>
        <v/>
      </c>
      <c r="X47" s="155" t="str">
        <f t="shared" si="62"/>
        <v/>
      </c>
      <c r="Y47" s="154" t="str">
        <f t="shared" ca="1" si="80"/>
        <v/>
      </c>
      <c r="Z47" s="155" t="str">
        <f t="shared" si="63"/>
        <v/>
      </c>
      <c r="AA47" s="154" t="str">
        <f t="shared" ca="1" si="81"/>
        <v/>
      </c>
      <c r="AB47" s="155" t="str">
        <f t="shared" si="64"/>
        <v/>
      </c>
      <c r="AC47" s="154" t="str">
        <f t="shared" ca="1" si="82"/>
        <v/>
      </c>
      <c r="AD47" s="155" t="str">
        <f t="shared" si="65"/>
        <v/>
      </c>
      <c r="AE47" s="151"/>
      <c r="AF47" s="151"/>
      <c r="AG47" s="151"/>
      <c r="AH47" s="151"/>
      <c r="AI47" s="151"/>
      <c r="AJ47" s="151"/>
      <c r="AL47" s="255" t="e">
        <f t="shared" ca="1" si="66"/>
        <v>#DIV/0!</v>
      </c>
      <c r="AM47" s="70" t="e">
        <f t="shared" ca="1" si="67"/>
        <v>#DIV/0!</v>
      </c>
      <c r="AN47" s="365" t="e">
        <f t="shared" ca="1" si="68"/>
        <v>#DIV/0!</v>
      </c>
      <c r="AO47" s="365" t="e">
        <f t="shared" ca="1" si="69"/>
        <v>#DIV/0!</v>
      </c>
    </row>
    <row r="48" spans="1:41" ht="21.75" hidden="1" customHeight="1" x14ac:dyDescent="0.25">
      <c r="A48" s="152"/>
      <c r="B48" s="153" t="str">
        <f t="shared" si="51"/>
        <v/>
      </c>
      <c r="C48" s="154" t="str">
        <f t="shared" si="70"/>
        <v/>
      </c>
      <c r="D48" s="155" t="str">
        <f t="shared" si="52"/>
        <v/>
      </c>
      <c r="E48" s="154" t="str">
        <f t="shared" ca="1" si="71"/>
        <v/>
      </c>
      <c r="F48" s="155" t="str">
        <f t="shared" si="53"/>
        <v/>
      </c>
      <c r="G48" s="154" t="str">
        <f t="shared" ca="1" si="72"/>
        <v/>
      </c>
      <c r="H48" s="155" t="str">
        <f t="shared" si="54"/>
        <v/>
      </c>
      <c r="I48" s="154" t="str">
        <f t="shared" ca="1" si="73"/>
        <v/>
      </c>
      <c r="J48" s="155" t="str">
        <f t="shared" si="55"/>
        <v/>
      </c>
      <c r="K48" s="154" t="str">
        <f t="shared" ca="1" si="74"/>
        <v/>
      </c>
      <c r="L48" s="155" t="str">
        <f t="shared" si="56"/>
        <v/>
      </c>
      <c r="M48" s="154" t="str">
        <f t="shared" ca="1" si="42"/>
        <v/>
      </c>
      <c r="N48" s="155" t="str">
        <f t="shared" si="57"/>
        <v/>
      </c>
      <c r="O48" s="154" t="str">
        <f t="shared" ca="1" si="75"/>
        <v/>
      </c>
      <c r="P48" s="155" t="str">
        <f t="shared" si="58"/>
        <v/>
      </c>
      <c r="Q48" s="154" t="str">
        <f t="shared" ca="1" si="76"/>
        <v/>
      </c>
      <c r="R48" s="155" t="str">
        <f t="shared" si="59"/>
        <v/>
      </c>
      <c r="S48" s="154" t="str">
        <f t="shared" ca="1" si="77"/>
        <v/>
      </c>
      <c r="T48" s="155" t="str">
        <f t="shared" si="60"/>
        <v/>
      </c>
      <c r="U48" s="154" t="str">
        <f t="shared" ca="1" si="78"/>
        <v/>
      </c>
      <c r="V48" s="155" t="str">
        <f t="shared" si="61"/>
        <v/>
      </c>
      <c r="W48" s="154" t="str">
        <f t="shared" ca="1" si="79"/>
        <v/>
      </c>
      <c r="X48" s="155" t="str">
        <f t="shared" si="62"/>
        <v/>
      </c>
      <c r="Y48" s="154" t="str">
        <f t="shared" ca="1" si="80"/>
        <v/>
      </c>
      <c r="Z48" s="155" t="str">
        <f t="shared" si="63"/>
        <v/>
      </c>
      <c r="AA48" s="154" t="str">
        <f t="shared" ca="1" si="81"/>
        <v/>
      </c>
      <c r="AB48" s="155" t="str">
        <f t="shared" si="64"/>
        <v/>
      </c>
      <c r="AC48" s="154" t="str">
        <f t="shared" ca="1" si="82"/>
        <v/>
      </c>
      <c r="AD48" s="155" t="str">
        <f t="shared" si="65"/>
        <v/>
      </c>
      <c r="AE48" s="151"/>
      <c r="AF48" s="151"/>
      <c r="AG48" s="151"/>
      <c r="AH48" s="151"/>
      <c r="AI48" s="151"/>
      <c r="AJ48" s="151"/>
      <c r="AL48" s="255" t="e">
        <f t="shared" ca="1" si="66"/>
        <v>#DIV/0!</v>
      </c>
      <c r="AM48" s="70" t="e">
        <f t="shared" ca="1" si="67"/>
        <v>#DIV/0!</v>
      </c>
      <c r="AN48" s="365" t="e">
        <f t="shared" ca="1" si="68"/>
        <v>#DIV/0!</v>
      </c>
      <c r="AO48" s="365" t="e">
        <f t="shared" ca="1" si="69"/>
        <v>#DIV/0!</v>
      </c>
    </row>
    <row r="49" spans="1:41" ht="21.75" hidden="1" customHeight="1" x14ac:dyDescent="0.25">
      <c r="A49" s="152"/>
      <c r="B49" s="153" t="str">
        <f t="shared" si="51"/>
        <v/>
      </c>
      <c r="C49" s="154" t="str">
        <f t="shared" si="70"/>
        <v/>
      </c>
      <c r="D49" s="155" t="str">
        <f t="shared" si="52"/>
        <v/>
      </c>
      <c r="E49" s="154" t="str">
        <f t="shared" ca="1" si="71"/>
        <v/>
      </c>
      <c r="F49" s="155" t="str">
        <f t="shared" si="53"/>
        <v/>
      </c>
      <c r="G49" s="154" t="str">
        <f t="shared" ca="1" si="72"/>
        <v/>
      </c>
      <c r="H49" s="155" t="str">
        <f t="shared" si="54"/>
        <v/>
      </c>
      <c r="I49" s="154" t="str">
        <f t="shared" ca="1" si="73"/>
        <v/>
      </c>
      <c r="J49" s="155" t="str">
        <f t="shared" si="55"/>
        <v/>
      </c>
      <c r="K49" s="154" t="str">
        <f t="shared" ca="1" si="74"/>
        <v/>
      </c>
      <c r="L49" s="155" t="str">
        <f t="shared" si="56"/>
        <v/>
      </c>
      <c r="M49" s="154" t="str">
        <f t="shared" ca="1" si="42"/>
        <v/>
      </c>
      <c r="N49" s="155" t="str">
        <f t="shared" si="57"/>
        <v/>
      </c>
      <c r="O49" s="154" t="str">
        <f t="shared" ca="1" si="75"/>
        <v/>
      </c>
      <c r="P49" s="155" t="str">
        <f t="shared" si="58"/>
        <v/>
      </c>
      <c r="Q49" s="154" t="str">
        <f t="shared" ca="1" si="76"/>
        <v/>
      </c>
      <c r="R49" s="155" t="str">
        <f t="shared" si="59"/>
        <v/>
      </c>
      <c r="S49" s="154" t="str">
        <f t="shared" ca="1" si="77"/>
        <v/>
      </c>
      <c r="T49" s="155" t="str">
        <f t="shared" si="60"/>
        <v/>
      </c>
      <c r="U49" s="154" t="str">
        <f t="shared" ca="1" si="78"/>
        <v/>
      </c>
      <c r="V49" s="155" t="str">
        <f t="shared" si="61"/>
        <v/>
      </c>
      <c r="W49" s="154" t="str">
        <f t="shared" ca="1" si="79"/>
        <v/>
      </c>
      <c r="X49" s="155" t="str">
        <f t="shared" si="62"/>
        <v/>
      </c>
      <c r="Y49" s="154" t="str">
        <f t="shared" ca="1" si="80"/>
        <v/>
      </c>
      <c r="Z49" s="155" t="str">
        <f t="shared" si="63"/>
        <v/>
      </c>
      <c r="AA49" s="154" t="str">
        <f t="shared" ca="1" si="81"/>
        <v/>
      </c>
      <c r="AB49" s="155" t="str">
        <f t="shared" si="64"/>
        <v/>
      </c>
      <c r="AC49" s="154" t="str">
        <f t="shared" ca="1" si="82"/>
        <v/>
      </c>
      <c r="AD49" s="155" t="str">
        <f t="shared" si="65"/>
        <v/>
      </c>
      <c r="AE49" s="151"/>
      <c r="AF49" s="151"/>
      <c r="AG49" s="151"/>
      <c r="AH49" s="151"/>
      <c r="AI49" s="151"/>
      <c r="AJ49" s="151"/>
      <c r="AL49" s="255" t="e">
        <f t="shared" ca="1" si="66"/>
        <v>#DIV/0!</v>
      </c>
      <c r="AM49" s="70" t="e">
        <f t="shared" ca="1" si="67"/>
        <v>#DIV/0!</v>
      </c>
      <c r="AN49" s="365" t="e">
        <f t="shared" ca="1" si="68"/>
        <v>#DIV/0!</v>
      </c>
      <c r="AO49" s="365" t="e">
        <f t="shared" ca="1" si="69"/>
        <v>#DIV/0!</v>
      </c>
    </row>
    <row r="50" spans="1:41" ht="21.75" hidden="1" customHeight="1" x14ac:dyDescent="0.25">
      <c r="A50" s="152"/>
      <c r="B50" s="153" t="str">
        <f t="shared" si="51"/>
        <v/>
      </c>
      <c r="C50" s="154" t="str">
        <f t="shared" si="70"/>
        <v/>
      </c>
      <c r="D50" s="155" t="str">
        <f t="shared" si="52"/>
        <v/>
      </c>
      <c r="E50" s="154" t="str">
        <f t="shared" ca="1" si="71"/>
        <v/>
      </c>
      <c r="F50" s="155" t="str">
        <f t="shared" si="53"/>
        <v/>
      </c>
      <c r="G50" s="154" t="str">
        <f t="shared" ca="1" si="72"/>
        <v/>
      </c>
      <c r="H50" s="155" t="str">
        <f t="shared" si="54"/>
        <v/>
      </c>
      <c r="I50" s="154" t="str">
        <f t="shared" ca="1" si="73"/>
        <v/>
      </c>
      <c r="J50" s="155" t="str">
        <f t="shared" si="55"/>
        <v/>
      </c>
      <c r="K50" s="154" t="str">
        <f t="shared" ca="1" si="74"/>
        <v/>
      </c>
      <c r="L50" s="155" t="str">
        <f t="shared" si="56"/>
        <v/>
      </c>
      <c r="M50" s="154" t="str">
        <f t="shared" ca="1" si="42"/>
        <v/>
      </c>
      <c r="N50" s="155" t="str">
        <f t="shared" si="57"/>
        <v/>
      </c>
      <c r="O50" s="154" t="str">
        <f t="shared" ca="1" si="75"/>
        <v/>
      </c>
      <c r="P50" s="155" t="str">
        <f t="shared" si="58"/>
        <v/>
      </c>
      <c r="Q50" s="154" t="str">
        <f t="shared" ca="1" si="76"/>
        <v/>
      </c>
      <c r="R50" s="155" t="str">
        <f t="shared" si="59"/>
        <v/>
      </c>
      <c r="S50" s="154" t="str">
        <f t="shared" ca="1" si="77"/>
        <v/>
      </c>
      <c r="T50" s="155" t="str">
        <f t="shared" si="60"/>
        <v/>
      </c>
      <c r="U50" s="154" t="str">
        <f t="shared" ca="1" si="78"/>
        <v/>
      </c>
      <c r="V50" s="155" t="str">
        <f t="shared" si="61"/>
        <v/>
      </c>
      <c r="W50" s="154" t="str">
        <f t="shared" ca="1" si="79"/>
        <v/>
      </c>
      <c r="X50" s="155" t="str">
        <f t="shared" si="62"/>
        <v/>
      </c>
      <c r="Y50" s="154" t="str">
        <f t="shared" ca="1" si="80"/>
        <v/>
      </c>
      <c r="Z50" s="155" t="str">
        <f t="shared" si="63"/>
        <v/>
      </c>
      <c r="AA50" s="154" t="str">
        <f t="shared" ca="1" si="81"/>
        <v/>
      </c>
      <c r="AB50" s="155" t="str">
        <f t="shared" si="64"/>
        <v/>
      </c>
      <c r="AC50" s="154" t="str">
        <f t="shared" ca="1" si="82"/>
        <v/>
      </c>
      <c r="AD50" s="155" t="str">
        <f t="shared" si="65"/>
        <v/>
      </c>
      <c r="AE50" s="151"/>
      <c r="AF50" s="151"/>
      <c r="AG50" s="151"/>
      <c r="AH50" s="151"/>
      <c r="AI50" s="151"/>
      <c r="AJ50" s="151"/>
      <c r="AL50" s="255" t="e">
        <f t="shared" ca="1" si="66"/>
        <v>#DIV/0!</v>
      </c>
      <c r="AM50" s="70" t="e">
        <f t="shared" ca="1" si="67"/>
        <v>#DIV/0!</v>
      </c>
      <c r="AN50" s="365" t="e">
        <f t="shared" ca="1" si="68"/>
        <v>#DIV/0!</v>
      </c>
      <c r="AO50" s="365" t="e">
        <f t="shared" ca="1" si="69"/>
        <v>#DIV/0!</v>
      </c>
    </row>
    <row r="51" spans="1:41" ht="21.75" hidden="1" customHeight="1" x14ac:dyDescent="0.25">
      <c r="A51" s="152"/>
      <c r="B51" s="153" t="str">
        <f t="shared" si="51"/>
        <v/>
      </c>
      <c r="C51" s="154" t="str">
        <f t="shared" si="70"/>
        <v/>
      </c>
      <c r="D51" s="155" t="str">
        <f t="shared" si="52"/>
        <v/>
      </c>
      <c r="E51" s="154" t="str">
        <f t="shared" ca="1" si="71"/>
        <v/>
      </c>
      <c r="F51" s="155" t="str">
        <f t="shared" si="53"/>
        <v/>
      </c>
      <c r="G51" s="154" t="str">
        <f t="shared" ca="1" si="72"/>
        <v/>
      </c>
      <c r="H51" s="155" t="str">
        <f t="shared" si="54"/>
        <v/>
      </c>
      <c r="I51" s="154" t="str">
        <f t="shared" ca="1" si="73"/>
        <v/>
      </c>
      <c r="J51" s="155" t="str">
        <f t="shared" si="55"/>
        <v/>
      </c>
      <c r="K51" s="154" t="str">
        <f t="shared" ca="1" si="74"/>
        <v/>
      </c>
      <c r="L51" s="155" t="str">
        <f t="shared" si="56"/>
        <v/>
      </c>
      <c r="M51" s="154" t="str">
        <f t="shared" ca="1" si="42"/>
        <v/>
      </c>
      <c r="N51" s="155" t="str">
        <f t="shared" si="57"/>
        <v/>
      </c>
      <c r="O51" s="154" t="str">
        <f t="shared" ca="1" si="75"/>
        <v/>
      </c>
      <c r="P51" s="155" t="str">
        <f t="shared" si="58"/>
        <v/>
      </c>
      <c r="Q51" s="154" t="str">
        <f t="shared" ca="1" si="76"/>
        <v/>
      </c>
      <c r="R51" s="155" t="str">
        <f t="shared" si="59"/>
        <v/>
      </c>
      <c r="S51" s="154" t="str">
        <f t="shared" ca="1" si="77"/>
        <v/>
      </c>
      <c r="T51" s="155" t="str">
        <f t="shared" si="60"/>
        <v/>
      </c>
      <c r="U51" s="154" t="str">
        <f t="shared" ca="1" si="78"/>
        <v/>
      </c>
      <c r="V51" s="155" t="str">
        <f t="shared" si="61"/>
        <v/>
      </c>
      <c r="W51" s="154" t="str">
        <f t="shared" ca="1" si="79"/>
        <v/>
      </c>
      <c r="X51" s="155" t="str">
        <f t="shared" si="62"/>
        <v/>
      </c>
      <c r="Y51" s="154" t="str">
        <f t="shared" ca="1" si="80"/>
        <v/>
      </c>
      <c r="Z51" s="155" t="str">
        <f t="shared" si="63"/>
        <v/>
      </c>
      <c r="AA51" s="154" t="str">
        <f t="shared" ca="1" si="81"/>
        <v/>
      </c>
      <c r="AB51" s="155" t="str">
        <f t="shared" si="64"/>
        <v/>
      </c>
      <c r="AC51" s="154" t="str">
        <f t="shared" ca="1" si="82"/>
        <v/>
      </c>
      <c r="AD51" s="155" t="str">
        <f t="shared" si="65"/>
        <v/>
      </c>
      <c r="AE51" s="151"/>
      <c r="AF51" s="151"/>
      <c r="AG51" s="151"/>
      <c r="AH51" s="151"/>
      <c r="AI51" s="151"/>
      <c r="AJ51" s="151"/>
      <c r="AL51" s="255" t="e">
        <f t="shared" ca="1" si="66"/>
        <v>#DIV/0!</v>
      </c>
      <c r="AM51" s="70" t="e">
        <f t="shared" ca="1" si="67"/>
        <v>#DIV/0!</v>
      </c>
      <c r="AN51" s="365" t="e">
        <f t="shared" ca="1" si="68"/>
        <v>#DIV/0!</v>
      </c>
      <c r="AO51" s="365" t="e">
        <f t="shared" ca="1" si="69"/>
        <v>#DIV/0!</v>
      </c>
    </row>
    <row r="52" spans="1:41" ht="21.75" hidden="1" customHeight="1" x14ac:dyDescent="0.25">
      <c r="A52" s="152"/>
      <c r="B52" s="153" t="str">
        <f t="shared" si="51"/>
        <v/>
      </c>
      <c r="C52" s="154" t="str">
        <f t="shared" si="70"/>
        <v/>
      </c>
      <c r="D52" s="155" t="str">
        <f t="shared" si="52"/>
        <v/>
      </c>
      <c r="E52" s="154" t="str">
        <f t="shared" ca="1" si="71"/>
        <v/>
      </c>
      <c r="F52" s="155" t="str">
        <f t="shared" si="53"/>
        <v/>
      </c>
      <c r="G52" s="154" t="str">
        <f t="shared" ca="1" si="72"/>
        <v/>
      </c>
      <c r="H52" s="155" t="str">
        <f t="shared" si="54"/>
        <v/>
      </c>
      <c r="I52" s="154" t="str">
        <f t="shared" ca="1" si="73"/>
        <v/>
      </c>
      <c r="J52" s="155" t="str">
        <f t="shared" si="55"/>
        <v/>
      </c>
      <c r="K52" s="154" t="str">
        <f t="shared" ca="1" si="74"/>
        <v/>
      </c>
      <c r="L52" s="155" t="str">
        <f t="shared" si="56"/>
        <v/>
      </c>
      <c r="M52" s="154" t="str">
        <f t="shared" ca="1" si="42"/>
        <v/>
      </c>
      <c r="N52" s="155" t="str">
        <f t="shared" si="57"/>
        <v/>
      </c>
      <c r="O52" s="154" t="str">
        <f t="shared" ca="1" si="75"/>
        <v/>
      </c>
      <c r="P52" s="155" t="str">
        <f t="shared" si="58"/>
        <v/>
      </c>
      <c r="Q52" s="154" t="str">
        <f t="shared" ca="1" si="76"/>
        <v/>
      </c>
      <c r="R52" s="155" t="str">
        <f t="shared" si="59"/>
        <v/>
      </c>
      <c r="S52" s="154" t="str">
        <f t="shared" ca="1" si="77"/>
        <v/>
      </c>
      <c r="T52" s="155" t="str">
        <f t="shared" si="60"/>
        <v/>
      </c>
      <c r="U52" s="154" t="str">
        <f t="shared" ca="1" si="78"/>
        <v/>
      </c>
      <c r="V52" s="155" t="str">
        <f t="shared" si="61"/>
        <v/>
      </c>
      <c r="W52" s="154" t="str">
        <f t="shared" ca="1" si="79"/>
        <v/>
      </c>
      <c r="X52" s="155" t="str">
        <f t="shared" si="62"/>
        <v/>
      </c>
      <c r="Y52" s="154" t="str">
        <f t="shared" ca="1" si="80"/>
        <v/>
      </c>
      <c r="Z52" s="155" t="str">
        <f t="shared" si="63"/>
        <v/>
      </c>
      <c r="AA52" s="154" t="str">
        <f t="shared" ca="1" si="81"/>
        <v/>
      </c>
      <c r="AB52" s="155" t="str">
        <f t="shared" si="64"/>
        <v/>
      </c>
      <c r="AC52" s="154" t="str">
        <f t="shared" ca="1" si="82"/>
        <v/>
      </c>
      <c r="AD52" s="155" t="str">
        <f t="shared" si="65"/>
        <v/>
      </c>
      <c r="AE52" s="151"/>
      <c r="AF52" s="151"/>
      <c r="AG52" s="151"/>
      <c r="AH52" s="151"/>
      <c r="AI52" s="151"/>
      <c r="AJ52" s="151"/>
      <c r="AL52" s="255" t="e">
        <f t="shared" ca="1" si="66"/>
        <v>#DIV/0!</v>
      </c>
      <c r="AM52" s="70" t="e">
        <f t="shared" ca="1" si="67"/>
        <v>#DIV/0!</v>
      </c>
      <c r="AN52" s="365" t="e">
        <f t="shared" ca="1" si="68"/>
        <v>#DIV/0!</v>
      </c>
      <c r="AO52" s="365" t="e">
        <f t="shared" ca="1" si="69"/>
        <v>#DIV/0!</v>
      </c>
    </row>
    <row r="53" spans="1:41" ht="21.75" hidden="1" customHeight="1" x14ac:dyDescent="0.25">
      <c r="A53" s="152"/>
      <c r="B53" s="153" t="str">
        <f t="shared" si="51"/>
        <v/>
      </c>
      <c r="C53" s="154" t="str">
        <f t="shared" si="70"/>
        <v/>
      </c>
      <c r="D53" s="155" t="str">
        <f t="shared" si="52"/>
        <v/>
      </c>
      <c r="E53" s="154" t="str">
        <f t="shared" ca="1" si="71"/>
        <v/>
      </c>
      <c r="F53" s="155" t="str">
        <f t="shared" si="53"/>
        <v/>
      </c>
      <c r="G53" s="154" t="str">
        <f t="shared" ca="1" si="72"/>
        <v/>
      </c>
      <c r="H53" s="155" t="str">
        <f t="shared" si="54"/>
        <v/>
      </c>
      <c r="I53" s="154" t="str">
        <f t="shared" ca="1" si="73"/>
        <v/>
      </c>
      <c r="J53" s="155" t="str">
        <f t="shared" si="55"/>
        <v/>
      </c>
      <c r="K53" s="154" t="str">
        <f t="shared" ca="1" si="74"/>
        <v/>
      </c>
      <c r="L53" s="155" t="str">
        <f t="shared" si="56"/>
        <v/>
      </c>
      <c r="M53" s="154" t="str">
        <f t="shared" ca="1" si="42"/>
        <v/>
      </c>
      <c r="N53" s="155" t="str">
        <f t="shared" si="57"/>
        <v/>
      </c>
      <c r="O53" s="154" t="str">
        <f t="shared" ca="1" si="75"/>
        <v/>
      </c>
      <c r="P53" s="155" t="str">
        <f t="shared" si="58"/>
        <v/>
      </c>
      <c r="Q53" s="154" t="str">
        <f t="shared" ca="1" si="76"/>
        <v/>
      </c>
      <c r="R53" s="155" t="str">
        <f t="shared" si="59"/>
        <v/>
      </c>
      <c r="S53" s="154" t="str">
        <f t="shared" ca="1" si="77"/>
        <v/>
      </c>
      <c r="T53" s="155" t="str">
        <f t="shared" si="60"/>
        <v/>
      </c>
      <c r="U53" s="154" t="str">
        <f t="shared" ca="1" si="78"/>
        <v/>
      </c>
      <c r="V53" s="155" t="str">
        <f t="shared" si="61"/>
        <v/>
      </c>
      <c r="W53" s="154" t="str">
        <f t="shared" ca="1" si="79"/>
        <v/>
      </c>
      <c r="X53" s="155" t="str">
        <f t="shared" si="62"/>
        <v/>
      </c>
      <c r="Y53" s="154" t="str">
        <f t="shared" ca="1" si="80"/>
        <v/>
      </c>
      <c r="Z53" s="155" t="str">
        <f t="shared" si="63"/>
        <v/>
      </c>
      <c r="AA53" s="154" t="str">
        <f t="shared" ca="1" si="81"/>
        <v/>
      </c>
      <c r="AB53" s="155" t="str">
        <f t="shared" si="64"/>
        <v/>
      </c>
      <c r="AC53" s="154" t="str">
        <f t="shared" ca="1" si="82"/>
        <v/>
      </c>
      <c r="AD53" s="155" t="str">
        <f t="shared" si="65"/>
        <v/>
      </c>
      <c r="AE53" s="151"/>
      <c r="AF53" s="151"/>
      <c r="AG53" s="151"/>
      <c r="AH53" s="151"/>
      <c r="AI53" s="151"/>
      <c r="AJ53" s="151"/>
      <c r="AL53" s="255" t="e">
        <f t="shared" ca="1" si="66"/>
        <v>#DIV/0!</v>
      </c>
      <c r="AM53" s="70" t="e">
        <f t="shared" ca="1" si="67"/>
        <v>#DIV/0!</v>
      </c>
      <c r="AN53" s="365" t="e">
        <f t="shared" ca="1" si="68"/>
        <v>#DIV/0!</v>
      </c>
      <c r="AO53" s="365" t="e">
        <f t="shared" ca="1" si="69"/>
        <v>#DIV/0!</v>
      </c>
    </row>
    <row r="54" spans="1:41" ht="21.75" hidden="1" customHeight="1" x14ac:dyDescent="0.25">
      <c r="A54" s="152"/>
      <c r="B54" s="153" t="str">
        <f t="shared" si="51"/>
        <v/>
      </c>
      <c r="C54" s="154" t="str">
        <f t="shared" si="70"/>
        <v/>
      </c>
      <c r="D54" s="155" t="str">
        <f t="shared" si="52"/>
        <v/>
      </c>
      <c r="E54" s="154" t="str">
        <f t="shared" ca="1" si="71"/>
        <v/>
      </c>
      <c r="F54" s="155" t="str">
        <f t="shared" si="53"/>
        <v/>
      </c>
      <c r="G54" s="154" t="str">
        <f t="shared" ca="1" si="72"/>
        <v/>
      </c>
      <c r="H54" s="155" t="str">
        <f t="shared" si="54"/>
        <v/>
      </c>
      <c r="I54" s="154" t="str">
        <f t="shared" ca="1" si="73"/>
        <v/>
      </c>
      <c r="J54" s="155" t="str">
        <f t="shared" si="55"/>
        <v/>
      </c>
      <c r="K54" s="154" t="str">
        <f t="shared" ca="1" si="74"/>
        <v/>
      </c>
      <c r="L54" s="155" t="str">
        <f t="shared" si="56"/>
        <v/>
      </c>
      <c r="M54" s="154" t="str">
        <f t="shared" ca="1" si="42"/>
        <v/>
      </c>
      <c r="N54" s="155" t="str">
        <f t="shared" si="57"/>
        <v/>
      </c>
      <c r="O54" s="154" t="str">
        <f t="shared" ca="1" si="75"/>
        <v/>
      </c>
      <c r="P54" s="155" t="str">
        <f t="shared" si="58"/>
        <v/>
      </c>
      <c r="Q54" s="154" t="str">
        <f t="shared" ca="1" si="76"/>
        <v/>
      </c>
      <c r="R54" s="155" t="str">
        <f t="shared" si="59"/>
        <v/>
      </c>
      <c r="S54" s="154" t="str">
        <f t="shared" ca="1" si="77"/>
        <v/>
      </c>
      <c r="T54" s="155" t="str">
        <f t="shared" si="60"/>
        <v/>
      </c>
      <c r="U54" s="154" t="str">
        <f t="shared" ca="1" si="78"/>
        <v/>
      </c>
      <c r="V54" s="155" t="str">
        <f t="shared" si="61"/>
        <v/>
      </c>
      <c r="W54" s="154" t="str">
        <f t="shared" ca="1" si="79"/>
        <v/>
      </c>
      <c r="X54" s="155" t="str">
        <f t="shared" si="62"/>
        <v/>
      </c>
      <c r="Y54" s="154" t="str">
        <f t="shared" ca="1" si="80"/>
        <v/>
      </c>
      <c r="Z54" s="155" t="str">
        <f t="shared" si="63"/>
        <v/>
      </c>
      <c r="AA54" s="154" t="str">
        <f t="shared" ca="1" si="81"/>
        <v/>
      </c>
      <c r="AB54" s="155" t="str">
        <f t="shared" si="64"/>
        <v/>
      </c>
      <c r="AC54" s="154" t="str">
        <f t="shared" ca="1" si="82"/>
        <v/>
      </c>
      <c r="AD54" s="155" t="str">
        <f t="shared" si="65"/>
        <v/>
      </c>
      <c r="AE54" s="151"/>
      <c r="AF54" s="151"/>
      <c r="AG54" s="151"/>
      <c r="AH54" s="151"/>
      <c r="AI54" s="151"/>
      <c r="AJ54" s="151"/>
      <c r="AL54" s="255" t="e">
        <f t="shared" ca="1" si="66"/>
        <v>#DIV/0!</v>
      </c>
      <c r="AM54" s="70" t="e">
        <f t="shared" ca="1" si="67"/>
        <v>#DIV/0!</v>
      </c>
      <c r="AN54" s="365" t="e">
        <f t="shared" ca="1" si="68"/>
        <v>#DIV/0!</v>
      </c>
      <c r="AO54" s="365" t="e">
        <f t="shared" ca="1" si="69"/>
        <v>#DIV/0!</v>
      </c>
    </row>
    <row r="55" spans="1:41" ht="21.75" hidden="1" customHeight="1" x14ac:dyDescent="0.25">
      <c r="A55" s="152"/>
      <c r="B55" s="153" t="str">
        <f t="shared" si="51"/>
        <v/>
      </c>
      <c r="C55" s="154" t="str">
        <f t="shared" si="70"/>
        <v/>
      </c>
      <c r="D55" s="155" t="str">
        <f t="shared" si="52"/>
        <v/>
      </c>
      <c r="E55" s="154" t="str">
        <f t="shared" ca="1" si="71"/>
        <v/>
      </c>
      <c r="F55" s="155" t="str">
        <f t="shared" si="53"/>
        <v/>
      </c>
      <c r="G55" s="154" t="str">
        <f t="shared" ca="1" si="72"/>
        <v/>
      </c>
      <c r="H55" s="155" t="str">
        <f t="shared" si="54"/>
        <v/>
      </c>
      <c r="I55" s="154" t="str">
        <f t="shared" ca="1" si="73"/>
        <v/>
      </c>
      <c r="J55" s="155" t="str">
        <f t="shared" si="55"/>
        <v/>
      </c>
      <c r="K55" s="154" t="str">
        <f t="shared" ca="1" si="74"/>
        <v/>
      </c>
      <c r="L55" s="155" t="str">
        <f t="shared" si="56"/>
        <v/>
      </c>
      <c r="M55" s="154" t="str">
        <f t="shared" ca="1" si="42"/>
        <v/>
      </c>
      <c r="N55" s="155" t="str">
        <f t="shared" si="57"/>
        <v/>
      </c>
      <c r="O55" s="154" t="str">
        <f t="shared" ca="1" si="75"/>
        <v/>
      </c>
      <c r="P55" s="155" t="str">
        <f t="shared" si="58"/>
        <v/>
      </c>
      <c r="Q55" s="154" t="str">
        <f t="shared" ca="1" si="76"/>
        <v/>
      </c>
      <c r="R55" s="155" t="str">
        <f t="shared" si="59"/>
        <v/>
      </c>
      <c r="S55" s="154" t="str">
        <f t="shared" ca="1" si="77"/>
        <v/>
      </c>
      <c r="T55" s="155" t="str">
        <f t="shared" si="60"/>
        <v/>
      </c>
      <c r="U55" s="154" t="str">
        <f t="shared" ca="1" si="78"/>
        <v/>
      </c>
      <c r="V55" s="155" t="str">
        <f t="shared" si="61"/>
        <v/>
      </c>
      <c r="W55" s="154" t="str">
        <f t="shared" ca="1" si="79"/>
        <v/>
      </c>
      <c r="X55" s="155" t="str">
        <f t="shared" si="62"/>
        <v/>
      </c>
      <c r="Y55" s="154" t="str">
        <f t="shared" ca="1" si="80"/>
        <v/>
      </c>
      <c r="Z55" s="155" t="str">
        <f t="shared" si="63"/>
        <v/>
      </c>
      <c r="AA55" s="154" t="str">
        <f t="shared" ca="1" si="81"/>
        <v/>
      </c>
      <c r="AB55" s="155" t="str">
        <f t="shared" si="64"/>
        <v/>
      </c>
      <c r="AC55" s="154" t="str">
        <f t="shared" ca="1" si="82"/>
        <v/>
      </c>
      <c r="AD55" s="155" t="str">
        <f t="shared" si="65"/>
        <v/>
      </c>
      <c r="AE55" s="151"/>
      <c r="AF55" s="151"/>
      <c r="AG55" s="151"/>
      <c r="AH55" s="151"/>
      <c r="AI55" s="151"/>
      <c r="AJ55" s="151"/>
      <c r="AL55" s="255" t="e">
        <f t="shared" ca="1" si="66"/>
        <v>#DIV/0!</v>
      </c>
      <c r="AM55" s="70" t="e">
        <f t="shared" ca="1" si="67"/>
        <v>#DIV/0!</v>
      </c>
      <c r="AN55" s="365" t="e">
        <f t="shared" ca="1" si="68"/>
        <v>#DIV/0!</v>
      </c>
      <c r="AO55" s="365" t="e">
        <f t="shared" ca="1" si="69"/>
        <v>#DIV/0!</v>
      </c>
    </row>
    <row r="56" spans="1:41" ht="21.75" hidden="1" customHeight="1" x14ac:dyDescent="0.25">
      <c r="A56" s="152"/>
      <c r="B56" s="153" t="str">
        <f t="shared" si="51"/>
        <v/>
      </c>
      <c r="C56" s="154" t="str">
        <f t="shared" si="70"/>
        <v/>
      </c>
      <c r="D56" s="155" t="str">
        <f t="shared" si="52"/>
        <v/>
      </c>
      <c r="E56" s="154" t="str">
        <f t="shared" ca="1" si="71"/>
        <v/>
      </c>
      <c r="F56" s="155" t="str">
        <f t="shared" si="53"/>
        <v/>
      </c>
      <c r="G56" s="154" t="str">
        <f t="shared" ca="1" si="72"/>
        <v/>
      </c>
      <c r="H56" s="155" t="str">
        <f t="shared" si="54"/>
        <v/>
      </c>
      <c r="I56" s="154" t="str">
        <f t="shared" ca="1" si="73"/>
        <v/>
      </c>
      <c r="J56" s="155" t="str">
        <f t="shared" si="55"/>
        <v/>
      </c>
      <c r="K56" s="154" t="str">
        <f t="shared" ca="1" si="74"/>
        <v/>
      </c>
      <c r="L56" s="155" t="str">
        <f t="shared" si="56"/>
        <v/>
      </c>
      <c r="M56" s="154" t="str">
        <f t="shared" ca="1" si="42"/>
        <v/>
      </c>
      <c r="N56" s="155" t="str">
        <f t="shared" si="57"/>
        <v/>
      </c>
      <c r="O56" s="154" t="str">
        <f t="shared" ca="1" si="75"/>
        <v/>
      </c>
      <c r="P56" s="155" t="str">
        <f t="shared" si="58"/>
        <v/>
      </c>
      <c r="Q56" s="154" t="str">
        <f t="shared" ca="1" si="76"/>
        <v/>
      </c>
      <c r="R56" s="155" t="str">
        <f t="shared" si="59"/>
        <v/>
      </c>
      <c r="S56" s="154" t="str">
        <f t="shared" ca="1" si="77"/>
        <v/>
      </c>
      <c r="T56" s="155" t="str">
        <f t="shared" si="60"/>
        <v/>
      </c>
      <c r="U56" s="154" t="str">
        <f t="shared" ca="1" si="78"/>
        <v/>
      </c>
      <c r="V56" s="155" t="str">
        <f t="shared" si="61"/>
        <v/>
      </c>
      <c r="W56" s="154" t="str">
        <f t="shared" ca="1" si="79"/>
        <v/>
      </c>
      <c r="X56" s="155" t="str">
        <f t="shared" si="62"/>
        <v/>
      </c>
      <c r="Y56" s="154" t="str">
        <f t="shared" ca="1" si="80"/>
        <v/>
      </c>
      <c r="Z56" s="155" t="str">
        <f t="shared" si="63"/>
        <v/>
      </c>
      <c r="AA56" s="154" t="str">
        <f t="shared" ca="1" si="81"/>
        <v/>
      </c>
      <c r="AB56" s="155" t="str">
        <f t="shared" si="64"/>
        <v/>
      </c>
      <c r="AC56" s="154" t="str">
        <f t="shared" ca="1" si="82"/>
        <v/>
      </c>
      <c r="AD56" s="155" t="str">
        <f t="shared" si="65"/>
        <v/>
      </c>
      <c r="AE56" s="151"/>
      <c r="AF56" s="151"/>
      <c r="AG56" s="151"/>
      <c r="AH56" s="151"/>
      <c r="AI56" s="151"/>
      <c r="AJ56" s="151"/>
      <c r="AL56" s="255" t="e">
        <f t="shared" ca="1" si="66"/>
        <v>#DIV/0!</v>
      </c>
      <c r="AM56" s="70" t="e">
        <f t="shared" ca="1" si="67"/>
        <v>#DIV/0!</v>
      </c>
      <c r="AN56" s="365" t="e">
        <f t="shared" ca="1" si="68"/>
        <v>#DIV/0!</v>
      </c>
      <c r="AO56" s="365" t="e">
        <f t="shared" ca="1" si="69"/>
        <v>#DIV/0!</v>
      </c>
    </row>
    <row r="57" spans="1:41" ht="21.75" hidden="1" customHeight="1" x14ac:dyDescent="0.25">
      <c r="A57" s="152"/>
      <c r="B57" s="153" t="str">
        <f t="shared" si="51"/>
        <v/>
      </c>
      <c r="C57" s="154" t="str">
        <f t="shared" si="70"/>
        <v/>
      </c>
      <c r="D57" s="155" t="str">
        <f t="shared" si="52"/>
        <v/>
      </c>
      <c r="E57" s="154" t="str">
        <f t="shared" ca="1" si="71"/>
        <v/>
      </c>
      <c r="F57" s="155" t="str">
        <f t="shared" si="53"/>
        <v/>
      </c>
      <c r="G57" s="154" t="str">
        <f t="shared" ca="1" si="72"/>
        <v/>
      </c>
      <c r="H57" s="155" t="str">
        <f t="shared" si="54"/>
        <v/>
      </c>
      <c r="I57" s="154" t="str">
        <f t="shared" ca="1" si="73"/>
        <v/>
      </c>
      <c r="J57" s="155" t="str">
        <f t="shared" si="55"/>
        <v/>
      </c>
      <c r="K57" s="154" t="str">
        <f t="shared" ca="1" si="74"/>
        <v/>
      </c>
      <c r="L57" s="155" t="str">
        <f t="shared" si="56"/>
        <v/>
      </c>
      <c r="M57" s="154" t="str">
        <f t="shared" ca="1" si="42"/>
        <v/>
      </c>
      <c r="N57" s="155" t="str">
        <f t="shared" si="57"/>
        <v/>
      </c>
      <c r="O57" s="154" t="str">
        <f t="shared" ca="1" si="75"/>
        <v/>
      </c>
      <c r="P57" s="155" t="str">
        <f t="shared" si="58"/>
        <v/>
      </c>
      <c r="Q57" s="154" t="str">
        <f t="shared" ca="1" si="76"/>
        <v/>
      </c>
      <c r="R57" s="155" t="str">
        <f t="shared" si="59"/>
        <v/>
      </c>
      <c r="S57" s="154" t="str">
        <f t="shared" ca="1" si="77"/>
        <v/>
      </c>
      <c r="T57" s="155" t="str">
        <f t="shared" si="60"/>
        <v/>
      </c>
      <c r="U57" s="154" t="str">
        <f t="shared" ca="1" si="78"/>
        <v/>
      </c>
      <c r="V57" s="155" t="str">
        <f t="shared" si="61"/>
        <v/>
      </c>
      <c r="W57" s="154" t="str">
        <f t="shared" ca="1" si="79"/>
        <v/>
      </c>
      <c r="X57" s="155" t="str">
        <f t="shared" si="62"/>
        <v/>
      </c>
      <c r="Y57" s="154" t="str">
        <f t="shared" ca="1" si="80"/>
        <v/>
      </c>
      <c r="Z57" s="155" t="str">
        <f t="shared" si="63"/>
        <v/>
      </c>
      <c r="AA57" s="154" t="str">
        <f t="shared" ca="1" si="81"/>
        <v/>
      </c>
      <c r="AB57" s="155" t="str">
        <f t="shared" si="64"/>
        <v/>
      </c>
      <c r="AC57" s="154" t="str">
        <f t="shared" ca="1" si="82"/>
        <v/>
      </c>
      <c r="AD57" s="155" t="str">
        <f t="shared" si="65"/>
        <v/>
      </c>
      <c r="AE57" s="151"/>
      <c r="AF57" s="151"/>
      <c r="AG57" s="151"/>
      <c r="AH57" s="151"/>
      <c r="AI57" s="151"/>
      <c r="AJ57" s="151"/>
      <c r="AL57" s="255" t="e">
        <f t="shared" ca="1" si="66"/>
        <v>#DIV/0!</v>
      </c>
      <c r="AM57" s="70" t="e">
        <f t="shared" ca="1" si="67"/>
        <v>#DIV/0!</v>
      </c>
      <c r="AN57" s="365" t="e">
        <f t="shared" ca="1" si="68"/>
        <v>#DIV/0!</v>
      </c>
      <c r="AO57" s="365" t="e">
        <f t="shared" ca="1" si="69"/>
        <v>#DIV/0!</v>
      </c>
    </row>
    <row r="58" spans="1:41" ht="21.75" hidden="1" customHeight="1" x14ac:dyDescent="0.25">
      <c r="A58" s="152"/>
      <c r="B58" s="153" t="str">
        <f t="shared" si="51"/>
        <v/>
      </c>
      <c r="C58" s="154" t="str">
        <f t="shared" si="70"/>
        <v/>
      </c>
      <c r="D58" s="155" t="str">
        <f t="shared" si="52"/>
        <v/>
      </c>
      <c r="E58" s="154" t="str">
        <f t="shared" ca="1" si="71"/>
        <v/>
      </c>
      <c r="F58" s="155" t="str">
        <f t="shared" si="53"/>
        <v/>
      </c>
      <c r="G58" s="154" t="str">
        <f t="shared" ca="1" si="72"/>
        <v/>
      </c>
      <c r="H58" s="155" t="str">
        <f t="shared" si="54"/>
        <v/>
      </c>
      <c r="I58" s="154" t="str">
        <f t="shared" ca="1" si="73"/>
        <v/>
      </c>
      <c r="J58" s="155" t="str">
        <f t="shared" si="55"/>
        <v/>
      </c>
      <c r="K58" s="154" t="str">
        <f t="shared" ca="1" si="74"/>
        <v/>
      </c>
      <c r="L58" s="155" t="str">
        <f t="shared" si="56"/>
        <v/>
      </c>
      <c r="M58" s="154" t="str">
        <f t="shared" ca="1" si="42"/>
        <v/>
      </c>
      <c r="N58" s="155" t="str">
        <f t="shared" si="57"/>
        <v/>
      </c>
      <c r="O58" s="154" t="str">
        <f t="shared" ca="1" si="75"/>
        <v/>
      </c>
      <c r="P58" s="155" t="str">
        <f t="shared" si="58"/>
        <v/>
      </c>
      <c r="Q58" s="154" t="str">
        <f t="shared" ca="1" si="76"/>
        <v/>
      </c>
      <c r="R58" s="155" t="str">
        <f t="shared" si="59"/>
        <v/>
      </c>
      <c r="S58" s="154" t="str">
        <f t="shared" ca="1" si="77"/>
        <v/>
      </c>
      <c r="T58" s="155" t="str">
        <f t="shared" si="60"/>
        <v/>
      </c>
      <c r="U58" s="154" t="str">
        <f t="shared" ca="1" si="78"/>
        <v/>
      </c>
      <c r="V58" s="155" t="str">
        <f t="shared" si="61"/>
        <v/>
      </c>
      <c r="W58" s="154" t="str">
        <f t="shared" ca="1" si="79"/>
        <v/>
      </c>
      <c r="X58" s="155" t="str">
        <f t="shared" si="62"/>
        <v/>
      </c>
      <c r="Y58" s="154" t="str">
        <f t="shared" ca="1" si="80"/>
        <v/>
      </c>
      <c r="Z58" s="155" t="str">
        <f t="shared" si="63"/>
        <v/>
      </c>
      <c r="AA58" s="154" t="str">
        <f t="shared" ca="1" si="81"/>
        <v/>
      </c>
      <c r="AB58" s="155" t="str">
        <f t="shared" si="64"/>
        <v/>
      </c>
      <c r="AC58" s="154" t="str">
        <f t="shared" ca="1" si="82"/>
        <v/>
      </c>
      <c r="AD58" s="155" t="str">
        <f t="shared" si="65"/>
        <v/>
      </c>
      <c r="AE58" s="151"/>
      <c r="AF58" s="151"/>
      <c r="AG58" s="151"/>
      <c r="AH58" s="151"/>
      <c r="AI58" s="151"/>
      <c r="AJ58" s="151"/>
      <c r="AL58" s="255" t="e">
        <f t="shared" ca="1" si="66"/>
        <v>#DIV/0!</v>
      </c>
      <c r="AM58" s="70" t="e">
        <f t="shared" ca="1" si="67"/>
        <v>#DIV/0!</v>
      </c>
      <c r="AN58" s="365" t="e">
        <f t="shared" ca="1" si="68"/>
        <v>#DIV/0!</v>
      </c>
      <c r="AO58" s="365" t="e">
        <f t="shared" ca="1" si="69"/>
        <v>#DIV/0!</v>
      </c>
    </row>
    <row r="59" spans="1:41" ht="21.75" hidden="1" customHeight="1" x14ac:dyDescent="0.25">
      <c r="A59" s="152"/>
      <c r="B59" s="153" t="str">
        <f t="shared" si="51"/>
        <v/>
      </c>
      <c r="C59" s="154" t="str">
        <f t="shared" si="70"/>
        <v/>
      </c>
      <c r="D59" s="155" t="str">
        <f t="shared" si="52"/>
        <v/>
      </c>
      <c r="E59" s="154" t="str">
        <f t="shared" ca="1" si="71"/>
        <v/>
      </c>
      <c r="F59" s="155" t="str">
        <f t="shared" si="53"/>
        <v/>
      </c>
      <c r="G59" s="154" t="str">
        <f t="shared" ca="1" si="72"/>
        <v/>
      </c>
      <c r="H59" s="155" t="str">
        <f t="shared" si="54"/>
        <v/>
      </c>
      <c r="I59" s="154" t="str">
        <f t="shared" ca="1" si="73"/>
        <v/>
      </c>
      <c r="J59" s="155" t="str">
        <f t="shared" si="55"/>
        <v/>
      </c>
      <c r="K59" s="154" t="str">
        <f t="shared" ca="1" si="74"/>
        <v/>
      </c>
      <c r="L59" s="155" t="str">
        <f t="shared" si="56"/>
        <v/>
      </c>
      <c r="M59" s="154" t="str">
        <f t="shared" ca="1" si="42"/>
        <v/>
      </c>
      <c r="N59" s="155" t="str">
        <f t="shared" si="57"/>
        <v/>
      </c>
      <c r="O59" s="154" t="str">
        <f t="shared" ca="1" si="75"/>
        <v/>
      </c>
      <c r="P59" s="155" t="str">
        <f t="shared" si="58"/>
        <v/>
      </c>
      <c r="Q59" s="154" t="str">
        <f t="shared" ca="1" si="76"/>
        <v/>
      </c>
      <c r="R59" s="155" t="str">
        <f t="shared" si="59"/>
        <v/>
      </c>
      <c r="S59" s="154" t="str">
        <f t="shared" ca="1" si="77"/>
        <v/>
      </c>
      <c r="T59" s="155" t="str">
        <f t="shared" si="60"/>
        <v/>
      </c>
      <c r="U59" s="154" t="str">
        <f t="shared" ca="1" si="78"/>
        <v/>
      </c>
      <c r="V59" s="155" t="str">
        <f t="shared" si="61"/>
        <v/>
      </c>
      <c r="W59" s="154" t="str">
        <f t="shared" ca="1" si="79"/>
        <v/>
      </c>
      <c r="X59" s="155" t="str">
        <f t="shared" si="62"/>
        <v/>
      </c>
      <c r="Y59" s="154" t="str">
        <f t="shared" ca="1" si="80"/>
        <v/>
      </c>
      <c r="Z59" s="155" t="str">
        <f t="shared" si="63"/>
        <v/>
      </c>
      <c r="AA59" s="154" t="str">
        <f t="shared" ca="1" si="81"/>
        <v/>
      </c>
      <c r="AB59" s="155" t="str">
        <f t="shared" si="64"/>
        <v/>
      </c>
      <c r="AC59" s="154" t="str">
        <f t="shared" ca="1" si="82"/>
        <v/>
      </c>
      <c r="AD59" s="155" t="str">
        <f t="shared" si="65"/>
        <v/>
      </c>
      <c r="AE59" s="151"/>
      <c r="AF59" s="151"/>
      <c r="AG59" s="151"/>
      <c r="AH59" s="151"/>
      <c r="AI59" s="151"/>
      <c r="AJ59" s="151"/>
      <c r="AL59" s="255" t="e">
        <f t="shared" ca="1" si="66"/>
        <v>#DIV/0!</v>
      </c>
      <c r="AM59" s="70" t="e">
        <f t="shared" ca="1" si="67"/>
        <v>#DIV/0!</v>
      </c>
      <c r="AN59" s="365" t="e">
        <f t="shared" ca="1" si="68"/>
        <v>#DIV/0!</v>
      </c>
      <c r="AO59" s="365" t="e">
        <f t="shared" ca="1" si="69"/>
        <v>#DIV/0!</v>
      </c>
    </row>
    <row r="60" spans="1:41" ht="21.75" hidden="1" customHeight="1" x14ac:dyDescent="0.25">
      <c r="A60" s="152"/>
      <c r="B60" s="153" t="str">
        <f t="shared" si="51"/>
        <v/>
      </c>
      <c r="C60" s="154" t="str">
        <f t="shared" si="70"/>
        <v/>
      </c>
      <c r="D60" s="155" t="str">
        <f t="shared" si="52"/>
        <v/>
      </c>
      <c r="E60" s="154" t="str">
        <f t="shared" ca="1" si="71"/>
        <v/>
      </c>
      <c r="F60" s="155" t="str">
        <f t="shared" si="53"/>
        <v/>
      </c>
      <c r="G60" s="154" t="str">
        <f t="shared" ca="1" si="72"/>
        <v/>
      </c>
      <c r="H60" s="155" t="str">
        <f t="shared" si="54"/>
        <v/>
      </c>
      <c r="I60" s="154" t="str">
        <f t="shared" ca="1" si="73"/>
        <v/>
      </c>
      <c r="J60" s="155" t="str">
        <f t="shared" si="55"/>
        <v/>
      </c>
      <c r="K60" s="154" t="str">
        <f t="shared" ca="1" si="74"/>
        <v/>
      </c>
      <c r="L60" s="155" t="str">
        <f t="shared" si="56"/>
        <v/>
      </c>
      <c r="M60" s="154" t="str">
        <f t="shared" ca="1" si="42"/>
        <v/>
      </c>
      <c r="N60" s="155" t="str">
        <f t="shared" si="57"/>
        <v/>
      </c>
      <c r="O60" s="154" t="str">
        <f t="shared" ca="1" si="75"/>
        <v/>
      </c>
      <c r="P60" s="155" t="str">
        <f t="shared" si="58"/>
        <v/>
      </c>
      <c r="Q60" s="154" t="str">
        <f t="shared" ca="1" si="76"/>
        <v/>
      </c>
      <c r="R60" s="155" t="str">
        <f t="shared" si="59"/>
        <v/>
      </c>
      <c r="S60" s="154" t="str">
        <f t="shared" ca="1" si="77"/>
        <v/>
      </c>
      <c r="T60" s="155" t="str">
        <f t="shared" si="60"/>
        <v/>
      </c>
      <c r="U60" s="154" t="str">
        <f t="shared" ca="1" si="78"/>
        <v/>
      </c>
      <c r="V60" s="155" t="str">
        <f t="shared" si="61"/>
        <v/>
      </c>
      <c r="W60" s="154" t="str">
        <f t="shared" ca="1" si="79"/>
        <v/>
      </c>
      <c r="X60" s="155" t="str">
        <f t="shared" si="62"/>
        <v/>
      </c>
      <c r="Y60" s="154" t="str">
        <f t="shared" ca="1" si="80"/>
        <v/>
      </c>
      <c r="Z60" s="155" t="str">
        <f t="shared" si="63"/>
        <v/>
      </c>
      <c r="AA60" s="154" t="str">
        <f t="shared" ca="1" si="81"/>
        <v/>
      </c>
      <c r="AB60" s="155" t="str">
        <f t="shared" si="64"/>
        <v/>
      </c>
      <c r="AC60" s="154" t="str">
        <f t="shared" ca="1" si="82"/>
        <v/>
      </c>
      <c r="AD60" s="155" t="str">
        <f t="shared" si="65"/>
        <v/>
      </c>
      <c r="AE60" s="151"/>
      <c r="AF60" s="151"/>
      <c r="AG60" s="151"/>
      <c r="AH60" s="151"/>
      <c r="AI60" s="151"/>
      <c r="AJ60" s="151"/>
      <c r="AL60" s="255" t="e">
        <f t="shared" ca="1" si="66"/>
        <v>#DIV/0!</v>
      </c>
      <c r="AM60" s="70" t="e">
        <f t="shared" ca="1" si="67"/>
        <v>#DIV/0!</v>
      </c>
      <c r="AN60" s="365" t="e">
        <f t="shared" ca="1" si="68"/>
        <v>#DIV/0!</v>
      </c>
      <c r="AO60" s="365" t="e">
        <f t="shared" ca="1" si="69"/>
        <v>#DIV/0!</v>
      </c>
    </row>
    <row r="61" spans="1:41" ht="21.75" hidden="1" customHeight="1" x14ac:dyDescent="0.25">
      <c r="A61" s="152"/>
      <c r="B61" s="153" t="str">
        <f t="shared" si="51"/>
        <v/>
      </c>
      <c r="C61" s="154" t="str">
        <f t="shared" si="70"/>
        <v/>
      </c>
      <c r="D61" s="155" t="str">
        <f t="shared" si="52"/>
        <v/>
      </c>
      <c r="E61" s="154" t="str">
        <f t="shared" ca="1" si="71"/>
        <v/>
      </c>
      <c r="F61" s="155" t="str">
        <f t="shared" si="53"/>
        <v/>
      </c>
      <c r="G61" s="154" t="str">
        <f t="shared" ca="1" si="72"/>
        <v/>
      </c>
      <c r="H61" s="155" t="str">
        <f t="shared" si="54"/>
        <v/>
      </c>
      <c r="I61" s="154" t="str">
        <f t="shared" ca="1" si="73"/>
        <v/>
      </c>
      <c r="J61" s="155" t="str">
        <f t="shared" si="55"/>
        <v/>
      </c>
      <c r="K61" s="154" t="str">
        <f t="shared" ca="1" si="74"/>
        <v/>
      </c>
      <c r="L61" s="155" t="str">
        <f t="shared" si="56"/>
        <v/>
      </c>
      <c r="M61" s="154" t="str">
        <f t="shared" ca="1" si="42"/>
        <v/>
      </c>
      <c r="N61" s="155" t="str">
        <f t="shared" si="57"/>
        <v/>
      </c>
      <c r="O61" s="154" t="str">
        <f t="shared" ca="1" si="75"/>
        <v/>
      </c>
      <c r="P61" s="155" t="str">
        <f t="shared" si="58"/>
        <v/>
      </c>
      <c r="Q61" s="154" t="str">
        <f t="shared" ca="1" si="76"/>
        <v/>
      </c>
      <c r="R61" s="155" t="str">
        <f t="shared" si="59"/>
        <v/>
      </c>
      <c r="S61" s="154" t="str">
        <f t="shared" ca="1" si="77"/>
        <v/>
      </c>
      <c r="T61" s="155" t="str">
        <f t="shared" si="60"/>
        <v/>
      </c>
      <c r="U61" s="154" t="str">
        <f t="shared" ca="1" si="78"/>
        <v/>
      </c>
      <c r="V61" s="155" t="str">
        <f t="shared" si="61"/>
        <v/>
      </c>
      <c r="W61" s="154" t="str">
        <f t="shared" ca="1" si="79"/>
        <v/>
      </c>
      <c r="X61" s="155" t="str">
        <f t="shared" si="62"/>
        <v/>
      </c>
      <c r="Y61" s="154" t="str">
        <f t="shared" ca="1" si="80"/>
        <v/>
      </c>
      <c r="Z61" s="155" t="str">
        <f t="shared" si="63"/>
        <v/>
      </c>
      <c r="AA61" s="154" t="str">
        <f t="shared" ca="1" si="81"/>
        <v/>
      </c>
      <c r="AB61" s="155" t="str">
        <f t="shared" si="64"/>
        <v/>
      </c>
      <c r="AC61" s="154" t="str">
        <f t="shared" ca="1" si="82"/>
        <v/>
      </c>
      <c r="AD61" s="155" t="str">
        <f t="shared" si="65"/>
        <v/>
      </c>
      <c r="AE61" s="151"/>
      <c r="AF61" s="151"/>
      <c r="AG61" s="151"/>
      <c r="AH61" s="151"/>
      <c r="AI61" s="151"/>
      <c r="AJ61" s="151"/>
      <c r="AL61" s="255" t="e">
        <f t="shared" ca="1" si="66"/>
        <v>#DIV/0!</v>
      </c>
      <c r="AM61" s="70" t="e">
        <f t="shared" ca="1" si="67"/>
        <v>#DIV/0!</v>
      </c>
      <c r="AN61" s="365" t="e">
        <f t="shared" ca="1" si="68"/>
        <v>#DIV/0!</v>
      </c>
      <c r="AO61" s="365" t="e">
        <f t="shared" ca="1" si="69"/>
        <v>#DIV/0!</v>
      </c>
    </row>
    <row r="62" spans="1:41" ht="21.75" hidden="1" customHeight="1" x14ac:dyDescent="0.25">
      <c r="A62" s="152"/>
      <c r="B62" s="153" t="str">
        <f t="shared" si="51"/>
        <v/>
      </c>
      <c r="C62" s="154" t="str">
        <f t="shared" si="70"/>
        <v/>
      </c>
      <c r="D62" s="155" t="str">
        <f t="shared" si="52"/>
        <v/>
      </c>
      <c r="E62" s="154" t="str">
        <f t="shared" ca="1" si="71"/>
        <v/>
      </c>
      <c r="F62" s="155" t="str">
        <f t="shared" si="53"/>
        <v/>
      </c>
      <c r="G62" s="154" t="str">
        <f t="shared" ca="1" si="72"/>
        <v/>
      </c>
      <c r="H62" s="155" t="str">
        <f t="shared" si="54"/>
        <v/>
      </c>
      <c r="I62" s="154" t="str">
        <f t="shared" ca="1" si="73"/>
        <v/>
      </c>
      <c r="J62" s="155" t="str">
        <f t="shared" si="55"/>
        <v/>
      </c>
      <c r="K62" s="154" t="str">
        <f t="shared" ca="1" si="74"/>
        <v/>
      </c>
      <c r="L62" s="155" t="str">
        <f t="shared" si="56"/>
        <v/>
      </c>
      <c r="M62" s="154" t="str">
        <f t="shared" ca="1" si="42"/>
        <v/>
      </c>
      <c r="N62" s="155" t="str">
        <f t="shared" si="57"/>
        <v/>
      </c>
      <c r="O62" s="154" t="str">
        <f t="shared" ca="1" si="75"/>
        <v/>
      </c>
      <c r="P62" s="155" t="str">
        <f t="shared" si="58"/>
        <v/>
      </c>
      <c r="Q62" s="154" t="str">
        <f t="shared" ca="1" si="76"/>
        <v/>
      </c>
      <c r="R62" s="155" t="str">
        <f t="shared" si="59"/>
        <v/>
      </c>
      <c r="S62" s="154" t="str">
        <f t="shared" ca="1" si="77"/>
        <v/>
      </c>
      <c r="T62" s="155" t="str">
        <f t="shared" si="60"/>
        <v/>
      </c>
      <c r="U62" s="154" t="str">
        <f t="shared" ca="1" si="78"/>
        <v/>
      </c>
      <c r="V62" s="155" t="str">
        <f t="shared" si="61"/>
        <v/>
      </c>
      <c r="W62" s="154" t="str">
        <f t="shared" ca="1" si="79"/>
        <v/>
      </c>
      <c r="X62" s="155" t="str">
        <f t="shared" si="62"/>
        <v/>
      </c>
      <c r="Y62" s="154" t="str">
        <f t="shared" ca="1" si="80"/>
        <v/>
      </c>
      <c r="Z62" s="155" t="str">
        <f t="shared" si="63"/>
        <v/>
      </c>
      <c r="AA62" s="154" t="str">
        <f t="shared" ca="1" si="81"/>
        <v/>
      </c>
      <c r="AB62" s="155" t="str">
        <f t="shared" si="64"/>
        <v/>
      </c>
      <c r="AC62" s="154" t="str">
        <f t="shared" ca="1" si="82"/>
        <v/>
      </c>
      <c r="AD62" s="155" t="str">
        <f t="shared" si="65"/>
        <v/>
      </c>
      <c r="AE62" s="151"/>
      <c r="AF62" s="151"/>
      <c r="AG62" s="151"/>
      <c r="AH62" s="151"/>
      <c r="AI62" s="151"/>
      <c r="AJ62" s="151"/>
      <c r="AL62" s="255" t="e">
        <f t="shared" ca="1" si="66"/>
        <v>#DIV/0!</v>
      </c>
      <c r="AM62" s="70" t="e">
        <f t="shared" ca="1" si="67"/>
        <v>#DIV/0!</v>
      </c>
      <c r="AN62" s="365" t="e">
        <f t="shared" ca="1" si="68"/>
        <v>#DIV/0!</v>
      </c>
      <c r="AO62" s="365" t="e">
        <f t="shared" ca="1" si="69"/>
        <v>#DIV/0!</v>
      </c>
    </row>
    <row r="63" spans="1:41" ht="21.75" hidden="1" customHeight="1" x14ac:dyDescent="0.25">
      <c r="A63" s="152"/>
      <c r="B63" s="153" t="str">
        <f t="shared" si="51"/>
        <v/>
      </c>
      <c r="C63" s="154" t="str">
        <f t="shared" si="70"/>
        <v/>
      </c>
      <c r="D63" s="155" t="str">
        <f t="shared" si="52"/>
        <v/>
      </c>
      <c r="E63" s="154" t="str">
        <f t="shared" ca="1" si="71"/>
        <v/>
      </c>
      <c r="F63" s="155" t="str">
        <f t="shared" si="53"/>
        <v/>
      </c>
      <c r="G63" s="154" t="str">
        <f t="shared" ca="1" si="72"/>
        <v/>
      </c>
      <c r="H63" s="155" t="str">
        <f t="shared" si="54"/>
        <v/>
      </c>
      <c r="I63" s="154" t="str">
        <f t="shared" ca="1" si="73"/>
        <v/>
      </c>
      <c r="J63" s="155" t="str">
        <f t="shared" si="55"/>
        <v/>
      </c>
      <c r="K63" s="154" t="str">
        <f t="shared" ca="1" si="74"/>
        <v/>
      </c>
      <c r="L63" s="155" t="str">
        <f t="shared" si="56"/>
        <v/>
      </c>
      <c r="M63" s="154" t="str">
        <f t="shared" ca="1" si="42"/>
        <v/>
      </c>
      <c r="N63" s="155" t="str">
        <f t="shared" si="57"/>
        <v/>
      </c>
      <c r="O63" s="154" t="str">
        <f t="shared" ca="1" si="75"/>
        <v/>
      </c>
      <c r="P63" s="155" t="str">
        <f t="shared" si="58"/>
        <v/>
      </c>
      <c r="Q63" s="154" t="str">
        <f t="shared" ca="1" si="76"/>
        <v/>
      </c>
      <c r="R63" s="155" t="str">
        <f t="shared" si="59"/>
        <v/>
      </c>
      <c r="S63" s="154" t="str">
        <f t="shared" ca="1" si="77"/>
        <v/>
      </c>
      <c r="T63" s="155" t="str">
        <f t="shared" si="60"/>
        <v/>
      </c>
      <c r="U63" s="154" t="str">
        <f t="shared" ca="1" si="78"/>
        <v/>
      </c>
      <c r="V63" s="155" t="str">
        <f t="shared" si="61"/>
        <v/>
      </c>
      <c r="W63" s="154" t="str">
        <f t="shared" ca="1" si="79"/>
        <v/>
      </c>
      <c r="X63" s="155" t="str">
        <f t="shared" si="62"/>
        <v/>
      </c>
      <c r="Y63" s="154" t="str">
        <f t="shared" ca="1" si="80"/>
        <v/>
      </c>
      <c r="Z63" s="155" t="str">
        <f t="shared" si="63"/>
        <v/>
      </c>
      <c r="AA63" s="154" t="str">
        <f t="shared" ca="1" si="81"/>
        <v/>
      </c>
      <c r="AB63" s="155" t="str">
        <f t="shared" si="64"/>
        <v/>
      </c>
      <c r="AC63" s="154" t="str">
        <f t="shared" ca="1" si="82"/>
        <v/>
      </c>
      <c r="AD63" s="155" t="str">
        <f t="shared" si="65"/>
        <v/>
      </c>
      <c r="AE63" s="151"/>
      <c r="AF63" s="151"/>
      <c r="AG63" s="151"/>
      <c r="AH63" s="151"/>
      <c r="AI63" s="151"/>
      <c r="AJ63" s="151"/>
      <c r="AL63" s="255" t="e">
        <f t="shared" ca="1" si="66"/>
        <v>#DIV/0!</v>
      </c>
      <c r="AM63" s="70" t="e">
        <f t="shared" ca="1" si="67"/>
        <v>#DIV/0!</v>
      </c>
      <c r="AN63" s="365" t="e">
        <f t="shared" ca="1" si="68"/>
        <v>#DIV/0!</v>
      </c>
      <c r="AO63" s="365" t="e">
        <f t="shared" ca="1" si="69"/>
        <v>#DIV/0!</v>
      </c>
    </row>
    <row r="64" spans="1:41" ht="21.75" hidden="1" customHeight="1" x14ac:dyDescent="0.25">
      <c r="A64" s="152"/>
      <c r="B64" s="153" t="str">
        <f t="shared" si="51"/>
        <v/>
      </c>
      <c r="C64" s="154" t="str">
        <f t="shared" si="70"/>
        <v/>
      </c>
      <c r="D64" s="155" t="str">
        <f t="shared" si="52"/>
        <v/>
      </c>
      <c r="E64" s="154" t="str">
        <f t="shared" ca="1" si="71"/>
        <v/>
      </c>
      <c r="F64" s="155" t="str">
        <f t="shared" si="53"/>
        <v/>
      </c>
      <c r="G64" s="154" t="str">
        <f t="shared" ca="1" si="72"/>
        <v/>
      </c>
      <c r="H64" s="155" t="str">
        <f t="shared" si="54"/>
        <v/>
      </c>
      <c r="I64" s="154" t="str">
        <f t="shared" ca="1" si="73"/>
        <v/>
      </c>
      <c r="J64" s="155" t="str">
        <f t="shared" si="55"/>
        <v/>
      </c>
      <c r="K64" s="154" t="str">
        <f t="shared" ca="1" si="74"/>
        <v/>
      </c>
      <c r="L64" s="155" t="str">
        <f t="shared" si="56"/>
        <v/>
      </c>
      <c r="M64" s="154" t="str">
        <f t="shared" ca="1" si="42"/>
        <v/>
      </c>
      <c r="N64" s="155" t="str">
        <f t="shared" si="57"/>
        <v/>
      </c>
      <c r="O64" s="154" t="str">
        <f t="shared" ca="1" si="75"/>
        <v/>
      </c>
      <c r="P64" s="155" t="str">
        <f t="shared" si="58"/>
        <v/>
      </c>
      <c r="Q64" s="154" t="str">
        <f t="shared" ca="1" si="76"/>
        <v/>
      </c>
      <c r="R64" s="155" t="str">
        <f t="shared" si="59"/>
        <v/>
      </c>
      <c r="S64" s="154" t="str">
        <f t="shared" ca="1" si="77"/>
        <v/>
      </c>
      <c r="T64" s="155" t="str">
        <f t="shared" si="60"/>
        <v/>
      </c>
      <c r="U64" s="154" t="str">
        <f t="shared" ca="1" si="78"/>
        <v/>
      </c>
      <c r="V64" s="155" t="str">
        <f t="shared" si="61"/>
        <v/>
      </c>
      <c r="W64" s="154" t="str">
        <f t="shared" ca="1" si="79"/>
        <v/>
      </c>
      <c r="X64" s="155" t="str">
        <f t="shared" si="62"/>
        <v/>
      </c>
      <c r="Y64" s="154" t="str">
        <f t="shared" ca="1" si="80"/>
        <v/>
      </c>
      <c r="Z64" s="155" t="str">
        <f t="shared" si="63"/>
        <v/>
      </c>
      <c r="AA64" s="154" t="str">
        <f t="shared" ca="1" si="81"/>
        <v/>
      </c>
      <c r="AB64" s="155" t="str">
        <f t="shared" si="64"/>
        <v/>
      </c>
      <c r="AC64" s="154" t="str">
        <f t="shared" ca="1" si="82"/>
        <v/>
      </c>
      <c r="AD64" s="155" t="str">
        <f t="shared" si="65"/>
        <v/>
      </c>
      <c r="AE64" s="151"/>
      <c r="AF64" s="151"/>
      <c r="AG64" s="151"/>
      <c r="AH64" s="151"/>
      <c r="AI64" s="151"/>
      <c r="AJ64" s="151"/>
      <c r="AL64" s="255" t="e">
        <f t="shared" ca="1" si="66"/>
        <v>#DIV/0!</v>
      </c>
      <c r="AM64" s="70" t="e">
        <f t="shared" ca="1" si="67"/>
        <v>#DIV/0!</v>
      </c>
      <c r="AN64" s="365" t="e">
        <f t="shared" ca="1" si="68"/>
        <v>#DIV/0!</v>
      </c>
      <c r="AO64" s="365" t="e">
        <f t="shared" ca="1" si="69"/>
        <v>#DIV/0!</v>
      </c>
    </row>
    <row r="65" spans="1:41" ht="21.75" hidden="1" customHeight="1" x14ac:dyDescent="0.25">
      <c r="A65" s="152"/>
      <c r="B65" s="153" t="str">
        <f t="shared" si="51"/>
        <v/>
      </c>
      <c r="C65" s="154" t="str">
        <f t="shared" si="70"/>
        <v/>
      </c>
      <c r="D65" s="155" t="str">
        <f t="shared" si="52"/>
        <v/>
      </c>
      <c r="E65" s="154" t="str">
        <f t="shared" ca="1" si="71"/>
        <v/>
      </c>
      <c r="F65" s="155" t="str">
        <f t="shared" si="53"/>
        <v/>
      </c>
      <c r="G65" s="154" t="str">
        <f t="shared" ca="1" si="72"/>
        <v/>
      </c>
      <c r="H65" s="155" t="str">
        <f t="shared" si="54"/>
        <v/>
      </c>
      <c r="I65" s="154" t="str">
        <f t="shared" ca="1" si="73"/>
        <v/>
      </c>
      <c r="J65" s="155" t="str">
        <f t="shared" si="55"/>
        <v/>
      </c>
      <c r="K65" s="154" t="str">
        <f t="shared" ca="1" si="74"/>
        <v/>
      </c>
      <c r="L65" s="155" t="str">
        <f t="shared" si="56"/>
        <v/>
      </c>
      <c r="M65" s="154" t="str">
        <f t="shared" ca="1" si="42"/>
        <v/>
      </c>
      <c r="N65" s="155" t="str">
        <f t="shared" si="57"/>
        <v/>
      </c>
      <c r="O65" s="154" t="str">
        <f t="shared" ca="1" si="75"/>
        <v/>
      </c>
      <c r="P65" s="155" t="str">
        <f t="shared" si="58"/>
        <v/>
      </c>
      <c r="Q65" s="154" t="str">
        <f t="shared" ca="1" si="76"/>
        <v/>
      </c>
      <c r="R65" s="155" t="str">
        <f t="shared" si="59"/>
        <v/>
      </c>
      <c r="S65" s="154" t="str">
        <f t="shared" ca="1" si="77"/>
        <v/>
      </c>
      <c r="T65" s="155" t="str">
        <f t="shared" si="60"/>
        <v/>
      </c>
      <c r="U65" s="154" t="str">
        <f t="shared" ca="1" si="78"/>
        <v/>
      </c>
      <c r="V65" s="155" t="str">
        <f t="shared" si="61"/>
        <v/>
      </c>
      <c r="W65" s="154" t="str">
        <f t="shared" ca="1" si="79"/>
        <v/>
      </c>
      <c r="X65" s="155" t="str">
        <f t="shared" si="62"/>
        <v/>
      </c>
      <c r="Y65" s="154" t="str">
        <f t="shared" ca="1" si="80"/>
        <v/>
      </c>
      <c r="Z65" s="155" t="str">
        <f t="shared" si="63"/>
        <v/>
      </c>
      <c r="AA65" s="154" t="str">
        <f t="shared" ca="1" si="81"/>
        <v/>
      </c>
      <c r="AB65" s="155" t="str">
        <f t="shared" si="64"/>
        <v/>
      </c>
      <c r="AC65" s="154" t="str">
        <f t="shared" ca="1" si="82"/>
        <v/>
      </c>
      <c r="AD65" s="155" t="str">
        <f t="shared" si="65"/>
        <v/>
      </c>
      <c r="AE65" s="151"/>
      <c r="AF65" s="151"/>
      <c r="AG65" s="151"/>
      <c r="AH65" s="151"/>
      <c r="AI65" s="151"/>
      <c r="AJ65" s="151"/>
      <c r="AL65" s="255" t="e">
        <f t="shared" ca="1" si="66"/>
        <v>#DIV/0!</v>
      </c>
      <c r="AM65" s="70" t="e">
        <f t="shared" ca="1" si="67"/>
        <v>#DIV/0!</v>
      </c>
      <c r="AN65" s="365" t="e">
        <f t="shared" ca="1" si="68"/>
        <v>#DIV/0!</v>
      </c>
      <c r="AO65" s="365" t="e">
        <f t="shared" ca="1" si="69"/>
        <v>#DIV/0!</v>
      </c>
    </row>
    <row r="66" spans="1:41" ht="21.75" hidden="1" customHeight="1" x14ac:dyDescent="0.25">
      <c r="A66" s="152"/>
      <c r="B66" s="153" t="str">
        <f t="shared" si="51"/>
        <v/>
      </c>
      <c r="C66" s="154" t="str">
        <f t="shared" si="70"/>
        <v/>
      </c>
      <c r="D66" s="155" t="str">
        <f t="shared" si="52"/>
        <v/>
      </c>
      <c r="E66" s="154" t="str">
        <f t="shared" ca="1" si="71"/>
        <v/>
      </c>
      <c r="F66" s="155" t="str">
        <f t="shared" si="53"/>
        <v/>
      </c>
      <c r="G66" s="154" t="str">
        <f t="shared" ca="1" si="72"/>
        <v/>
      </c>
      <c r="H66" s="155" t="str">
        <f t="shared" si="54"/>
        <v/>
      </c>
      <c r="I66" s="154" t="str">
        <f t="shared" ca="1" si="73"/>
        <v/>
      </c>
      <c r="J66" s="155" t="str">
        <f t="shared" si="55"/>
        <v/>
      </c>
      <c r="K66" s="154" t="str">
        <f t="shared" ca="1" si="74"/>
        <v/>
      </c>
      <c r="L66" s="155" t="str">
        <f t="shared" si="56"/>
        <v/>
      </c>
      <c r="M66" s="154" t="str">
        <f t="shared" ca="1" si="42"/>
        <v/>
      </c>
      <c r="N66" s="155" t="str">
        <f t="shared" si="57"/>
        <v/>
      </c>
      <c r="O66" s="154" t="str">
        <f t="shared" ca="1" si="75"/>
        <v/>
      </c>
      <c r="P66" s="155" t="str">
        <f t="shared" si="58"/>
        <v/>
      </c>
      <c r="Q66" s="154" t="str">
        <f t="shared" ca="1" si="76"/>
        <v/>
      </c>
      <c r="R66" s="155" t="str">
        <f t="shared" si="59"/>
        <v/>
      </c>
      <c r="S66" s="154" t="str">
        <f t="shared" ca="1" si="77"/>
        <v/>
      </c>
      <c r="T66" s="155" t="str">
        <f t="shared" si="60"/>
        <v/>
      </c>
      <c r="U66" s="154" t="str">
        <f t="shared" ca="1" si="78"/>
        <v/>
      </c>
      <c r="V66" s="155" t="str">
        <f t="shared" si="61"/>
        <v/>
      </c>
      <c r="W66" s="154" t="str">
        <f t="shared" ca="1" si="79"/>
        <v/>
      </c>
      <c r="X66" s="155" t="str">
        <f t="shared" si="62"/>
        <v/>
      </c>
      <c r="Y66" s="154" t="str">
        <f t="shared" ca="1" si="80"/>
        <v/>
      </c>
      <c r="Z66" s="155" t="str">
        <f t="shared" si="63"/>
        <v/>
      </c>
      <c r="AA66" s="154" t="str">
        <f t="shared" ca="1" si="81"/>
        <v/>
      </c>
      <c r="AB66" s="155" t="str">
        <f t="shared" si="64"/>
        <v/>
      </c>
      <c r="AC66" s="154" t="str">
        <f t="shared" ca="1" si="82"/>
        <v/>
      </c>
      <c r="AD66" s="155" t="str">
        <f t="shared" si="65"/>
        <v/>
      </c>
      <c r="AE66" s="151"/>
      <c r="AF66" s="151"/>
      <c r="AG66" s="151"/>
      <c r="AH66" s="151"/>
      <c r="AI66" s="151"/>
      <c r="AJ66" s="151"/>
      <c r="AL66" s="255" t="e">
        <f t="shared" ca="1" si="66"/>
        <v>#DIV/0!</v>
      </c>
      <c r="AM66" s="70" t="e">
        <f t="shared" ca="1" si="67"/>
        <v>#DIV/0!</v>
      </c>
      <c r="AN66" s="365" t="e">
        <f t="shared" ca="1" si="68"/>
        <v>#DIV/0!</v>
      </c>
      <c r="AO66" s="365" t="e">
        <f t="shared" ca="1" si="69"/>
        <v>#DIV/0!</v>
      </c>
    </row>
    <row r="67" spans="1:41" ht="21.75" hidden="1" customHeight="1" x14ac:dyDescent="0.25">
      <c r="A67" s="152"/>
      <c r="B67" s="153" t="str">
        <f t="shared" si="51"/>
        <v/>
      </c>
      <c r="C67" s="154" t="str">
        <f t="shared" si="70"/>
        <v/>
      </c>
      <c r="D67" s="155" t="str">
        <f t="shared" si="52"/>
        <v/>
      </c>
      <c r="E67" s="154" t="str">
        <f t="shared" ca="1" si="71"/>
        <v/>
      </c>
      <c r="F67" s="155" t="str">
        <f t="shared" si="53"/>
        <v/>
      </c>
      <c r="G67" s="154" t="str">
        <f t="shared" ca="1" si="72"/>
        <v/>
      </c>
      <c r="H67" s="155" t="str">
        <f t="shared" si="54"/>
        <v/>
      </c>
      <c r="I67" s="154" t="str">
        <f t="shared" ca="1" si="73"/>
        <v/>
      </c>
      <c r="J67" s="155" t="str">
        <f t="shared" si="55"/>
        <v/>
      </c>
      <c r="K67" s="154" t="str">
        <f t="shared" ca="1" si="74"/>
        <v/>
      </c>
      <c r="L67" s="155" t="str">
        <f t="shared" si="56"/>
        <v/>
      </c>
      <c r="M67" s="154" t="str">
        <f t="shared" ca="1" si="42"/>
        <v/>
      </c>
      <c r="N67" s="155" t="str">
        <f t="shared" si="57"/>
        <v/>
      </c>
      <c r="O67" s="154" t="str">
        <f t="shared" ca="1" si="75"/>
        <v/>
      </c>
      <c r="P67" s="155" t="str">
        <f t="shared" si="58"/>
        <v/>
      </c>
      <c r="Q67" s="154" t="str">
        <f t="shared" ca="1" si="76"/>
        <v/>
      </c>
      <c r="R67" s="155" t="str">
        <f t="shared" si="59"/>
        <v/>
      </c>
      <c r="S67" s="154" t="str">
        <f t="shared" ca="1" si="77"/>
        <v/>
      </c>
      <c r="T67" s="155" t="str">
        <f t="shared" si="60"/>
        <v/>
      </c>
      <c r="U67" s="154" t="str">
        <f t="shared" ca="1" si="78"/>
        <v/>
      </c>
      <c r="V67" s="155" t="str">
        <f t="shared" si="61"/>
        <v/>
      </c>
      <c r="W67" s="154" t="str">
        <f t="shared" ca="1" si="79"/>
        <v/>
      </c>
      <c r="X67" s="155" t="str">
        <f t="shared" si="62"/>
        <v/>
      </c>
      <c r="Y67" s="154" t="str">
        <f t="shared" ca="1" si="80"/>
        <v/>
      </c>
      <c r="Z67" s="155" t="str">
        <f t="shared" si="63"/>
        <v/>
      </c>
      <c r="AA67" s="154" t="str">
        <f t="shared" ca="1" si="81"/>
        <v/>
      </c>
      <c r="AB67" s="155" t="str">
        <f t="shared" si="64"/>
        <v/>
      </c>
      <c r="AC67" s="154" t="str">
        <f t="shared" ca="1" si="82"/>
        <v/>
      </c>
      <c r="AD67" s="155" t="str">
        <f t="shared" si="65"/>
        <v/>
      </c>
      <c r="AE67" s="151"/>
      <c r="AF67" s="151"/>
      <c r="AG67" s="151"/>
      <c r="AH67" s="151"/>
      <c r="AI67" s="151"/>
      <c r="AJ67" s="151"/>
      <c r="AL67" s="255" t="e">
        <f t="shared" ca="1" si="66"/>
        <v>#DIV/0!</v>
      </c>
      <c r="AM67" s="70" t="e">
        <f t="shared" ca="1" si="67"/>
        <v>#DIV/0!</v>
      </c>
      <c r="AN67" s="365" t="e">
        <f t="shared" ca="1" si="68"/>
        <v>#DIV/0!</v>
      </c>
      <c r="AO67" s="365" t="e">
        <f t="shared" ca="1" si="69"/>
        <v>#DIV/0!</v>
      </c>
    </row>
    <row r="68" spans="1:41" ht="21.75" hidden="1" customHeight="1" x14ac:dyDescent="0.25">
      <c r="A68" s="152"/>
      <c r="B68" s="153" t="str">
        <f t="shared" si="51"/>
        <v/>
      </c>
      <c r="C68" s="154" t="str">
        <f t="shared" si="70"/>
        <v/>
      </c>
      <c r="D68" s="155" t="str">
        <f t="shared" si="52"/>
        <v/>
      </c>
      <c r="E68" s="154" t="str">
        <f t="shared" ca="1" si="71"/>
        <v/>
      </c>
      <c r="F68" s="155" t="str">
        <f t="shared" si="53"/>
        <v/>
      </c>
      <c r="G68" s="154" t="str">
        <f t="shared" ca="1" si="72"/>
        <v/>
      </c>
      <c r="H68" s="155" t="str">
        <f t="shared" si="54"/>
        <v/>
      </c>
      <c r="I68" s="154" t="str">
        <f t="shared" ca="1" si="73"/>
        <v/>
      </c>
      <c r="J68" s="155" t="str">
        <f t="shared" si="55"/>
        <v/>
      </c>
      <c r="K68" s="154" t="str">
        <f t="shared" ca="1" si="74"/>
        <v/>
      </c>
      <c r="L68" s="155" t="str">
        <f t="shared" si="56"/>
        <v/>
      </c>
      <c r="M68" s="154" t="str">
        <f t="shared" ca="1" si="42"/>
        <v/>
      </c>
      <c r="N68" s="155" t="str">
        <f t="shared" si="57"/>
        <v/>
      </c>
      <c r="O68" s="154" t="str">
        <f t="shared" ca="1" si="75"/>
        <v/>
      </c>
      <c r="P68" s="155" t="str">
        <f t="shared" si="58"/>
        <v/>
      </c>
      <c r="Q68" s="154" t="str">
        <f t="shared" ca="1" si="76"/>
        <v/>
      </c>
      <c r="R68" s="155" t="str">
        <f t="shared" si="59"/>
        <v/>
      </c>
      <c r="S68" s="154" t="str">
        <f t="shared" ca="1" si="77"/>
        <v/>
      </c>
      <c r="T68" s="155" t="str">
        <f t="shared" si="60"/>
        <v/>
      </c>
      <c r="U68" s="154" t="str">
        <f t="shared" ca="1" si="78"/>
        <v/>
      </c>
      <c r="V68" s="155" t="str">
        <f t="shared" si="61"/>
        <v/>
      </c>
      <c r="W68" s="154" t="str">
        <f t="shared" ca="1" si="79"/>
        <v/>
      </c>
      <c r="X68" s="155" t="str">
        <f t="shared" si="62"/>
        <v/>
      </c>
      <c r="Y68" s="154" t="str">
        <f t="shared" ca="1" si="80"/>
        <v/>
      </c>
      <c r="Z68" s="155" t="str">
        <f t="shared" si="63"/>
        <v/>
      </c>
      <c r="AA68" s="154" t="str">
        <f t="shared" ca="1" si="81"/>
        <v/>
      </c>
      <c r="AB68" s="155" t="str">
        <f t="shared" si="64"/>
        <v/>
      </c>
      <c r="AC68" s="154" t="str">
        <f t="shared" ca="1" si="82"/>
        <v/>
      </c>
      <c r="AD68" s="155" t="str">
        <f t="shared" si="65"/>
        <v/>
      </c>
      <c r="AE68" s="151"/>
      <c r="AF68" s="151"/>
      <c r="AG68" s="151"/>
      <c r="AH68" s="151"/>
      <c r="AI68" s="151"/>
      <c r="AJ68" s="151"/>
      <c r="AL68" s="255" t="e">
        <f t="shared" ca="1" si="66"/>
        <v>#DIV/0!</v>
      </c>
      <c r="AM68" s="70" t="e">
        <f t="shared" ca="1" si="67"/>
        <v>#DIV/0!</v>
      </c>
      <c r="AN68" s="365" t="e">
        <f t="shared" ca="1" si="68"/>
        <v>#DIV/0!</v>
      </c>
      <c r="AO68" s="365" t="e">
        <f t="shared" ca="1" si="69"/>
        <v>#DIV/0!</v>
      </c>
    </row>
    <row r="69" spans="1:41" ht="21.75" hidden="1" customHeight="1" x14ac:dyDescent="0.25">
      <c r="A69" s="152"/>
      <c r="B69" s="153" t="str">
        <f t="shared" ref="B69:B76" si="83">IF(A69="","",IF($K$4="Media aritmética",ROUND(AVERAGE(C69,E69,G69,I69,K69,M69,O69,Q69,S69,U69,W69,Y69,AA69,AC69,AE69,AG69,AI69),2),ROUND(_xlfn.STDEV.P(C69,E69,G69,I69,K69,M69,O69,Q69,S69,U69,W69,Y69,AA69,AC69,AE69,AG69,AI69),2)))</f>
        <v/>
      </c>
      <c r="C69" s="154" t="str">
        <f t="shared" si="70"/>
        <v/>
      </c>
      <c r="D69" s="155" t="str">
        <f t="shared" ref="D69:D76" si="84">IF($A69="","",IF(C69="","",IF($K$4="Media aritmética",(C69&lt;=$B69)*($E$5/$B$4)+(C69&gt;$B69)*0,IF(AND(ROUND(AVERAGE($C69,$E69,$G69,$I69,$K69,$M69,$O69,$Q69,$S69,$U69,$W69,$Y69,$AA69,$AC69,$AE69,$AG69,$AI69),2)-$B69/2&lt;=C69,(ROUND(AVERAGE($C69,$E69,$G69,$I69,$K69,$M69,$O69,$Q69,$S69,$U69,$W69,$Y69,$AA69,$AC69,$AE69,$AG69,$AI69),2)+$B69/2&gt;=C69)),($E$5/$B$4),0))))</f>
        <v/>
      </c>
      <c r="E69" s="154" t="str">
        <f t="shared" ca="1" si="71"/>
        <v/>
      </c>
      <c r="F69" s="155" t="str">
        <f t="shared" ref="F69:F76" si="85">IF($A69="","",IF(E69="","",IF($K$4="Media aritmética",(E69&lt;=$B69)*($E$5/$B$4)+(E69&gt;$B69)*0,IF(AND(ROUND(AVERAGE($C69,$E69,$G69,$I69,$K69,$M69,$O69,$Q69,$S69,$U69,$W69,$Y69,$AA69,$AC69,$AE69,$AG69,$AI69),2)-$B69/2&lt;=E69,(ROUND(AVERAGE($C69,$E69,$G69,$I69,$K69,$M69,$O69,$Q69,$S69,$U69,$W69,$Y69,$AA69,$AC69,$AE69,$AG69,$AI69),2)+$B69/2&gt;=E69)),($E$5/$B$4),0))))</f>
        <v/>
      </c>
      <c r="G69" s="154" t="str">
        <f t="shared" ca="1" si="72"/>
        <v/>
      </c>
      <c r="H69" s="155" t="str">
        <f t="shared" ref="H69:H76" si="86">IF($A69="","",IF(G69="","",IF($K$4="Media aritmética",(G69&lt;=$B69)*($E$5/$B$4)+(G69&gt;$B69)*0,IF(AND(ROUND(AVERAGE($C69,$E69,$G69,$I69,$K69,$M69,$O69,$Q69,$S69,$U69,$W69,$Y69,$AA69,$AC69,$AE69,$AG69,$AI69),2)-$B69/2&lt;=G69,(ROUND(AVERAGE($C69,$E69,$G69,$I69,$K69,$M69,$O69,$Q69,$S69,$U69,$W69,$Y69,$AA69,$AC69,$AE69,$AG69,$AI69),2)+$B69/2&gt;=G69)),($E$5/$B$4),0))))</f>
        <v/>
      </c>
      <c r="I69" s="154" t="str">
        <f t="shared" ca="1" si="73"/>
        <v/>
      </c>
      <c r="J69" s="155" t="str">
        <f t="shared" ref="J69:J76" si="87">IF($A69="","",IF(I69="","",IF($K$4="Media aritmética",(I69&lt;=$B69)*($E$5/$B$4)+(I69&gt;$B69)*0,IF(AND(ROUND(AVERAGE($C69,$E69,$G69,$I69,$K69,$M69,$O69,$Q69,$S69,$U69,$W69,$Y69,$AA69,$AC69,$AE69,$AG69,$AI69),2)-$B69/2&lt;=I69,(ROUND(AVERAGE($C69,$E69,$G69,$I69,$K69,$M69,$O69,$Q69,$S69,$U69,$W69,$Y69,$AA69,$AC69,$AE69,$AG69,$AI69),2)+$B69/2&gt;=I69)),($E$5/$B$4),0))))</f>
        <v/>
      </c>
      <c r="K69" s="154" t="str">
        <f t="shared" ca="1" si="74"/>
        <v/>
      </c>
      <c r="L69" s="155" t="str">
        <f t="shared" ref="L69:L76" si="88">IF($A69="","",IF(K69="","",IF($K$4="Media aritmética",(K69&lt;=$B69)*($E$5/$B$4)+(K69&gt;$B69)*0,IF(AND(ROUND(AVERAGE($C69,$E69,$G69,$I69,$K69,$M69,$O69,$Q69,$S69,$U69,$W69,$Y69,$AA69,$AC69,$AE69,$AG69,$AI69),2)-$B69/2&lt;=K69,(ROUND(AVERAGE($C69,$E69,$G69,$I69,$K69,$M69,$O69,$Q69,$S69,$U69,$W69,$Y69,$AA69,$AC69,$AE69,$AG69,$AI69),2)+$B69/2&gt;=K69)),($E$5/$B$4),0))))</f>
        <v/>
      </c>
      <c r="M69" s="154" t="str">
        <f t="shared" ca="1" si="42"/>
        <v/>
      </c>
      <c r="N69" s="155" t="str">
        <f t="shared" ref="N69:N76" si="89">IF($A69="","",IF(M69="","",IF($K$4="Media aritmética",(M69&lt;=$B69)*($E$5/$B$4)+(M69&gt;$B69)*0,IF(AND(ROUND(AVERAGE($C69,$E69,$G69,$I69,$K69,$M69,$O69,$Q69,$S69,$U69,$W69,$Y69,$AA69,$AC69,$AE69,$AG69,$AI69),2)-$B69/2&lt;=M69,(ROUND(AVERAGE($C69,$E69,$G69,$I69,$K69,$M69,$O69,$Q69,$S69,$U69,$W69,$Y69,$AA69,$AC69,$AE69,$AG69,$AI69),2)+$B69/2&gt;=M69)),($E$5/$B$4),0))))</f>
        <v/>
      </c>
      <c r="O69" s="154" t="str">
        <f t="shared" ca="1" si="75"/>
        <v/>
      </c>
      <c r="P69" s="155" t="str">
        <f t="shared" ref="P69:P76" si="90">IF($A69="","",IF(O69="","",IF($K$4="Media aritmética",(O69&lt;=$B69)*($E$5/$B$4)+(O69&gt;$B69)*0,IF(AND(ROUND(AVERAGE($C69,$E69,$G69,$I69,$K69,$M69,$O69,$Q69,$S69,$U69,$W69,$Y69,$AA69,$AC69,$AE69,$AG69,$AI69),2)-$B69/2&lt;=O69,(ROUND(AVERAGE($C69,$E69,$G69,$I69,$K69,$M69,$O69,$Q69,$S69,$U69,$W69,$Y69,$AA69,$AC69,$AE69,$AG69,$AI69),2)+$B69/2&gt;=O69)),($E$5/$B$4),0))))</f>
        <v/>
      </c>
      <c r="Q69" s="154" t="str">
        <f t="shared" ca="1" si="76"/>
        <v/>
      </c>
      <c r="R69" s="155" t="str">
        <f t="shared" ref="R69:R76" si="91">IF($A69="","",IF(Q69="","",IF($K$4="Media aritmética",(Q69&lt;=$B69)*($E$5/$B$4)+(Q69&gt;$B69)*0,IF(AND(ROUND(AVERAGE($C69,$E69,$G69,$I69,$K69,$M69,$O69,$Q69,$S69,$U69,$W69,$Y69,$AA69,$AC69,$AE69,$AG69,$AI69),2)-$B69/2&lt;=Q69,(ROUND(AVERAGE($C69,$E69,$G69,$I69,$K69,$M69,$O69,$Q69,$S69,$U69,$W69,$Y69,$AA69,$AC69,$AE69,$AG69,$AI69),2)+$B69/2&gt;=Q69)),($E$5/$B$4),0))))</f>
        <v/>
      </c>
      <c r="S69" s="154" t="str">
        <f t="shared" ca="1" si="77"/>
        <v/>
      </c>
      <c r="T69" s="155" t="str">
        <f t="shared" ref="T69:T76" si="92">IF($A69="","",IF(S69="","",IF($K$4="Media aritmética",(S69&lt;=$B69)*($E$5/$B$4)+(S69&gt;$B69)*0,IF(AND(ROUND(AVERAGE($C69,$E69,$G69,$I69,$K69,$M69,$O69,$Q69,$S69,$U69,$W69,$Y69,$AA69,$AC69,$AE69,$AG69,$AI69),2)-$B69/2&lt;=S69,(ROUND(AVERAGE($C69,$E69,$G69,$I69,$K69,$M69,$O69,$Q69,$S69,$U69,$W69,$Y69,$AA69,$AC69,$AE69,$AG69,$AI69),2)+$B69/2&gt;=S69)),($E$5/$B$4),0))))</f>
        <v/>
      </c>
      <c r="U69" s="154" t="str">
        <f t="shared" ca="1" si="78"/>
        <v/>
      </c>
      <c r="V69" s="155" t="str">
        <f t="shared" ref="V69:V76" si="93">IF($A69="","",IF(U69="","",IF($K$4="Media aritmética",(U69&lt;=$B69)*($E$5/$B$4)+(U69&gt;$B69)*0,IF(AND(ROUND(AVERAGE($C69,$E69,$G69,$I69,$K69,$M69,$O69,$Q69,$S69,$U69,$W69,$Y69,$AA69,$AC69,$AE69,$AG69,$AI69),2)-$B69/2&lt;=U69,(ROUND(AVERAGE($C69,$E69,$G69,$I69,$K69,$M69,$O69,$Q69,$S69,$U69,$W69,$Y69,$AA69,$AC69,$AE69,$AG69,$AI69),2)+$B69/2&gt;=U69)),($E$5/$B$4),0))))</f>
        <v/>
      </c>
      <c r="W69" s="154" t="str">
        <f t="shared" ca="1" si="79"/>
        <v/>
      </c>
      <c r="X69" s="155" t="str">
        <f t="shared" si="62"/>
        <v/>
      </c>
      <c r="Y69" s="154" t="str">
        <f t="shared" ca="1" si="80"/>
        <v/>
      </c>
      <c r="Z69" s="155" t="str">
        <f t="shared" si="63"/>
        <v/>
      </c>
      <c r="AA69" s="154" t="str">
        <f t="shared" ca="1" si="81"/>
        <v/>
      </c>
      <c r="AB69" s="155" t="str">
        <f t="shared" si="64"/>
        <v/>
      </c>
      <c r="AC69" s="154" t="str">
        <f t="shared" ca="1" si="82"/>
        <v/>
      </c>
      <c r="AD69" s="155" t="str">
        <f t="shared" si="65"/>
        <v/>
      </c>
      <c r="AE69" s="151"/>
      <c r="AF69" s="151"/>
      <c r="AG69" s="151"/>
      <c r="AH69" s="151"/>
      <c r="AI69" s="151"/>
      <c r="AJ69" s="151"/>
      <c r="AL69" s="255" t="e">
        <f t="shared" ca="1" si="66"/>
        <v>#DIV/0!</v>
      </c>
      <c r="AM69" s="70" t="e">
        <f t="shared" ca="1" si="67"/>
        <v>#DIV/0!</v>
      </c>
      <c r="AN69" s="365" t="e">
        <f t="shared" ca="1" si="68"/>
        <v>#DIV/0!</v>
      </c>
      <c r="AO69" s="365" t="e">
        <f t="shared" ca="1" si="69"/>
        <v>#DIV/0!</v>
      </c>
    </row>
    <row r="70" spans="1:41" ht="21.75" hidden="1" customHeight="1" x14ac:dyDescent="0.25">
      <c r="A70" s="152"/>
      <c r="B70" s="153" t="str">
        <f t="shared" si="83"/>
        <v/>
      </c>
      <c r="C70" s="154" t="str">
        <f t="shared" si="70"/>
        <v/>
      </c>
      <c r="D70" s="155" t="str">
        <f t="shared" si="84"/>
        <v/>
      </c>
      <c r="E70" s="154" t="str">
        <f t="shared" ca="1" si="71"/>
        <v/>
      </c>
      <c r="F70" s="155" t="str">
        <f t="shared" si="85"/>
        <v/>
      </c>
      <c r="G70" s="154" t="str">
        <f t="shared" ca="1" si="72"/>
        <v/>
      </c>
      <c r="H70" s="155" t="str">
        <f t="shared" si="86"/>
        <v/>
      </c>
      <c r="I70" s="154" t="str">
        <f t="shared" ca="1" si="73"/>
        <v/>
      </c>
      <c r="J70" s="155" t="str">
        <f t="shared" si="87"/>
        <v/>
      </c>
      <c r="K70" s="154" t="str">
        <f t="shared" ca="1" si="74"/>
        <v/>
      </c>
      <c r="L70" s="155" t="str">
        <f t="shared" si="88"/>
        <v/>
      </c>
      <c r="M70" s="154" t="str">
        <f t="shared" ca="1" si="42"/>
        <v/>
      </c>
      <c r="N70" s="155" t="str">
        <f t="shared" si="89"/>
        <v/>
      </c>
      <c r="O70" s="154" t="str">
        <f t="shared" ca="1" si="75"/>
        <v/>
      </c>
      <c r="P70" s="155" t="str">
        <f t="shared" si="90"/>
        <v/>
      </c>
      <c r="Q70" s="154" t="str">
        <f t="shared" ca="1" si="76"/>
        <v/>
      </c>
      <c r="R70" s="155" t="str">
        <f t="shared" si="91"/>
        <v/>
      </c>
      <c r="S70" s="154" t="str">
        <f t="shared" ca="1" si="77"/>
        <v/>
      </c>
      <c r="T70" s="155" t="str">
        <f t="shared" si="92"/>
        <v/>
      </c>
      <c r="U70" s="154" t="str">
        <f t="shared" ca="1" si="78"/>
        <v/>
      </c>
      <c r="V70" s="155" t="str">
        <f t="shared" si="93"/>
        <v/>
      </c>
      <c r="W70" s="154" t="str">
        <f t="shared" ca="1" si="79"/>
        <v/>
      </c>
      <c r="X70" s="155" t="str">
        <f t="shared" si="62"/>
        <v/>
      </c>
      <c r="Y70" s="154" t="str">
        <f t="shared" ca="1" si="80"/>
        <v/>
      </c>
      <c r="Z70" s="155" t="str">
        <f t="shared" si="63"/>
        <v/>
      </c>
      <c r="AA70" s="154" t="str">
        <f t="shared" ca="1" si="81"/>
        <v/>
      </c>
      <c r="AB70" s="155" t="str">
        <f t="shared" si="64"/>
        <v/>
      </c>
      <c r="AC70" s="154" t="str">
        <f t="shared" ca="1" si="82"/>
        <v/>
      </c>
      <c r="AD70" s="155" t="str">
        <f t="shared" si="65"/>
        <v/>
      </c>
      <c r="AE70" s="151"/>
      <c r="AF70" s="151"/>
      <c r="AG70" s="151"/>
      <c r="AH70" s="151"/>
      <c r="AI70" s="151"/>
      <c r="AJ70" s="151"/>
      <c r="AL70" s="255" t="e">
        <f t="shared" ca="1" si="66"/>
        <v>#DIV/0!</v>
      </c>
      <c r="AM70" s="70" t="e">
        <f t="shared" ca="1" si="67"/>
        <v>#DIV/0!</v>
      </c>
      <c r="AN70" s="365" t="e">
        <f t="shared" ca="1" si="68"/>
        <v>#DIV/0!</v>
      </c>
      <c r="AO70" s="365" t="e">
        <f t="shared" ca="1" si="69"/>
        <v>#DIV/0!</v>
      </c>
    </row>
    <row r="71" spans="1:41" ht="21.75" hidden="1" customHeight="1" x14ac:dyDescent="0.25">
      <c r="A71" s="152"/>
      <c r="B71" s="153" t="str">
        <f t="shared" si="83"/>
        <v/>
      </c>
      <c r="C71" s="154" t="str">
        <f t="shared" si="70"/>
        <v/>
      </c>
      <c r="D71" s="155" t="str">
        <f t="shared" si="84"/>
        <v/>
      </c>
      <c r="E71" s="154" t="str">
        <f t="shared" ca="1" si="71"/>
        <v/>
      </c>
      <c r="F71" s="155" t="str">
        <f t="shared" si="85"/>
        <v/>
      </c>
      <c r="G71" s="154" t="str">
        <f t="shared" ca="1" si="72"/>
        <v/>
      </c>
      <c r="H71" s="155" t="str">
        <f t="shared" si="86"/>
        <v/>
      </c>
      <c r="I71" s="154" t="str">
        <f t="shared" ca="1" si="73"/>
        <v/>
      </c>
      <c r="J71" s="155" t="str">
        <f t="shared" si="87"/>
        <v/>
      </c>
      <c r="K71" s="154" t="str">
        <f t="shared" ca="1" si="74"/>
        <v/>
      </c>
      <c r="L71" s="155" t="str">
        <f t="shared" si="88"/>
        <v/>
      </c>
      <c r="M71" s="154" t="str">
        <f t="shared" ca="1" si="42"/>
        <v/>
      </c>
      <c r="N71" s="155" t="str">
        <f t="shared" si="89"/>
        <v/>
      </c>
      <c r="O71" s="154" t="str">
        <f t="shared" ca="1" si="75"/>
        <v/>
      </c>
      <c r="P71" s="155" t="str">
        <f t="shared" si="90"/>
        <v/>
      </c>
      <c r="Q71" s="154" t="str">
        <f t="shared" ca="1" si="76"/>
        <v/>
      </c>
      <c r="R71" s="155" t="str">
        <f t="shared" si="91"/>
        <v/>
      </c>
      <c r="S71" s="154" t="str">
        <f t="shared" ca="1" si="77"/>
        <v/>
      </c>
      <c r="T71" s="155" t="str">
        <f t="shared" si="92"/>
        <v/>
      </c>
      <c r="U71" s="154" t="str">
        <f t="shared" ca="1" si="78"/>
        <v/>
      </c>
      <c r="V71" s="155" t="str">
        <f t="shared" si="93"/>
        <v/>
      </c>
      <c r="W71" s="154" t="str">
        <f t="shared" ca="1" si="79"/>
        <v/>
      </c>
      <c r="X71" s="155" t="str">
        <f t="shared" si="62"/>
        <v/>
      </c>
      <c r="Y71" s="154" t="str">
        <f t="shared" ca="1" si="80"/>
        <v/>
      </c>
      <c r="Z71" s="155" t="str">
        <f t="shared" si="63"/>
        <v/>
      </c>
      <c r="AA71" s="154" t="str">
        <f t="shared" ca="1" si="81"/>
        <v/>
      </c>
      <c r="AB71" s="155" t="str">
        <f t="shared" si="64"/>
        <v/>
      </c>
      <c r="AC71" s="154" t="str">
        <f t="shared" ca="1" si="82"/>
        <v/>
      </c>
      <c r="AD71" s="155" t="str">
        <f t="shared" si="65"/>
        <v/>
      </c>
      <c r="AE71" s="151"/>
      <c r="AF71" s="151"/>
      <c r="AG71" s="151"/>
      <c r="AH71" s="151"/>
      <c r="AI71" s="151"/>
      <c r="AJ71" s="151"/>
      <c r="AL71" s="255" t="e">
        <f t="shared" ca="1" si="66"/>
        <v>#DIV/0!</v>
      </c>
      <c r="AM71" s="70" t="e">
        <f t="shared" ca="1" si="67"/>
        <v>#DIV/0!</v>
      </c>
      <c r="AN71" s="365" t="e">
        <f t="shared" ca="1" si="68"/>
        <v>#DIV/0!</v>
      </c>
      <c r="AO71" s="365" t="e">
        <f t="shared" ca="1" si="69"/>
        <v>#DIV/0!</v>
      </c>
    </row>
    <row r="72" spans="1:41" ht="21.75" hidden="1" customHeight="1" x14ac:dyDescent="0.25">
      <c r="A72" s="152"/>
      <c r="B72" s="153" t="str">
        <f t="shared" si="83"/>
        <v/>
      </c>
      <c r="C72" s="154" t="str">
        <f t="shared" si="70"/>
        <v/>
      </c>
      <c r="D72" s="155" t="str">
        <f t="shared" si="84"/>
        <v/>
      </c>
      <c r="E72" s="154" t="str">
        <f t="shared" ca="1" si="71"/>
        <v/>
      </c>
      <c r="F72" s="155" t="str">
        <f t="shared" si="85"/>
        <v/>
      </c>
      <c r="G72" s="154" t="str">
        <f t="shared" ca="1" si="72"/>
        <v/>
      </c>
      <c r="H72" s="155" t="str">
        <f t="shared" si="86"/>
        <v/>
      </c>
      <c r="I72" s="154" t="str">
        <f t="shared" ca="1" si="73"/>
        <v/>
      </c>
      <c r="J72" s="155" t="str">
        <f t="shared" si="87"/>
        <v/>
      </c>
      <c r="K72" s="154" t="str">
        <f t="shared" ca="1" si="74"/>
        <v/>
      </c>
      <c r="L72" s="155" t="str">
        <f t="shared" si="88"/>
        <v/>
      </c>
      <c r="M72" s="154" t="str">
        <f t="shared" ca="1" si="42"/>
        <v/>
      </c>
      <c r="N72" s="155" t="str">
        <f t="shared" si="89"/>
        <v/>
      </c>
      <c r="O72" s="154" t="str">
        <f t="shared" ca="1" si="75"/>
        <v/>
      </c>
      <c r="P72" s="155" t="str">
        <f t="shared" si="90"/>
        <v/>
      </c>
      <c r="Q72" s="154" t="str">
        <f t="shared" ca="1" si="76"/>
        <v/>
      </c>
      <c r="R72" s="155" t="str">
        <f t="shared" si="91"/>
        <v/>
      </c>
      <c r="S72" s="154" t="str">
        <f t="shared" ca="1" si="77"/>
        <v/>
      </c>
      <c r="T72" s="155" t="str">
        <f t="shared" si="92"/>
        <v/>
      </c>
      <c r="U72" s="154" t="str">
        <f t="shared" ca="1" si="78"/>
        <v/>
      </c>
      <c r="V72" s="155" t="str">
        <f t="shared" si="93"/>
        <v/>
      </c>
      <c r="W72" s="154" t="str">
        <f t="shared" ca="1" si="79"/>
        <v/>
      </c>
      <c r="X72" s="155" t="str">
        <f t="shared" si="62"/>
        <v/>
      </c>
      <c r="Y72" s="154" t="str">
        <f t="shared" ca="1" si="80"/>
        <v/>
      </c>
      <c r="Z72" s="155" t="str">
        <f t="shared" si="63"/>
        <v/>
      </c>
      <c r="AA72" s="154" t="str">
        <f t="shared" ca="1" si="81"/>
        <v/>
      </c>
      <c r="AB72" s="155" t="str">
        <f t="shared" si="64"/>
        <v/>
      </c>
      <c r="AC72" s="154" t="str">
        <f t="shared" ca="1" si="82"/>
        <v/>
      </c>
      <c r="AD72" s="155" t="str">
        <f t="shared" si="65"/>
        <v/>
      </c>
      <c r="AE72" s="151"/>
      <c r="AF72" s="151"/>
      <c r="AG72" s="151"/>
      <c r="AH72" s="151"/>
      <c r="AI72" s="151"/>
      <c r="AJ72" s="151"/>
      <c r="AL72" s="255" t="e">
        <f t="shared" ca="1" si="66"/>
        <v>#DIV/0!</v>
      </c>
      <c r="AM72" s="70" t="e">
        <f t="shared" ca="1" si="67"/>
        <v>#DIV/0!</v>
      </c>
      <c r="AN72" s="365" t="e">
        <f t="shared" ca="1" si="68"/>
        <v>#DIV/0!</v>
      </c>
      <c r="AO72" s="365" t="e">
        <f t="shared" ca="1" si="69"/>
        <v>#DIV/0!</v>
      </c>
    </row>
    <row r="73" spans="1:41" ht="21.75" hidden="1" customHeight="1" x14ac:dyDescent="0.25">
      <c r="A73" s="152"/>
      <c r="B73" s="153" t="str">
        <f t="shared" si="83"/>
        <v/>
      </c>
      <c r="C73" s="154" t="str">
        <f t="shared" si="70"/>
        <v/>
      </c>
      <c r="D73" s="155" t="str">
        <f t="shared" si="84"/>
        <v/>
      </c>
      <c r="E73" s="154" t="str">
        <f t="shared" ca="1" si="71"/>
        <v/>
      </c>
      <c r="F73" s="155" t="str">
        <f t="shared" si="85"/>
        <v/>
      </c>
      <c r="G73" s="154" t="str">
        <f t="shared" ca="1" si="72"/>
        <v/>
      </c>
      <c r="H73" s="155" t="str">
        <f t="shared" si="86"/>
        <v/>
      </c>
      <c r="I73" s="154" t="str">
        <f t="shared" ca="1" si="73"/>
        <v/>
      </c>
      <c r="J73" s="155" t="str">
        <f t="shared" si="87"/>
        <v/>
      </c>
      <c r="K73" s="154" t="str">
        <f t="shared" ca="1" si="74"/>
        <v/>
      </c>
      <c r="L73" s="155" t="str">
        <f t="shared" si="88"/>
        <v/>
      </c>
      <c r="M73" s="154" t="str">
        <f t="shared" ca="1" si="42"/>
        <v/>
      </c>
      <c r="N73" s="155" t="str">
        <f t="shared" si="89"/>
        <v/>
      </c>
      <c r="O73" s="154" t="str">
        <f t="shared" ca="1" si="75"/>
        <v/>
      </c>
      <c r="P73" s="155" t="str">
        <f t="shared" si="90"/>
        <v/>
      </c>
      <c r="Q73" s="154" t="str">
        <f t="shared" ca="1" si="76"/>
        <v/>
      </c>
      <c r="R73" s="155" t="str">
        <f t="shared" si="91"/>
        <v/>
      </c>
      <c r="S73" s="154" t="str">
        <f t="shared" ca="1" si="77"/>
        <v/>
      </c>
      <c r="T73" s="155" t="str">
        <f t="shared" si="92"/>
        <v/>
      </c>
      <c r="U73" s="154" t="str">
        <f t="shared" ca="1" si="78"/>
        <v/>
      </c>
      <c r="V73" s="155" t="str">
        <f t="shared" si="93"/>
        <v/>
      </c>
      <c r="W73" s="154" t="str">
        <f t="shared" ca="1" si="79"/>
        <v/>
      </c>
      <c r="X73" s="155" t="str">
        <f t="shared" si="62"/>
        <v/>
      </c>
      <c r="Y73" s="154" t="str">
        <f t="shared" ca="1" si="80"/>
        <v/>
      </c>
      <c r="Z73" s="155" t="str">
        <f t="shared" si="63"/>
        <v/>
      </c>
      <c r="AA73" s="154" t="str">
        <f t="shared" ca="1" si="81"/>
        <v/>
      </c>
      <c r="AB73" s="155" t="str">
        <f t="shared" si="64"/>
        <v/>
      </c>
      <c r="AC73" s="154" t="str">
        <f t="shared" ca="1" si="82"/>
        <v/>
      </c>
      <c r="AD73" s="155" t="str">
        <f t="shared" si="65"/>
        <v/>
      </c>
      <c r="AE73" s="151"/>
      <c r="AF73" s="151"/>
      <c r="AG73" s="151"/>
      <c r="AH73" s="151"/>
      <c r="AI73" s="151"/>
      <c r="AJ73" s="151"/>
      <c r="AL73" s="255" t="e">
        <f t="shared" ca="1" si="66"/>
        <v>#DIV/0!</v>
      </c>
      <c r="AM73" s="70" t="e">
        <f t="shared" ca="1" si="67"/>
        <v>#DIV/0!</v>
      </c>
      <c r="AN73" s="365" t="e">
        <f t="shared" ca="1" si="68"/>
        <v>#DIV/0!</v>
      </c>
      <c r="AO73" s="365" t="e">
        <f t="shared" ca="1" si="69"/>
        <v>#DIV/0!</v>
      </c>
    </row>
    <row r="74" spans="1:41" ht="21.75" hidden="1" customHeight="1" x14ac:dyDescent="0.25">
      <c r="A74" s="152"/>
      <c r="B74" s="153" t="str">
        <f t="shared" si="83"/>
        <v/>
      </c>
      <c r="C74" s="154" t="str">
        <f t="shared" si="70"/>
        <v/>
      </c>
      <c r="D74" s="155" t="str">
        <f t="shared" si="84"/>
        <v/>
      </c>
      <c r="E74" s="154" t="str">
        <f t="shared" ca="1" si="71"/>
        <v/>
      </c>
      <c r="F74" s="155" t="str">
        <f t="shared" si="85"/>
        <v/>
      </c>
      <c r="G74" s="154" t="str">
        <f t="shared" ca="1" si="72"/>
        <v/>
      </c>
      <c r="H74" s="155" t="str">
        <f t="shared" si="86"/>
        <v/>
      </c>
      <c r="I74" s="154" t="str">
        <f t="shared" ca="1" si="73"/>
        <v/>
      </c>
      <c r="J74" s="155" t="str">
        <f t="shared" si="87"/>
        <v/>
      </c>
      <c r="K74" s="154" t="str">
        <f t="shared" ca="1" si="74"/>
        <v/>
      </c>
      <c r="L74" s="155" t="str">
        <f t="shared" si="88"/>
        <v/>
      </c>
      <c r="M74" s="154" t="str">
        <f t="shared" ca="1" si="42"/>
        <v/>
      </c>
      <c r="N74" s="155" t="str">
        <f t="shared" si="89"/>
        <v/>
      </c>
      <c r="O74" s="154" t="str">
        <f t="shared" ca="1" si="75"/>
        <v/>
      </c>
      <c r="P74" s="155" t="str">
        <f t="shared" si="90"/>
        <v/>
      </c>
      <c r="Q74" s="154" t="str">
        <f t="shared" ca="1" si="76"/>
        <v/>
      </c>
      <c r="R74" s="155" t="str">
        <f t="shared" si="91"/>
        <v/>
      </c>
      <c r="S74" s="154" t="str">
        <f t="shared" ca="1" si="77"/>
        <v/>
      </c>
      <c r="T74" s="155" t="str">
        <f t="shared" si="92"/>
        <v/>
      </c>
      <c r="U74" s="154" t="str">
        <f t="shared" ca="1" si="78"/>
        <v/>
      </c>
      <c r="V74" s="155" t="str">
        <f t="shared" si="93"/>
        <v/>
      </c>
      <c r="W74" s="154" t="str">
        <f t="shared" ca="1" si="79"/>
        <v/>
      </c>
      <c r="X74" s="155" t="str">
        <f t="shared" si="62"/>
        <v/>
      </c>
      <c r="Y74" s="154" t="str">
        <f t="shared" ca="1" si="80"/>
        <v/>
      </c>
      <c r="Z74" s="155" t="str">
        <f t="shared" si="63"/>
        <v/>
      </c>
      <c r="AA74" s="154" t="str">
        <f t="shared" ca="1" si="81"/>
        <v/>
      </c>
      <c r="AB74" s="155" t="str">
        <f t="shared" si="64"/>
        <v/>
      </c>
      <c r="AC74" s="154" t="str">
        <f t="shared" ca="1" si="82"/>
        <v/>
      </c>
      <c r="AD74" s="155" t="str">
        <f t="shared" si="65"/>
        <v/>
      </c>
      <c r="AE74" s="151"/>
      <c r="AF74" s="151"/>
      <c r="AG74" s="151"/>
      <c r="AH74" s="151"/>
      <c r="AI74" s="151"/>
      <c r="AJ74" s="151"/>
      <c r="AL74" s="255" t="e">
        <f t="shared" ca="1" si="66"/>
        <v>#DIV/0!</v>
      </c>
      <c r="AM74" s="70" t="e">
        <f t="shared" ca="1" si="67"/>
        <v>#DIV/0!</v>
      </c>
      <c r="AN74" s="365" t="e">
        <f t="shared" ca="1" si="68"/>
        <v>#DIV/0!</v>
      </c>
      <c r="AO74" s="365" t="e">
        <f t="shared" ca="1" si="69"/>
        <v>#DIV/0!</v>
      </c>
    </row>
    <row r="75" spans="1:41" ht="21.75" hidden="1" customHeight="1" x14ac:dyDescent="0.25">
      <c r="A75" s="152"/>
      <c r="B75" s="153" t="str">
        <f t="shared" si="83"/>
        <v/>
      </c>
      <c r="C75" s="154" t="str">
        <f t="shared" si="70"/>
        <v/>
      </c>
      <c r="D75" s="155" t="str">
        <f t="shared" si="84"/>
        <v/>
      </c>
      <c r="E75" s="154" t="str">
        <f t="shared" ca="1" si="71"/>
        <v/>
      </c>
      <c r="F75" s="155" t="str">
        <f t="shared" si="85"/>
        <v/>
      </c>
      <c r="G75" s="154" t="str">
        <f t="shared" ca="1" si="72"/>
        <v/>
      </c>
      <c r="H75" s="155" t="str">
        <f t="shared" si="86"/>
        <v/>
      </c>
      <c r="I75" s="154" t="str">
        <f t="shared" ca="1" si="73"/>
        <v/>
      </c>
      <c r="J75" s="155" t="str">
        <f t="shared" si="87"/>
        <v/>
      </c>
      <c r="K75" s="154" t="str">
        <f t="shared" ca="1" si="74"/>
        <v/>
      </c>
      <c r="L75" s="155" t="str">
        <f t="shared" si="88"/>
        <v/>
      </c>
      <c r="M75" s="154" t="str">
        <f t="shared" ca="1" si="42"/>
        <v/>
      </c>
      <c r="N75" s="155" t="str">
        <f t="shared" si="89"/>
        <v/>
      </c>
      <c r="O75" s="154" t="str">
        <f t="shared" ca="1" si="75"/>
        <v/>
      </c>
      <c r="P75" s="155" t="str">
        <f t="shared" si="90"/>
        <v/>
      </c>
      <c r="Q75" s="154" t="str">
        <f t="shared" ca="1" si="76"/>
        <v/>
      </c>
      <c r="R75" s="155" t="str">
        <f t="shared" si="91"/>
        <v/>
      </c>
      <c r="S75" s="154" t="str">
        <f t="shared" ca="1" si="77"/>
        <v/>
      </c>
      <c r="T75" s="155" t="str">
        <f t="shared" si="92"/>
        <v/>
      </c>
      <c r="U75" s="154" t="str">
        <f t="shared" ca="1" si="78"/>
        <v/>
      </c>
      <c r="V75" s="155" t="str">
        <f t="shared" si="93"/>
        <v/>
      </c>
      <c r="W75" s="154" t="str">
        <f t="shared" ca="1" si="79"/>
        <v/>
      </c>
      <c r="X75" s="155" t="str">
        <f t="shared" si="62"/>
        <v/>
      </c>
      <c r="Y75" s="154" t="str">
        <f t="shared" ca="1" si="80"/>
        <v/>
      </c>
      <c r="Z75" s="155" t="str">
        <f t="shared" si="63"/>
        <v/>
      </c>
      <c r="AA75" s="154" t="str">
        <f t="shared" ca="1" si="81"/>
        <v/>
      </c>
      <c r="AB75" s="155" t="str">
        <f t="shared" si="64"/>
        <v/>
      </c>
      <c r="AC75" s="154" t="str">
        <f t="shared" ca="1" si="82"/>
        <v/>
      </c>
      <c r="AD75" s="155" t="str">
        <f t="shared" si="65"/>
        <v/>
      </c>
      <c r="AE75" s="151"/>
      <c r="AF75" s="151"/>
      <c r="AG75" s="151"/>
      <c r="AH75" s="151"/>
      <c r="AI75" s="151"/>
      <c r="AJ75" s="151"/>
      <c r="AL75" s="255" t="e">
        <f t="shared" ca="1" si="66"/>
        <v>#DIV/0!</v>
      </c>
      <c r="AM75" s="70" t="e">
        <f t="shared" ca="1" si="67"/>
        <v>#DIV/0!</v>
      </c>
      <c r="AN75" s="365" t="e">
        <f t="shared" ca="1" si="68"/>
        <v>#DIV/0!</v>
      </c>
      <c r="AO75" s="365" t="e">
        <f t="shared" ca="1" si="69"/>
        <v>#DIV/0!</v>
      </c>
    </row>
    <row r="76" spans="1:41" ht="21.75" hidden="1" customHeight="1" x14ac:dyDescent="0.25">
      <c r="A76" s="152"/>
      <c r="B76" s="153" t="str">
        <f t="shared" si="83"/>
        <v/>
      </c>
      <c r="C76" s="154" t="str">
        <f t="shared" si="70"/>
        <v/>
      </c>
      <c r="D76" s="155" t="str">
        <f t="shared" si="84"/>
        <v/>
      </c>
      <c r="E76" s="154" t="str">
        <f t="shared" ca="1" si="71"/>
        <v/>
      </c>
      <c r="F76" s="155" t="str">
        <f t="shared" si="85"/>
        <v/>
      </c>
      <c r="G76" s="154" t="str">
        <f t="shared" ca="1" si="72"/>
        <v/>
      </c>
      <c r="H76" s="155" t="str">
        <f t="shared" si="86"/>
        <v/>
      </c>
      <c r="I76" s="154" t="str">
        <f t="shared" ca="1" si="73"/>
        <v/>
      </c>
      <c r="J76" s="155" t="str">
        <f t="shared" si="87"/>
        <v/>
      </c>
      <c r="K76" s="154" t="str">
        <f t="shared" ca="1" si="74"/>
        <v/>
      </c>
      <c r="L76" s="155" t="str">
        <f t="shared" si="88"/>
        <v/>
      </c>
      <c r="M76" s="154" t="str">
        <f t="shared" ca="1" si="42"/>
        <v/>
      </c>
      <c r="N76" s="155" t="str">
        <f t="shared" si="89"/>
        <v/>
      </c>
      <c r="O76" s="154" t="str">
        <f t="shared" ca="1" si="75"/>
        <v/>
      </c>
      <c r="P76" s="155" t="str">
        <f t="shared" si="90"/>
        <v/>
      </c>
      <c r="Q76" s="154" t="str">
        <f t="shared" ca="1" si="76"/>
        <v/>
      </c>
      <c r="R76" s="155" t="str">
        <f t="shared" si="91"/>
        <v/>
      </c>
      <c r="S76" s="154" t="str">
        <f t="shared" ca="1" si="77"/>
        <v/>
      </c>
      <c r="T76" s="155" t="str">
        <f t="shared" si="92"/>
        <v/>
      </c>
      <c r="U76" s="154" t="str">
        <f t="shared" ca="1" si="78"/>
        <v/>
      </c>
      <c r="V76" s="155" t="str">
        <f t="shared" si="93"/>
        <v/>
      </c>
      <c r="W76" s="154" t="str">
        <f t="shared" ca="1" si="79"/>
        <v/>
      </c>
      <c r="X76" s="155" t="str">
        <f t="shared" si="62"/>
        <v/>
      </c>
      <c r="Y76" s="154" t="str">
        <f t="shared" ca="1" si="80"/>
        <v/>
      </c>
      <c r="Z76" s="155" t="str">
        <f t="shared" si="63"/>
        <v/>
      </c>
      <c r="AA76" s="154" t="str">
        <f t="shared" ca="1" si="81"/>
        <v/>
      </c>
      <c r="AB76" s="155" t="str">
        <f t="shared" si="64"/>
        <v/>
      </c>
      <c r="AC76" s="154" t="str">
        <f t="shared" ca="1" si="82"/>
        <v/>
      </c>
      <c r="AD76" s="155" t="str">
        <f t="shared" si="65"/>
        <v/>
      </c>
      <c r="AE76" s="151"/>
      <c r="AF76" s="151"/>
      <c r="AG76" s="151"/>
      <c r="AH76" s="151"/>
      <c r="AI76" s="151"/>
      <c r="AJ76" s="151"/>
      <c r="AL76" s="255" t="e">
        <f t="shared" ca="1" si="66"/>
        <v>#DIV/0!</v>
      </c>
      <c r="AM76" s="70" t="e">
        <f t="shared" ca="1" si="67"/>
        <v>#DIV/0!</v>
      </c>
      <c r="AN76" s="365" t="e">
        <f t="shared" ca="1" si="68"/>
        <v>#DIV/0!</v>
      </c>
      <c r="AO76" s="365" t="e">
        <f t="shared" ca="1" si="69"/>
        <v>#DIV/0!</v>
      </c>
    </row>
    <row r="77" spans="1:41" s="147" customFormat="1" ht="21" hidden="1" customHeight="1" x14ac:dyDescent="0.25">
      <c r="A77" s="152"/>
      <c r="B77" s="153" t="str">
        <f>IF(A77="","",IF($K$4="Media aritmética",ROUND(AVERAGE(C77,E77,G77,I77,K77,M77,O77,Q77,S77,U77,W77,Y77,AA77,AC77,AE77,AG77,AI77),2),ROUND(_xlfn.STDEV.P(C77,E77,G77,I77,K77,M77,O77,Q77,S77,U77,W77,Y77,AA77,AC77,AE77,AG77,AI77),2)))</f>
        <v/>
      </c>
      <c r="C77" s="154" t="str">
        <f t="shared" si="70"/>
        <v/>
      </c>
      <c r="D77" s="155" t="str">
        <f>IF($A77="","",IF(C77="","",IF($K$4="Media aritmética",(C77&lt;=$B77)*($E$5/$B$4)+(C77&gt;$B77)*0,IF(AND(ROUND(AVERAGE($C77,$E77,$G77,$I77,$K77,$M77,$O77,$Q77,$S77,$U77,$W77,$Y77,$AA77,$AC77,$AE77,$AG77,$AI77),2)-$B77/2&lt;=C77,(ROUND(AVERAGE($C77,$E77,$G77,$I77,$K77,$M77,$O77,$Q77,$S77,$U77,$W77,$Y77,$AA77,$AC77,$AE77,$AG77,$AI77),2)+$B77/2&gt;=C77)),($E$5/$B$4),0))))</f>
        <v/>
      </c>
      <c r="E77" s="154" t="str">
        <f t="shared" ca="1" si="71"/>
        <v/>
      </c>
      <c r="F77" s="155" t="str">
        <f>IF($A77="","",IF(E77="","",IF($K$4="Media aritmética",(E77&lt;=$B77)*($E$5/$B$4)+(E77&gt;$B77)*0,IF(AND(ROUND(AVERAGE($C77,$E77,$G77,$I77,$K77,$M77,$O77,$Q77,$S77,$U77,$W77,$Y77,$AA77,$AC77,$AE77,$AG77,$AI77),2)-$B77/2&lt;=E77,(ROUND(AVERAGE($C77,$E77,$G77,$I77,$K77,$M77,$O77,$Q77,$S77,$U77,$W77,$Y77,$AA77,$AC77,$AE77,$AG77,$AI77),2)+$B77/2&gt;=E77)),($E$5/$B$4),0))))</f>
        <v/>
      </c>
      <c r="G77" s="154" t="str">
        <f t="shared" ca="1" si="72"/>
        <v/>
      </c>
      <c r="H77" s="155" t="str">
        <f>IF($A77="","",IF(G77="","",IF($K$4="Media aritmética",(G77&lt;=$B77)*($E$5/$B$4)+(G77&gt;$B77)*0,IF(AND(ROUND(AVERAGE($C77,$E77,$G77,$I77,$K77,$M77,$O77,$Q77,$S77,$U77,$W77,$Y77,$AA77,$AC77,$AE77,$AG77,$AI77),2)-$B77/2&lt;=G77,(ROUND(AVERAGE($C77,$E77,$G77,$I77,$K77,$M77,$O77,$Q77,$S77,$U77,$W77,$Y77,$AA77,$AC77,$AE77,$AG77,$AI77),2)+$B77/2&gt;=G77)),($E$5/$B$4),0))))</f>
        <v/>
      </c>
      <c r="I77" s="154" t="str">
        <f t="shared" ca="1" si="73"/>
        <v/>
      </c>
      <c r="J77" s="155" t="str">
        <f>IF($A77="","",IF(I77="","",IF($K$4="Media aritmética",(I77&lt;=$B77)*($E$5/$B$4)+(I77&gt;$B77)*0,IF(AND(ROUND(AVERAGE($C77,$E77,$G77,$I77,$K77,$M77,$O77,$Q77,$S77,$U77,$W77,$Y77,$AA77,$AC77,$AE77,$AG77,$AI77),2)-$B77/2&lt;=I77,(ROUND(AVERAGE($C77,$E77,$G77,$I77,$K77,$M77,$O77,$Q77,$S77,$U77,$W77,$Y77,$AA77,$AC77,$AE77,$AG77,$AI77),2)+$B77/2&gt;=I77)),($E$5/$B$4),0))))</f>
        <v/>
      </c>
      <c r="K77" s="154" t="str">
        <f t="shared" ca="1" si="74"/>
        <v/>
      </c>
      <c r="L77" s="155" t="str">
        <f>IF($A77="","",IF(K77="","",IF($K$4="Media aritmética",(K77&lt;=$B77)*($E$5/$B$4)+(K77&gt;$B77)*0,IF(AND(ROUND(AVERAGE($C77,$E77,$G77,$I77,$K77,$M77,$O77,$Q77,$S77,$U77,$W77,$Y77,$AA77,$AC77,$AE77,$AG77,$AI77),2)-$B77/2&lt;=K77,(ROUND(AVERAGE($C77,$E77,$G77,$I77,$K77,$M77,$O77,$Q77,$S77,$U77,$W77,$Y77,$AA77,$AC77,$AE77,$AG77,$AI77),2)+$B77/2&gt;=K77)),($E$5/$B$4),0))))</f>
        <v/>
      </c>
      <c r="M77" s="154" t="str">
        <f t="shared" ca="1" si="42"/>
        <v/>
      </c>
      <c r="N77" s="155" t="str">
        <f>IF($A77="","",IF(M77="","",IF($K$4="Media aritmética",(M77&lt;=$B77)*($E$5/$B$4)+(M77&gt;$B77)*0,IF(AND(ROUND(AVERAGE($C77,$E77,$G77,$I77,$K77,$M77,$O77,$Q77,$S77,$U77,$W77,$Y77,$AA77,$AC77,$AE77,$AG77,$AI77),2)-$B77/2&lt;=M77,(ROUND(AVERAGE($C77,$E77,$G77,$I77,$K77,$M77,$O77,$Q77,$S77,$U77,$W77,$Y77,$AA77,$AC77,$AE77,$AG77,$AI77),2)+$B77/2&gt;=M77)),($E$5/$B$4),0))))</f>
        <v/>
      </c>
      <c r="O77" s="154" t="str">
        <f t="shared" ca="1" si="75"/>
        <v/>
      </c>
      <c r="P77" s="155" t="str">
        <f>IF($A77="","",IF(O77="","",IF($K$4="Media aritmética",(O77&lt;=$B77)*($E$5/$B$4)+(O77&gt;$B77)*0,IF(AND(ROUND(AVERAGE($C77,$E77,$G77,$I77,$K77,$M77,$O77,$Q77,$S77,$U77,$W77,$Y77,$AA77,$AC77,$AE77,$AG77,$AI77),2)-$B77/2&lt;=O77,(ROUND(AVERAGE($C77,$E77,$G77,$I77,$K77,$M77,$O77,$Q77,$S77,$U77,$W77,$Y77,$AA77,$AC77,$AE77,$AG77,$AI77),2)+$B77/2&gt;=O77)),($E$5/$B$4),0))))</f>
        <v/>
      </c>
      <c r="Q77" s="154" t="str">
        <f t="shared" ca="1" si="76"/>
        <v/>
      </c>
      <c r="R77" s="155" t="str">
        <f>IF($A77="","",IF(Q77="","",IF($K$4="Media aritmética",(Q77&lt;=$B77)*($E$5/$B$4)+(Q77&gt;$B77)*0,IF(AND(ROUND(AVERAGE($C77,$E77,$G77,$I77,$K77,$M77,$O77,$Q77,$S77,$U77,$W77,$Y77,$AA77,$AC77,$AE77,$AG77,$AI77),2)-$B77/2&lt;=Q77,(ROUND(AVERAGE($C77,$E77,$G77,$I77,$K77,$M77,$O77,$Q77,$S77,$U77,$W77,$Y77,$AA77,$AC77,$AE77,$AG77,$AI77),2)+$B77/2&gt;=Q77)),($E$5/$B$4),0))))</f>
        <v/>
      </c>
      <c r="S77" s="154" t="str">
        <f t="shared" ca="1" si="77"/>
        <v/>
      </c>
      <c r="T77" s="155" t="str">
        <f>IF($A77="","",IF(S77="","",IF($K$4="Media aritmética",(S77&lt;=$B77)*($E$5/$B$4)+(S77&gt;$B77)*0,IF(AND(ROUND(AVERAGE($C77,$E77,$G77,$I77,$K77,$M77,$O77,$Q77,$S77,$U77,$W77,$Y77,$AA77,$AC77,$AE77,$AG77,$AI77),2)-$B77/2&lt;=S77,(ROUND(AVERAGE($C77,$E77,$G77,$I77,$K77,$M77,$O77,$Q77,$S77,$U77,$W77,$Y77,$AA77,$AC77,$AE77,$AG77,$AI77),2)+$B77/2&gt;=S77)),($E$5/$B$4),0))))</f>
        <v/>
      </c>
      <c r="U77" s="154" t="str">
        <f t="shared" ca="1" si="78"/>
        <v/>
      </c>
      <c r="V77" s="155" t="str">
        <f>IF($A77="","",IF(U77="","",IF($K$4="Media aritmética",(U77&lt;=$B77)*($E$5/$B$4)+(U77&gt;$B77)*0,IF(AND(ROUND(AVERAGE($C77,$E77,$G77,$I77,$K77,$M77,$O77,$Q77,$S77,$U77,$W77,$Y77,$AA77,$AC77,$AE77,$AG77,$AI77),2)-$B77/2&lt;=U77,(ROUND(AVERAGE($C77,$E77,$G77,$I77,$K77,$M77,$O77,$Q77,$S77,$U77,$W77,$Y77,$AA77,$AC77,$AE77,$AG77,$AI77),2)+$B77/2&gt;=U77)),($E$5/$B$4),0))))</f>
        <v/>
      </c>
      <c r="W77" s="154" t="str">
        <f t="shared" ca="1" si="79"/>
        <v/>
      </c>
      <c r="X77" s="155" t="str">
        <f>IF($A77="","",IF(W77="","",IF($K$4="Media aritmética",(W77&lt;=$B77)*($E$5/$B$4)+(W77&gt;$B77)*0,IF(AND(ROUND(AVERAGE($C77,$E77,$G77,$I77,$K77,$M77,$O77,$Q77,$S77,$U77,$W77,$Y77,$AA77,$AC77,$AE77,$AG77,$AI77),2)-$B77/2&lt;=W77,(ROUND(AVERAGE($C77,$E77,$G77,$I77,$K77,$M77,$O77,$Q77,$S77,$U77,$W77,$Y77,$AA77,$AC77,$AE77,$AG77,$AI77),2)+$B77/2&gt;=W77)),($E$5/$B$4),0))))</f>
        <v/>
      </c>
      <c r="Y77" s="154" t="str">
        <f t="shared" ca="1" si="80"/>
        <v/>
      </c>
      <c r="Z77" s="155" t="str">
        <f>IF($A77="","",IF(Y77="","",IF($K$4="Media aritmética",(Y77&lt;=$B77)*($E$5/$B$4)+(Y77&gt;$B77)*0,IF(AND(ROUND(AVERAGE($C77,$E77,$G77,$I77,$K77,$M77,$O77,$Q77,$S77,$U77,$W77,$Y77,$AA77,$AC77,$AE77,$AG77,$AI77),2)-$B77/2&lt;=Y77,(ROUND(AVERAGE($C77,$E77,$G77,$I77,$K77,$M77,$O77,$Q77,$S77,$U77,$W77,$Y77,$AA77,$AC77,$AE77,$AG77,$AI77),2)+$B77/2&gt;=Y77)),($E$5/$B$4),0))))</f>
        <v/>
      </c>
      <c r="AA77" s="154" t="str">
        <f t="shared" ca="1" si="81"/>
        <v/>
      </c>
      <c r="AB77" s="155" t="str">
        <f>IF($A77="","",IF(AA77="","",IF($K$4="Media aritmética",(AA77&lt;=$B77)*($E$5/$B$4)+(AA77&gt;$B77)*0,IF(AND(ROUND(AVERAGE($C77,$E77,$G77,$I77,$K77,$M77,$O77,$Q77,$S77,$U77,$W77,$Y77,$AA77,$AC77,$AE77,$AG77,$AI77),2)-$B77/2&lt;=AA77,(ROUND(AVERAGE($C77,$E77,$G77,$I77,$K77,$M77,$O77,$Q77,$S77,$U77,$W77,$Y77,$AA77,$AC77,$AE77,$AG77,$AI77),2)+$B77/2&gt;=AA77)),($E$5/$B$4),0))))</f>
        <v/>
      </c>
      <c r="AC77" s="154" t="str">
        <f t="shared" ca="1" si="82"/>
        <v/>
      </c>
      <c r="AD77" s="155" t="str">
        <f>IF($A77="","",IF(AC77="","",IF($K$4="Media aritmética",(AC77&lt;=$B77)*($E$5/$B$4)+(AC77&gt;$B77)*0,IF(AND(ROUND(AVERAGE($C77,$E77,$G77,$I77,$K77,$M77,$O77,$Q77,$S77,$U77,$W77,$Y77,$AA77,$AC77,$AE77,$AG77,$AI77),2)-$B77/2&lt;=AC77,(ROUND(AVERAGE($C77,$E77,$G77,$I77,$K77,$M77,$O77,$Q77,$S77,$U77,$W77,$Y77,$AA77,$AC77,$AE77,$AG77,$AI77),2)+$B77/2&gt;=AC77)),($E$5/$B$4),0))))</f>
        <v/>
      </c>
      <c r="AE77" s="154" t="str">
        <f t="shared" ref="AE77:AE101" si="94">IF($AE$8="Habilitado",IF($A77="","",ROUND(VLOOKUP($A77,OFERENTE_15,14,FALSE),2)),"")</f>
        <v/>
      </c>
      <c r="AF77" s="155" t="str">
        <f>IF($A77="","",IF(AE77="","",IF($K$4="Media aritmética",(AE77&lt;=$B77)*($E$5/$B$4)+(AE77&gt;$B77)*0,IF(AND(ROUND(AVERAGE($C77,$E77,$G77,$I77,$K77,$M77,$O77,$Q77,$S77,$U77,$W77,$Y77,$AA77,$AC77,$AE77,$AG77,$AI77),2)-$B77/2&lt;=AE77,(ROUND(AVERAGE($C77,$E77,$G77,$I77,$K77,$M77,$O77,$Q77,$S77,$U77,$W77,$Y77,$AA77,$AC77,$AE77,$AG77,$AI77),2)+$B77/2&gt;=AE77)),($E$5/$B$4),0))))</f>
        <v/>
      </c>
      <c r="AG77" s="154" t="str">
        <f t="shared" ref="AG77:AG101" si="95">IF($AG$8="Habilitado",IF($A77="","",ROUND(VLOOKUP($A77,OFERENTE_16,14,FALSE),2)),"")</f>
        <v/>
      </c>
      <c r="AH77" s="155" t="str">
        <f>IF($A77="","",IF(AG77="","",IF($K$4="Media aritmética",(AG77&lt;=$B77)*($E$5/$B$4)+(AG77&gt;$B77)*0,IF(AND(ROUND(AVERAGE($C77,$E77,$G77,$I77,$K77,$M77,$O77,$Q77,$S77,$U77,$W77,$Y77,$AA77,$AC77,$AE77,$AG77,$AI77),2)-$B77/2&lt;=AG77,(ROUND(AVERAGE($C77,$E77,$G77,$I77,$K77,$M77,$O77,$Q77,$S77,$U77,$W77,$Y77,$AA77,$AC77,$AE77,$AG77,$AI77),2)+$B77/2&gt;=AG77)),($E$5/$B$4),0))))</f>
        <v/>
      </c>
      <c r="AI77" s="154" t="str">
        <f t="shared" ref="AI77:AI101" si="96">IF($AI$8="Habilitado",IF($A77="","",ROUND(VLOOKUP($A77,OFERENTE_17,14,FALSE),2)),"")</f>
        <v/>
      </c>
      <c r="AJ77" s="155" t="str">
        <f>IF($A77="","",IF(AI77="","",IF($K$4="Media aritmética",(AI77&lt;=$B77)*($E$5/$B$4)+(AI77&gt;$B77)*0,IF(AND(ROUND(AVERAGE($C77,$E77,$G77,$I77,$K77,$M77,$O77,$Q77,$S77,$U77,$W77,$Y77,$AA77,$AC77,$AE77,$AG77,$AI77),2)-$B77/2&lt;=AI77,(ROUND(AVERAGE($C77,$E77,$G77,$I77,$K77,$M77,$O77,$Q77,$S77,$U77,$W77,$Y77,$AA77,$AC77,$AE77,$AG77,$AI77),2)+$B77/2&gt;=AI77)),($E$5/$B$4),0))))</f>
        <v/>
      </c>
      <c r="AL77" s="255" t="e">
        <f t="shared" ca="1" si="66"/>
        <v>#DIV/0!</v>
      </c>
      <c r="AM77" s="70" t="e">
        <f t="shared" ca="1" si="67"/>
        <v>#DIV/0!</v>
      </c>
      <c r="AN77" s="365" t="e">
        <f t="shared" ca="1" si="68"/>
        <v>#DIV/0!</v>
      </c>
      <c r="AO77" s="365" t="e">
        <f t="shared" ca="1" si="69"/>
        <v>#DIV/0!</v>
      </c>
    </row>
    <row r="78" spans="1:41" s="147" customFormat="1" ht="21" hidden="1" customHeight="1" x14ac:dyDescent="0.25">
      <c r="A78" s="152"/>
      <c r="B78" s="153" t="str">
        <f t="shared" ref="B78:B101" si="97">IF(A78="","",IF($K$4="Media aritmética",ROUND(AVERAGE(C78,E78,G78,I78,K78,M78,O78,Q78,S78,U78,W78,Y78,AA78,AC78,AE78,AG78,AI78),2),ROUND(_xlfn.STDEV.P(C78,E78,G78,I78,K78,M78,O78,Q78,S78,U78,W78,Y78,AA78,AC78,AE78,AG78,AI78),2)))</f>
        <v/>
      </c>
      <c r="C78" s="154" t="str">
        <f t="shared" si="70"/>
        <v/>
      </c>
      <c r="D78" s="155" t="str">
        <f t="shared" ref="D78:D101" si="98">IF($A78="","",IF(C78="","",IF($K$4="Media aritmética",(C78&lt;=$B78)*($E$5/$B$4)+(C78&gt;$B78)*0,IF(AND(ROUND(AVERAGE($C78,$E78,$G78,$I78,$K78,$M78,$O78,$Q78,$S78,$U78,$W78,$Y78,$AA78,$AC78,$AE78,$AG78,$AI78),2)-$B78/2&lt;=C78,(ROUND(AVERAGE($C78,$E78,$G78,$I78,$K78,$M78,$O78,$Q78,$S78,$U78,$W78,$Y78,$AA78,$AC78,$AE78,$AG78,$AI78),2)+$B78/2&gt;=C78)),($E$5/$B$4),0))))</f>
        <v/>
      </c>
      <c r="E78" s="154" t="str">
        <f t="shared" ca="1" si="71"/>
        <v/>
      </c>
      <c r="F78" s="155" t="str">
        <f t="shared" ref="F78:F82" si="99">IF($A78="","",IF(E78="","",IF($K$4="Media aritmética",(E78&lt;=$B78)*($E$5/$B$4)+(E78&gt;$B78)*0,IF(AND(ROUND(AVERAGE($C78,$E78,$G78,$I78,$K78,$M78,$O78,$Q78,$S78,$U78,$W78,$Y78,$AA78,$AC78,$AE78,$AG78,$AI78),2)-$B78/2&lt;=E78,(ROUND(AVERAGE($C78,$E78,$G78,$I78,$K78,$M78,$O78,$Q78,$S78,$U78,$W78,$Y78,$AA78,$AC78,$AE78,$AG78,$AI78),2)+$B78/2&gt;=E78)),($E$5/$B$4),0))))</f>
        <v/>
      </c>
      <c r="G78" s="154" t="str">
        <f t="shared" ca="1" si="72"/>
        <v/>
      </c>
      <c r="H78" s="155" t="str">
        <f t="shared" ref="H78:H101" si="100">IF($A78="","",IF(G78="","",IF($K$4="Media aritmética",(G78&lt;=$B78)*($E$5/$B$4)+(G78&gt;$B78)*0,IF(AND(ROUND(AVERAGE($C78,$E78,$G78,$I78,$K78,$M78,$O78,$Q78,$S78,$U78,$W78,$Y78,$AA78,$AC78,$AE78,$AG78,$AI78),2)-$B78/2&lt;=G78,(ROUND(AVERAGE($C78,$E78,$G78,$I78,$K78,$M78,$O78,$Q78,$S78,$U78,$W78,$Y78,$AA78,$AC78,$AE78,$AG78,$AI78),2)+$B78/2&gt;=G78)),($E$5/$B$4),0))))</f>
        <v/>
      </c>
      <c r="I78" s="154" t="str">
        <f t="shared" ca="1" si="73"/>
        <v/>
      </c>
      <c r="J78" s="155" t="str">
        <f t="shared" ref="J78:J101" si="101">IF($A78="","",IF(I78="","",IF($K$4="Media aritmética",(I78&lt;=$B78)*($E$5/$B$4)+(I78&gt;$B78)*0,IF(AND(ROUND(AVERAGE($C78,$E78,$G78,$I78,$K78,$M78,$O78,$Q78,$S78,$U78,$W78,$Y78,$AA78,$AC78,$AE78,$AG78,$AI78),2)-$B78/2&lt;=I78,(ROUND(AVERAGE($C78,$E78,$G78,$I78,$K78,$M78,$O78,$Q78,$S78,$U78,$W78,$Y78,$AA78,$AC78,$AE78,$AG78,$AI78),2)+$B78/2&gt;=I78)),($E$5/$B$4),0))))</f>
        <v/>
      </c>
      <c r="K78" s="154" t="str">
        <f t="shared" ca="1" si="74"/>
        <v/>
      </c>
      <c r="L78" s="155" t="str">
        <f t="shared" ref="L78:L101" si="102">IF($A78="","",IF(K78="","",IF($K$4="Media aritmética",(K78&lt;=$B78)*($E$5/$B$4)+(K78&gt;$B78)*0,IF(AND(ROUND(AVERAGE($C78,$E78,$G78,$I78,$K78,$M78,$O78,$Q78,$S78,$U78,$W78,$Y78,$AA78,$AC78,$AE78,$AG78,$AI78),2)-$B78/2&lt;=K78,(ROUND(AVERAGE($C78,$E78,$G78,$I78,$K78,$M78,$O78,$Q78,$S78,$U78,$W78,$Y78,$AA78,$AC78,$AE78,$AG78,$AI78),2)+$B78/2&gt;=K78)),($E$5/$B$4),0))))</f>
        <v/>
      </c>
      <c r="M78" s="154" t="str">
        <f t="shared" ref="M78:M92" ca="1" si="103">IF($M$8="Habilitado",IF($A78="","",ROUND(VLOOKUP($A78,OFERENTE_6,15,FALSE),2)),"")</f>
        <v/>
      </c>
      <c r="N78" s="155" t="str">
        <f t="shared" ref="N78:N101" si="104">IF($A78="","",IF(M78="","",IF($K$4="Media aritmética",(M78&lt;=$B78)*($E$5/$B$4)+(M78&gt;$B78)*0,IF(AND(ROUND(AVERAGE($C78,$E78,$G78,$I78,$K78,$M78,$O78,$Q78,$S78,$U78,$W78,$Y78,$AA78,$AC78,$AE78,$AG78,$AI78),2)-$B78/2&lt;=M78,(ROUND(AVERAGE($C78,$E78,$G78,$I78,$K78,$M78,$O78,$Q78,$S78,$U78,$W78,$Y78,$AA78,$AC78,$AE78,$AG78,$AI78),2)+$B78/2&gt;=M78)),($E$5/$B$4),0))))</f>
        <v/>
      </c>
      <c r="O78" s="154" t="str">
        <f t="shared" ca="1" si="75"/>
        <v/>
      </c>
      <c r="P78" s="155" t="str">
        <f t="shared" ref="P78:P101" si="105">IF($A78="","",IF(O78="","",IF($K$4="Media aritmética",(O78&lt;=$B78)*($E$5/$B$4)+(O78&gt;$B78)*0,IF(AND(ROUND(AVERAGE($C78,$E78,$G78,$I78,$K78,$M78,$O78,$Q78,$S78,$U78,$W78,$Y78,$AA78,$AC78,$AE78,$AG78,$AI78),2)-$B78/2&lt;=O78,(ROUND(AVERAGE($C78,$E78,$G78,$I78,$K78,$M78,$O78,$Q78,$S78,$U78,$W78,$Y78,$AA78,$AC78,$AE78,$AG78,$AI78),2)+$B78/2&gt;=O78)),($E$5/$B$4),0))))</f>
        <v/>
      </c>
      <c r="Q78" s="154" t="str">
        <f t="shared" ref="Q78:Q92" ca="1" si="106">IF($Q$8="Habilitado",IF($A78="","",ROUND(VLOOKUP($A78,OFERENTE_8,15,FALSE),2)),"")</f>
        <v/>
      </c>
      <c r="R78" s="155" t="str">
        <f t="shared" ref="R78:R101" si="107">IF($A78="","",IF(Q78="","",IF($K$4="Media aritmética",(Q78&lt;=$B78)*($E$5/$B$4)+(Q78&gt;$B78)*0,IF(AND(ROUND(AVERAGE($C78,$E78,$G78,$I78,$K78,$M78,$O78,$Q78,$S78,$U78,$W78,$Y78,$AA78,$AC78,$AE78,$AG78,$AI78),2)-$B78/2&lt;=Q78,(ROUND(AVERAGE($C78,$E78,$G78,$I78,$K78,$M78,$O78,$Q78,$S78,$U78,$W78,$Y78,$AA78,$AC78,$AE78,$AG78,$AI78),2)+$B78/2&gt;=Q78)),($E$5/$B$4),0))))</f>
        <v/>
      </c>
      <c r="S78" s="154" t="str">
        <f t="shared" ref="S78:S92" ca="1" si="108">IF($S$8="Habilitado",IF($A78="","",ROUND(VLOOKUP($A78,OFERENTE_9,15,FALSE),2)),"")</f>
        <v/>
      </c>
      <c r="T78" s="155" t="str">
        <f t="shared" ref="T78:T101" si="109">IF($A78="","",IF(S78="","",IF($K$4="Media aritmética",(S78&lt;=$B78)*($E$5/$B$4)+(S78&gt;$B78)*0,IF(AND(ROUND(AVERAGE($C78,$E78,$G78,$I78,$K78,$M78,$O78,$Q78,$S78,$U78,$W78,$Y78,$AA78,$AC78,$AE78,$AG78,$AI78),2)-$B78/2&lt;=S78,(ROUND(AVERAGE($C78,$E78,$G78,$I78,$K78,$M78,$O78,$Q78,$S78,$U78,$W78,$Y78,$AA78,$AC78,$AE78,$AG78,$AI78),2)+$B78/2&gt;=S78)),($E$5/$B$4),0))))</f>
        <v/>
      </c>
      <c r="U78" s="154" t="str">
        <f t="shared" ref="U78:U92" ca="1" si="110">IF($U$8="Habilitado",IF($A78="","",ROUND(VLOOKUP($A78,OFERENTE_10,15,FALSE),2)),"")</f>
        <v/>
      </c>
      <c r="V78" s="155" t="str">
        <f t="shared" ref="V78:V101" si="111">IF($A78="","",IF(U78="","",IF($K$4="Media aritmética",(U78&lt;=$B78)*($E$5/$B$4)+(U78&gt;$B78)*0,IF(AND(ROUND(AVERAGE($C78,$E78,$G78,$I78,$K78,$M78,$O78,$Q78,$S78,$U78,$W78,$Y78,$AA78,$AC78,$AE78,$AG78,$AI78),2)-$B78/2&lt;=U78,(ROUND(AVERAGE($C78,$E78,$G78,$I78,$K78,$M78,$O78,$Q78,$S78,$U78,$W78,$Y78,$AA78,$AC78,$AE78,$AG78,$AI78),2)+$B78/2&gt;=U78)),($E$5/$B$4),0))))</f>
        <v/>
      </c>
      <c r="W78" s="154" t="str">
        <f t="shared" ref="W78:W83" ca="1" si="112">IF($W$8="Habilitado",IF($A78="","",ROUND(VLOOKUP($A78,OFERENTE_11,15,FALSE),2)),"")</f>
        <v/>
      </c>
      <c r="X78" s="155" t="str">
        <f t="shared" ref="X78:X101" si="113">IF($A78="","",IF(W78="","",IF($K$4="Media aritmética",(W78&lt;=$B78)*($E$5/$B$4)+(W78&gt;$B78)*0,IF(AND(ROUND(AVERAGE($C78,$E78,$G78,$I78,$K78,$M78,$O78,$Q78,$S78,$U78,$W78,$Y78,$AA78,$AC78,$AE78,$AG78,$AI78),2)-$B78/2&lt;=W78,(ROUND(AVERAGE($C78,$E78,$G78,$I78,$K78,$M78,$O78,$Q78,$S78,$U78,$W78,$Y78,$AA78,$AC78,$AE78,$AG78,$AI78),2)+$B78/2&gt;=W78)),($E$5/$B$4),0))))</f>
        <v/>
      </c>
      <c r="Y78" s="154" t="str">
        <f t="shared" ref="Y78:Y83" ca="1" si="114">IF($Y$8="Habilitado",IF($A78="","",ROUND(VLOOKUP($A78,OFERENTE_12,15,FALSE),2)),"")</f>
        <v/>
      </c>
      <c r="Z78" s="155" t="str">
        <f t="shared" ref="Z78:Z101" si="115">IF($A78="","",IF(Y78="","",IF($K$4="Media aritmética",(Y78&lt;=$B78)*($E$5/$B$4)+(Y78&gt;$B78)*0,IF(AND(ROUND(AVERAGE($C78,$E78,$G78,$I78,$K78,$M78,$O78,$Q78,$S78,$U78,$W78,$Y78,$AA78,$AC78,$AE78,$AG78,$AI78),2)-$B78/2&lt;=Y78,(ROUND(AVERAGE($C78,$E78,$G78,$I78,$K78,$M78,$O78,$Q78,$S78,$U78,$W78,$Y78,$AA78,$AC78,$AE78,$AG78,$AI78),2)+$B78/2&gt;=Y78)),($E$5/$B$4),0))))</f>
        <v/>
      </c>
      <c r="AA78" s="154" t="str">
        <f t="shared" ref="AA78:AA83" ca="1" si="116">IF($AA$8="Habilitado",IF($A78="","",ROUND(VLOOKUP($A78,OFERENTE_13,15,FALSE),2)),"")</f>
        <v/>
      </c>
      <c r="AB78" s="155" t="str">
        <f t="shared" ref="AB78:AB101" si="117">IF($A78="","",IF(AA78="","",IF($K$4="Media aritmética",(AA78&lt;=$B78)*($E$5/$B$4)+(AA78&gt;$B78)*0,IF(AND(ROUND(AVERAGE($C78,$E78,$G78,$I78,$K78,$M78,$O78,$Q78,$S78,$U78,$W78,$Y78,$AA78,$AC78,$AE78,$AG78,$AI78),2)-$B78/2&lt;=AA78,(ROUND(AVERAGE($C78,$E78,$G78,$I78,$K78,$M78,$O78,$Q78,$S78,$U78,$W78,$Y78,$AA78,$AC78,$AE78,$AG78,$AI78),2)+$B78/2&gt;=AA78)),($E$5/$B$4),0))))</f>
        <v/>
      </c>
      <c r="AC78" s="154" t="str">
        <f t="shared" ref="AC78:AC83" ca="1" si="118">IF($AC$8="Habilitado",IF($A78="","",ROUND(VLOOKUP($A78,OFERENTE_14,15,FALSE),2)),"")</f>
        <v/>
      </c>
      <c r="AD78" s="155" t="str">
        <f t="shared" ref="AD78:AD101" si="119">IF($A78="","",IF(AC78="","",IF($K$4="Media aritmética",(AC78&lt;=$B78)*($E$5/$B$4)+(AC78&gt;$B78)*0,IF(AND(ROUND(AVERAGE($C78,$E78,$G78,$I78,$K78,$M78,$O78,$Q78,$S78,$U78,$W78,$Y78,$AA78,$AC78,$AE78,$AG78,$AI78),2)-$B78/2&lt;=AC78,(ROUND(AVERAGE($C78,$E78,$G78,$I78,$K78,$M78,$O78,$Q78,$S78,$U78,$W78,$Y78,$AA78,$AC78,$AE78,$AG78,$AI78),2)+$B78/2&gt;=AC78)),($E$5/$B$4),0))))</f>
        <v/>
      </c>
      <c r="AE78" s="154" t="str">
        <f t="shared" si="94"/>
        <v/>
      </c>
      <c r="AF78" s="155" t="str">
        <f t="shared" ref="AF78:AF101" si="120">IF($A78="","",IF(AE78="","",IF($K$4="Media aritmética",(AE78&lt;=$B78)*($E$5/$B$4)+(AE78&gt;$B78)*0,IF(AND(ROUND(AVERAGE($C78,$E78,$G78,$I78,$K78,$M78,$O78,$Q78,$S78,$U78,$W78,$Y78,$AA78,$AC78,$AE78,$AG78,$AI78),2)-$B78/2&lt;=AE78,(ROUND(AVERAGE($C78,$E78,$G78,$I78,$K78,$M78,$O78,$Q78,$S78,$U78,$W78,$Y78,$AA78,$AC78,$AE78,$AG78,$AI78),2)+$B78/2&gt;=AE78)),($E$5/$B$4),0))))</f>
        <v/>
      </c>
      <c r="AG78" s="154" t="str">
        <f t="shared" si="95"/>
        <v/>
      </c>
      <c r="AH78" s="155" t="str">
        <f t="shared" ref="AH78:AH101" si="121">IF($A78="","",IF(AG78="","",IF($K$4="Media aritmética",(AG78&lt;=$B78)*($E$5/$B$4)+(AG78&gt;$B78)*0,IF(AND(ROUND(AVERAGE($C78,$E78,$G78,$I78,$K78,$M78,$O78,$Q78,$S78,$U78,$W78,$Y78,$AA78,$AC78,$AE78,$AG78,$AI78),2)-$B78/2&lt;=AG78,(ROUND(AVERAGE($C78,$E78,$G78,$I78,$K78,$M78,$O78,$Q78,$S78,$U78,$W78,$Y78,$AA78,$AC78,$AE78,$AG78,$AI78),2)+$B78/2&gt;=AG78)),($E$5/$B$4),0))))</f>
        <v/>
      </c>
      <c r="AI78" s="154" t="str">
        <f t="shared" si="96"/>
        <v/>
      </c>
      <c r="AJ78" s="155" t="str">
        <f t="shared" ref="AJ78:AJ101" si="122">IF($A78="","",IF(AI78="","",IF($K$4="Media aritmética",(AI78&lt;=$B78)*($E$5/$B$4)+(AI78&gt;$B78)*0,IF(AND(ROUND(AVERAGE($C78,$E78,$G78,$I78,$K78,$M78,$O78,$Q78,$S78,$U78,$W78,$Y78,$AA78,$AC78,$AE78,$AG78,$AI78),2)-$B78/2&lt;=AI78,(ROUND(AVERAGE($C78,$E78,$G78,$I78,$K78,$M78,$O78,$Q78,$S78,$U78,$W78,$Y78,$AA78,$AC78,$AE78,$AG78,$AI78),2)+$B78/2&gt;=AI78)),($E$5/$B$4),0))))</f>
        <v/>
      </c>
      <c r="AL78" s="255" t="e">
        <f t="shared" ca="1" si="66"/>
        <v>#DIV/0!</v>
      </c>
      <c r="AM78" s="70" t="e">
        <f t="shared" ca="1" si="67"/>
        <v>#DIV/0!</v>
      </c>
      <c r="AN78" s="365" t="e">
        <f t="shared" ca="1" si="68"/>
        <v>#DIV/0!</v>
      </c>
      <c r="AO78" s="365" t="e">
        <f t="shared" ca="1" si="69"/>
        <v>#DIV/0!</v>
      </c>
    </row>
    <row r="79" spans="1:41" s="147" customFormat="1" ht="21" hidden="1" customHeight="1" x14ac:dyDescent="0.25">
      <c r="A79" s="152"/>
      <c r="B79" s="153" t="str">
        <f t="shared" si="97"/>
        <v/>
      </c>
      <c r="C79" s="154" t="str">
        <f t="shared" si="70"/>
        <v/>
      </c>
      <c r="D79" s="155" t="str">
        <f t="shared" si="98"/>
        <v/>
      </c>
      <c r="E79" s="154" t="str">
        <f t="shared" ca="1" si="71"/>
        <v/>
      </c>
      <c r="F79" s="155" t="str">
        <f t="shared" si="99"/>
        <v/>
      </c>
      <c r="G79" s="154" t="str">
        <f t="shared" ca="1" si="72"/>
        <v/>
      </c>
      <c r="H79" s="155" t="str">
        <f t="shared" si="100"/>
        <v/>
      </c>
      <c r="I79" s="154" t="str">
        <f t="shared" ca="1" si="73"/>
        <v/>
      </c>
      <c r="J79" s="155" t="str">
        <f t="shared" si="101"/>
        <v/>
      </c>
      <c r="K79" s="154" t="str">
        <f t="shared" ca="1" si="74"/>
        <v/>
      </c>
      <c r="L79" s="155" t="str">
        <f t="shared" si="102"/>
        <v/>
      </c>
      <c r="M79" s="154" t="str">
        <f t="shared" ca="1" si="103"/>
        <v/>
      </c>
      <c r="N79" s="155" t="str">
        <f t="shared" si="104"/>
        <v/>
      </c>
      <c r="O79" s="154" t="str">
        <f t="shared" ca="1" si="75"/>
        <v/>
      </c>
      <c r="P79" s="155" t="str">
        <f t="shared" si="105"/>
        <v/>
      </c>
      <c r="Q79" s="154" t="str">
        <f t="shared" ca="1" si="106"/>
        <v/>
      </c>
      <c r="R79" s="155" t="str">
        <f t="shared" si="107"/>
        <v/>
      </c>
      <c r="S79" s="154" t="str">
        <f t="shared" ca="1" si="108"/>
        <v/>
      </c>
      <c r="T79" s="155" t="str">
        <f t="shared" si="109"/>
        <v/>
      </c>
      <c r="U79" s="154" t="str">
        <f t="shared" ca="1" si="110"/>
        <v/>
      </c>
      <c r="V79" s="155" t="str">
        <f t="shared" si="111"/>
        <v/>
      </c>
      <c r="W79" s="154" t="str">
        <f t="shared" ca="1" si="112"/>
        <v/>
      </c>
      <c r="X79" s="155" t="str">
        <f t="shared" si="113"/>
        <v/>
      </c>
      <c r="Y79" s="154" t="str">
        <f t="shared" ca="1" si="114"/>
        <v/>
      </c>
      <c r="Z79" s="155" t="str">
        <f t="shared" si="115"/>
        <v/>
      </c>
      <c r="AA79" s="154" t="str">
        <f t="shared" ca="1" si="116"/>
        <v/>
      </c>
      <c r="AB79" s="155" t="str">
        <f t="shared" si="117"/>
        <v/>
      </c>
      <c r="AC79" s="154" t="str">
        <f t="shared" ca="1" si="118"/>
        <v/>
      </c>
      <c r="AD79" s="155" t="str">
        <f t="shared" si="119"/>
        <v/>
      </c>
      <c r="AE79" s="154" t="str">
        <f t="shared" si="94"/>
        <v/>
      </c>
      <c r="AF79" s="155" t="str">
        <f t="shared" si="120"/>
        <v/>
      </c>
      <c r="AG79" s="154" t="str">
        <f t="shared" si="95"/>
        <v/>
      </c>
      <c r="AH79" s="155" t="str">
        <f t="shared" si="121"/>
        <v/>
      </c>
      <c r="AI79" s="154" t="str">
        <f t="shared" si="96"/>
        <v/>
      </c>
      <c r="AJ79" s="155" t="str">
        <f t="shared" si="122"/>
        <v/>
      </c>
      <c r="AL79" s="255" t="e">
        <f t="shared" ref="AL79:AL101" ca="1" si="123">AVERAGE(C79,E79,G79,I79,K79,M79,O79,Q79,S79,U79,W79,Y79,AC79)</f>
        <v>#DIV/0!</v>
      </c>
      <c r="AM79" s="70" t="e">
        <f t="shared" ref="AM79:AM101" ca="1" si="124">_xlfn.STDEV.P(C79,E79,G79,I79,K79,M79,O79,Q79,S79,U79,W79,Y79,AC79)</f>
        <v>#DIV/0!</v>
      </c>
      <c r="AN79" s="365" t="e">
        <f t="shared" ref="AN79:AN101" ca="1" si="125">AL79+(AM79/2)</f>
        <v>#DIV/0!</v>
      </c>
      <c r="AO79" s="365" t="e">
        <f t="shared" ref="AO79:AO101" ca="1" si="126">AL79-(AM79/2)</f>
        <v>#DIV/0!</v>
      </c>
    </row>
    <row r="80" spans="1:41" s="147" customFormat="1" ht="21" hidden="1" customHeight="1" x14ac:dyDescent="0.25">
      <c r="A80" s="152"/>
      <c r="B80" s="153" t="str">
        <f t="shared" si="97"/>
        <v/>
      </c>
      <c r="C80" s="154" t="str">
        <f t="shared" si="70"/>
        <v/>
      </c>
      <c r="D80" s="155" t="str">
        <f t="shared" si="98"/>
        <v/>
      </c>
      <c r="E80" s="154" t="str">
        <f t="shared" ca="1" si="71"/>
        <v/>
      </c>
      <c r="F80" s="155" t="str">
        <f t="shared" si="99"/>
        <v/>
      </c>
      <c r="G80" s="154" t="str">
        <f t="shared" ca="1" si="72"/>
        <v/>
      </c>
      <c r="H80" s="155" t="str">
        <f t="shared" si="100"/>
        <v/>
      </c>
      <c r="I80" s="154" t="str">
        <f t="shared" ca="1" si="73"/>
        <v/>
      </c>
      <c r="J80" s="155" t="str">
        <f t="shared" si="101"/>
        <v/>
      </c>
      <c r="K80" s="154" t="str">
        <f t="shared" ca="1" si="74"/>
        <v/>
      </c>
      <c r="L80" s="155" t="str">
        <f t="shared" si="102"/>
        <v/>
      </c>
      <c r="M80" s="154" t="str">
        <f t="shared" ca="1" si="103"/>
        <v/>
      </c>
      <c r="N80" s="155" t="str">
        <f t="shared" si="104"/>
        <v/>
      </c>
      <c r="O80" s="154" t="str">
        <f t="shared" ca="1" si="75"/>
        <v/>
      </c>
      <c r="P80" s="155" t="str">
        <f t="shared" si="105"/>
        <v/>
      </c>
      <c r="Q80" s="154" t="str">
        <f t="shared" ca="1" si="106"/>
        <v/>
      </c>
      <c r="R80" s="155" t="str">
        <f t="shared" si="107"/>
        <v/>
      </c>
      <c r="S80" s="154" t="str">
        <f t="shared" ca="1" si="108"/>
        <v/>
      </c>
      <c r="T80" s="155" t="str">
        <f t="shared" si="109"/>
        <v/>
      </c>
      <c r="U80" s="154" t="str">
        <f t="shared" ca="1" si="110"/>
        <v/>
      </c>
      <c r="V80" s="155" t="str">
        <f t="shared" si="111"/>
        <v/>
      </c>
      <c r="W80" s="154" t="str">
        <f t="shared" ca="1" si="112"/>
        <v/>
      </c>
      <c r="X80" s="155" t="str">
        <f t="shared" si="113"/>
        <v/>
      </c>
      <c r="Y80" s="154" t="str">
        <f t="shared" ca="1" si="114"/>
        <v/>
      </c>
      <c r="Z80" s="155" t="str">
        <f t="shared" si="115"/>
        <v/>
      </c>
      <c r="AA80" s="154" t="str">
        <f t="shared" ca="1" si="116"/>
        <v/>
      </c>
      <c r="AB80" s="155" t="str">
        <f t="shared" si="117"/>
        <v/>
      </c>
      <c r="AC80" s="154" t="str">
        <f t="shared" ca="1" si="118"/>
        <v/>
      </c>
      <c r="AD80" s="155" t="str">
        <f t="shared" si="119"/>
        <v/>
      </c>
      <c r="AE80" s="154" t="str">
        <f t="shared" si="94"/>
        <v/>
      </c>
      <c r="AF80" s="155" t="str">
        <f t="shared" si="120"/>
        <v/>
      </c>
      <c r="AG80" s="154" t="str">
        <f t="shared" si="95"/>
        <v/>
      </c>
      <c r="AH80" s="155" t="str">
        <f t="shared" si="121"/>
        <v/>
      </c>
      <c r="AI80" s="154" t="str">
        <f t="shared" si="96"/>
        <v/>
      </c>
      <c r="AJ80" s="155" t="str">
        <f t="shared" si="122"/>
        <v/>
      </c>
      <c r="AL80" s="255" t="e">
        <f t="shared" ca="1" si="123"/>
        <v>#DIV/0!</v>
      </c>
      <c r="AM80" s="70" t="e">
        <f t="shared" ca="1" si="124"/>
        <v>#DIV/0!</v>
      </c>
      <c r="AN80" s="365" t="e">
        <f t="shared" ca="1" si="125"/>
        <v>#DIV/0!</v>
      </c>
      <c r="AO80" s="365" t="e">
        <f t="shared" ca="1" si="126"/>
        <v>#DIV/0!</v>
      </c>
    </row>
    <row r="81" spans="1:41" s="147" customFormat="1" ht="21" hidden="1" customHeight="1" x14ac:dyDescent="0.25">
      <c r="A81" s="152"/>
      <c r="B81" s="153" t="str">
        <f t="shared" si="97"/>
        <v/>
      </c>
      <c r="C81" s="154" t="str">
        <f t="shared" si="70"/>
        <v/>
      </c>
      <c r="D81" s="155" t="str">
        <f t="shared" si="98"/>
        <v/>
      </c>
      <c r="E81" s="154" t="str">
        <f t="shared" ca="1" si="71"/>
        <v/>
      </c>
      <c r="F81" s="155" t="str">
        <f t="shared" si="99"/>
        <v/>
      </c>
      <c r="G81" s="154" t="str">
        <f t="shared" ca="1" si="72"/>
        <v/>
      </c>
      <c r="H81" s="155" t="str">
        <f t="shared" si="100"/>
        <v/>
      </c>
      <c r="I81" s="154" t="str">
        <f t="shared" ca="1" si="73"/>
        <v/>
      </c>
      <c r="J81" s="155" t="str">
        <f t="shared" si="101"/>
        <v/>
      </c>
      <c r="K81" s="154" t="str">
        <f t="shared" ca="1" si="74"/>
        <v/>
      </c>
      <c r="L81" s="155" t="str">
        <f t="shared" si="102"/>
        <v/>
      </c>
      <c r="M81" s="154" t="str">
        <f t="shared" ca="1" si="103"/>
        <v/>
      </c>
      <c r="N81" s="155" t="str">
        <f t="shared" si="104"/>
        <v/>
      </c>
      <c r="O81" s="154" t="str">
        <f t="shared" ca="1" si="75"/>
        <v/>
      </c>
      <c r="P81" s="155" t="str">
        <f t="shared" si="105"/>
        <v/>
      </c>
      <c r="Q81" s="154" t="str">
        <f t="shared" ca="1" si="106"/>
        <v/>
      </c>
      <c r="R81" s="155" t="str">
        <f t="shared" si="107"/>
        <v/>
      </c>
      <c r="S81" s="154" t="str">
        <f t="shared" ca="1" si="108"/>
        <v/>
      </c>
      <c r="T81" s="155" t="str">
        <f t="shared" si="109"/>
        <v/>
      </c>
      <c r="U81" s="154" t="str">
        <f t="shared" ca="1" si="110"/>
        <v/>
      </c>
      <c r="V81" s="155" t="str">
        <f t="shared" si="111"/>
        <v/>
      </c>
      <c r="W81" s="154" t="str">
        <f t="shared" ca="1" si="112"/>
        <v/>
      </c>
      <c r="X81" s="155" t="str">
        <f t="shared" si="113"/>
        <v/>
      </c>
      <c r="Y81" s="154" t="str">
        <f t="shared" ca="1" si="114"/>
        <v/>
      </c>
      <c r="Z81" s="155" t="str">
        <f t="shared" si="115"/>
        <v/>
      </c>
      <c r="AA81" s="154" t="str">
        <f t="shared" ca="1" si="116"/>
        <v/>
      </c>
      <c r="AB81" s="155" t="str">
        <f t="shared" si="117"/>
        <v/>
      </c>
      <c r="AC81" s="154" t="str">
        <f t="shared" ca="1" si="118"/>
        <v/>
      </c>
      <c r="AD81" s="155" t="str">
        <f t="shared" si="119"/>
        <v/>
      </c>
      <c r="AE81" s="154" t="str">
        <f t="shared" si="94"/>
        <v/>
      </c>
      <c r="AF81" s="155" t="str">
        <f t="shared" si="120"/>
        <v/>
      </c>
      <c r="AG81" s="154" t="str">
        <f t="shared" si="95"/>
        <v/>
      </c>
      <c r="AH81" s="155" t="str">
        <f t="shared" si="121"/>
        <v/>
      </c>
      <c r="AI81" s="154" t="str">
        <f t="shared" si="96"/>
        <v/>
      </c>
      <c r="AJ81" s="155" t="str">
        <f t="shared" si="122"/>
        <v/>
      </c>
      <c r="AL81" s="255" t="e">
        <f t="shared" ca="1" si="123"/>
        <v>#DIV/0!</v>
      </c>
      <c r="AM81" s="70" t="e">
        <f t="shared" ca="1" si="124"/>
        <v>#DIV/0!</v>
      </c>
      <c r="AN81" s="365" t="e">
        <f t="shared" ca="1" si="125"/>
        <v>#DIV/0!</v>
      </c>
      <c r="AO81" s="365" t="e">
        <f t="shared" ca="1" si="126"/>
        <v>#DIV/0!</v>
      </c>
    </row>
    <row r="82" spans="1:41" s="147" customFormat="1" ht="21" hidden="1" customHeight="1" x14ac:dyDescent="0.25">
      <c r="A82" s="152"/>
      <c r="B82" s="153" t="str">
        <f t="shared" si="97"/>
        <v/>
      </c>
      <c r="C82" s="154" t="str">
        <f t="shared" si="70"/>
        <v/>
      </c>
      <c r="D82" s="155" t="str">
        <f t="shared" si="98"/>
        <v/>
      </c>
      <c r="E82" s="154" t="str">
        <f t="shared" ca="1" si="71"/>
        <v/>
      </c>
      <c r="F82" s="155" t="str">
        <f t="shared" si="99"/>
        <v/>
      </c>
      <c r="G82" s="154" t="str">
        <f t="shared" ca="1" si="72"/>
        <v/>
      </c>
      <c r="H82" s="155" t="str">
        <f t="shared" si="100"/>
        <v/>
      </c>
      <c r="I82" s="154" t="str">
        <f t="shared" ca="1" si="73"/>
        <v/>
      </c>
      <c r="J82" s="155" t="str">
        <f t="shared" si="101"/>
        <v/>
      </c>
      <c r="K82" s="154" t="str">
        <f t="shared" ca="1" si="74"/>
        <v/>
      </c>
      <c r="L82" s="155" t="str">
        <f t="shared" si="102"/>
        <v/>
      </c>
      <c r="M82" s="154" t="str">
        <f t="shared" ca="1" si="103"/>
        <v/>
      </c>
      <c r="N82" s="155" t="str">
        <f t="shared" si="104"/>
        <v/>
      </c>
      <c r="O82" s="154" t="str">
        <f t="shared" ca="1" si="75"/>
        <v/>
      </c>
      <c r="P82" s="155" t="str">
        <f t="shared" si="105"/>
        <v/>
      </c>
      <c r="Q82" s="154" t="str">
        <f t="shared" ca="1" si="106"/>
        <v/>
      </c>
      <c r="R82" s="155" t="str">
        <f t="shared" si="107"/>
        <v/>
      </c>
      <c r="S82" s="154" t="str">
        <f t="shared" ca="1" si="108"/>
        <v/>
      </c>
      <c r="T82" s="155" t="str">
        <f t="shared" si="109"/>
        <v/>
      </c>
      <c r="U82" s="154" t="str">
        <f t="shared" ca="1" si="110"/>
        <v/>
      </c>
      <c r="V82" s="155" t="str">
        <f t="shared" si="111"/>
        <v/>
      </c>
      <c r="W82" s="154" t="str">
        <f t="shared" ca="1" si="112"/>
        <v/>
      </c>
      <c r="X82" s="155" t="str">
        <f t="shared" si="113"/>
        <v/>
      </c>
      <c r="Y82" s="154" t="str">
        <f t="shared" ca="1" si="114"/>
        <v/>
      </c>
      <c r="Z82" s="155" t="str">
        <f t="shared" si="115"/>
        <v/>
      </c>
      <c r="AA82" s="154" t="str">
        <f t="shared" ca="1" si="116"/>
        <v/>
      </c>
      <c r="AB82" s="155" t="str">
        <f t="shared" si="117"/>
        <v/>
      </c>
      <c r="AC82" s="154" t="str">
        <f t="shared" ca="1" si="118"/>
        <v/>
      </c>
      <c r="AD82" s="155" t="str">
        <f t="shared" si="119"/>
        <v/>
      </c>
      <c r="AE82" s="154" t="str">
        <f t="shared" si="94"/>
        <v/>
      </c>
      <c r="AF82" s="155" t="str">
        <f t="shared" si="120"/>
        <v/>
      </c>
      <c r="AG82" s="154" t="str">
        <f t="shared" si="95"/>
        <v/>
      </c>
      <c r="AH82" s="155" t="str">
        <f t="shared" si="121"/>
        <v/>
      </c>
      <c r="AI82" s="154" t="str">
        <f t="shared" si="96"/>
        <v/>
      </c>
      <c r="AJ82" s="155" t="str">
        <f t="shared" si="122"/>
        <v/>
      </c>
      <c r="AL82" s="255" t="e">
        <f t="shared" ca="1" si="123"/>
        <v>#DIV/0!</v>
      </c>
      <c r="AM82" s="70" t="e">
        <f t="shared" ca="1" si="124"/>
        <v>#DIV/0!</v>
      </c>
      <c r="AN82" s="365" t="e">
        <f t="shared" ca="1" si="125"/>
        <v>#DIV/0!</v>
      </c>
      <c r="AO82" s="365" t="e">
        <f t="shared" ca="1" si="126"/>
        <v>#DIV/0!</v>
      </c>
    </row>
    <row r="83" spans="1:41" s="147" customFormat="1" ht="21" hidden="1" customHeight="1" x14ac:dyDescent="0.25">
      <c r="A83" s="152"/>
      <c r="B83" s="153" t="str">
        <f t="shared" ref="B83:B92" si="127">IF(A83="","",IF($K$4="Media aritmética",ROUND(AVERAGE(C83,E83,G83,I83,K83,M83,O83,Q83,S83,U83,W83,Y83,AA83,AC83,AE83,AG83,AI83),2),ROUND(_xlfn.STDEV.P(C83,E83,G83,I83,K83,M83,O83,Q83,S83,U83,W83,Y83,AA83,AC83,AE83,AG83,AI83),2)))</f>
        <v/>
      </c>
      <c r="C83" s="154" t="str">
        <f t="shared" si="70"/>
        <v/>
      </c>
      <c r="D83" s="155" t="str">
        <f t="shared" ref="D83:D92" si="128">IF($A83="","",IF(C83="","",IF($K$4="Media aritmética",(C83&lt;=$B83)*($E$5/$B$4)+(C83&gt;$B83)*0,IF(AND(ROUND(AVERAGE($C83,$E83,$G83,$I83,$K83,$M83,$O83,$Q83,$S83,$U83,$W83,$Y83,$AA83,$AC83,$AE83,$AG83,$AI83),2)-$B83/2&lt;=C83,(ROUND(AVERAGE($C83,$E83,$G83,$I83,$K83,$M83,$O83,$Q83,$S83,$U83,$W83,$Y83,$AA83,$AC83,$AE83,$AG83,$AI83),2)+$B83/2&gt;=C83)),($E$5/$B$4),0))))</f>
        <v/>
      </c>
      <c r="E83" s="154" t="str">
        <f t="shared" ca="1" si="71"/>
        <v/>
      </c>
      <c r="F83" s="155" t="str">
        <f t="shared" ref="F83:F92" si="129">IF($A83="","",IF(E83="","",IF($K$4="Media aritmética",(E83&lt;=$B83)*($E$5/$B$4)+(E83&gt;$B83)*0,IF(AND(ROUND(AVERAGE($C83,$E83,$G83,$I83,$K83,$M83,$O83,$Q83,$S83,$U83,$W83,$Y83,$AA83,$AC83,$AE83,$AG83,$AI83),2)-$B83/2&lt;=E83,(ROUND(AVERAGE($C83,$E83,$G83,$I83,$K83,$M83,$O83,$Q83,$S83,$U83,$W83,$Y83,$AA83,$AC83,$AE83,$AG83,$AI83),2)+$B83/2&gt;=E83)),($E$5/$B$4),0))))</f>
        <v/>
      </c>
      <c r="G83" s="154" t="str">
        <f t="shared" ca="1" si="72"/>
        <v/>
      </c>
      <c r="H83" s="155" t="str">
        <f t="shared" ref="H83:H92" si="130">IF($A83="","",IF(G83="","",IF($K$4="Media aritmética",(G83&lt;=$B83)*($E$5/$B$4)+(G83&gt;$B83)*0,IF(AND(ROUND(AVERAGE($C83,$E83,$G83,$I83,$K83,$M83,$O83,$Q83,$S83,$U83,$W83,$Y83,$AA83,$AC83,$AE83,$AG83,$AI83),2)-$B83/2&lt;=G83,(ROUND(AVERAGE($C83,$E83,$G83,$I83,$K83,$M83,$O83,$Q83,$S83,$U83,$W83,$Y83,$AA83,$AC83,$AE83,$AG83,$AI83),2)+$B83/2&gt;=G83)),($E$5/$B$4),0))))</f>
        <v/>
      </c>
      <c r="I83" s="154" t="str">
        <f t="shared" ca="1" si="73"/>
        <v/>
      </c>
      <c r="J83" s="155" t="str">
        <f t="shared" ref="J83:J92" si="131">IF($A83="","",IF(I83="","",IF($K$4="Media aritmética",(I83&lt;=$B83)*($E$5/$B$4)+(I83&gt;$B83)*0,IF(AND(ROUND(AVERAGE($C83,$E83,$G83,$I83,$K83,$M83,$O83,$Q83,$S83,$U83,$W83,$Y83,$AA83,$AC83,$AE83,$AG83,$AI83),2)-$B83/2&lt;=I83,(ROUND(AVERAGE($C83,$E83,$G83,$I83,$K83,$M83,$O83,$Q83,$S83,$U83,$W83,$Y83,$AA83,$AC83,$AE83,$AG83,$AI83),2)+$B83/2&gt;=I83)),($E$5/$B$4),0))))</f>
        <v/>
      </c>
      <c r="K83" s="154" t="str">
        <f t="shared" ca="1" si="74"/>
        <v/>
      </c>
      <c r="L83" s="155" t="str">
        <f t="shared" ref="L83:L92" si="132">IF($A83="","",IF(K83="","",IF($K$4="Media aritmética",(K83&lt;=$B83)*($E$5/$B$4)+(K83&gt;$B83)*0,IF(AND(ROUND(AVERAGE($C83,$E83,$G83,$I83,$K83,$M83,$O83,$Q83,$S83,$U83,$W83,$Y83,$AA83,$AC83,$AE83,$AG83,$AI83),2)-$B83/2&lt;=K83,(ROUND(AVERAGE($C83,$E83,$G83,$I83,$K83,$M83,$O83,$Q83,$S83,$U83,$W83,$Y83,$AA83,$AC83,$AE83,$AG83,$AI83),2)+$B83/2&gt;=K83)),($E$5/$B$4),0))))</f>
        <v/>
      </c>
      <c r="M83" s="154" t="str">
        <f t="shared" ca="1" si="103"/>
        <v/>
      </c>
      <c r="N83" s="155" t="str">
        <f t="shared" ref="N83:N92" si="133">IF($A83="","",IF(M83="","",IF($K$4="Media aritmética",(M83&lt;=$B83)*($E$5/$B$4)+(M83&gt;$B83)*0,IF(AND(ROUND(AVERAGE($C83,$E83,$G83,$I83,$K83,$M83,$O83,$Q83,$S83,$U83,$W83,$Y83,$AA83,$AC83,$AE83,$AG83,$AI83),2)-$B83/2&lt;=M83,(ROUND(AVERAGE($C83,$E83,$G83,$I83,$K83,$M83,$O83,$Q83,$S83,$U83,$W83,$Y83,$AA83,$AC83,$AE83,$AG83,$AI83),2)+$B83/2&gt;=M83)),($E$5/$B$4),0))))</f>
        <v/>
      </c>
      <c r="O83" s="154" t="str">
        <f t="shared" ca="1" si="75"/>
        <v/>
      </c>
      <c r="P83" s="155" t="str">
        <f t="shared" ref="P83:P92" si="134">IF($A83="","",IF(O83="","",IF($K$4="Media aritmética",(O83&lt;=$B83)*($E$5/$B$4)+(O83&gt;$B83)*0,IF(AND(ROUND(AVERAGE($C83,$E83,$G83,$I83,$K83,$M83,$O83,$Q83,$S83,$U83,$W83,$Y83,$AA83,$AC83,$AE83,$AG83,$AI83),2)-$B83/2&lt;=O83,(ROUND(AVERAGE($C83,$E83,$G83,$I83,$K83,$M83,$O83,$Q83,$S83,$U83,$W83,$Y83,$AA83,$AC83,$AE83,$AG83,$AI83),2)+$B83/2&gt;=O83)),($E$5/$B$4),0))))</f>
        <v/>
      </c>
      <c r="Q83" s="154" t="str">
        <f t="shared" ca="1" si="106"/>
        <v/>
      </c>
      <c r="R83" s="155" t="str">
        <f t="shared" ref="R83:R92" si="135">IF($A83="","",IF(Q83="","",IF($K$4="Media aritmética",(Q83&lt;=$B83)*($E$5/$B$4)+(Q83&gt;$B83)*0,IF(AND(ROUND(AVERAGE($C83,$E83,$G83,$I83,$K83,$M83,$O83,$Q83,$S83,$U83,$W83,$Y83,$AA83,$AC83,$AE83,$AG83,$AI83),2)-$B83/2&lt;=Q83,(ROUND(AVERAGE($C83,$E83,$G83,$I83,$K83,$M83,$O83,$Q83,$S83,$U83,$W83,$Y83,$AA83,$AC83,$AE83,$AG83,$AI83),2)+$B83/2&gt;=Q83)),($E$5/$B$4),0))))</f>
        <v/>
      </c>
      <c r="S83" s="154" t="str">
        <f t="shared" ca="1" si="108"/>
        <v/>
      </c>
      <c r="T83" s="155" t="str">
        <f t="shared" ref="T83:T92" si="136">IF($A83="","",IF(S83="","",IF($K$4="Media aritmética",(S83&lt;=$B83)*($E$5/$B$4)+(S83&gt;$B83)*0,IF(AND(ROUND(AVERAGE($C83,$E83,$G83,$I83,$K83,$M83,$O83,$Q83,$S83,$U83,$W83,$Y83,$AA83,$AC83,$AE83,$AG83,$AI83),2)-$B83/2&lt;=S83,(ROUND(AVERAGE($C83,$E83,$G83,$I83,$K83,$M83,$O83,$Q83,$S83,$U83,$W83,$Y83,$AA83,$AC83,$AE83,$AG83,$AI83),2)+$B83/2&gt;=S83)),($E$5/$B$4),0))))</f>
        <v/>
      </c>
      <c r="U83" s="154" t="str">
        <f t="shared" ca="1" si="110"/>
        <v/>
      </c>
      <c r="V83" s="155" t="str">
        <f t="shared" ref="V83:V92" si="137">IF($A83="","",IF(U83="","",IF($K$4="Media aritmética",(U83&lt;=$B83)*($E$5/$B$4)+(U83&gt;$B83)*0,IF(AND(ROUND(AVERAGE($C83,$E83,$G83,$I83,$K83,$M83,$O83,$Q83,$S83,$U83,$W83,$Y83,$AA83,$AC83,$AE83,$AG83,$AI83),2)-$B83/2&lt;=U83,(ROUND(AVERAGE($C83,$E83,$G83,$I83,$K83,$M83,$O83,$Q83,$S83,$U83,$W83,$Y83,$AA83,$AC83,$AE83,$AG83,$AI83),2)+$B83/2&gt;=U83)),($E$5/$B$4),0))))</f>
        <v/>
      </c>
      <c r="W83" s="154" t="str">
        <f t="shared" ca="1" si="112"/>
        <v/>
      </c>
      <c r="X83" s="155" t="str">
        <f t="shared" si="113"/>
        <v/>
      </c>
      <c r="Y83" s="154" t="str">
        <f t="shared" ca="1" si="114"/>
        <v/>
      </c>
      <c r="Z83" s="155" t="str">
        <f t="shared" si="115"/>
        <v/>
      </c>
      <c r="AA83" s="154" t="str">
        <f t="shared" ca="1" si="116"/>
        <v/>
      </c>
      <c r="AB83" s="155" t="str">
        <f t="shared" si="117"/>
        <v/>
      </c>
      <c r="AC83" s="154" t="str">
        <f t="shared" ca="1" si="118"/>
        <v/>
      </c>
      <c r="AD83" s="155" t="str">
        <f t="shared" si="119"/>
        <v/>
      </c>
      <c r="AE83" s="154" t="str">
        <f t="shared" si="94"/>
        <v/>
      </c>
      <c r="AF83" s="155" t="str">
        <f t="shared" si="120"/>
        <v/>
      </c>
      <c r="AG83" s="154" t="str">
        <f t="shared" si="95"/>
        <v/>
      </c>
      <c r="AH83" s="155" t="str">
        <f t="shared" si="121"/>
        <v/>
      </c>
      <c r="AI83" s="154" t="str">
        <f t="shared" si="96"/>
        <v/>
      </c>
      <c r="AJ83" s="155" t="str">
        <f t="shared" si="122"/>
        <v/>
      </c>
      <c r="AL83" s="255" t="e">
        <f t="shared" ca="1" si="123"/>
        <v>#DIV/0!</v>
      </c>
      <c r="AM83" s="70" t="e">
        <f t="shared" ca="1" si="124"/>
        <v>#DIV/0!</v>
      </c>
      <c r="AN83" s="365" t="e">
        <f t="shared" ca="1" si="125"/>
        <v>#DIV/0!</v>
      </c>
      <c r="AO83" s="365" t="e">
        <f t="shared" ca="1" si="126"/>
        <v>#DIV/0!</v>
      </c>
    </row>
    <row r="84" spans="1:41" s="147" customFormat="1" ht="21" hidden="1" customHeight="1" x14ac:dyDescent="0.25">
      <c r="A84" s="152"/>
      <c r="B84" s="153" t="str">
        <f t="shared" si="127"/>
        <v/>
      </c>
      <c r="C84" s="154" t="str">
        <f t="shared" si="70"/>
        <v/>
      </c>
      <c r="D84" s="155" t="str">
        <f t="shared" si="128"/>
        <v/>
      </c>
      <c r="E84" s="154" t="str">
        <f t="shared" ca="1" si="71"/>
        <v/>
      </c>
      <c r="F84" s="155" t="str">
        <f t="shared" si="129"/>
        <v/>
      </c>
      <c r="G84" s="154" t="str">
        <f t="shared" ca="1" si="72"/>
        <v/>
      </c>
      <c r="H84" s="155" t="str">
        <f t="shared" si="130"/>
        <v/>
      </c>
      <c r="I84" s="154" t="str">
        <f t="shared" ca="1" si="73"/>
        <v/>
      </c>
      <c r="J84" s="155" t="str">
        <f t="shared" si="131"/>
        <v/>
      </c>
      <c r="K84" s="154" t="str">
        <f t="shared" ca="1" si="74"/>
        <v/>
      </c>
      <c r="L84" s="155" t="str">
        <f t="shared" si="132"/>
        <v/>
      </c>
      <c r="M84" s="154" t="str">
        <f t="shared" ca="1" si="103"/>
        <v/>
      </c>
      <c r="N84" s="155" t="str">
        <f t="shared" si="133"/>
        <v/>
      </c>
      <c r="O84" s="154" t="str">
        <f t="shared" ca="1" si="75"/>
        <v/>
      </c>
      <c r="P84" s="155" t="str">
        <f t="shared" si="134"/>
        <v/>
      </c>
      <c r="Q84" s="154" t="str">
        <f t="shared" ca="1" si="106"/>
        <v/>
      </c>
      <c r="R84" s="155" t="str">
        <f t="shared" si="135"/>
        <v/>
      </c>
      <c r="S84" s="154" t="str">
        <f t="shared" ca="1" si="108"/>
        <v/>
      </c>
      <c r="T84" s="155" t="str">
        <f t="shared" si="136"/>
        <v/>
      </c>
      <c r="U84" s="154" t="str">
        <f t="shared" ca="1" si="110"/>
        <v/>
      </c>
      <c r="V84" s="155" t="str">
        <f t="shared" si="137"/>
        <v/>
      </c>
      <c r="W84" s="154"/>
      <c r="X84" s="155"/>
      <c r="Y84" s="154"/>
      <c r="Z84" s="155"/>
      <c r="AA84" s="154"/>
      <c r="AB84" s="155"/>
      <c r="AC84" s="154"/>
      <c r="AD84" s="155"/>
      <c r="AE84" s="154"/>
      <c r="AF84" s="155"/>
      <c r="AG84" s="154"/>
      <c r="AH84" s="155"/>
      <c r="AI84" s="154"/>
      <c r="AJ84" s="155"/>
      <c r="AL84" s="255" t="e">
        <f t="shared" ca="1" si="123"/>
        <v>#DIV/0!</v>
      </c>
      <c r="AM84" s="70" t="e">
        <f t="shared" ca="1" si="124"/>
        <v>#DIV/0!</v>
      </c>
      <c r="AN84" s="365" t="e">
        <f t="shared" ca="1" si="125"/>
        <v>#DIV/0!</v>
      </c>
      <c r="AO84" s="365" t="e">
        <f t="shared" ca="1" si="126"/>
        <v>#DIV/0!</v>
      </c>
    </row>
    <row r="85" spans="1:41" s="147" customFormat="1" ht="21" hidden="1" customHeight="1" x14ac:dyDescent="0.25">
      <c r="A85" s="152"/>
      <c r="B85" s="153" t="str">
        <f t="shared" si="127"/>
        <v/>
      </c>
      <c r="C85" s="154" t="str">
        <f t="shared" si="70"/>
        <v/>
      </c>
      <c r="D85" s="155" t="str">
        <f t="shared" si="128"/>
        <v/>
      </c>
      <c r="E85" s="154" t="str">
        <f t="shared" ca="1" si="71"/>
        <v/>
      </c>
      <c r="F85" s="155" t="str">
        <f t="shared" si="129"/>
        <v/>
      </c>
      <c r="G85" s="154" t="str">
        <f t="shared" ca="1" si="72"/>
        <v/>
      </c>
      <c r="H85" s="155" t="str">
        <f t="shared" si="130"/>
        <v/>
      </c>
      <c r="I85" s="154" t="str">
        <f t="shared" ca="1" si="73"/>
        <v/>
      </c>
      <c r="J85" s="155" t="str">
        <f t="shared" si="131"/>
        <v/>
      </c>
      <c r="K85" s="154" t="str">
        <f t="shared" ca="1" si="74"/>
        <v/>
      </c>
      <c r="L85" s="155" t="str">
        <f t="shared" si="132"/>
        <v/>
      </c>
      <c r="M85" s="154" t="str">
        <f t="shared" ca="1" si="103"/>
        <v/>
      </c>
      <c r="N85" s="155" t="str">
        <f t="shared" si="133"/>
        <v/>
      </c>
      <c r="O85" s="154" t="str">
        <f t="shared" ca="1" si="75"/>
        <v/>
      </c>
      <c r="P85" s="155" t="str">
        <f t="shared" si="134"/>
        <v/>
      </c>
      <c r="Q85" s="154" t="str">
        <f t="shared" ca="1" si="106"/>
        <v/>
      </c>
      <c r="R85" s="155" t="str">
        <f t="shared" si="135"/>
        <v/>
      </c>
      <c r="S85" s="154" t="str">
        <f t="shared" ca="1" si="108"/>
        <v/>
      </c>
      <c r="T85" s="155" t="str">
        <f t="shared" si="136"/>
        <v/>
      </c>
      <c r="U85" s="154" t="str">
        <f t="shared" ca="1" si="110"/>
        <v/>
      </c>
      <c r="V85" s="155" t="str">
        <f t="shared" si="137"/>
        <v/>
      </c>
      <c r="W85" s="154"/>
      <c r="X85" s="155"/>
      <c r="Y85" s="154"/>
      <c r="Z85" s="155"/>
      <c r="AA85" s="154"/>
      <c r="AB85" s="155"/>
      <c r="AC85" s="154"/>
      <c r="AD85" s="155"/>
      <c r="AE85" s="154"/>
      <c r="AF85" s="155"/>
      <c r="AG85" s="154"/>
      <c r="AH85" s="155"/>
      <c r="AI85" s="154"/>
      <c r="AJ85" s="155"/>
      <c r="AL85" s="255" t="e">
        <f t="shared" ca="1" si="123"/>
        <v>#DIV/0!</v>
      </c>
      <c r="AM85" s="70" t="e">
        <f t="shared" ca="1" si="124"/>
        <v>#DIV/0!</v>
      </c>
      <c r="AN85" s="365" t="e">
        <f t="shared" ca="1" si="125"/>
        <v>#DIV/0!</v>
      </c>
      <c r="AO85" s="365" t="e">
        <f t="shared" ca="1" si="126"/>
        <v>#DIV/0!</v>
      </c>
    </row>
    <row r="86" spans="1:41" s="147" customFormat="1" ht="21" hidden="1" customHeight="1" x14ac:dyDescent="0.25">
      <c r="A86" s="152"/>
      <c r="B86" s="153" t="str">
        <f t="shared" si="127"/>
        <v/>
      </c>
      <c r="C86" s="154" t="str">
        <f t="shared" si="70"/>
        <v/>
      </c>
      <c r="D86" s="155" t="str">
        <f t="shared" si="128"/>
        <v/>
      </c>
      <c r="E86" s="154" t="str">
        <f t="shared" ca="1" si="71"/>
        <v/>
      </c>
      <c r="F86" s="155" t="str">
        <f t="shared" si="129"/>
        <v/>
      </c>
      <c r="G86" s="154" t="str">
        <f t="shared" ca="1" si="72"/>
        <v/>
      </c>
      <c r="H86" s="155" t="str">
        <f t="shared" si="130"/>
        <v/>
      </c>
      <c r="I86" s="154" t="str">
        <f t="shared" ca="1" si="73"/>
        <v/>
      </c>
      <c r="J86" s="155" t="str">
        <f t="shared" si="131"/>
        <v/>
      </c>
      <c r="K86" s="154" t="str">
        <f t="shared" ca="1" si="74"/>
        <v/>
      </c>
      <c r="L86" s="155" t="str">
        <f t="shared" si="132"/>
        <v/>
      </c>
      <c r="M86" s="154" t="str">
        <f t="shared" ca="1" si="103"/>
        <v/>
      </c>
      <c r="N86" s="155" t="str">
        <f t="shared" si="133"/>
        <v/>
      </c>
      <c r="O86" s="154" t="str">
        <f t="shared" ca="1" si="75"/>
        <v/>
      </c>
      <c r="P86" s="155" t="str">
        <f t="shared" si="134"/>
        <v/>
      </c>
      <c r="Q86" s="154" t="str">
        <f t="shared" ca="1" si="106"/>
        <v/>
      </c>
      <c r="R86" s="155" t="str">
        <f t="shared" si="135"/>
        <v/>
      </c>
      <c r="S86" s="154" t="str">
        <f t="shared" ca="1" si="108"/>
        <v/>
      </c>
      <c r="T86" s="155" t="str">
        <f t="shared" si="136"/>
        <v/>
      </c>
      <c r="U86" s="154" t="str">
        <f t="shared" ca="1" si="110"/>
        <v/>
      </c>
      <c r="V86" s="155" t="str">
        <f t="shared" si="137"/>
        <v/>
      </c>
      <c r="W86" s="154"/>
      <c r="X86" s="155"/>
      <c r="Y86" s="154"/>
      <c r="Z86" s="155"/>
      <c r="AA86" s="154"/>
      <c r="AB86" s="155"/>
      <c r="AC86" s="154"/>
      <c r="AD86" s="155"/>
      <c r="AE86" s="154"/>
      <c r="AF86" s="155"/>
      <c r="AG86" s="154"/>
      <c r="AH86" s="155"/>
      <c r="AI86" s="154"/>
      <c r="AJ86" s="155"/>
      <c r="AL86" s="255" t="e">
        <f t="shared" ca="1" si="123"/>
        <v>#DIV/0!</v>
      </c>
      <c r="AM86" s="70" t="e">
        <f t="shared" ca="1" si="124"/>
        <v>#DIV/0!</v>
      </c>
      <c r="AN86" s="365" t="e">
        <f t="shared" ca="1" si="125"/>
        <v>#DIV/0!</v>
      </c>
      <c r="AO86" s="365" t="e">
        <f t="shared" ca="1" si="126"/>
        <v>#DIV/0!</v>
      </c>
    </row>
    <row r="87" spans="1:41" s="147" customFormat="1" ht="21" hidden="1" customHeight="1" x14ac:dyDescent="0.25">
      <c r="A87" s="152"/>
      <c r="B87" s="153" t="str">
        <f t="shared" si="127"/>
        <v/>
      </c>
      <c r="C87" s="154" t="str">
        <f t="shared" si="70"/>
        <v/>
      </c>
      <c r="D87" s="155" t="str">
        <f t="shared" si="128"/>
        <v/>
      </c>
      <c r="E87" s="154" t="str">
        <f t="shared" ca="1" si="71"/>
        <v/>
      </c>
      <c r="F87" s="155" t="str">
        <f t="shared" si="129"/>
        <v/>
      </c>
      <c r="G87" s="154" t="str">
        <f t="shared" ca="1" si="72"/>
        <v/>
      </c>
      <c r="H87" s="155" t="str">
        <f t="shared" si="130"/>
        <v/>
      </c>
      <c r="I87" s="154" t="str">
        <f t="shared" ca="1" si="73"/>
        <v/>
      </c>
      <c r="J87" s="155" t="str">
        <f t="shared" si="131"/>
        <v/>
      </c>
      <c r="K87" s="154" t="str">
        <f t="shared" ca="1" si="74"/>
        <v/>
      </c>
      <c r="L87" s="155" t="str">
        <f t="shared" si="132"/>
        <v/>
      </c>
      <c r="M87" s="154" t="str">
        <f t="shared" ca="1" si="103"/>
        <v/>
      </c>
      <c r="N87" s="155" t="str">
        <f t="shared" si="133"/>
        <v/>
      </c>
      <c r="O87" s="154" t="str">
        <f t="shared" ca="1" si="75"/>
        <v/>
      </c>
      <c r="P87" s="155" t="str">
        <f t="shared" si="134"/>
        <v/>
      </c>
      <c r="Q87" s="154" t="str">
        <f t="shared" ca="1" si="106"/>
        <v/>
      </c>
      <c r="R87" s="155" t="str">
        <f t="shared" si="135"/>
        <v/>
      </c>
      <c r="S87" s="154" t="str">
        <f t="shared" ca="1" si="108"/>
        <v/>
      </c>
      <c r="T87" s="155" t="str">
        <f t="shared" si="136"/>
        <v/>
      </c>
      <c r="U87" s="154" t="str">
        <f t="shared" ca="1" si="110"/>
        <v/>
      </c>
      <c r="V87" s="155" t="str">
        <f t="shared" si="137"/>
        <v/>
      </c>
      <c r="W87" s="154"/>
      <c r="X87" s="155"/>
      <c r="Y87" s="154"/>
      <c r="Z87" s="155"/>
      <c r="AA87" s="154"/>
      <c r="AB87" s="155"/>
      <c r="AC87" s="154"/>
      <c r="AD87" s="155"/>
      <c r="AE87" s="154"/>
      <c r="AF87" s="155"/>
      <c r="AG87" s="154"/>
      <c r="AH87" s="155"/>
      <c r="AI87" s="154"/>
      <c r="AJ87" s="155"/>
      <c r="AL87" s="255" t="e">
        <f t="shared" ca="1" si="123"/>
        <v>#DIV/0!</v>
      </c>
      <c r="AM87" s="70" t="e">
        <f t="shared" ca="1" si="124"/>
        <v>#DIV/0!</v>
      </c>
      <c r="AN87" s="365" t="e">
        <f t="shared" ca="1" si="125"/>
        <v>#DIV/0!</v>
      </c>
      <c r="AO87" s="365" t="e">
        <f t="shared" ca="1" si="126"/>
        <v>#DIV/0!</v>
      </c>
    </row>
    <row r="88" spans="1:41" s="147" customFormat="1" ht="21" hidden="1" customHeight="1" x14ac:dyDescent="0.25">
      <c r="A88" s="152"/>
      <c r="B88" s="153" t="str">
        <f t="shared" si="127"/>
        <v/>
      </c>
      <c r="C88" s="154" t="str">
        <f t="shared" si="70"/>
        <v/>
      </c>
      <c r="D88" s="155" t="str">
        <f t="shared" si="128"/>
        <v/>
      </c>
      <c r="E88" s="154" t="str">
        <f t="shared" ca="1" si="71"/>
        <v/>
      </c>
      <c r="F88" s="155" t="str">
        <f t="shared" si="129"/>
        <v/>
      </c>
      <c r="G88" s="154" t="str">
        <f t="shared" ca="1" si="72"/>
        <v/>
      </c>
      <c r="H88" s="155" t="str">
        <f t="shared" si="130"/>
        <v/>
      </c>
      <c r="I88" s="154" t="str">
        <f t="shared" ca="1" si="73"/>
        <v/>
      </c>
      <c r="J88" s="155" t="str">
        <f t="shared" si="131"/>
        <v/>
      </c>
      <c r="K88" s="154" t="str">
        <f t="shared" ca="1" si="74"/>
        <v/>
      </c>
      <c r="L88" s="155" t="str">
        <f t="shared" si="132"/>
        <v/>
      </c>
      <c r="M88" s="154" t="str">
        <f t="shared" ca="1" si="103"/>
        <v/>
      </c>
      <c r="N88" s="155" t="str">
        <f t="shared" si="133"/>
        <v/>
      </c>
      <c r="O88" s="154" t="str">
        <f t="shared" ca="1" si="75"/>
        <v/>
      </c>
      <c r="P88" s="155" t="str">
        <f t="shared" si="134"/>
        <v/>
      </c>
      <c r="Q88" s="154" t="str">
        <f t="shared" ca="1" si="106"/>
        <v/>
      </c>
      <c r="R88" s="155" t="str">
        <f t="shared" si="135"/>
        <v/>
      </c>
      <c r="S88" s="154" t="str">
        <f t="shared" ca="1" si="108"/>
        <v/>
      </c>
      <c r="T88" s="155" t="str">
        <f t="shared" si="136"/>
        <v/>
      </c>
      <c r="U88" s="154" t="str">
        <f t="shared" ca="1" si="110"/>
        <v/>
      </c>
      <c r="V88" s="155" t="str">
        <f t="shared" si="137"/>
        <v/>
      </c>
      <c r="W88" s="154"/>
      <c r="X88" s="155"/>
      <c r="Y88" s="154"/>
      <c r="Z88" s="155"/>
      <c r="AA88" s="154"/>
      <c r="AB88" s="155"/>
      <c r="AC88" s="154"/>
      <c r="AD88" s="155"/>
      <c r="AE88" s="154"/>
      <c r="AF88" s="155"/>
      <c r="AG88" s="154"/>
      <c r="AH88" s="155"/>
      <c r="AI88" s="154"/>
      <c r="AJ88" s="155"/>
      <c r="AL88" s="255" t="e">
        <f t="shared" ca="1" si="123"/>
        <v>#DIV/0!</v>
      </c>
      <c r="AM88" s="70" t="e">
        <f t="shared" ca="1" si="124"/>
        <v>#DIV/0!</v>
      </c>
      <c r="AN88" s="365" t="e">
        <f t="shared" ca="1" si="125"/>
        <v>#DIV/0!</v>
      </c>
      <c r="AO88" s="365" t="e">
        <f t="shared" ca="1" si="126"/>
        <v>#DIV/0!</v>
      </c>
    </row>
    <row r="89" spans="1:41" s="147" customFormat="1" ht="21" hidden="1" customHeight="1" x14ac:dyDescent="0.25">
      <c r="A89" s="152"/>
      <c r="B89" s="153" t="str">
        <f t="shared" si="127"/>
        <v/>
      </c>
      <c r="C89" s="154" t="str">
        <f t="shared" si="70"/>
        <v/>
      </c>
      <c r="D89" s="155" t="str">
        <f t="shared" si="128"/>
        <v/>
      </c>
      <c r="E89" s="154" t="str">
        <f t="shared" ca="1" si="71"/>
        <v/>
      </c>
      <c r="F89" s="155" t="str">
        <f t="shared" si="129"/>
        <v/>
      </c>
      <c r="G89" s="154" t="str">
        <f t="shared" ca="1" si="72"/>
        <v/>
      </c>
      <c r="H89" s="155" t="str">
        <f t="shared" si="130"/>
        <v/>
      </c>
      <c r="I89" s="154" t="str">
        <f t="shared" ca="1" si="73"/>
        <v/>
      </c>
      <c r="J89" s="155" t="str">
        <f t="shared" si="131"/>
        <v/>
      </c>
      <c r="K89" s="154" t="str">
        <f t="shared" ca="1" si="74"/>
        <v/>
      </c>
      <c r="L89" s="155" t="str">
        <f t="shared" si="132"/>
        <v/>
      </c>
      <c r="M89" s="154" t="str">
        <f t="shared" ca="1" si="103"/>
        <v/>
      </c>
      <c r="N89" s="155" t="str">
        <f t="shared" si="133"/>
        <v/>
      </c>
      <c r="O89" s="154" t="str">
        <f t="shared" ca="1" si="75"/>
        <v/>
      </c>
      <c r="P89" s="155" t="str">
        <f t="shared" si="134"/>
        <v/>
      </c>
      <c r="Q89" s="154" t="str">
        <f t="shared" ca="1" si="106"/>
        <v/>
      </c>
      <c r="R89" s="155" t="str">
        <f t="shared" si="135"/>
        <v/>
      </c>
      <c r="S89" s="154" t="str">
        <f t="shared" ca="1" si="108"/>
        <v/>
      </c>
      <c r="T89" s="155" t="str">
        <f t="shared" si="136"/>
        <v/>
      </c>
      <c r="U89" s="154" t="str">
        <f t="shared" ca="1" si="110"/>
        <v/>
      </c>
      <c r="V89" s="155" t="str">
        <f t="shared" si="137"/>
        <v/>
      </c>
      <c r="W89" s="154"/>
      <c r="X89" s="155"/>
      <c r="Y89" s="154"/>
      <c r="Z89" s="155"/>
      <c r="AA89" s="154"/>
      <c r="AB89" s="155"/>
      <c r="AC89" s="154"/>
      <c r="AD89" s="155"/>
      <c r="AE89" s="154"/>
      <c r="AF89" s="155"/>
      <c r="AG89" s="154"/>
      <c r="AH89" s="155"/>
      <c r="AI89" s="154"/>
      <c r="AJ89" s="155"/>
      <c r="AL89" s="255" t="e">
        <f t="shared" ca="1" si="123"/>
        <v>#DIV/0!</v>
      </c>
      <c r="AM89" s="70" t="e">
        <f t="shared" ca="1" si="124"/>
        <v>#DIV/0!</v>
      </c>
      <c r="AN89" s="365" t="e">
        <f t="shared" ca="1" si="125"/>
        <v>#DIV/0!</v>
      </c>
      <c r="AO89" s="365" t="e">
        <f t="shared" ca="1" si="126"/>
        <v>#DIV/0!</v>
      </c>
    </row>
    <row r="90" spans="1:41" s="147" customFormat="1" ht="21" hidden="1" customHeight="1" x14ac:dyDescent="0.25">
      <c r="A90" s="152"/>
      <c r="B90" s="153" t="str">
        <f t="shared" si="127"/>
        <v/>
      </c>
      <c r="C90" s="154" t="str">
        <f t="shared" si="70"/>
        <v/>
      </c>
      <c r="D90" s="155" t="str">
        <f t="shared" si="128"/>
        <v/>
      </c>
      <c r="E90" s="154" t="str">
        <f t="shared" ca="1" si="71"/>
        <v/>
      </c>
      <c r="F90" s="155" t="str">
        <f t="shared" si="129"/>
        <v/>
      </c>
      <c r="G90" s="154" t="str">
        <f t="shared" ca="1" si="72"/>
        <v/>
      </c>
      <c r="H90" s="155" t="str">
        <f t="shared" si="130"/>
        <v/>
      </c>
      <c r="I90" s="154" t="str">
        <f t="shared" ca="1" si="73"/>
        <v/>
      </c>
      <c r="J90" s="155" t="str">
        <f t="shared" si="131"/>
        <v/>
      </c>
      <c r="K90" s="154" t="str">
        <f t="shared" ca="1" si="74"/>
        <v/>
      </c>
      <c r="L90" s="155" t="str">
        <f t="shared" si="132"/>
        <v/>
      </c>
      <c r="M90" s="154" t="str">
        <f t="shared" ca="1" si="103"/>
        <v/>
      </c>
      <c r="N90" s="155" t="str">
        <f t="shared" si="133"/>
        <v/>
      </c>
      <c r="O90" s="154" t="str">
        <f t="shared" ca="1" si="75"/>
        <v/>
      </c>
      <c r="P90" s="155" t="str">
        <f t="shared" si="134"/>
        <v/>
      </c>
      <c r="Q90" s="154" t="str">
        <f t="shared" ca="1" si="106"/>
        <v/>
      </c>
      <c r="R90" s="155" t="str">
        <f t="shared" si="135"/>
        <v/>
      </c>
      <c r="S90" s="154" t="str">
        <f t="shared" ca="1" si="108"/>
        <v/>
      </c>
      <c r="T90" s="155" t="str">
        <f t="shared" si="136"/>
        <v/>
      </c>
      <c r="U90" s="154" t="str">
        <f t="shared" ca="1" si="110"/>
        <v/>
      </c>
      <c r="V90" s="155" t="str">
        <f t="shared" si="137"/>
        <v/>
      </c>
      <c r="W90" s="154"/>
      <c r="X90" s="155"/>
      <c r="Y90" s="154"/>
      <c r="Z90" s="155"/>
      <c r="AA90" s="154"/>
      <c r="AB90" s="155"/>
      <c r="AC90" s="154"/>
      <c r="AD90" s="155"/>
      <c r="AE90" s="154"/>
      <c r="AF90" s="155"/>
      <c r="AG90" s="154"/>
      <c r="AH90" s="155"/>
      <c r="AI90" s="154"/>
      <c r="AJ90" s="155"/>
      <c r="AL90" s="255" t="e">
        <f t="shared" ca="1" si="123"/>
        <v>#DIV/0!</v>
      </c>
      <c r="AM90" s="70" t="e">
        <f t="shared" ca="1" si="124"/>
        <v>#DIV/0!</v>
      </c>
      <c r="AN90" s="365" t="e">
        <f t="shared" ca="1" si="125"/>
        <v>#DIV/0!</v>
      </c>
      <c r="AO90" s="365" t="e">
        <f t="shared" ca="1" si="126"/>
        <v>#DIV/0!</v>
      </c>
    </row>
    <row r="91" spans="1:41" s="147" customFormat="1" ht="21" hidden="1" customHeight="1" x14ac:dyDescent="0.25">
      <c r="A91" s="152"/>
      <c r="B91" s="153" t="str">
        <f t="shared" si="127"/>
        <v/>
      </c>
      <c r="C91" s="154" t="str">
        <f t="shared" si="70"/>
        <v/>
      </c>
      <c r="D91" s="155" t="str">
        <f t="shared" si="128"/>
        <v/>
      </c>
      <c r="E91" s="154" t="str">
        <f t="shared" ca="1" si="71"/>
        <v/>
      </c>
      <c r="F91" s="155" t="str">
        <f t="shared" si="129"/>
        <v/>
      </c>
      <c r="G91" s="154" t="str">
        <f t="shared" ca="1" si="72"/>
        <v/>
      </c>
      <c r="H91" s="155" t="str">
        <f t="shared" si="130"/>
        <v/>
      </c>
      <c r="I91" s="154" t="str">
        <f t="shared" ca="1" si="73"/>
        <v/>
      </c>
      <c r="J91" s="155" t="str">
        <f t="shared" si="131"/>
        <v/>
      </c>
      <c r="K91" s="154" t="str">
        <f t="shared" ca="1" si="74"/>
        <v/>
      </c>
      <c r="L91" s="155" t="str">
        <f t="shared" si="132"/>
        <v/>
      </c>
      <c r="M91" s="154" t="str">
        <f t="shared" ca="1" si="103"/>
        <v/>
      </c>
      <c r="N91" s="155" t="str">
        <f t="shared" si="133"/>
        <v/>
      </c>
      <c r="O91" s="154" t="str">
        <f t="shared" ca="1" si="75"/>
        <v/>
      </c>
      <c r="P91" s="155" t="str">
        <f t="shared" si="134"/>
        <v/>
      </c>
      <c r="Q91" s="154" t="str">
        <f t="shared" ca="1" si="106"/>
        <v/>
      </c>
      <c r="R91" s="155" t="str">
        <f t="shared" si="135"/>
        <v/>
      </c>
      <c r="S91" s="154" t="str">
        <f t="shared" ca="1" si="108"/>
        <v/>
      </c>
      <c r="T91" s="155" t="str">
        <f t="shared" si="136"/>
        <v/>
      </c>
      <c r="U91" s="154" t="str">
        <f t="shared" ca="1" si="110"/>
        <v/>
      </c>
      <c r="V91" s="155" t="str">
        <f t="shared" si="137"/>
        <v/>
      </c>
      <c r="W91" s="154"/>
      <c r="X91" s="155"/>
      <c r="Y91" s="154"/>
      <c r="Z91" s="155"/>
      <c r="AA91" s="154"/>
      <c r="AB91" s="155"/>
      <c r="AC91" s="154"/>
      <c r="AD91" s="155"/>
      <c r="AE91" s="154"/>
      <c r="AF91" s="155"/>
      <c r="AG91" s="154"/>
      <c r="AH91" s="155"/>
      <c r="AI91" s="154"/>
      <c r="AJ91" s="155"/>
      <c r="AL91" s="255" t="e">
        <f t="shared" ca="1" si="123"/>
        <v>#DIV/0!</v>
      </c>
      <c r="AM91" s="70" t="e">
        <f t="shared" ca="1" si="124"/>
        <v>#DIV/0!</v>
      </c>
      <c r="AN91" s="365" t="e">
        <f t="shared" ca="1" si="125"/>
        <v>#DIV/0!</v>
      </c>
      <c r="AO91" s="365" t="e">
        <f t="shared" ca="1" si="126"/>
        <v>#DIV/0!</v>
      </c>
    </row>
    <row r="92" spans="1:41" s="147" customFormat="1" ht="21" hidden="1" customHeight="1" x14ac:dyDescent="0.25">
      <c r="A92" s="152"/>
      <c r="B92" s="153" t="str">
        <f t="shared" si="127"/>
        <v/>
      </c>
      <c r="C92" s="154" t="str">
        <f t="shared" si="70"/>
        <v/>
      </c>
      <c r="D92" s="155" t="str">
        <f t="shared" si="128"/>
        <v/>
      </c>
      <c r="E92" s="154" t="str">
        <f t="shared" ca="1" si="71"/>
        <v/>
      </c>
      <c r="F92" s="155" t="str">
        <f t="shared" si="129"/>
        <v/>
      </c>
      <c r="G92" s="154" t="str">
        <f t="shared" ca="1" si="72"/>
        <v/>
      </c>
      <c r="H92" s="155" t="str">
        <f t="shared" si="130"/>
        <v/>
      </c>
      <c r="I92" s="154" t="str">
        <f t="shared" ca="1" si="73"/>
        <v/>
      </c>
      <c r="J92" s="155" t="str">
        <f t="shared" si="131"/>
        <v/>
      </c>
      <c r="K92" s="154" t="str">
        <f t="shared" ca="1" si="74"/>
        <v/>
      </c>
      <c r="L92" s="155" t="str">
        <f t="shared" si="132"/>
        <v/>
      </c>
      <c r="M92" s="154" t="str">
        <f t="shared" ca="1" si="103"/>
        <v/>
      </c>
      <c r="N92" s="155" t="str">
        <f t="shared" si="133"/>
        <v/>
      </c>
      <c r="O92" s="154" t="str">
        <f t="shared" ca="1" si="75"/>
        <v/>
      </c>
      <c r="P92" s="155" t="str">
        <f t="shared" si="134"/>
        <v/>
      </c>
      <c r="Q92" s="154" t="str">
        <f t="shared" ca="1" si="106"/>
        <v/>
      </c>
      <c r="R92" s="155" t="str">
        <f t="shared" si="135"/>
        <v/>
      </c>
      <c r="S92" s="154" t="str">
        <f t="shared" ca="1" si="108"/>
        <v/>
      </c>
      <c r="T92" s="155" t="str">
        <f t="shared" si="136"/>
        <v/>
      </c>
      <c r="U92" s="154" t="str">
        <f t="shared" ca="1" si="110"/>
        <v/>
      </c>
      <c r="V92" s="155" t="str">
        <f t="shared" si="137"/>
        <v/>
      </c>
      <c r="W92" s="154"/>
      <c r="X92" s="155"/>
      <c r="Y92" s="154"/>
      <c r="Z92" s="155"/>
      <c r="AA92" s="154"/>
      <c r="AB92" s="155"/>
      <c r="AC92" s="154"/>
      <c r="AD92" s="155"/>
      <c r="AE92" s="154"/>
      <c r="AF92" s="155"/>
      <c r="AG92" s="154"/>
      <c r="AH92" s="155"/>
      <c r="AI92" s="154"/>
      <c r="AJ92" s="155"/>
      <c r="AL92" s="255" t="e">
        <f t="shared" ca="1" si="123"/>
        <v>#DIV/0!</v>
      </c>
      <c r="AM92" s="70" t="e">
        <f t="shared" ca="1" si="124"/>
        <v>#DIV/0!</v>
      </c>
      <c r="AN92" s="365" t="e">
        <f t="shared" ca="1" si="125"/>
        <v>#DIV/0!</v>
      </c>
      <c r="AO92" s="365" t="e">
        <f t="shared" ca="1" si="126"/>
        <v>#DIV/0!</v>
      </c>
    </row>
    <row r="93" spans="1:41" s="147" customFormat="1" ht="21" hidden="1" customHeight="1" x14ac:dyDescent="0.25">
      <c r="A93" s="152"/>
      <c r="B93" s="153"/>
      <c r="C93" s="154"/>
      <c r="D93" s="155"/>
      <c r="E93" s="154"/>
      <c r="F93" s="155"/>
      <c r="G93" s="154"/>
      <c r="H93" s="155"/>
      <c r="I93" s="154"/>
      <c r="J93" s="155"/>
      <c r="K93" s="154"/>
      <c r="L93" s="155"/>
      <c r="M93" s="154"/>
      <c r="N93" s="155"/>
      <c r="O93" s="154"/>
      <c r="P93" s="155"/>
      <c r="Q93" s="154"/>
      <c r="R93" s="155"/>
      <c r="S93" s="154"/>
      <c r="T93" s="155"/>
      <c r="U93" s="154"/>
      <c r="V93" s="155"/>
      <c r="W93" s="154"/>
      <c r="X93" s="155"/>
      <c r="Y93" s="154"/>
      <c r="Z93" s="155"/>
      <c r="AA93" s="154"/>
      <c r="AB93" s="155"/>
      <c r="AC93" s="154"/>
      <c r="AD93" s="155"/>
      <c r="AE93" s="154"/>
      <c r="AF93" s="155"/>
      <c r="AG93" s="154"/>
      <c r="AH93" s="155"/>
      <c r="AI93" s="154"/>
      <c r="AJ93" s="155"/>
      <c r="AL93" s="255" t="e">
        <f t="shared" si="123"/>
        <v>#DIV/0!</v>
      </c>
      <c r="AM93" s="70" t="e">
        <f t="shared" si="124"/>
        <v>#DIV/0!</v>
      </c>
      <c r="AN93" s="365" t="e">
        <f t="shared" si="125"/>
        <v>#DIV/0!</v>
      </c>
      <c r="AO93" s="365" t="e">
        <f t="shared" si="126"/>
        <v>#DIV/0!</v>
      </c>
    </row>
    <row r="94" spans="1:41" s="147" customFormat="1" ht="21" hidden="1" customHeight="1" x14ac:dyDescent="0.25">
      <c r="A94" s="152"/>
      <c r="B94" s="153"/>
      <c r="C94" s="154"/>
      <c r="D94" s="155"/>
      <c r="E94" s="154"/>
      <c r="F94" s="155"/>
      <c r="G94" s="154"/>
      <c r="H94" s="155"/>
      <c r="I94" s="154"/>
      <c r="J94" s="155"/>
      <c r="K94" s="154"/>
      <c r="L94" s="155"/>
      <c r="M94" s="154"/>
      <c r="N94" s="155"/>
      <c r="O94" s="154"/>
      <c r="P94" s="155"/>
      <c r="Q94" s="154"/>
      <c r="R94" s="155"/>
      <c r="S94" s="154"/>
      <c r="T94" s="155"/>
      <c r="U94" s="154"/>
      <c r="V94" s="155"/>
      <c r="W94" s="154"/>
      <c r="X94" s="155"/>
      <c r="Y94" s="154"/>
      <c r="Z94" s="155"/>
      <c r="AA94" s="154"/>
      <c r="AB94" s="155"/>
      <c r="AC94" s="154"/>
      <c r="AD94" s="155"/>
      <c r="AE94" s="154"/>
      <c r="AF94" s="155"/>
      <c r="AG94" s="154"/>
      <c r="AH94" s="155"/>
      <c r="AI94" s="154"/>
      <c r="AJ94" s="155"/>
      <c r="AL94" s="255" t="e">
        <f t="shared" si="123"/>
        <v>#DIV/0!</v>
      </c>
      <c r="AM94" s="70" t="e">
        <f t="shared" si="124"/>
        <v>#DIV/0!</v>
      </c>
      <c r="AN94" s="365" t="e">
        <f t="shared" si="125"/>
        <v>#DIV/0!</v>
      </c>
      <c r="AO94" s="365" t="e">
        <f t="shared" si="126"/>
        <v>#DIV/0!</v>
      </c>
    </row>
    <row r="95" spans="1:41" s="147" customFormat="1" ht="21" hidden="1" customHeight="1" x14ac:dyDescent="0.25">
      <c r="A95" s="152"/>
      <c r="B95" s="153"/>
      <c r="C95" s="154"/>
      <c r="D95" s="155"/>
      <c r="E95" s="154"/>
      <c r="F95" s="155"/>
      <c r="G95" s="154"/>
      <c r="H95" s="155"/>
      <c r="I95" s="154"/>
      <c r="J95" s="155"/>
      <c r="K95" s="154"/>
      <c r="L95" s="155"/>
      <c r="M95" s="154"/>
      <c r="N95" s="155"/>
      <c r="O95" s="154"/>
      <c r="P95" s="155"/>
      <c r="Q95" s="154"/>
      <c r="R95" s="155"/>
      <c r="S95" s="154"/>
      <c r="T95" s="155"/>
      <c r="U95" s="154"/>
      <c r="V95" s="155"/>
      <c r="W95" s="154"/>
      <c r="X95" s="155"/>
      <c r="Y95" s="154"/>
      <c r="Z95" s="155"/>
      <c r="AA95" s="154"/>
      <c r="AB95" s="155"/>
      <c r="AC95" s="154"/>
      <c r="AD95" s="155"/>
      <c r="AE95" s="154"/>
      <c r="AF95" s="155"/>
      <c r="AG95" s="154"/>
      <c r="AH95" s="155"/>
      <c r="AI95" s="154"/>
      <c r="AJ95" s="155"/>
      <c r="AL95" s="255" t="e">
        <f t="shared" si="123"/>
        <v>#DIV/0!</v>
      </c>
      <c r="AM95" s="70" t="e">
        <f t="shared" si="124"/>
        <v>#DIV/0!</v>
      </c>
      <c r="AN95" s="365" t="e">
        <f t="shared" si="125"/>
        <v>#DIV/0!</v>
      </c>
      <c r="AO95" s="365" t="e">
        <f t="shared" si="126"/>
        <v>#DIV/0!</v>
      </c>
    </row>
    <row r="96" spans="1:41" s="147" customFormat="1" ht="21" hidden="1" customHeight="1" x14ac:dyDescent="0.25">
      <c r="A96" s="152"/>
      <c r="B96" s="153"/>
      <c r="C96" s="154"/>
      <c r="D96" s="155"/>
      <c r="E96" s="154"/>
      <c r="F96" s="155"/>
      <c r="G96" s="154"/>
      <c r="H96" s="155"/>
      <c r="I96" s="154"/>
      <c r="J96" s="155"/>
      <c r="K96" s="154"/>
      <c r="L96" s="155"/>
      <c r="M96" s="154"/>
      <c r="N96" s="155"/>
      <c r="O96" s="154"/>
      <c r="P96" s="155"/>
      <c r="Q96" s="154"/>
      <c r="R96" s="155"/>
      <c r="S96" s="154"/>
      <c r="T96" s="155"/>
      <c r="U96" s="154"/>
      <c r="V96" s="155"/>
      <c r="W96" s="154"/>
      <c r="X96" s="155"/>
      <c r="Y96" s="154"/>
      <c r="Z96" s="155"/>
      <c r="AA96" s="154"/>
      <c r="AB96" s="155"/>
      <c r="AC96" s="154"/>
      <c r="AD96" s="155"/>
      <c r="AE96" s="154"/>
      <c r="AF96" s="155"/>
      <c r="AG96" s="154"/>
      <c r="AH96" s="155"/>
      <c r="AI96" s="154"/>
      <c r="AJ96" s="155"/>
      <c r="AL96" s="255" t="e">
        <f t="shared" si="123"/>
        <v>#DIV/0!</v>
      </c>
      <c r="AM96" s="70" t="e">
        <f t="shared" si="124"/>
        <v>#DIV/0!</v>
      </c>
      <c r="AN96" s="365" t="e">
        <f t="shared" si="125"/>
        <v>#DIV/0!</v>
      </c>
      <c r="AO96" s="365" t="e">
        <f t="shared" si="126"/>
        <v>#DIV/0!</v>
      </c>
    </row>
    <row r="97" spans="1:41" s="147" customFormat="1" ht="21" hidden="1" customHeight="1" x14ac:dyDescent="0.25">
      <c r="A97" s="152"/>
      <c r="B97" s="153"/>
      <c r="C97" s="154"/>
      <c r="D97" s="155"/>
      <c r="E97" s="154"/>
      <c r="F97" s="155"/>
      <c r="G97" s="154"/>
      <c r="H97" s="155"/>
      <c r="I97" s="154"/>
      <c r="J97" s="155"/>
      <c r="K97" s="154"/>
      <c r="L97" s="155"/>
      <c r="M97" s="154"/>
      <c r="N97" s="155"/>
      <c r="O97" s="154"/>
      <c r="P97" s="155"/>
      <c r="Q97" s="154"/>
      <c r="R97" s="155"/>
      <c r="S97" s="154"/>
      <c r="T97" s="155"/>
      <c r="U97" s="154"/>
      <c r="V97" s="155"/>
      <c r="W97" s="154"/>
      <c r="X97" s="155"/>
      <c r="Y97" s="154"/>
      <c r="Z97" s="155"/>
      <c r="AA97" s="154"/>
      <c r="AB97" s="155"/>
      <c r="AC97" s="154"/>
      <c r="AD97" s="155"/>
      <c r="AE97" s="154"/>
      <c r="AF97" s="155"/>
      <c r="AG97" s="154"/>
      <c r="AH97" s="155"/>
      <c r="AI97" s="154"/>
      <c r="AJ97" s="155"/>
      <c r="AL97" s="255" t="e">
        <f t="shared" si="123"/>
        <v>#DIV/0!</v>
      </c>
      <c r="AM97" s="70" t="e">
        <f t="shared" si="124"/>
        <v>#DIV/0!</v>
      </c>
      <c r="AN97" s="365" t="e">
        <f t="shared" si="125"/>
        <v>#DIV/0!</v>
      </c>
      <c r="AO97" s="365" t="e">
        <f t="shared" si="126"/>
        <v>#DIV/0!</v>
      </c>
    </row>
    <row r="98" spans="1:41" s="147" customFormat="1" ht="21" hidden="1" customHeight="1" x14ac:dyDescent="0.25">
      <c r="A98" s="152"/>
      <c r="B98" s="153"/>
      <c r="C98" s="154"/>
      <c r="D98" s="155"/>
      <c r="E98" s="154"/>
      <c r="F98" s="155"/>
      <c r="G98" s="154"/>
      <c r="H98" s="155"/>
      <c r="I98" s="154"/>
      <c r="J98" s="155"/>
      <c r="K98" s="154"/>
      <c r="L98" s="155"/>
      <c r="M98" s="154"/>
      <c r="N98" s="155"/>
      <c r="O98" s="154"/>
      <c r="P98" s="155"/>
      <c r="Q98" s="154"/>
      <c r="R98" s="155"/>
      <c r="S98" s="154"/>
      <c r="T98" s="155"/>
      <c r="U98" s="154"/>
      <c r="V98" s="155"/>
      <c r="W98" s="154"/>
      <c r="X98" s="155"/>
      <c r="Y98" s="154"/>
      <c r="Z98" s="155"/>
      <c r="AA98" s="154"/>
      <c r="AB98" s="155"/>
      <c r="AC98" s="154"/>
      <c r="AD98" s="155"/>
      <c r="AE98" s="154"/>
      <c r="AF98" s="155"/>
      <c r="AG98" s="154"/>
      <c r="AH98" s="155"/>
      <c r="AI98" s="154"/>
      <c r="AJ98" s="155"/>
      <c r="AL98" s="255" t="e">
        <f t="shared" si="123"/>
        <v>#DIV/0!</v>
      </c>
      <c r="AM98" s="70" t="e">
        <f t="shared" si="124"/>
        <v>#DIV/0!</v>
      </c>
      <c r="AN98" s="365" t="e">
        <f t="shared" si="125"/>
        <v>#DIV/0!</v>
      </c>
      <c r="AO98" s="365" t="e">
        <f t="shared" si="126"/>
        <v>#DIV/0!</v>
      </c>
    </row>
    <row r="99" spans="1:41" s="147" customFormat="1" ht="21" hidden="1" customHeight="1" x14ac:dyDescent="0.25">
      <c r="A99" s="152"/>
      <c r="B99" s="153"/>
      <c r="C99" s="154"/>
      <c r="D99" s="155"/>
      <c r="E99" s="154"/>
      <c r="F99" s="155"/>
      <c r="G99" s="154"/>
      <c r="H99" s="155"/>
      <c r="I99" s="154"/>
      <c r="J99" s="155"/>
      <c r="K99" s="154"/>
      <c r="L99" s="155"/>
      <c r="M99" s="154"/>
      <c r="N99" s="155"/>
      <c r="O99" s="154"/>
      <c r="P99" s="155"/>
      <c r="Q99" s="154"/>
      <c r="R99" s="155"/>
      <c r="S99" s="154"/>
      <c r="T99" s="155"/>
      <c r="U99" s="154"/>
      <c r="V99" s="155"/>
      <c r="W99" s="154"/>
      <c r="X99" s="155"/>
      <c r="Y99" s="154"/>
      <c r="Z99" s="155"/>
      <c r="AA99" s="154"/>
      <c r="AB99" s="155"/>
      <c r="AC99" s="154"/>
      <c r="AD99" s="155"/>
      <c r="AE99" s="154"/>
      <c r="AF99" s="155"/>
      <c r="AG99" s="154"/>
      <c r="AH99" s="155"/>
      <c r="AI99" s="154"/>
      <c r="AJ99" s="155"/>
      <c r="AL99" s="255" t="e">
        <f t="shared" si="123"/>
        <v>#DIV/0!</v>
      </c>
      <c r="AM99" s="70" t="e">
        <f t="shared" si="124"/>
        <v>#DIV/0!</v>
      </c>
      <c r="AN99" s="365" t="e">
        <f t="shared" si="125"/>
        <v>#DIV/0!</v>
      </c>
      <c r="AO99" s="365" t="e">
        <f t="shared" si="126"/>
        <v>#DIV/0!</v>
      </c>
    </row>
    <row r="100" spans="1:41" s="147" customFormat="1" ht="21" hidden="1" customHeight="1" x14ac:dyDescent="0.25">
      <c r="A100" s="152"/>
      <c r="B100" s="153"/>
      <c r="C100" s="154"/>
      <c r="D100" s="155"/>
      <c r="E100" s="154"/>
      <c r="F100" s="155"/>
      <c r="G100" s="154"/>
      <c r="H100" s="155"/>
      <c r="I100" s="154"/>
      <c r="J100" s="155"/>
      <c r="K100" s="154"/>
      <c r="L100" s="155"/>
      <c r="M100" s="154"/>
      <c r="N100" s="155"/>
      <c r="O100" s="154"/>
      <c r="P100" s="155"/>
      <c r="Q100" s="154"/>
      <c r="R100" s="155"/>
      <c r="S100" s="154"/>
      <c r="T100" s="155"/>
      <c r="U100" s="154"/>
      <c r="V100" s="155"/>
      <c r="W100" s="154"/>
      <c r="X100" s="155"/>
      <c r="Y100" s="154"/>
      <c r="Z100" s="155"/>
      <c r="AA100" s="154"/>
      <c r="AB100" s="155"/>
      <c r="AC100" s="154"/>
      <c r="AD100" s="155"/>
      <c r="AE100" s="154"/>
      <c r="AF100" s="155"/>
      <c r="AG100" s="154"/>
      <c r="AH100" s="155"/>
      <c r="AI100" s="154"/>
      <c r="AJ100" s="155"/>
      <c r="AL100" s="255" t="e">
        <f t="shared" si="123"/>
        <v>#DIV/0!</v>
      </c>
      <c r="AM100" s="70" t="e">
        <f t="shared" si="124"/>
        <v>#DIV/0!</v>
      </c>
      <c r="AN100" s="365" t="e">
        <f t="shared" si="125"/>
        <v>#DIV/0!</v>
      </c>
      <c r="AO100" s="365" t="e">
        <f t="shared" si="126"/>
        <v>#DIV/0!</v>
      </c>
    </row>
    <row r="101" spans="1:41" s="147" customFormat="1" ht="21" hidden="1" customHeight="1" x14ac:dyDescent="0.25">
      <c r="A101" s="152"/>
      <c r="B101" s="153" t="str">
        <f t="shared" si="97"/>
        <v/>
      </c>
      <c r="C101" s="154" t="str">
        <f t="shared" si="70"/>
        <v/>
      </c>
      <c r="D101" s="155" t="str">
        <f t="shared" si="98"/>
        <v/>
      </c>
      <c r="E101" s="154" t="str">
        <f t="shared" ca="1" si="71"/>
        <v/>
      </c>
      <c r="F101" s="155" t="str">
        <f>IF($A101="","",IF(E101="","",IF($K$4="Media aritmética",(E101&lt;=$B101)*($E$5/$B$4)+(E101&gt;$B101)*0,IF(AND(ROUND(AVERAGE($C101,$E101,$G101,$I101,$K101,$M101,$O101,$Q101,$S101,$U101,$W101,$Y101,$AA101,$AC101,$AE101,$AG101,$AI101),2)-$B101/2&lt;=E101,(ROUND(AVERAGE($C101,$E101,$G101,$I101,$K101,$M101,$O101,$Q101,$S101,$U101,$W101,$Y101,$AA101,$AC101,$AE101,$AG101,$AI101),2)+$B101/2&gt;=E101)),($E$5/$B$4),0))))</f>
        <v/>
      </c>
      <c r="G101" s="154" t="str">
        <f t="shared" ca="1" si="72"/>
        <v/>
      </c>
      <c r="H101" s="155" t="str">
        <f t="shared" si="100"/>
        <v/>
      </c>
      <c r="I101" s="154" t="str">
        <f t="shared" ca="1" si="73"/>
        <v/>
      </c>
      <c r="J101" s="155" t="str">
        <f t="shared" si="101"/>
        <v/>
      </c>
      <c r="K101" s="154" t="str">
        <f t="shared" ca="1" si="74"/>
        <v/>
      </c>
      <c r="L101" s="155" t="str">
        <f t="shared" si="102"/>
        <v/>
      </c>
      <c r="M101" s="154" t="str">
        <f t="shared" ref="M101" ca="1" si="138">IF($M$8="Habilitado",IF($A101="","",ROUND(VLOOKUP($A101,OFERENTE_6,15,FALSE),2)),"")</f>
        <v/>
      </c>
      <c r="N101" s="155" t="str">
        <f t="shared" si="104"/>
        <v/>
      </c>
      <c r="O101" s="154" t="str">
        <f t="shared" ca="1" si="75"/>
        <v/>
      </c>
      <c r="P101" s="155" t="str">
        <f t="shared" si="105"/>
        <v/>
      </c>
      <c r="Q101" s="154" t="str">
        <f ca="1">IF($Q$8="Habilitado",IF($A101="","",ROUND(VLOOKUP($A101,OFERENTE_7,15,FALSE),2)),"")</f>
        <v/>
      </c>
      <c r="R101" s="155" t="str">
        <f t="shared" si="107"/>
        <v/>
      </c>
      <c r="S101" s="154" t="str">
        <f ca="1">IF($S$8="Habilitado",IF($A101="","",ROUND(VLOOKUP($A101,OFERENTE_7,15,FALSE),2)),"")</f>
        <v/>
      </c>
      <c r="T101" s="155" t="str">
        <f t="shared" si="109"/>
        <v/>
      </c>
      <c r="U101" s="154" t="str">
        <f ca="1">IF($U$8="Habilitado",IF($A101="","",ROUND(VLOOKUP($A101,OFERENTE_7,15,FALSE),2)),"")</f>
        <v/>
      </c>
      <c r="V101" s="155" t="str">
        <f t="shared" si="111"/>
        <v/>
      </c>
      <c r="W101" s="154" t="str">
        <f t="shared" ref="W101" ca="1" si="139">IF($W$8="Habilitado",IF($A101="","",ROUND(VLOOKUP($A101,OFERENTE_11,14,FALSE),2)),"")</f>
        <v/>
      </c>
      <c r="X101" s="155" t="str">
        <f t="shared" si="113"/>
        <v/>
      </c>
      <c r="Y101" s="154" t="str">
        <f t="shared" ref="Y101" ca="1" si="140">IF($Y$8="Habilitado",IF($A101="","",ROUND(VLOOKUP($A101,OFERENTE_12,14,FALSE),2)),"")</f>
        <v/>
      </c>
      <c r="Z101" s="155" t="str">
        <f t="shared" si="115"/>
        <v/>
      </c>
      <c r="AA101" s="154" t="str">
        <f t="shared" ref="AA101" ca="1" si="141">IF($AA$8="Habilitado",IF($A101="","",ROUND(VLOOKUP($A101,OFERENTE_13,14,FALSE),2)),"")</f>
        <v/>
      </c>
      <c r="AB101" s="155" t="str">
        <f t="shared" si="117"/>
        <v/>
      </c>
      <c r="AC101" s="154" t="str">
        <f t="shared" ref="AC101" ca="1" si="142">IF($AC$8="Habilitado",IF($A101="","",ROUND(VLOOKUP($A101,OFERENTE_14,14,FALSE),2)),"")</f>
        <v/>
      </c>
      <c r="AD101" s="155" t="str">
        <f t="shared" si="119"/>
        <v/>
      </c>
      <c r="AE101" s="154" t="str">
        <f t="shared" si="94"/>
        <v/>
      </c>
      <c r="AF101" s="155" t="str">
        <f t="shared" si="120"/>
        <v/>
      </c>
      <c r="AG101" s="154" t="str">
        <f t="shared" si="95"/>
        <v/>
      </c>
      <c r="AH101" s="155" t="str">
        <f t="shared" si="121"/>
        <v/>
      </c>
      <c r="AI101" s="154" t="str">
        <f t="shared" si="96"/>
        <v/>
      </c>
      <c r="AJ101" s="155" t="str">
        <f t="shared" si="122"/>
        <v/>
      </c>
      <c r="AL101" s="255" t="e">
        <f t="shared" ca="1" si="123"/>
        <v>#DIV/0!</v>
      </c>
      <c r="AM101" s="70" t="e">
        <f t="shared" ca="1" si="124"/>
        <v>#DIV/0!</v>
      </c>
      <c r="AN101" s="365" t="e">
        <f t="shared" ca="1" si="125"/>
        <v>#DIV/0!</v>
      </c>
      <c r="AO101" s="365" t="e">
        <f t="shared" ca="1" si="126"/>
        <v>#DIV/0!</v>
      </c>
    </row>
    <row r="102" spans="1:41" ht="21" customHeight="1" x14ac:dyDescent="0.25"/>
    <row r="103" spans="1:41" ht="21.75" customHeight="1" x14ac:dyDescent="0.25">
      <c r="A103" s="647" t="s">
        <v>149</v>
      </c>
      <c r="B103" s="648"/>
      <c r="C103" s="649"/>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row>
    <row r="104" spans="1:41" s="147" customFormat="1" ht="21" customHeight="1" x14ac:dyDescent="0.25">
      <c r="A104" s="366">
        <v>1.4</v>
      </c>
      <c r="B104" s="153">
        <f ca="1">IF(A104="","",IF($K$4="Media aritmética",ROUND(AVERAGE(C104,E104,G104,I104,K104,M104,O104,Q104,S104,U104,W104,Y104,AA104,AC104,AE104,AG104,AI104),2),ROUND(_xlfn.STDEV.P(C104,E104,G104,I104,K104,M104,O104,Q104,S104,U104,W104,Y104,AA104,AC104,AE104,AG104,AI104),2)))</f>
        <v>163965.35999999999</v>
      </c>
      <c r="C104" s="154" t="str">
        <f t="shared" ref="C104:C140" si="143">IF($C$8="Habilitado",IF($A104="","",ROUND(VLOOKUP($A104,OFERENTE_1,15,FALSE),2)),"")</f>
        <v/>
      </c>
      <c r="D104" s="155" t="str">
        <f>IF($A104="","",IF(C104="","",IF($K$4="Media aritmética",(C104&lt;=$B104)*($G$5/$B$5)+(C104&gt;$B104)*0,IF(AND(ROUND(AVERAGE($C104,$E104,$G104,$I104,$K104,$M104,$O104,$Q104,$S104,$U104,$W104,$Y104,$AA104,$AC104,$AE104,$AG104,$AI104),2)-$B104/2&lt;=C104,(ROUND(AVERAGE($C104,$E104,$G104,$I104,$K104,$M104,$O104,$Q104,$S104,$U104,$W104,$Y104,$AA104,$AC104,$AE104,$AG104,$AI104),2)+$B104/2&gt;=C104)),($G$5/$B$5),0))))</f>
        <v/>
      </c>
      <c r="E104" s="154">
        <f t="shared" ref="E104:E140" ca="1" si="144">IF($E$8="Habilitado",IF($A104="","",ROUND(VLOOKUP($A104,OFERENTE_2,15,FALSE),2)),"")</f>
        <v>1309000</v>
      </c>
      <c r="F104" s="155">
        <f ca="1">IF($A104="","",IF(E104="","",IF($K$4="Media aritmética",(E104&lt;=$B104)*($G$5/$B$5)+(E104&gt;$B104)*0,IF(AND(ROUND(AVERAGE($C104,$E104,$G104,$I104,$K104,$M104,$O104,$Q104,$S104,$U104,$W104,$Y104,$AA104,$AC104,$AE104,$AG104,$AI104),2)-$B104/2&lt;=E104,(ROUND(AVERAGE($C104,$E104,$G104,$I104,$K104,$M104,$O104,$Q104,$S104,$U104,$W104,$Y104,$AA104,$AC104,$AE104,$AG104,$AI104),2)+$B104/2&gt;=E104)),($G$5/$B$5),0))))</f>
        <v>1.6216216216216217</v>
      </c>
      <c r="G104" s="154">
        <f t="shared" ref="G104:G140" ca="1" si="145">IF($G$8="Habilitado",IF($A104="","",ROUND(VLOOKUP($A104,OFERENTE_3,15,FALSE),2)),"")</f>
        <v>1319200</v>
      </c>
      <c r="H104" s="155">
        <f ca="1">IF($A104="","",IF(G104="","",IF($K$4="Media aritmética",(G104&lt;=$B104)*($G$5/$B$5)+(G104&gt;$B104)*0,IF(AND(ROUND(AVERAGE($C104,$E104,$G104,$I104,$K104,$M104,$O104,$Q104,$S104,$U104,$W104,$Y104,$AA104,$AC104,$AE104,$AG104,$AI104),2)-$B104/2&lt;=G104,(ROUND(AVERAGE($C104,$E104,$G104,$I104,$K104,$M104,$O104,$Q104,$S104,$U104,$W104,$Y104,$AA104,$AC104,$AE104,$AG104,$AI104),2)+$B104/2&gt;=G104)),($G$5/$B$5),0))))</f>
        <v>1.6216216216216217</v>
      </c>
      <c r="I104" s="154" t="str">
        <f t="shared" ref="I104:I140" ca="1" si="146">IF($I$8="Habilitado",IF($A104="","",ROUND(VLOOKUP($A104,OFERENTE_4,15,FALSE),2)),"")</f>
        <v/>
      </c>
      <c r="J104" s="155" t="str">
        <f ca="1">IF($A104="","",IF(I104="","",IF($K$4="Media aritmética",(I104&lt;=$B104)*($G$5/$B$5)+(I104&gt;$B104)*0,IF(AND(ROUND(AVERAGE($C104,$E104,$G104,$I104,$K104,$M104,$O104,$Q104,$S104,$U104,$W104,$Y104,$AA104,$AC104,$AE104,$AG104,$AI104),2)-$B104/2&lt;=I104,(ROUND(AVERAGE($C104,$E104,$G104,$I104,$K104,$M104,$O104,$Q104,$S104,$U104,$W104,$Y104,$AA104,$AC104,$AE104,$AG104,$AI104),2)+$B104/2&gt;=I104)),($G$5/$B$5),0))))</f>
        <v/>
      </c>
      <c r="K104" s="154">
        <f t="shared" ref="K104:K140" ca="1" si="147">IF($K$8="Habilitado",IF($A104="","",ROUND(VLOOKUP($A104,OFERENTE_5,15,FALSE),2)),"")</f>
        <v>1020000</v>
      </c>
      <c r="L104" s="155">
        <f ca="1">IF($A104="","",IF(K104="","",IF($K$4="Media aritmética",(K104&lt;=$B104)*($G$5/$B$5)+(K104&gt;$B104)*0,IF(AND(ROUND(AVERAGE($C104,$E104,$G104,$I104,$K104,$M104,$O104,$Q104,$S104,$U104,$W104,$Y104,$AA104,$AC104,$AE104,$AG104,$AI104),2)-$B104/2&lt;=K104,(ROUND(AVERAGE($C104,$E104,$G104,$I104,$K104,$M104,$O104,$Q104,$S104,$U104,$W104,$Y104,$AA104,$AC104,$AE104,$AG104,$AI104),2)+$B104/2&gt;=K104)),($G$5/$B$5),0))))</f>
        <v>0</v>
      </c>
      <c r="M104" s="154">
        <f t="shared" ref="M104:M140" ca="1" si="148">IF($M$8="Habilitado",IF($A104="","",ROUND(VLOOKUP($A104,OFERENTE_6,15,FALSE),2)),"")</f>
        <v>1428000</v>
      </c>
      <c r="N104" s="155">
        <f ca="1">IF($A104="","",IF(M104="","",IF($K$4="Media aritmética",(M104&lt;=$B104)*($G$5/$B$5)+(M104&gt;$B104)*0,IF(AND(ROUND(AVERAGE($C104,$E104,$G104,$I104,$K104,$M104,$O104,$Q104,$S104,$U104,$W104,$Y104,$AA104,$AC104,$AE104,$AG104,$AI104),2)-$B104/2&lt;=M104,(ROUND(AVERAGE($C104,$E104,$G104,$I104,$K104,$M104,$O104,$Q104,$S104,$U104,$W104,$Y104,$AA104,$AC104,$AE104,$AG104,$AI104),2)+$B104/2&gt;=M104)),($G$5/$B$5),0))))</f>
        <v>0</v>
      </c>
      <c r="O104" s="154" t="str">
        <f t="shared" ref="O104:O136" ca="1" si="149">IF($O$8="Habilitado",IF($A104="","",ROUND(VLOOKUP($A104,OFERENTE_7,15,FALSE),2)),"")</f>
        <v/>
      </c>
      <c r="P104" s="155" t="str">
        <f ca="1">IF($A104="","",IF(O104="","",IF($K$4="Media aritmética",(O104&lt;=$B104)*($G$5/$B$5)+(O104&gt;$B104)*0,IF(AND(ROUND(AVERAGE($C104,$E104,$G104,$I104,$K104,$M104,$O104,$Q104,$S104,$U104,$W104,$Y104,$AA104,$AC104,$AE104,$AG104,$AI104),2)-$B104/2&lt;=O104,(ROUND(AVERAGE($C104,$E104,$G104,$I104,$K104,$M104,$O104,$Q104,$S104,$U104,$W104,$Y104,$AA104,$AC104,$AE104,$AG104,$AI104),2)+$B104/2&gt;=O104)),($G$5/$B$5),0))))</f>
        <v/>
      </c>
      <c r="Q104" s="154">
        <f t="shared" ref="Q104:Q140" ca="1" si="150">IF($Q$8="Habilitado",IF($A104="","",ROUND(VLOOKUP($A104,OFERENTE_8,15,FALSE),2)),"")</f>
        <v>1615000</v>
      </c>
      <c r="R104" s="155">
        <f ca="1">IF($A104="","",IF(Q104="","",IF($K$4="Media aritmética",(Q104&lt;=$B104)*($G$5/$B$5)+(Q104&gt;$B104)*0,IF(AND(ROUND(AVERAGE($C104,$E104,$G104,$I104,$K104,$M104,$O104,$Q104,$S104,$U104,$W104,$Y104,$AA104,$AC104,$AE104,$AG104,$AI104),2)-$B104/2&lt;=Q104,(ROUND(AVERAGE($C104,$E104,$G104,$I104,$K104,$M104,$O104,$Q104,$S104,$U104,$W104,$Y104,$AA104,$AC104,$AE104,$AG104,$AI104),2)+$B104/2&gt;=Q104)),($G$5/$B$5),0))))</f>
        <v>0</v>
      </c>
      <c r="S104" s="154">
        <f t="shared" ref="S104:S140" ca="1" si="151">IF($S$8="Habilitado",IF($A104="","",ROUND(VLOOKUP($A104,OFERENTE_9,15,FALSE),2)),"")</f>
        <v>1190000</v>
      </c>
      <c r="T104" s="155">
        <f ca="1">IF($A104="","",IF(S104="","",IF($K$4="Media aritmética",(S104&lt;=$B104)*($G$5/$B$5)+(S104&gt;$B104)*0,IF(AND(ROUND(AVERAGE($C104,$E104,$G104,$I104,$K104,$M104,$O104,$Q104,$S104,$U104,$W104,$Y104,$AA104,$AC104,$AE104,$AG104,$AI104),2)-$B104/2&lt;=S104,(ROUND(AVERAGE($C104,$E104,$G104,$I104,$K104,$M104,$O104,$Q104,$S104,$U104,$W104,$Y104,$AA104,$AC104,$AE104,$AG104,$AI104),2)+$B104/2&gt;=S104)),($G$5/$B$5),0))))</f>
        <v>0</v>
      </c>
      <c r="U104" s="154">
        <f t="shared" ref="U104:U140" ca="1" si="152">IF($U$8="Habilitado",IF($A104="","",ROUND(VLOOKUP($A104,OFERENTE_10,15,FALSE),2)),"")</f>
        <v>1308405</v>
      </c>
      <c r="V104" s="155">
        <f ca="1">IF($A104="","",IF(U104="","",IF($K$4="Media aritmética",(U104&lt;=$B104)*($G$5/$B$5)+(U104&gt;$B104)*0,IF(AND(ROUND(AVERAGE($C104,$E104,$G104,$I104,$K104,$M104,$O104,$Q104,$S104,$U104,$W104,$Y104,$AA104,$AC104,$AE104,$AG104,$AI104),2)-$B104/2&lt;=U104,(ROUND(AVERAGE($C104,$E104,$G104,$I104,$K104,$M104,$O104,$Q104,$S104,$U104,$W104,$Y104,$AA104,$AC104,$AE104,$AG104,$AI104),2)+$B104/2&gt;=U104)),($G$5/$B$5),0))))</f>
        <v>1.6216216216216217</v>
      </c>
      <c r="W104" s="154">
        <f t="shared" ref="W104:W140" ca="1" si="153">IF($W$8="Habilitado",IF($A104="","",ROUND(VLOOKUP($A104,OFERENTE_11,15,FALSE),2)),"")</f>
        <v>1190000</v>
      </c>
      <c r="X104" s="155">
        <f ca="1">IF($A104="","",IF(W104="","",IF($K$4="Media aritmética",(W104&lt;=$B104)*($G$5/$B$5)+(W104&gt;$B104)*0,IF(AND(ROUND(AVERAGE($C104,$E104,$G104,$I104,$K104,$M104,$O104,$Q104,$S104,$U104,$W104,$Y104,$AA104,$AC104,$AE104,$AG104,$AI104),2)-$B104/2&lt;=W104,(ROUND(AVERAGE($C104,$E104,$G104,$I104,$K104,$M104,$O104,$Q104,$S104,$U104,$W104,$Y104,$AA104,$AC104,$AE104,$AG104,$AI104),2)+$B104/2&gt;=W104)),($G$5/$B$5),0))))</f>
        <v>0</v>
      </c>
      <c r="Y104" s="154">
        <f t="shared" ref="Y104:Y140" ca="1" si="154">IF($Y$8="Habilitado",IF($A104="","",ROUND(VLOOKUP($A104,OFERENTE_12,15,FALSE),2)),"")</f>
        <v>1275000</v>
      </c>
      <c r="Z104" s="155">
        <f ca="1">IF($A104="","",IF(Y104="","",IF($K$4="Media aritmética",(Y104&lt;=$B104)*($G$5/$B$5)+(Y104&gt;$B104)*0,IF(AND(ROUND(AVERAGE($C104,$E104,$G104,$I104,$K104,$M104,$O104,$Q104,$S104,$U104,$W104,$Y104,$AA104,$AC104,$AE104,$AG104,$AI104),2)-$B104/2&lt;=Y104,(ROUND(AVERAGE($C104,$E104,$G104,$I104,$K104,$M104,$O104,$Q104,$S104,$U104,$W104,$Y104,$AA104,$AC104,$AE104,$AG104,$AI104),2)+$B104/2&gt;=Y104)),($G$5/$B$5),0))))</f>
        <v>1.6216216216216217</v>
      </c>
      <c r="AA104" s="154" t="str">
        <f t="shared" ref="AA104:AA140" ca="1" si="155">IF($AA$8="Habilitado",IF($A104="","",ROUND(VLOOKUP($A104,OFERENTE_13,15,FALSE),2)),"")</f>
        <v/>
      </c>
      <c r="AB104" s="155" t="str">
        <f ca="1">IF($A104="","",IF(AA104="","",IF($K$4="Media aritmética",(AA104&lt;=$B104)*($G$5/$B$5)+(AA104&gt;$B104)*0,IF(AND(ROUND(AVERAGE($C104,$E104,$G104,$I104,$K104,$M104,$O104,$Q104,$S104,$U104,$W104,$Y104,$AA104,$AC104,$AE104,$AG104,$AI104),2)-$B104/2&lt;=AA104,(ROUND(AVERAGE($C104,$E104,$G104,$I104,$K104,$M104,$O104,$Q104,$S104,$U104,$W104,$Y104,$AA104,$AC104,$AE104,$AG104,$AI104),2)+$B104/2&gt;=AA104)),($G$5/$B$5),0))))</f>
        <v/>
      </c>
      <c r="AC104" s="154">
        <f t="shared" ref="AC104:AC140" ca="1" si="156">IF($AC$8="Habilitado",IF($A104="","",ROUND(VLOOKUP($A104,OFERENTE_14,15,FALSE),2)),"")</f>
        <v>1530000</v>
      </c>
      <c r="AD104" s="155">
        <f ca="1">IF($A104="","",IF(AC104="","",IF($K$4="Media aritmética",(AC104&lt;=$B104)*($G$5/$B$5)+(AC104&gt;$B104)*0,IF(AND(ROUND(AVERAGE($C104,$E104,$G104,$I104,$K104,$M104,$O104,$Q104,$S104,$U104,$W104,$Y104,$AA104,$AC104,$AE104,$AG104,$AI104),2)-$B104/2&lt;=AC104,(ROUND(AVERAGE($C104,$E104,$G104,$I104,$K104,$M104,$O104,$Q104,$S104,$U104,$W104,$Y104,$AA104,$AC104,$AE104,$AG104,$AI104),2)+$B104/2&gt;=AC104)),($G$5/$B$5),0))))</f>
        <v>0</v>
      </c>
      <c r="AE104" s="154" t="str">
        <f t="shared" ref="AE104:AE135" si="157">IF($AE$8="Habilitado",IF($A104="","",ROUND(VLOOKUP($A104,OFERENTE_15,14,FALSE),2)),"")</f>
        <v/>
      </c>
      <c r="AF104" s="155" t="str">
        <f>IF($A104="","",IF(AE104="","",IF($K$4="Media aritmética",(AE104&lt;=$B104)*($G$5/$B$5)+(AE104&gt;$B104)*0,IF(AND(ROUND(AVERAGE($C104,$E104,$G104,$I104,$K104,$M104,$O104,$Q104,$S104,$U104,$W104,$Y104,$AA104,$AC104,$AE104,$AG104,$AI104),2)-$B104/2&lt;=AE104,(ROUND(AVERAGE($C104,$E104,$G104,$I104,$K104,$M104,$O104,$Q104,$S104,$U104,$W104,$Y104,$AA104,$AC104,$AE104,$AG104,$AI104),2)+$B104/2&gt;=AE104)),($G$5/$B$5),0))))</f>
        <v/>
      </c>
      <c r="AG104" s="154" t="str">
        <f t="shared" ref="AG104:AG135" si="158">IF($AG$8="Habilitado",IF($A104="","",ROUND(VLOOKUP($A104,OFERENTE_16,14,FALSE),2)),"")</f>
        <v/>
      </c>
      <c r="AH104" s="155" t="str">
        <f>IF($A104="","",IF(AG104="","",IF($K$4="Media aritmética",(AG104&lt;=$B104)*($G$5/$B$5)+(AG104&gt;$B104)*0,IF(AND(ROUND(AVERAGE($C104,$E104,$G104,$I104,$K104,$M104,$O104,$Q104,$S104,$U104,$W104,$Y104,$AA104,$AC104,$AE104,$AG104,$AI104),2)-$B104/2&lt;=AG104,(ROUND(AVERAGE($C104,$E104,$G104,$I104,$K104,$M104,$O104,$Q104,$S104,$U104,$W104,$Y104,$AA104,$AC104,$AE104,$AG104,$AI104),2)+$B104/2&gt;=AG104)),($G$5/$B$5),0))))</f>
        <v/>
      </c>
      <c r="AI104" s="154" t="str">
        <f t="shared" ref="AI104:AI135" si="159">IF($AI$8="Habilitado",IF($A104="","",ROUND(VLOOKUP($A104,OFERENTE_17,14,FALSE),2)),"")</f>
        <v/>
      </c>
      <c r="AJ104" s="155" t="str">
        <f>IF($A104="","",IF(AI104="","",IF($K$4="Media aritmética",(AI104&lt;=$B104)*($G$5/$B$5)+(AI104&gt;$B104)*0,IF(AND(ROUND(AVERAGE($C104,$E104,$G104,$I104,$K104,$M104,$O104,$Q104,$S104,$U104,$W104,$Y104,$AA104,$AC104,$AE104,$AG104,$AI104),2)-$B104/2&lt;=AI104,(ROUND(AVERAGE($C104,$E104,$G104,$I104,$K104,$M104,$O104,$Q104,$S104,$U104,$W104,$Y104,$AA104,$AC104,$AE104,$AG104,$AI104),2)+$B104/2&gt;=AI104)),($G$5/$B$5),0))))</f>
        <v/>
      </c>
      <c r="AL104" s="255">
        <f t="shared" ref="AL104" ca="1" si="160">AVERAGE(C104,E104,G104,I104,K104,M104,O104,Q104,S104,U104,W104,Y104,AC104)</f>
        <v>1318460.5</v>
      </c>
      <c r="AM104" s="70">
        <f t="shared" ref="AM104" ca="1" si="161">_xlfn.STDEV.P(C104,E104,G104,I104,K104,M104,O104,Q104,S104,U104,W104,Y104,AC104)</f>
        <v>163965.35714061675</v>
      </c>
      <c r="AN104" s="365">
        <f t="shared" ref="AN104" ca="1" si="162">AL104+(AM104/2)</f>
        <v>1400443.1785703083</v>
      </c>
      <c r="AO104" s="365">
        <f t="shared" ref="AO104" ca="1" si="163">AL104-(AM104/2)</f>
        <v>1236477.8214296917</v>
      </c>
    </row>
    <row r="105" spans="1:41" s="147" customFormat="1" ht="21" customHeight="1" x14ac:dyDescent="0.25">
      <c r="A105" s="366">
        <v>1.5</v>
      </c>
      <c r="B105" s="153">
        <f ca="1">IF(A105="","",IF($K$4="Media aritmética",ROUND(AVERAGE(C105,E105,G105,I105,K105,M105,O105,Q105,S105,U105,W105,Y105,AA105,AC105,AE105,AG105,AI105),2),ROUND(_xlfn.STDEV.P(C105,E105,G105,I105,K105,M105,O105,Q105,S105,U105,W105,Y105,AA105,AC105,AE105,AG105,AI105),2)))</f>
        <v>398535.76</v>
      </c>
      <c r="C105" s="154" t="str">
        <f t="shared" si="143"/>
        <v/>
      </c>
      <c r="D105" s="155" t="str">
        <f t="shared" ref="D105:D135" si="164">IF($A105="","",IF(C105="","",IF($K$4="Media aritmética",(C105&lt;=$B105)*($G$5/$B$5)+(C105&gt;$B105)*0,IF(AND(ROUND(AVERAGE($C105,$E105,$G105,$I105,$K105,$M105,$O105,$Q105,$S105,$U105,$W105,$Y105,$AA105,$AC105,$AE105,$AG105,$AI105),2)-$B105/2&lt;=C105,(ROUND(AVERAGE($C105,$E105,$G105,$I105,$K105,$M105,$O105,$Q105,$S105,$U105,$W105,$Y105,$AA105,$AC105,$AE105,$AG105,$AI105),2)+$B105/2&gt;=C105)),($G$5/$B$5),0))))</f>
        <v/>
      </c>
      <c r="E105" s="154">
        <f t="shared" ca="1" si="144"/>
        <v>1054000</v>
      </c>
      <c r="F105" s="155">
        <f t="shared" ref="F105:F135" ca="1" si="165">IF($A105="","",IF(E105="","",IF($K$4="Media aritmética",(E105&lt;=$B105)*($G$5/$B$5)+(E105&gt;$B105)*0,IF(AND(ROUND(AVERAGE($C105,$E105,$G105,$I105,$K105,$M105,$O105,$Q105,$S105,$U105,$W105,$Y105,$AA105,$AC105,$AE105,$AG105,$AI105),2)-$B105/2&lt;=E105,(ROUND(AVERAGE($C105,$E105,$G105,$I105,$K105,$M105,$O105,$Q105,$S105,$U105,$W105,$Y105,$AA105,$AC105,$AE105,$AG105,$AI105),2)+$B105/2&gt;=E105)),($G$5/$B$5),0))))</f>
        <v>1.6216216216216217</v>
      </c>
      <c r="G105" s="154">
        <f t="shared" ca="1" si="145"/>
        <v>329800</v>
      </c>
      <c r="H105" s="155">
        <f t="shared" ref="H105:H135" ca="1" si="166">IF($A105="","",IF(G105="","",IF($K$4="Media aritmética",(G105&lt;=$B105)*($G$5/$B$5)+(G105&gt;$B105)*0,IF(AND(ROUND(AVERAGE($C105,$E105,$G105,$I105,$K105,$M105,$O105,$Q105,$S105,$U105,$W105,$Y105,$AA105,$AC105,$AE105,$AG105,$AI105),2)-$B105/2&lt;=G105,(ROUND(AVERAGE($C105,$E105,$G105,$I105,$K105,$M105,$O105,$Q105,$S105,$U105,$W105,$Y105,$AA105,$AC105,$AE105,$AG105,$AI105),2)+$B105/2&gt;=G105)),($G$5/$B$5),0))))</f>
        <v>0</v>
      </c>
      <c r="I105" s="154" t="str">
        <f t="shared" ca="1" si="146"/>
        <v/>
      </c>
      <c r="J105" s="155" t="str">
        <f t="shared" ref="J105:J135" ca="1" si="167">IF($A105="","",IF(I105="","",IF($K$4="Media aritmética",(I105&lt;=$B105)*($G$5/$B$5)+(I105&gt;$B105)*0,IF(AND(ROUND(AVERAGE($C105,$E105,$G105,$I105,$K105,$M105,$O105,$Q105,$S105,$U105,$W105,$Y105,$AA105,$AC105,$AE105,$AG105,$AI105),2)-$B105/2&lt;=I105,(ROUND(AVERAGE($C105,$E105,$G105,$I105,$K105,$M105,$O105,$Q105,$S105,$U105,$W105,$Y105,$AA105,$AC105,$AE105,$AG105,$AI105),2)+$B105/2&gt;=I105)),($G$5/$B$5),0))))</f>
        <v/>
      </c>
      <c r="K105" s="154">
        <f t="shared" ca="1" si="147"/>
        <v>1870000</v>
      </c>
      <c r="L105" s="155">
        <f t="shared" ref="L105:L135" ca="1" si="168">IF($A105="","",IF(K105="","",IF($K$4="Media aritmética",(K105&lt;=$B105)*($G$5/$B$5)+(K105&gt;$B105)*0,IF(AND(ROUND(AVERAGE($C105,$E105,$G105,$I105,$K105,$M105,$O105,$Q105,$S105,$U105,$W105,$Y105,$AA105,$AC105,$AE105,$AG105,$AI105),2)-$B105/2&lt;=K105,(ROUND(AVERAGE($C105,$E105,$G105,$I105,$K105,$M105,$O105,$Q105,$S105,$U105,$W105,$Y105,$AA105,$AC105,$AE105,$AG105,$AI105),2)+$B105/2&gt;=K105)),($G$5/$B$5),0))))</f>
        <v>0</v>
      </c>
      <c r="M105" s="154">
        <f t="shared" ca="1" si="148"/>
        <v>1190000</v>
      </c>
      <c r="N105" s="155">
        <f t="shared" ref="N105:N135" ca="1" si="169">IF($A105="","",IF(M105="","",IF($K$4="Media aritmética",(M105&lt;=$B105)*($G$5/$B$5)+(M105&gt;$B105)*0,IF(AND(ROUND(AVERAGE($C105,$E105,$G105,$I105,$K105,$M105,$O105,$Q105,$S105,$U105,$W105,$Y105,$AA105,$AC105,$AE105,$AG105,$AI105),2)-$B105/2&lt;=M105,(ROUND(AVERAGE($C105,$E105,$G105,$I105,$K105,$M105,$O105,$Q105,$S105,$U105,$W105,$Y105,$AA105,$AC105,$AE105,$AG105,$AI105),2)+$B105/2&gt;=M105)),($G$5/$B$5),0))))</f>
        <v>1.6216216216216217</v>
      </c>
      <c r="O105" s="154" t="str">
        <f t="shared" ca="1" si="149"/>
        <v/>
      </c>
      <c r="P105" s="155" t="str">
        <f t="shared" ref="P105:P135" ca="1" si="170">IF($A105="","",IF(O105="","",IF($K$4="Media aritmética",(O105&lt;=$B105)*($G$5/$B$5)+(O105&gt;$B105)*0,IF(AND(ROUND(AVERAGE($C105,$E105,$G105,$I105,$K105,$M105,$O105,$Q105,$S105,$U105,$W105,$Y105,$AA105,$AC105,$AE105,$AG105,$AI105),2)-$B105/2&lt;=O105,(ROUND(AVERAGE($C105,$E105,$G105,$I105,$K105,$M105,$O105,$Q105,$S105,$U105,$W105,$Y105,$AA105,$AC105,$AE105,$AG105,$AI105),2)+$B105/2&gt;=O105)),($G$5/$B$5),0))))</f>
        <v/>
      </c>
      <c r="Q105" s="154">
        <f t="shared" ca="1" si="150"/>
        <v>850000</v>
      </c>
      <c r="R105" s="155">
        <f t="shared" ref="R105:R135" ca="1" si="171">IF($A105="","",IF(Q105="","",IF($K$4="Media aritmética",(Q105&lt;=$B105)*($G$5/$B$5)+(Q105&gt;$B105)*0,IF(AND(ROUND(AVERAGE($C105,$E105,$G105,$I105,$K105,$M105,$O105,$Q105,$S105,$U105,$W105,$Y105,$AA105,$AC105,$AE105,$AG105,$AI105),2)-$B105/2&lt;=Q105,(ROUND(AVERAGE($C105,$E105,$G105,$I105,$K105,$M105,$O105,$Q105,$S105,$U105,$W105,$Y105,$AA105,$AC105,$AE105,$AG105,$AI105),2)+$B105/2&gt;=Q105)),($G$5/$B$5),0))))</f>
        <v>0</v>
      </c>
      <c r="S105" s="154">
        <f t="shared" ca="1" si="151"/>
        <v>1445000</v>
      </c>
      <c r="T105" s="155">
        <f t="shared" ref="T105:T135" ca="1" si="172">IF($A105="","",IF(S105="","",IF($K$4="Media aritmética",(S105&lt;=$B105)*($G$5/$B$5)+(S105&gt;$B105)*0,IF(AND(ROUND(AVERAGE($C105,$E105,$G105,$I105,$K105,$M105,$O105,$Q105,$S105,$U105,$W105,$Y105,$AA105,$AC105,$AE105,$AG105,$AI105),2)-$B105/2&lt;=S105,(ROUND(AVERAGE($C105,$E105,$G105,$I105,$K105,$M105,$O105,$Q105,$S105,$U105,$W105,$Y105,$AA105,$AC105,$AE105,$AG105,$AI105),2)+$B105/2&gt;=S105)),($G$5/$B$5),0))))</f>
        <v>0</v>
      </c>
      <c r="U105" s="154">
        <f t="shared" ca="1" si="152"/>
        <v>874820</v>
      </c>
      <c r="V105" s="155">
        <f t="shared" ref="V105:V135" ca="1" si="173">IF($A105="","",IF(U105="","",IF($K$4="Media aritmética",(U105&lt;=$B105)*($G$5/$B$5)+(U105&gt;$B105)*0,IF(AND(ROUND(AVERAGE($C105,$E105,$G105,$I105,$K105,$M105,$O105,$Q105,$S105,$U105,$W105,$Y105,$AA105,$AC105,$AE105,$AG105,$AI105),2)-$B105/2&lt;=U105,(ROUND(AVERAGE($C105,$E105,$G105,$I105,$K105,$M105,$O105,$Q105,$S105,$U105,$W105,$Y105,$AA105,$AC105,$AE105,$AG105,$AI105),2)+$B105/2&gt;=U105)),($G$5/$B$5),0))))</f>
        <v>0</v>
      </c>
      <c r="W105" s="154">
        <f t="shared" ca="1" si="153"/>
        <v>1275000</v>
      </c>
      <c r="X105" s="155">
        <f t="shared" ref="X105:X135" ca="1" si="174">IF($A105="","",IF(W105="","",IF($K$4="Media aritmética",(W105&lt;=$B105)*($G$5/$B$5)+(W105&gt;$B105)*0,IF(AND(ROUND(AVERAGE($C105,$E105,$G105,$I105,$K105,$M105,$O105,$Q105,$S105,$U105,$W105,$Y105,$AA105,$AC105,$AE105,$AG105,$AI105),2)-$B105/2&lt;=W105,(ROUND(AVERAGE($C105,$E105,$G105,$I105,$K105,$M105,$O105,$Q105,$S105,$U105,$W105,$Y105,$AA105,$AC105,$AE105,$AG105,$AI105),2)+$B105/2&gt;=W105)),($G$5/$B$5),0))))</f>
        <v>1.6216216216216217</v>
      </c>
      <c r="Y105" s="154">
        <f t="shared" ca="1" si="154"/>
        <v>1360000</v>
      </c>
      <c r="Z105" s="155">
        <f t="shared" ref="Z105:Z135" ca="1" si="175">IF($A105="","",IF(Y105="","",IF($K$4="Media aritmética",(Y105&lt;=$B105)*($G$5/$B$5)+(Y105&gt;$B105)*0,IF(AND(ROUND(AVERAGE($C105,$E105,$G105,$I105,$K105,$M105,$O105,$Q105,$S105,$U105,$W105,$Y105,$AA105,$AC105,$AE105,$AG105,$AI105),2)-$B105/2&lt;=Y105,(ROUND(AVERAGE($C105,$E105,$G105,$I105,$K105,$M105,$O105,$Q105,$S105,$U105,$W105,$Y105,$AA105,$AC105,$AE105,$AG105,$AI105),2)+$B105/2&gt;=Y105)),($G$5/$B$5),0))))</f>
        <v>0</v>
      </c>
      <c r="AA105" s="154" t="str">
        <f t="shared" ca="1" si="155"/>
        <v/>
      </c>
      <c r="AB105" s="155" t="str">
        <f t="shared" ref="AB105:AB135" ca="1" si="176">IF($A105="","",IF(AA105="","",IF($K$4="Media aritmética",(AA105&lt;=$B105)*($G$5/$B$5)+(AA105&gt;$B105)*0,IF(AND(ROUND(AVERAGE($C105,$E105,$G105,$I105,$K105,$M105,$O105,$Q105,$S105,$U105,$W105,$Y105,$AA105,$AC105,$AE105,$AG105,$AI105),2)-$B105/2&lt;=AA105,(ROUND(AVERAGE($C105,$E105,$G105,$I105,$K105,$M105,$O105,$Q105,$S105,$U105,$W105,$Y105,$AA105,$AC105,$AE105,$AG105,$AI105),2)+$B105/2&gt;=AA105)),($G$5/$B$5),0))))</f>
        <v/>
      </c>
      <c r="AC105" s="154">
        <f t="shared" ca="1" si="156"/>
        <v>850000</v>
      </c>
      <c r="AD105" s="155">
        <f t="shared" ref="AD105:AD135" ca="1" si="177">IF($A105="","",IF(AC105="","",IF($K$4="Media aritmética",(AC105&lt;=$B105)*($G$5/$B$5)+(AC105&gt;$B105)*0,IF(AND(ROUND(AVERAGE($C105,$E105,$G105,$I105,$K105,$M105,$O105,$Q105,$S105,$U105,$W105,$Y105,$AA105,$AC105,$AE105,$AG105,$AI105),2)-$B105/2&lt;=AC105,(ROUND(AVERAGE($C105,$E105,$G105,$I105,$K105,$M105,$O105,$Q105,$S105,$U105,$W105,$Y105,$AA105,$AC105,$AE105,$AG105,$AI105),2)+$B105/2&gt;=AC105)),($G$5/$B$5),0))))</f>
        <v>0</v>
      </c>
      <c r="AE105" s="154" t="str">
        <f t="shared" si="157"/>
        <v/>
      </c>
      <c r="AF105" s="155" t="str">
        <f t="shared" ref="AF105:AF135" si="178">IF($A105="","",IF(AE105="","",IF($K$4="Media aritmética",(AE105&lt;=$B105)*($G$5/$B$5)+(AE105&gt;$B105)*0,IF(AND(ROUND(AVERAGE($C105,$E105,$G105,$I105,$K105,$M105,$O105,$Q105,$S105,$U105,$W105,$Y105,$AA105,$AC105,$AE105,$AG105,$AI105),2)-$B105/2&lt;=AE105,(ROUND(AVERAGE($C105,$E105,$G105,$I105,$K105,$M105,$O105,$Q105,$S105,$U105,$W105,$Y105,$AA105,$AC105,$AE105,$AG105,$AI105),2)+$B105/2&gt;=AE105)),($G$5/$B$5),0))))</f>
        <v/>
      </c>
      <c r="AG105" s="154" t="str">
        <f t="shared" si="158"/>
        <v/>
      </c>
      <c r="AH105" s="155" t="str">
        <f t="shared" ref="AH105:AH135" si="179">IF($A105="","",IF(AG105="","",IF($K$4="Media aritmética",(AG105&lt;=$B105)*($G$5/$B$5)+(AG105&gt;$B105)*0,IF(AND(ROUND(AVERAGE($C105,$E105,$G105,$I105,$K105,$M105,$O105,$Q105,$S105,$U105,$W105,$Y105,$AA105,$AC105,$AE105,$AG105,$AI105),2)-$B105/2&lt;=AG105,(ROUND(AVERAGE($C105,$E105,$G105,$I105,$K105,$M105,$O105,$Q105,$S105,$U105,$W105,$Y105,$AA105,$AC105,$AE105,$AG105,$AI105),2)+$B105/2&gt;=AG105)),($G$5/$B$5),0))))</f>
        <v/>
      </c>
      <c r="AI105" s="154" t="str">
        <f t="shared" si="159"/>
        <v/>
      </c>
      <c r="AJ105" s="155" t="str">
        <f t="shared" ref="AJ105:AJ135" si="180">IF($A105="","",IF(AI105="","",IF($K$4="Media aritmética",(AI105&lt;=$B105)*($G$5/$B$5)+(AI105&gt;$B105)*0,IF(AND(ROUND(AVERAGE($C105,$E105,$G105,$I105,$K105,$M105,$O105,$Q105,$S105,$U105,$W105,$Y105,$AA105,$AC105,$AE105,$AG105,$AI105),2)-$B105/2&lt;=AI105,(ROUND(AVERAGE($C105,$E105,$G105,$I105,$K105,$M105,$O105,$Q105,$S105,$U105,$W105,$Y105,$AA105,$AC105,$AE105,$AG105,$AI105),2)+$B105/2&gt;=AI105)),($G$5/$B$5),0))))</f>
        <v/>
      </c>
      <c r="AL105" s="255">
        <f t="shared" ref="AL105:AL140" ca="1" si="181">AVERAGE(C105,E105,G105,I105,K105,M105,O105,Q105,S105,U105,W105,Y105,AC105)</f>
        <v>1109862</v>
      </c>
      <c r="AM105" s="70">
        <f t="shared" ref="AM105:AM140" ca="1" si="182">_xlfn.STDEV.P(C105,E105,G105,I105,K105,M105,O105,Q105,S105,U105,W105,Y105,AC105)</f>
        <v>398535.75522906351</v>
      </c>
      <c r="AN105" s="365">
        <f t="shared" ref="AN105:AN140" ca="1" si="183">AL105+(AM105/2)</f>
        <v>1309129.8776145317</v>
      </c>
      <c r="AO105" s="365">
        <f t="shared" ref="AO105:AO140" ca="1" si="184">AL105-(AM105/2)</f>
        <v>910594.12238546822</v>
      </c>
    </row>
    <row r="106" spans="1:41" s="147" customFormat="1" ht="21" customHeight="1" x14ac:dyDescent="0.25">
      <c r="A106" s="366">
        <v>1.6</v>
      </c>
      <c r="B106" s="153">
        <f t="shared" ref="B106:B135" ca="1" si="185">IF(A106="","",IF($K$4="Media aritmética",ROUND(AVERAGE(C106,E106,G106,I106,K106,M106,O106,Q106,S106,U106,W106,Y106,AA106,AC106,AE106,AG106,AI106),2),ROUND(_xlfn.STDEV.P(C106,E106,G106,I106,K106,M106,O106,Q106,S106,U106,W106,Y106,AA106,AC106,AE106,AG106,AI106),2)))</f>
        <v>1373400.51</v>
      </c>
      <c r="C106" s="154" t="str">
        <f t="shared" si="143"/>
        <v/>
      </c>
      <c r="D106" s="155" t="str">
        <f t="shared" si="164"/>
        <v/>
      </c>
      <c r="E106" s="154">
        <f t="shared" ca="1" si="144"/>
        <v>2847500</v>
      </c>
      <c r="F106" s="155">
        <f t="shared" ca="1" si="165"/>
        <v>1.6216216216216217</v>
      </c>
      <c r="G106" s="154">
        <f t="shared" ca="1" si="145"/>
        <v>4122500</v>
      </c>
      <c r="H106" s="155">
        <f t="shared" ca="1" si="166"/>
        <v>0</v>
      </c>
      <c r="I106" s="154" t="str">
        <f t="shared" ca="1" si="146"/>
        <v/>
      </c>
      <c r="J106" s="155" t="str">
        <f t="shared" ca="1" si="167"/>
        <v/>
      </c>
      <c r="K106" s="154">
        <f t="shared" ca="1" si="147"/>
        <v>5100000</v>
      </c>
      <c r="L106" s="155">
        <f t="shared" ca="1" si="168"/>
        <v>0</v>
      </c>
      <c r="M106" s="154">
        <f t="shared" ca="1" si="148"/>
        <v>4080000</v>
      </c>
      <c r="N106" s="155">
        <f t="shared" ca="1" si="169"/>
        <v>0</v>
      </c>
      <c r="O106" s="154" t="str">
        <f t="shared" ca="1" si="149"/>
        <v/>
      </c>
      <c r="P106" s="155" t="str">
        <f t="shared" ca="1" si="170"/>
        <v/>
      </c>
      <c r="Q106" s="154">
        <f t="shared" ca="1" si="150"/>
        <v>1785000</v>
      </c>
      <c r="R106" s="155">
        <f t="shared" ca="1" si="171"/>
        <v>0</v>
      </c>
      <c r="S106" s="154">
        <f t="shared" ca="1" si="151"/>
        <v>1870000</v>
      </c>
      <c r="T106" s="155">
        <f t="shared" ca="1" si="172"/>
        <v>0</v>
      </c>
      <c r="U106" s="154">
        <f t="shared" ca="1" si="152"/>
        <v>1023485</v>
      </c>
      <c r="V106" s="155">
        <f t="shared" ca="1" si="173"/>
        <v>0</v>
      </c>
      <c r="W106" s="154">
        <f t="shared" ca="1" si="153"/>
        <v>3825000</v>
      </c>
      <c r="X106" s="155">
        <f t="shared" ca="1" si="174"/>
        <v>0</v>
      </c>
      <c r="Y106" s="154">
        <f t="shared" ca="1" si="154"/>
        <v>3400000</v>
      </c>
      <c r="Z106" s="155">
        <f t="shared" ca="1" si="175"/>
        <v>1.6216216216216217</v>
      </c>
      <c r="AA106" s="154" t="str">
        <f t="shared" ca="1" si="155"/>
        <v/>
      </c>
      <c r="AB106" s="155" t="str">
        <f t="shared" ca="1" si="176"/>
        <v/>
      </c>
      <c r="AC106" s="154">
        <f t="shared" ca="1" si="156"/>
        <v>850000</v>
      </c>
      <c r="AD106" s="155">
        <f t="shared" ca="1" si="177"/>
        <v>0</v>
      </c>
      <c r="AE106" s="154" t="str">
        <f t="shared" si="157"/>
        <v/>
      </c>
      <c r="AF106" s="155" t="str">
        <f t="shared" si="178"/>
        <v/>
      </c>
      <c r="AG106" s="154" t="str">
        <f t="shared" si="158"/>
        <v/>
      </c>
      <c r="AH106" s="155" t="str">
        <f t="shared" si="179"/>
        <v/>
      </c>
      <c r="AI106" s="154" t="str">
        <f t="shared" si="159"/>
        <v/>
      </c>
      <c r="AJ106" s="155" t="str">
        <f t="shared" si="180"/>
        <v/>
      </c>
      <c r="AL106" s="255">
        <f t="shared" ca="1" si="181"/>
        <v>2890348.5</v>
      </c>
      <c r="AM106" s="70">
        <f t="shared" ca="1" si="182"/>
        <v>1373400.5071610576</v>
      </c>
      <c r="AN106" s="365">
        <f t="shared" ca="1" si="183"/>
        <v>3577048.7535805288</v>
      </c>
      <c r="AO106" s="365">
        <f t="shared" ca="1" si="184"/>
        <v>2203648.2464194712</v>
      </c>
    </row>
    <row r="107" spans="1:41" s="147" customFormat="1" ht="21" customHeight="1" x14ac:dyDescent="0.25">
      <c r="A107" s="366">
        <v>2.5</v>
      </c>
      <c r="B107" s="153">
        <f t="shared" ca="1" si="185"/>
        <v>72350.98</v>
      </c>
      <c r="C107" s="154" t="str">
        <f t="shared" si="143"/>
        <v/>
      </c>
      <c r="D107" s="155" t="str">
        <f t="shared" si="164"/>
        <v/>
      </c>
      <c r="E107" s="154">
        <f t="shared" ca="1" si="144"/>
        <v>124100</v>
      </c>
      <c r="F107" s="155">
        <f t="shared" ca="1" si="165"/>
        <v>1.6216216216216217</v>
      </c>
      <c r="G107" s="154">
        <f t="shared" ca="1" si="145"/>
        <v>76500</v>
      </c>
      <c r="H107" s="155">
        <f t="shared" ca="1" si="166"/>
        <v>0</v>
      </c>
      <c r="I107" s="154" t="str">
        <f t="shared" ca="1" si="146"/>
        <v/>
      </c>
      <c r="J107" s="155" t="str">
        <f t="shared" ca="1" si="167"/>
        <v/>
      </c>
      <c r="K107" s="154">
        <f t="shared" ca="1" si="147"/>
        <v>340000</v>
      </c>
      <c r="L107" s="155">
        <f t="shared" ca="1" si="168"/>
        <v>0</v>
      </c>
      <c r="M107" s="154">
        <f t="shared" ca="1" si="148"/>
        <v>93500</v>
      </c>
      <c r="N107" s="155">
        <f t="shared" ca="1" si="169"/>
        <v>0</v>
      </c>
      <c r="O107" s="154" t="str">
        <f t="shared" ca="1" si="149"/>
        <v/>
      </c>
      <c r="P107" s="155" t="str">
        <f t="shared" ca="1" si="170"/>
        <v/>
      </c>
      <c r="Q107" s="154">
        <f t="shared" ca="1" si="150"/>
        <v>131750</v>
      </c>
      <c r="R107" s="155">
        <f t="shared" ca="1" si="171"/>
        <v>1.6216216216216217</v>
      </c>
      <c r="S107" s="154">
        <f t="shared" ca="1" si="151"/>
        <v>134300</v>
      </c>
      <c r="T107" s="155">
        <f t="shared" ca="1" si="172"/>
        <v>1.6216216216216217</v>
      </c>
      <c r="U107" s="154">
        <f t="shared" ca="1" si="152"/>
        <v>89981</v>
      </c>
      <c r="V107" s="155">
        <f t="shared" ca="1" si="173"/>
        <v>0</v>
      </c>
      <c r="W107" s="154">
        <f t="shared" ca="1" si="153"/>
        <v>85000</v>
      </c>
      <c r="X107" s="155">
        <f t="shared" ca="1" si="174"/>
        <v>0</v>
      </c>
      <c r="Y107" s="154">
        <f t="shared" ca="1" si="154"/>
        <v>110500</v>
      </c>
      <c r="Z107" s="155">
        <f t="shared" ca="1" si="175"/>
        <v>1.6216216216216217</v>
      </c>
      <c r="AA107" s="154" t="str">
        <f t="shared" ca="1" si="155"/>
        <v/>
      </c>
      <c r="AB107" s="155" t="str">
        <f t="shared" ca="1" si="176"/>
        <v/>
      </c>
      <c r="AC107" s="154">
        <f t="shared" ca="1" si="156"/>
        <v>127500</v>
      </c>
      <c r="AD107" s="155">
        <f t="shared" ca="1" si="177"/>
        <v>1.6216216216216217</v>
      </c>
      <c r="AE107" s="154" t="str">
        <f t="shared" si="157"/>
        <v/>
      </c>
      <c r="AF107" s="155" t="str">
        <f t="shared" si="178"/>
        <v/>
      </c>
      <c r="AG107" s="154" t="str">
        <f t="shared" si="158"/>
        <v/>
      </c>
      <c r="AH107" s="155" t="str">
        <f t="shared" si="179"/>
        <v/>
      </c>
      <c r="AI107" s="154" t="str">
        <f t="shared" si="159"/>
        <v/>
      </c>
      <c r="AJ107" s="155" t="str">
        <f t="shared" si="180"/>
        <v/>
      </c>
      <c r="AL107" s="255">
        <f t="shared" ca="1" si="181"/>
        <v>131313.1</v>
      </c>
      <c r="AM107" s="70">
        <f t="shared" ca="1" si="182"/>
        <v>72350.978255238544</v>
      </c>
      <c r="AN107" s="365">
        <f t="shared" ca="1" si="183"/>
        <v>167488.58912761929</v>
      </c>
      <c r="AO107" s="365">
        <f t="shared" ca="1" si="184"/>
        <v>95137.610872380727</v>
      </c>
    </row>
    <row r="108" spans="1:41" s="147" customFormat="1" ht="21" customHeight="1" x14ac:dyDescent="0.25">
      <c r="A108" s="366">
        <v>2.6</v>
      </c>
      <c r="B108" s="153">
        <f t="shared" ca="1" si="185"/>
        <v>35828.730000000003</v>
      </c>
      <c r="C108" s="154" t="str">
        <f t="shared" si="143"/>
        <v/>
      </c>
      <c r="D108" s="155" t="str">
        <f t="shared" si="164"/>
        <v/>
      </c>
      <c r="E108" s="154">
        <f t="shared" ca="1" si="144"/>
        <v>102000</v>
      </c>
      <c r="F108" s="155">
        <f t="shared" ca="1" si="165"/>
        <v>1.6216216216216217</v>
      </c>
      <c r="G108" s="154">
        <f t="shared" ca="1" si="145"/>
        <v>76500</v>
      </c>
      <c r="H108" s="155">
        <f t="shared" ca="1" si="166"/>
        <v>0</v>
      </c>
      <c r="I108" s="154" t="str">
        <f t="shared" ca="1" si="146"/>
        <v/>
      </c>
      <c r="J108" s="155" t="str">
        <f t="shared" ca="1" si="167"/>
        <v/>
      </c>
      <c r="K108" s="154">
        <f t="shared" ca="1" si="147"/>
        <v>136000</v>
      </c>
      <c r="L108" s="155">
        <f t="shared" ca="1" si="168"/>
        <v>0</v>
      </c>
      <c r="M108" s="154">
        <f t="shared" ca="1" si="148"/>
        <v>89250</v>
      </c>
      <c r="N108" s="155">
        <f t="shared" ca="1" si="169"/>
        <v>0</v>
      </c>
      <c r="O108" s="154" t="str">
        <f t="shared" ca="1" si="149"/>
        <v/>
      </c>
      <c r="P108" s="155" t="str">
        <f t="shared" ca="1" si="170"/>
        <v/>
      </c>
      <c r="Q108" s="154">
        <f t="shared" ca="1" si="150"/>
        <v>119000</v>
      </c>
      <c r="R108" s="155">
        <f t="shared" ca="1" si="171"/>
        <v>1.6216216216216217</v>
      </c>
      <c r="S108" s="154">
        <f t="shared" ca="1" si="151"/>
        <v>191250</v>
      </c>
      <c r="T108" s="155">
        <f t="shared" ca="1" si="172"/>
        <v>0</v>
      </c>
      <c r="U108" s="154">
        <f t="shared" ca="1" si="152"/>
        <v>81345</v>
      </c>
      <c r="V108" s="155">
        <f t="shared" ca="1" si="173"/>
        <v>0</v>
      </c>
      <c r="W108" s="154">
        <f t="shared" ca="1" si="153"/>
        <v>136000</v>
      </c>
      <c r="X108" s="155">
        <f t="shared" ca="1" si="174"/>
        <v>0</v>
      </c>
      <c r="Y108" s="154">
        <f t="shared" ca="1" si="154"/>
        <v>85000</v>
      </c>
      <c r="Z108" s="155">
        <f t="shared" ca="1" si="175"/>
        <v>0</v>
      </c>
      <c r="AA108" s="154" t="str">
        <f t="shared" ca="1" si="155"/>
        <v/>
      </c>
      <c r="AB108" s="155" t="str">
        <f t="shared" ca="1" si="176"/>
        <v/>
      </c>
      <c r="AC108" s="154">
        <f t="shared" ca="1" si="156"/>
        <v>68000</v>
      </c>
      <c r="AD108" s="155">
        <f t="shared" ca="1" si="177"/>
        <v>0</v>
      </c>
      <c r="AE108" s="154" t="str">
        <f t="shared" si="157"/>
        <v/>
      </c>
      <c r="AF108" s="155" t="str">
        <f t="shared" si="178"/>
        <v/>
      </c>
      <c r="AG108" s="154" t="str">
        <f t="shared" si="158"/>
        <v/>
      </c>
      <c r="AH108" s="155" t="str">
        <f t="shared" si="179"/>
        <v/>
      </c>
      <c r="AI108" s="154" t="str">
        <f t="shared" si="159"/>
        <v/>
      </c>
      <c r="AJ108" s="155" t="str">
        <f t="shared" si="180"/>
        <v/>
      </c>
      <c r="AL108" s="255">
        <f t="shared" ca="1" si="181"/>
        <v>108434.5</v>
      </c>
      <c r="AM108" s="70">
        <f t="shared" ca="1" si="182"/>
        <v>35828.726076292471</v>
      </c>
      <c r="AN108" s="365">
        <f t="shared" ca="1" si="183"/>
        <v>126348.86303814623</v>
      </c>
      <c r="AO108" s="365">
        <f t="shared" ca="1" si="184"/>
        <v>90520.136961853772</v>
      </c>
    </row>
    <row r="109" spans="1:41" s="147" customFormat="1" ht="21" customHeight="1" x14ac:dyDescent="0.25">
      <c r="A109" s="366">
        <v>2.7</v>
      </c>
      <c r="B109" s="153">
        <f t="shared" ca="1" si="185"/>
        <v>40239.040000000001</v>
      </c>
      <c r="C109" s="154" t="str">
        <f t="shared" si="143"/>
        <v/>
      </c>
      <c r="D109" s="155" t="str">
        <f t="shared" si="164"/>
        <v/>
      </c>
      <c r="E109" s="154">
        <f t="shared" ca="1" si="144"/>
        <v>96900</v>
      </c>
      <c r="F109" s="155">
        <f t="shared" ca="1" si="165"/>
        <v>1.6216216216216217</v>
      </c>
      <c r="G109" s="154">
        <f t="shared" ca="1" si="145"/>
        <v>42500</v>
      </c>
      <c r="H109" s="155">
        <f t="shared" ca="1" si="166"/>
        <v>0</v>
      </c>
      <c r="I109" s="154" t="str">
        <f t="shared" ca="1" si="146"/>
        <v/>
      </c>
      <c r="J109" s="155" t="str">
        <f t="shared" ca="1" si="167"/>
        <v/>
      </c>
      <c r="K109" s="154">
        <f t="shared" ca="1" si="147"/>
        <v>136000</v>
      </c>
      <c r="L109" s="155">
        <f t="shared" ca="1" si="168"/>
        <v>0</v>
      </c>
      <c r="M109" s="154">
        <f t="shared" ca="1" si="148"/>
        <v>89250</v>
      </c>
      <c r="N109" s="155">
        <f t="shared" ca="1" si="169"/>
        <v>1.6216216216216217</v>
      </c>
      <c r="O109" s="154" t="str">
        <f t="shared" ca="1" si="149"/>
        <v/>
      </c>
      <c r="P109" s="155" t="str">
        <f t="shared" ca="1" si="170"/>
        <v/>
      </c>
      <c r="Q109" s="154">
        <f t="shared" ca="1" si="150"/>
        <v>110500</v>
      </c>
      <c r="R109" s="155">
        <f t="shared" ca="1" si="171"/>
        <v>1.6216216216216217</v>
      </c>
      <c r="S109" s="154">
        <f t="shared" ca="1" si="151"/>
        <v>191250</v>
      </c>
      <c r="T109" s="155">
        <f t="shared" ca="1" si="172"/>
        <v>0</v>
      </c>
      <c r="U109" s="154">
        <f t="shared" ca="1" si="152"/>
        <v>75905</v>
      </c>
      <c r="V109" s="155">
        <f t="shared" ca="1" si="173"/>
        <v>0</v>
      </c>
      <c r="W109" s="154">
        <f t="shared" ca="1" si="153"/>
        <v>136000</v>
      </c>
      <c r="X109" s="155">
        <f t="shared" ca="1" si="174"/>
        <v>0</v>
      </c>
      <c r="Y109" s="154">
        <f t="shared" ca="1" si="154"/>
        <v>85000</v>
      </c>
      <c r="Z109" s="155">
        <f t="shared" ca="1" si="175"/>
        <v>1.6216216216216217</v>
      </c>
      <c r="AA109" s="154" t="str">
        <f t="shared" ca="1" si="155"/>
        <v/>
      </c>
      <c r="AB109" s="155" t="str">
        <f t="shared" ca="1" si="176"/>
        <v/>
      </c>
      <c r="AC109" s="154">
        <f t="shared" ca="1" si="156"/>
        <v>68000</v>
      </c>
      <c r="AD109" s="155">
        <f t="shared" ca="1" si="177"/>
        <v>0</v>
      </c>
      <c r="AE109" s="154" t="str">
        <f t="shared" si="157"/>
        <v/>
      </c>
      <c r="AF109" s="155" t="str">
        <f t="shared" si="178"/>
        <v/>
      </c>
      <c r="AG109" s="154" t="str">
        <f t="shared" si="158"/>
        <v/>
      </c>
      <c r="AH109" s="155" t="str">
        <f t="shared" si="179"/>
        <v/>
      </c>
      <c r="AI109" s="154" t="str">
        <f t="shared" si="159"/>
        <v/>
      </c>
      <c r="AJ109" s="155" t="str">
        <f t="shared" si="180"/>
        <v/>
      </c>
      <c r="AL109" s="255">
        <f t="shared" ca="1" si="181"/>
        <v>103130.5</v>
      </c>
      <c r="AM109" s="70">
        <f t="shared" ca="1" si="182"/>
        <v>40239.040399219266</v>
      </c>
      <c r="AN109" s="365">
        <f t="shared" ca="1" si="183"/>
        <v>123250.02019960963</v>
      </c>
      <c r="AO109" s="365">
        <f t="shared" ca="1" si="184"/>
        <v>83010.979800390371</v>
      </c>
    </row>
    <row r="110" spans="1:41" s="147" customFormat="1" ht="21" customHeight="1" x14ac:dyDescent="0.25">
      <c r="A110" s="366">
        <v>2.8</v>
      </c>
      <c r="B110" s="153">
        <f t="shared" ca="1" si="185"/>
        <v>34218.36</v>
      </c>
      <c r="C110" s="154" t="str">
        <f t="shared" si="143"/>
        <v/>
      </c>
      <c r="D110" s="155" t="str">
        <f t="shared" si="164"/>
        <v/>
      </c>
      <c r="E110" s="154">
        <f t="shared" ca="1" si="144"/>
        <v>80750</v>
      </c>
      <c r="F110" s="155">
        <f t="shared" ca="1" si="165"/>
        <v>1.6216216216216217</v>
      </c>
      <c r="G110" s="154">
        <f t="shared" ca="1" si="145"/>
        <v>34000</v>
      </c>
      <c r="H110" s="155">
        <f t="shared" ca="1" si="166"/>
        <v>0</v>
      </c>
      <c r="I110" s="154" t="str">
        <f t="shared" ca="1" si="146"/>
        <v/>
      </c>
      <c r="J110" s="155" t="str">
        <f t="shared" ca="1" si="167"/>
        <v/>
      </c>
      <c r="K110" s="154">
        <f t="shared" ca="1" si="147"/>
        <v>76500</v>
      </c>
      <c r="L110" s="155">
        <f t="shared" ca="1" si="168"/>
        <v>1.6216216216216217</v>
      </c>
      <c r="M110" s="154">
        <f t="shared" ca="1" si="148"/>
        <v>46750</v>
      </c>
      <c r="N110" s="155">
        <f t="shared" ca="1" si="169"/>
        <v>0</v>
      </c>
      <c r="O110" s="154" t="str">
        <f t="shared" ca="1" si="149"/>
        <v/>
      </c>
      <c r="P110" s="155" t="str">
        <f t="shared" ca="1" si="170"/>
        <v/>
      </c>
      <c r="Q110" s="154">
        <f t="shared" ca="1" si="150"/>
        <v>59500</v>
      </c>
      <c r="R110" s="155">
        <f t="shared" ca="1" si="171"/>
        <v>1.6216216216216217</v>
      </c>
      <c r="S110" s="154">
        <f t="shared" ca="1" si="151"/>
        <v>164900</v>
      </c>
      <c r="T110" s="155">
        <f t="shared" ca="1" si="172"/>
        <v>0</v>
      </c>
      <c r="U110" s="154">
        <f t="shared" ca="1" si="152"/>
        <v>48816</v>
      </c>
      <c r="V110" s="155">
        <f t="shared" ca="1" si="173"/>
        <v>0</v>
      </c>
      <c r="W110" s="154">
        <f t="shared" ca="1" si="153"/>
        <v>66300</v>
      </c>
      <c r="X110" s="155">
        <f t="shared" ca="1" si="174"/>
        <v>1.6216216216216217</v>
      </c>
      <c r="Y110" s="154">
        <f t="shared" ca="1" si="154"/>
        <v>85000</v>
      </c>
      <c r="Z110" s="155">
        <f t="shared" ca="1" si="175"/>
        <v>1.6216216216216217</v>
      </c>
      <c r="AA110" s="154" t="str">
        <f t="shared" ca="1" si="155"/>
        <v/>
      </c>
      <c r="AB110" s="155" t="str">
        <f t="shared" ca="1" si="176"/>
        <v/>
      </c>
      <c r="AC110" s="154">
        <f t="shared" ca="1" si="156"/>
        <v>68000</v>
      </c>
      <c r="AD110" s="155">
        <f t="shared" ca="1" si="177"/>
        <v>1.6216216216216217</v>
      </c>
      <c r="AE110" s="154" t="str">
        <f t="shared" si="157"/>
        <v/>
      </c>
      <c r="AF110" s="155" t="str">
        <f t="shared" si="178"/>
        <v/>
      </c>
      <c r="AG110" s="154" t="str">
        <f t="shared" si="158"/>
        <v/>
      </c>
      <c r="AH110" s="155" t="str">
        <f t="shared" si="179"/>
        <v/>
      </c>
      <c r="AI110" s="154" t="str">
        <f t="shared" si="159"/>
        <v/>
      </c>
      <c r="AJ110" s="155" t="str">
        <f t="shared" si="180"/>
        <v/>
      </c>
      <c r="AL110" s="255">
        <f t="shared" ca="1" si="181"/>
        <v>73051.600000000006</v>
      </c>
      <c r="AM110" s="70">
        <f t="shared" ca="1" si="182"/>
        <v>34218.36382762916</v>
      </c>
      <c r="AN110" s="365">
        <f t="shared" ca="1" si="183"/>
        <v>90160.781913814586</v>
      </c>
      <c r="AO110" s="365">
        <f t="shared" ca="1" si="184"/>
        <v>55942.418086185426</v>
      </c>
    </row>
    <row r="111" spans="1:41" s="147" customFormat="1" ht="21" customHeight="1" x14ac:dyDescent="0.25">
      <c r="A111" s="366">
        <v>2.9</v>
      </c>
      <c r="B111" s="153">
        <f t="shared" ca="1" si="185"/>
        <v>46989.5</v>
      </c>
      <c r="C111" s="154" t="str">
        <f t="shared" si="143"/>
        <v/>
      </c>
      <c r="D111" s="155" t="str">
        <f t="shared" si="164"/>
        <v/>
      </c>
      <c r="E111" s="154">
        <f t="shared" ca="1" si="144"/>
        <v>79900</v>
      </c>
      <c r="F111" s="155">
        <f t="shared" ca="1" si="165"/>
        <v>1.6216216216216217</v>
      </c>
      <c r="G111" s="154">
        <f t="shared" ca="1" si="145"/>
        <v>34000</v>
      </c>
      <c r="H111" s="155">
        <f t="shared" ca="1" si="166"/>
        <v>0</v>
      </c>
      <c r="I111" s="154" t="str">
        <f t="shared" ca="1" si="146"/>
        <v/>
      </c>
      <c r="J111" s="155" t="str">
        <f t="shared" ca="1" si="167"/>
        <v/>
      </c>
      <c r="K111" s="154">
        <f t="shared" ca="1" si="147"/>
        <v>136000</v>
      </c>
      <c r="L111" s="155">
        <f t="shared" ca="1" si="168"/>
        <v>0</v>
      </c>
      <c r="M111" s="154">
        <f t="shared" ca="1" si="148"/>
        <v>46750</v>
      </c>
      <c r="N111" s="155">
        <f t="shared" ca="1" si="169"/>
        <v>0</v>
      </c>
      <c r="O111" s="154" t="str">
        <f t="shared" ca="1" si="149"/>
        <v/>
      </c>
      <c r="P111" s="155" t="str">
        <f t="shared" ca="1" si="170"/>
        <v/>
      </c>
      <c r="Q111" s="154">
        <f t="shared" ca="1" si="150"/>
        <v>59500</v>
      </c>
      <c r="R111" s="155">
        <f t="shared" ca="1" si="171"/>
        <v>0</v>
      </c>
      <c r="S111" s="154">
        <f t="shared" ca="1" si="151"/>
        <v>164900</v>
      </c>
      <c r="T111" s="155">
        <f t="shared" ca="1" si="172"/>
        <v>0</v>
      </c>
      <c r="U111" s="154">
        <f t="shared" ca="1" si="152"/>
        <v>44243</v>
      </c>
      <c r="V111" s="155">
        <f t="shared" ca="1" si="173"/>
        <v>0</v>
      </c>
      <c r="W111" s="154">
        <f t="shared" ca="1" si="153"/>
        <v>165750</v>
      </c>
      <c r="X111" s="155">
        <f t="shared" ca="1" si="174"/>
        <v>0</v>
      </c>
      <c r="Y111" s="154">
        <f t="shared" ca="1" si="154"/>
        <v>85000</v>
      </c>
      <c r="Z111" s="155">
        <f t="shared" ca="1" si="175"/>
        <v>1.6216216216216217</v>
      </c>
      <c r="AA111" s="154" t="str">
        <f t="shared" ca="1" si="155"/>
        <v/>
      </c>
      <c r="AB111" s="155" t="str">
        <f t="shared" ca="1" si="176"/>
        <v/>
      </c>
      <c r="AC111" s="154">
        <f t="shared" ca="1" si="156"/>
        <v>68000</v>
      </c>
      <c r="AD111" s="155">
        <f t="shared" ca="1" si="177"/>
        <v>1.6216216216216217</v>
      </c>
      <c r="AE111" s="154" t="str">
        <f t="shared" si="157"/>
        <v/>
      </c>
      <c r="AF111" s="155" t="str">
        <f t="shared" si="178"/>
        <v/>
      </c>
      <c r="AG111" s="154" t="str">
        <f t="shared" si="158"/>
        <v/>
      </c>
      <c r="AH111" s="155" t="str">
        <f t="shared" si="179"/>
        <v/>
      </c>
      <c r="AI111" s="154" t="str">
        <f t="shared" si="159"/>
        <v/>
      </c>
      <c r="AJ111" s="155" t="str">
        <f t="shared" si="180"/>
        <v/>
      </c>
      <c r="AL111" s="255">
        <f t="shared" ca="1" si="181"/>
        <v>88404.3</v>
      </c>
      <c r="AM111" s="70">
        <f t="shared" ca="1" si="182"/>
        <v>46989.504641036598</v>
      </c>
      <c r="AN111" s="365">
        <f t="shared" ca="1" si="183"/>
        <v>111899.0523205183</v>
      </c>
      <c r="AO111" s="365">
        <f t="shared" ca="1" si="184"/>
        <v>64909.547679481708</v>
      </c>
    </row>
    <row r="112" spans="1:41" s="147" customFormat="1" ht="21" customHeight="1" x14ac:dyDescent="0.25">
      <c r="A112" s="366">
        <v>2.1</v>
      </c>
      <c r="B112" s="153">
        <f t="shared" ca="1" si="185"/>
        <v>18574670.52</v>
      </c>
      <c r="C112" s="154" t="str">
        <f t="shared" si="143"/>
        <v/>
      </c>
      <c r="D112" s="155" t="str">
        <f t="shared" si="164"/>
        <v/>
      </c>
      <c r="E112" s="154">
        <f t="shared" ca="1" si="144"/>
        <v>172550482</v>
      </c>
      <c r="F112" s="155">
        <f t="shared" ca="1" si="165"/>
        <v>0</v>
      </c>
      <c r="G112" s="154">
        <f t="shared" ca="1" si="145"/>
        <v>110925310</v>
      </c>
      <c r="H112" s="155">
        <f t="shared" ca="1" si="166"/>
        <v>0</v>
      </c>
      <c r="I112" s="154" t="str">
        <f t="shared" ca="1" si="146"/>
        <v/>
      </c>
      <c r="J112" s="155" t="str">
        <f t="shared" ca="1" si="167"/>
        <v/>
      </c>
      <c r="K112" s="154">
        <f t="shared" ca="1" si="147"/>
        <v>117087827</v>
      </c>
      <c r="L112" s="155">
        <f t="shared" ca="1" si="168"/>
        <v>0</v>
      </c>
      <c r="M112" s="154">
        <f t="shared" ca="1" si="148"/>
        <v>133110372</v>
      </c>
      <c r="N112" s="155">
        <f t="shared" ca="1" si="169"/>
        <v>1.6216216216216217</v>
      </c>
      <c r="O112" s="154" t="str">
        <f t="shared" ca="1" si="149"/>
        <v/>
      </c>
      <c r="P112" s="155" t="str">
        <f t="shared" ca="1" si="170"/>
        <v/>
      </c>
      <c r="Q112" s="154">
        <f t="shared" ca="1" si="150"/>
        <v>129412861</v>
      </c>
      <c r="R112" s="155">
        <f t="shared" ca="1" si="171"/>
        <v>1.6216216216216217</v>
      </c>
      <c r="S112" s="154">
        <f t="shared" ca="1" si="151"/>
        <v>131877868</v>
      </c>
      <c r="T112" s="155">
        <f t="shared" ca="1" si="172"/>
        <v>1.6216216216216217</v>
      </c>
      <c r="U112" s="154">
        <f t="shared" ca="1" si="152"/>
        <v>136696957</v>
      </c>
      <c r="V112" s="155">
        <f t="shared" ca="1" si="173"/>
        <v>1.6216216216216217</v>
      </c>
      <c r="W112" s="154">
        <f t="shared" ca="1" si="153"/>
        <v>123250344</v>
      </c>
      <c r="X112" s="155">
        <f t="shared" ca="1" si="174"/>
        <v>1.6216216216216217</v>
      </c>
      <c r="Y112" s="154">
        <f t="shared" ca="1" si="154"/>
        <v>135575379</v>
      </c>
      <c r="Z112" s="155">
        <f t="shared" ca="1" si="175"/>
        <v>1.6216216216216217</v>
      </c>
      <c r="AA112" s="154" t="str">
        <f t="shared" ca="1" si="155"/>
        <v/>
      </c>
      <c r="AB112" s="155" t="str">
        <f t="shared" ca="1" si="176"/>
        <v/>
      </c>
      <c r="AC112" s="154">
        <f t="shared" ca="1" si="156"/>
        <v>98600275</v>
      </c>
      <c r="AD112" s="155">
        <f t="shared" ca="1" si="177"/>
        <v>0</v>
      </c>
      <c r="AE112" s="154" t="str">
        <f t="shared" si="157"/>
        <v/>
      </c>
      <c r="AF112" s="155" t="str">
        <f t="shared" si="178"/>
        <v/>
      </c>
      <c r="AG112" s="154" t="str">
        <f t="shared" si="158"/>
        <v/>
      </c>
      <c r="AH112" s="155" t="str">
        <f t="shared" si="179"/>
        <v/>
      </c>
      <c r="AI112" s="154" t="str">
        <f t="shared" si="159"/>
        <v/>
      </c>
      <c r="AJ112" s="155" t="str">
        <f t="shared" si="180"/>
        <v/>
      </c>
      <c r="AL112" s="255">
        <f t="shared" ca="1" si="181"/>
        <v>128908767.5</v>
      </c>
      <c r="AM112" s="70">
        <f t="shared" ca="1" si="182"/>
        <v>18574670.520836554</v>
      </c>
      <c r="AN112" s="365">
        <f t="shared" ca="1" si="183"/>
        <v>138196102.76041827</v>
      </c>
      <c r="AO112" s="365">
        <f t="shared" ca="1" si="184"/>
        <v>119621432.23958172</v>
      </c>
    </row>
    <row r="113" spans="1:41" s="147" customFormat="1" ht="21" customHeight="1" x14ac:dyDescent="0.25">
      <c r="A113" s="366" t="s">
        <v>186</v>
      </c>
      <c r="B113" s="153">
        <f t="shared" ca="1" si="185"/>
        <v>109754.87</v>
      </c>
      <c r="C113" s="154" t="str">
        <f t="shared" si="143"/>
        <v/>
      </c>
      <c r="D113" s="155" t="str">
        <f t="shared" si="164"/>
        <v/>
      </c>
      <c r="E113" s="154">
        <f t="shared" ca="1" si="144"/>
        <v>191250</v>
      </c>
      <c r="F113" s="155">
        <f t="shared" ca="1" si="165"/>
        <v>0</v>
      </c>
      <c r="G113" s="154">
        <f t="shared" ca="1" si="145"/>
        <v>127500</v>
      </c>
      <c r="H113" s="155">
        <f t="shared" ca="1" si="166"/>
        <v>0</v>
      </c>
      <c r="I113" s="154" t="str">
        <f t="shared" ca="1" si="146"/>
        <v/>
      </c>
      <c r="J113" s="155" t="str">
        <f t="shared" ca="1" si="167"/>
        <v/>
      </c>
      <c r="K113" s="154">
        <f t="shared" ca="1" si="147"/>
        <v>510000</v>
      </c>
      <c r="L113" s="155">
        <f t="shared" ca="1" si="168"/>
        <v>0</v>
      </c>
      <c r="M113" s="154">
        <f t="shared" ca="1" si="148"/>
        <v>280500</v>
      </c>
      <c r="N113" s="155">
        <f t="shared" ca="1" si="169"/>
        <v>1.6216216216216217</v>
      </c>
      <c r="O113" s="154" t="str">
        <f t="shared" ca="1" si="149"/>
        <v/>
      </c>
      <c r="P113" s="155" t="str">
        <f t="shared" ca="1" si="170"/>
        <v/>
      </c>
      <c r="Q113" s="154">
        <f t="shared" ca="1" si="150"/>
        <v>170000</v>
      </c>
      <c r="R113" s="155">
        <f t="shared" ca="1" si="171"/>
        <v>0</v>
      </c>
      <c r="S113" s="154">
        <f t="shared" ca="1" si="151"/>
        <v>361250</v>
      </c>
      <c r="T113" s="155">
        <f t="shared" ca="1" si="172"/>
        <v>0</v>
      </c>
      <c r="U113" s="154">
        <f t="shared" ca="1" si="152"/>
        <v>304385</v>
      </c>
      <c r="V113" s="155">
        <f t="shared" ca="1" si="173"/>
        <v>1.6216216216216217</v>
      </c>
      <c r="W113" s="154">
        <f t="shared" ca="1" si="153"/>
        <v>318750</v>
      </c>
      <c r="X113" s="155">
        <f t="shared" ca="1" si="174"/>
        <v>1.6216216216216217</v>
      </c>
      <c r="Y113" s="154">
        <f t="shared" ca="1" si="154"/>
        <v>340000</v>
      </c>
      <c r="Z113" s="155">
        <f t="shared" ca="1" si="175"/>
        <v>0</v>
      </c>
      <c r="AA113" s="154" t="str">
        <f t="shared" ca="1" si="155"/>
        <v/>
      </c>
      <c r="AB113" s="155" t="str">
        <f t="shared" ca="1" si="176"/>
        <v/>
      </c>
      <c r="AC113" s="154">
        <f t="shared" ca="1" si="156"/>
        <v>170000</v>
      </c>
      <c r="AD113" s="155">
        <f t="shared" ca="1" si="177"/>
        <v>0</v>
      </c>
      <c r="AE113" s="154" t="str">
        <f t="shared" si="157"/>
        <v/>
      </c>
      <c r="AF113" s="155" t="str">
        <f t="shared" si="178"/>
        <v/>
      </c>
      <c r="AG113" s="154" t="str">
        <f t="shared" si="158"/>
        <v/>
      </c>
      <c r="AH113" s="155" t="str">
        <f t="shared" si="179"/>
        <v/>
      </c>
      <c r="AI113" s="154" t="str">
        <f t="shared" si="159"/>
        <v/>
      </c>
      <c r="AJ113" s="155" t="str">
        <f t="shared" si="180"/>
        <v/>
      </c>
      <c r="AL113" s="255">
        <f t="shared" ca="1" si="181"/>
        <v>277363.5</v>
      </c>
      <c r="AM113" s="70">
        <f t="shared" ca="1" si="182"/>
        <v>109754.86522359727</v>
      </c>
      <c r="AN113" s="365">
        <f t="shared" ca="1" si="183"/>
        <v>332240.93261179863</v>
      </c>
      <c r="AO113" s="365">
        <f t="shared" ca="1" si="184"/>
        <v>222486.06738820137</v>
      </c>
    </row>
    <row r="114" spans="1:41" s="147" customFormat="1" ht="21" customHeight="1" x14ac:dyDescent="0.25">
      <c r="A114" s="366">
        <v>3.1</v>
      </c>
      <c r="B114" s="153">
        <f t="shared" ca="1" si="185"/>
        <v>115231.62</v>
      </c>
      <c r="C114" s="154" t="str">
        <f t="shared" si="143"/>
        <v/>
      </c>
      <c r="D114" s="155" t="str">
        <f t="shared" si="164"/>
        <v/>
      </c>
      <c r="E114" s="154">
        <f t="shared" ca="1" si="144"/>
        <v>331500</v>
      </c>
      <c r="F114" s="155">
        <f t="shared" ca="1" si="165"/>
        <v>0</v>
      </c>
      <c r="G114" s="154">
        <f t="shared" ca="1" si="145"/>
        <v>230860</v>
      </c>
      <c r="H114" s="155">
        <f t="shared" ca="1" si="166"/>
        <v>1.6216216216216217</v>
      </c>
      <c r="I114" s="154" t="str">
        <f t="shared" ca="1" si="146"/>
        <v/>
      </c>
      <c r="J114" s="155" t="str">
        <f t="shared" ca="1" si="167"/>
        <v/>
      </c>
      <c r="K114" s="154">
        <f t="shared" ca="1" si="147"/>
        <v>552500</v>
      </c>
      <c r="L114" s="155">
        <f t="shared" ca="1" si="168"/>
        <v>0</v>
      </c>
      <c r="M114" s="154">
        <f t="shared" ca="1" si="148"/>
        <v>204000</v>
      </c>
      <c r="N114" s="155">
        <f t="shared" ca="1" si="169"/>
        <v>0</v>
      </c>
      <c r="O114" s="154" t="str">
        <f t="shared" ca="1" si="149"/>
        <v/>
      </c>
      <c r="P114" s="155" t="str">
        <f t="shared" ca="1" si="170"/>
        <v/>
      </c>
      <c r="Q114" s="154">
        <f t="shared" ca="1" si="150"/>
        <v>153000</v>
      </c>
      <c r="R114" s="155">
        <f t="shared" ca="1" si="171"/>
        <v>0</v>
      </c>
      <c r="S114" s="154">
        <f t="shared" ca="1" si="151"/>
        <v>282200</v>
      </c>
      <c r="T114" s="155">
        <f t="shared" ca="1" si="172"/>
        <v>1.6216216216216217</v>
      </c>
      <c r="U114" s="154">
        <f t="shared" ca="1" si="152"/>
        <v>342210</v>
      </c>
      <c r="V114" s="155">
        <f t="shared" ca="1" si="173"/>
        <v>0</v>
      </c>
      <c r="W114" s="154">
        <f t="shared" ca="1" si="153"/>
        <v>297500</v>
      </c>
      <c r="X114" s="155">
        <f t="shared" ca="1" si="174"/>
        <v>1.6216216216216217</v>
      </c>
      <c r="Y114" s="154">
        <f t="shared" ca="1" si="154"/>
        <v>212500</v>
      </c>
      <c r="Z114" s="155">
        <f t="shared" ca="1" si="175"/>
        <v>0</v>
      </c>
      <c r="AA114" s="154" t="str">
        <f t="shared" ca="1" si="155"/>
        <v/>
      </c>
      <c r="AB114" s="155" t="str">
        <f t="shared" ca="1" si="176"/>
        <v/>
      </c>
      <c r="AC114" s="154">
        <f t="shared" ca="1" si="156"/>
        <v>127500</v>
      </c>
      <c r="AD114" s="155">
        <f t="shared" ca="1" si="177"/>
        <v>0</v>
      </c>
      <c r="AE114" s="154" t="str">
        <f t="shared" si="157"/>
        <v/>
      </c>
      <c r="AF114" s="155" t="str">
        <f t="shared" si="178"/>
        <v/>
      </c>
      <c r="AG114" s="154" t="str">
        <f t="shared" si="158"/>
        <v/>
      </c>
      <c r="AH114" s="155" t="str">
        <f t="shared" si="179"/>
        <v/>
      </c>
      <c r="AI114" s="154" t="str">
        <f t="shared" si="159"/>
        <v/>
      </c>
      <c r="AJ114" s="155" t="str">
        <f t="shared" si="180"/>
        <v/>
      </c>
      <c r="AL114" s="255">
        <f t="shared" ca="1" si="181"/>
        <v>273377</v>
      </c>
      <c r="AM114" s="70">
        <f t="shared" ca="1" si="182"/>
        <v>115231.62430947504</v>
      </c>
      <c r="AN114" s="365">
        <f t="shared" ca="1" si="183"/>
        <v>330992.81215473753</v>
      </c>
      <c r="AO114" s="365">
        <f t="shared" ca="1" si="184"/>
        <v>215761.18784526247</v>
      </c>
    </row>
    <row r="115" spans="1:41" s="147" customFormat="1" ht="21" customHeight="1" x14ac:dyDescent="0.25">
      <c r="A115" s="366">
        <v>3.2</v>
      </c>
      <c r="B115" s="153">
        <f t="shared" ca="1" si="185"/>
        <v>145163.26999999999</v>
      </c>
      <c r="C115" s="154" t="str">
        <f t="shared" si="143"/>
        <v/>
      </c>
      <c r="D115" s="155" t="str">
        <f t="shared" si="164"/>
        <v/>
      </c>
      <c r="E115" s="154">
        <f t="shared" ca="1" si="144"/>
        <v>318750</v>
      </c>
      <c r="F115" s="155">
        <f t="shared" ca="1" si="165"/>
        <v>1.6216216216216217</v>
      </c>
      <c r="G115" s="154">
        <f t="shared" ca="1" si="145"/>
        <v>247350</v>
      </c>
      <c r="H115" s="155">
        <f t="shared" ca="1" si="166"/>
        <v>1.6216216216216217</v>
      </c>
      <c r="I115" s="154" t="str">
        <f t="shared" ca="1" si="146"/>
        <v/>
      </c>
      <c r="J115" s="155" t="str">
        <f t="shared" ca="1" si="167"/>
        <v/>
      </c>
      <c r="K115" s="154">
        <f t="shared" ca="1" si="147"/>
        <v>671500</v>
      </c>
      <c r="L115" s="155">
        <f t="shared" ca="1" si="168"/>
        <v>0</v>
      </c>
      <c r="M115" s="154">
        <f t="shared" ca="1" si="148"/>
        <v>204000</v>
      </c>
      <c r="N115" s="155">
        <f t="shared" ca="1" si="169"/>
        <v>0</v>
      </c>
      <c r="O115" s="154" t="str">
        <f t="shared" ca="1" si="149"/>
        <v/>
      </c>
      <c r="P115" s="155" t="str">
        <f t="shared" ca="1" si="170"/>
        <v/>
      </c>
      <c r="Q115" s="154">
        <f t="shared" ca="1" si="150"/>
        <v>153000</v>
      </c>
      <c r="R115" s="155">
        <f t="shared" ca="1" si="171"/>
        <v>0</v>
      </c>
      <c r="S115" s="154">
        <f t="shared" ca="1" si="151"/>
        <v>299200</v>
      </c>
      <c r="T115" s="155">
        <f t="shared" ca="1" si="172"/>
        <v>1.6216216216216217</v>
      </c>
      <c r="U115" s="154">
        <f t="shared" ca="1" si="152"/>
        <v>352011</v>
      </c>
      <c r="V115" s="155">
        <f t="shared" ca="1" si="173"/>
        <v>1.6216216216216217</v>
      </c>
      <c r="W115" s="154">
        <f t="shared" ca="1" si="153"/>
        <v>297500</v>
      </c>
      <c r="X115" s="155">
        <f t="shared" ca="1" si="174"/>
        <v>1.6216216216216217</v>
      </c>
      <c r="Y115" s="154">
        <f t="shared" ca="1" si="154"/>
        <v>212500</v>
      </c>
      <c r="Z115" s="155">
        <f t="shared" ca="1" si="175"/>
        <v>0</v>
      </c>
      <c r="AA115" s="154" t="str">
        <f t="shared" ca="1" si="155"/>
        <v/>
      </c>
      <c r="AB115" s="155" t="str">
        <f t="shared" ca="1" si="176"/>
        <v/>
      </c>
      <c r="AC115" s="154">
        <f t="shared" ca="1" si="156"/>
        <v>127500</v>
      </c>
      <c r="AD115" s="155">
        <f t="shared" ca="1" si="177"/>
        <v>0</v>
      </c>
      <c r="AE115" s="154" t="str">
        <f t="shared" si="157"/>
        <v/>
      </c>
      <c r="AF115" s="155" t="str">
        <f t="shared" si="178"/>
        <v/>
      </c>
      <c r="AG115" s="154" t="str">
        <f t="shared" si="158"/>
        <v/>
      </c>
      <c r="AH115" s="155" t="str">
        <f t="shared" si="179"/>
        <v/>
      </c>
      <c r="AI115" s="154" t="str">
        <f t="shared" si="159"/>
        <v/>
      </c>
      <c r="AJ115" s="155" t="str">
        <f t="shared" si="180"/>
        <v/>
      </c>
      <c r="AL115" s="255">
        <f t="shared" ca="1" si="181"/>
        <v>288331.09999999998</v>
      </c>
      <c r="AM115" s="70">
        <f t="shared" ca="1" si="182"/>
        <v>145163.26561802748</v>
      </c>
      <c r="AN115" s="365">
        <f t="shared" ca="1" si="183"/>
        <v>360912.73280901369</v>
      </c>
      <c r="AO115" s="365">
        <f t="shared" ca="1" si="184"/>
        <v>215749.46719098624</v>
      </c>
    </row>
    <row r="116" spans="1:41" s="147" customFormat="1" ht="21" customHeight="1" x14ac:dyDescent="0.25">
      <c r="A116" s="366">
        <v>3.3</v>
      </c>
      <c r="B116" s="153">
        <f t="shared" ca="1" si="185"/>
        <v>1452054.05</v>
      </c>
      <c r="C116" s="154" t="str">
        <f t="shared" si="143"/>
        <v/>
      </c>
      <c r="D116" s="155" t="str">
        <f t="shared" si="164"/>
        <v/>
      </c>
      <c r="E116" s="154">
        <f t="shared" ca="1" si="144"/>
        <v>4462500</v>
      </c>
      <c r="F116" s="155">
        <f t="shared" ca="1" si="165"/>
        <v>0</v>
      </c>
      <c r="G116" s="154">
        <f t="shared" ca="1" si="145"/>
        <v>3215550</v>
      </c>
      <c r="H116" s="155">
        <f t="shared" ca="1" si="166"/>
        <v>1.6216216216216217</v>
      </c>
      <c r="I116" s="154" t="str">
        <f t="shared" ca="1" si="146"/>
        <v/>
      </c>
      <c r="J116" s="155" t="str">
        <f t="shared" ca="1" si="167"/>
        <v/>
      </c>
      <c r="K116" s="154">
        <f t="shared" ca="1" si="147"/>
        <v>3187500</v>
      </c>
      <c r="L116" s="155">
        <f t="shared" ca="1" si="168"/>
        <v>1.6216216216216217</v>
      </c>
      <c r="M116" s="154">
        <f t="shared" ca="1" si="148"/>
        <v>977500</v>
      </c>
      <c r="N116" s="155">
        <f t="shared" ca="1" si="169"/>
        <v>0</v>
      </c>
      <c r="O116" s="154" t="str">
        <f t="shared" ca="1" si="149"/>
        <v/>
      </c>
      <c r="P116" s="155" t="str">
        <f t="shared" ca="1" si="170"/>
        <v/>
      </c>
      <c r="Q116" s="154">
        <f t="shared" ca="1" si="150"/>
        <v>2125000</v>
      </c>
      <c r="R116" s="155">
        <f t="shared" ca="1" si="171"/>
        <v>0</v>
      </c>
      <c r="S116" s="154">
        <f t="shared" ca="1" si="151"/>
        <v>1870000</v>
      </c>
      <c r="T116" s="155">
        <f t="shared" ca="1" si="172"/>
        <v>0</v>
      </c>
      <c r="U116" s="154">
        <f t="shared" ca="1" si="152"/>
        <v>4971778</v>
      </c>
      <c r="V116" s="155">
        <f t="shared" ca="1" si="173"/>
        <v>0</v>
      </c>
      <c r="W116" s="154">
        <f t="shared" ca="1" si="153"/>
        <v>5440000</v>
      </c>
      <c r="X116" s="155">
        <f t="shared" ca="1" si="174"/>
        <v>0</v>
      </c>
      <c r="Y116" s="154">
        <f t="shared" ca="1" si="154"/>
        <v>2550000</v>
      </c>
      <c r="Z116" s="155">
        <f t="shared" ca="1" si="175"/>
        <v>1.6216216216216217</v>
      </c>
      <c r="AA116" s="154" t="str">
        <f t="shared" ca="1" si="155"/>
        <v/>
      </c>
      <c r="AB116" s="155" t="str">
        <f t="shared" ca="1" si="176"/>
        <v/>
      </c>
      <c r="AC116" s="154">
        <f t="shared" ca="1" si="156"/>
        <v>1360000</v>
      </c>
      <c r="AD116" s="155">
        <f t="shared" ca="1" si="177"/>
        <v>0</v>
      </c>
      <c r="AE116" s="154" t="str">
        <f t="shared" si="157"/>
        <v/>
      </c>
      <c r="AF116" s="155" t="str">
        <f t="shared" si="178"/>
        <v/>
      </c>
      <c r="AG116" s="154" t="str">
        <f t="shared" si="158"/>
        <v/>
      </c>
      <c r="AH116" s="155" t="str">
        <f t="shared" si="179"/>
        <v/>
      </c>
      <c r="AI116" s="154" t="str">
        <f t="shared" si="159"/>
        <v/>
      </c>
      <c r="AJ116" s="155" t="str">
        <f t="shared" si="180"/>
        <v/>
      </c>
      <c r="AL116" s="255">
        <f t="shared" ca="1" si="181"/>
        <v>3015982.8</v>
      </c>
      <c r="AM116" s="70">
        <f t="shared" ca="1" si="182"/>
        <v>1452054.0463366231</v>
      </c>
      <c r="AN116" s="365">
        <f t="shared" ca="1" si="183"/>
        <v>3742009.8231683113</v>
      </c>
      <c r="AO116" s="365">
        <f t="shared" ca="1" si="184"/>
        <v>2289955.7768316884</v>
      </c>
    </row>
    <row r="117" spans="1:41" s="147" customFormat="1" ht="21" customHeight="1" x14ac:dyDescent="0.25">
      <c r="A117" s="366">
        <v>3.4</v>
      </c>
      <c r="B117" s="153">
        <f t="shared" ca="1" si="185"/>
        <v>220184.86</v>
      </c>
      <c r="C117" s="154" t="str">
        <f t="shared" si="143"/>
        <v/>
      </c>
      <c r="D117" s="155" t="str">
        <f t="shared" si="164"/>
        <v/>
      </c>
      <c r="E117" s="154">
        <f t="shared" ca="1" si="144"/>
        <v>867000</v>
      </c>
      <c r="F117" s="155">
        <f t="shared" ca="1" si="165"/>
        <v>0</v>
      </c>
      <c r="G117" s="154">
        <f t="shared" ca="1" si="145"/>
        <v>247350</v>
      </c>
      <c r="H117" s="155">
        <f t="shared" ca="1" si="166"/>
        <v>0</v>
      </c>
      <c r="I117" s="154" t="str">
        <f t="shared" ca="1" si="146"/>
        <v/>
      </c>
      <c r="J117" s="155" t="str">
        <f t="shared" ca="1" si="167"/>
        <v/>
      </c>
      <c r="K117" s="154">
        <f t="shared" ca="1" si="147"/>
        <v>510000</v>
      </c>
      <c r="L117" s="155">
        <f t="shared" ca="1" si="168"/>
        <v>1.6216216216216217</v>
      </c>
      <c r="M117" s="154">
        <f t="shared" ca="1" si="148"/>
        <v>476000</v>
      </c>
      <c r="N117" s="155">
        <f t="shared" ca="1" si="169"/>
        <v>1.6216216216216217</v>
      </c>
      <c r="O117" s="154" t="str">
        <f t="shared" ca="1" si="149"/>
        <v/>
      </c>
      <c r="P117" s="155" t="str">
        <f t="shared" ca="1" si="170"/>
        <v/>
      </c>
      <c r="Q117" s="154">
        <f t="shared" ca="1" si="150"/>
        <v>297500</v>
      </c>
      <c r="R117" s="155">
        <f t="shared" ca="1" si="171"/>
        <v>0</v>
      </c>
      <c r="S117" s="154">
        <f t="shared" ca="1" si="151"/>
        <v>739500</v>
      </c>
      <c r="T117" s="155">
        <f t="shared" ca="1" si="172"/>
        <v>0</v>
      </c>
      <c r="U117" s="154">
        <f t="shared" ca="1" si="152"/>
        <v>348849</v>
      </c>
      <c r="V117" s="155">
        <f t="shared" ca="1" si="173"/>
        <v>1.6216216216216217</v>
      </c>
      <c r="W117" s="154">
        <f t="shared" ca="1" si="153"/>
        <v>297500</v>
      </c>
      <c r="X117" s="155">
        <f t="shared" ca="1" si="174"/>
        <v>0</v>
      </c>
      <c r="Y117" s="154">
        <f t="shared" ca="1" si="154"/>
        <v>595000</v>
      </c>
      <c r="Z117" s="155">
        <f t="shared" ca="1" si="175"/>
        <v>0</v>
      </c>
      <c r="AA117" s="154" t="str">
        <f t="shared" ca="1" si="155"/>
        <v/>
      </c>
      <c r="AB117" s="155" t="str">
        <f t="shared" ca="1" si="176"/>
        <v/>
      </c>
      <c r="AC117" s="154">
        <f t="shared" ca="1" si="156"/>
        <v>127500</v>
      </c>
      <c r="AD117" s="155">
        <f t="shared" ca="1" si="177"/>
        <v>0</v>
      </c>
      <c r="AE117" s="154" t="str">
        <f t="shared" si="157"/>
        <v/>
      </c>
      <c r="AF117" s="155" t="str">
        <f t="shared" si="178"/>
        <v/>
      </c>
      <c r="AG117" s="154" t="str">
        <f t="shared" si="158"/>
        <v/>
      </c>
      <c r="AH117" s="155" t="str">
        <f t="shared" si="179"/>
        <v/>
      </c>
      <c r="AI117" s="154" t="str">
        <f t="shared" si="159"/>
        <v/>
      </c>
      <c r="AJ117" s="155" t="str">
        <f t="shared" si="180"/>
        <v/>
      </c>
      <c r="AL117" s="255">
        <f t="shared" ca="1" si="181"/>
        <v>450619.9</v>
      </c>
      <c r="AM117" s="70">
        <f t="shared" ca="1" si="182"/>
        <v>220184.85518783983</v>
      </c>
      <c r="AN117" s="365">
        <f t="shared" ca="1" si="183"/>
        <v>560712.32759391994</v>
      </c>
      <c r="AO117" s="365">
        <f t="shared" ca="1" si="184"/>
        <v>340527.47240608011</v>
      </c>
    </row>
    <row r="118" spans="1:41" s="147" customFormat="1" ht="21" customHeight="1" x14ac:dyDescent="0.25">
      <c r="A118" s="366">
        <v>3.5</v>
      </c>
      <c r="B118" s="153">
        <f t="shared" ca="1" si="185"/>
        <v>1763386.57</v>
      </c>
      <c r="C118" s="154" t="str">
        <f t="shared" si="143"/>
        <v/>
      </c>
      <c r="D118" s="155" t="str">
        <f t="shared" si="164"/>
        <v/>
      </c>
      <c r="E118" s="154">
        <f t="shared" ca="1" si="144"/>
        <v>6672500</v>
      </c>
      <c r="F118" s="155">
        <f t="shared" ca="1" si="165"/>
        <v>0</v>
      </c>
      <c r="G118" s="154">
        <f t="shared" ca="1" si="145"/>
        <v>4122500</v>
      </c>
      <c r="H118" s="155">
        <f t="shared" ca="1" si="166"/>
        <v>1.6216216216216217</v>
      </c>
      <c r="I118" s="154" t="str">
        <f t="shared" ca="1" si="146"/>
        <v/>
      </c>
      <c r="J118" s="155" t="str">
        <f t="shared" ca="1" si="167"/>
        <v/>
      </c>
      <c r="K118" s="154">
        <f t="shared" ca="1" si="147"/>
        <v>4215150</v>
      </c>
      <c r="L118" s="155">
        <f t="shared" ca="1" si="168"/>
        <v>1.6216216216216217</v>
      </c>
      <c r="M118" s="154">
        <f t="shared" ca="1" si="148"/>
        <v>4335000</v>
      </c>
      <c r="N118" s="155">
        <f t="shared" ca="1" si="169"/>
        <v>1.6216216216216217</v>
      </c>
      <c r="O118" s="154" t="str">
        <f t="shared" ca="1" si="149"/>
        <v/>
      </c>
      <c r="P118" s="155" t="str">
        <f t="shared" ca="1" si="170"/>
        <v/>
      </c>
      <c r="Q118" s="154">
        <f t="shared" ca="1" si="150"/>
        <v>3612500</v>
      </c>
      <c r="R118" s="155">
        <f t="shared" ca="1" si="171"/>
        <v>0</v>
      </c>
      <c r="S118" s="154">
        <f t="shared" ca="1" si="151"/>
        <v>2176000</v>
      </c>
      <c r="T118" s="155">
        <f t="shared" ca="1" si="172"/>
        <v>0</v>
      </c>
      <c r="U118" s="154">
        <f t="shared" ca="1" si="152"/>
        <v>7384715</v>
      </c>
      <c r="V118" s="155">
        <f t="shared" ca="1" si="173"/>
        <v>0</v>
      </c>
      <c r="W118" s="154">
        <f t="shared" ca="1" si="153"/>
        <v>7820000</v>
      </c>
      <c r="X118" s="155">
        <f t="shared" ca="1" si="174"/>
        <v>0</v>
      </c>
      <c r="Y118" s="154">
        <f t="shared" ca="1" si="154"/>
        <v>4080000</v>
      </c>
      <c r="Z118" s="155">
        <f t="shared" ca="1" si="175"/>
        <v>1.6216216216216217</v>
      </c>
      <c r="AA118" s="154" t="str">
        <f t="shared" ca="1" si="155"/>
        <v/>
      </c>
      <c r="AB118" s="155" t="str">
        <f t="shared" ca="1" si="176"/>
        <v/>
      </c>
      <c r="AC118" s="154">
        <f t="shared" ca="1" si="156"/>
        <v>3400000</v>
      </c>
      <c r="AD118" s="155">
        <f t="shared" ca="1" si="177"/>
        <v>0</v>
      </c>
      <c r="AE118" s="154" t="str">
        <f t="shared" si="157"/>
        <v/>
      </c>
      <c r="AF118" s="155" t="str">
        <f t="shared" si="178"/>
        <v/>
      </c>
      <c r="AG118" s="154" t="str">
        <f t="shared" si="158"/>
        <v/>
      </c>
      <c r="AH118" s="155" t="str">
        <f t="shared" si="179"/>
        <v/>
      </c>
      <c r="AI118" s="154" t="str">
        <f t="shared" si="159"/>
        <v/>
      </c>
      <c r="AJ118" s="155" t="str">
        <f t="shared" si="180"/>
        <v/>
      </c>
      <c r="AL118" s="255">
        <f t="shared" ca="1" si="181"/>
        <v>4781836.5</v>
      </c>
      <c r="AM118" s="70">
        <f t="shared" ca="1" si="182"/>
        <v>1763386.565005033</v>
      </c>
      <c r="AN118" s="365">
        <f t="shared" ca="1" si="183"/>
        <v>5663529.7825025162</v>
      </c>
      <c r="AO118" s="365">
        <f t="shared" ca="1" si="184"/>
        <v>3900143.2174974834</v>
      </c>
    </row>
    <row r="119" spans="1:41" s="147" customFormat="1" ht="21" customHeight="1" x14ac:dyDescent="0.25">
      <c r="A119" s="366">
        <v>3.6</v>
      </c>
      <c r="B119" s="153">
        <f t="shared" ca="1" si="185"/>
        <v>247917.47</v>
      </c>
      <c r="C119" s="154" t="str">
        <f t="shared" si="143"/>
        <v/>
      </c>
      <c r="D119" s="155" t="str">
        <f t="shared" si="164"/>
        <v/>
      </c>
      <c r="E119" s="154">
        <f t="shared" ca="1" si="144"/>
        <v>76500</v>
      </c>
      <c r="F119" s="155">
        <f t="shared" ca="1" si="165"/>
        <v>1.6216216216216217</v>
      </c>
      <c r="G119" s="154">
        <f t="shared" ca="1" si="145"/>
        <v>148410</v>
      </c>
      <c r="H119" s="155">
        <f t="shared" ca="1" si="166"/>
        <v>1.6216216216216217</v>
      </c>
      <c r="I119" s="154" t="str">
        <f t="shared" ca="1" si="146"/>
        <v/>
      </c>
      <c r="J119" s="155" t="str">
        <f t="shared" ca="1" si="167"/>
        <v/>
      </c>
      <c r="K119" s="154">
        <f t="shared" ca="1" si="147"/>
        <v>892500</v>
      </c>
      <c r="L119" s="155">
        <f t="shared" ca="1" si="168"/>
        <v>0</v>
      </c>
      <c r="M119" s="154">
        <f t="shared" ca="1" si="148"/>
        <v>53550</v>
      </c>
      <c r="N119" s="155">
        <f t="shared" ca="1" si="169"/>
        <v>1.6216216216216217</v>
      </c>
      <c r="O119" s="154" t="str">
        <f t="shared" ca="1" si="149"/>
        <v/>
      </c>
      <c r="P119" s="155" t="str">
        <f t="shared" ca="1" si="170"/>
        <v/>
      </c>
      <c r="Q119" s="154">
        <f t="shared" ca="1" si="150"/>
        <v>80750</v>
      </c>
      <c r="R119" s="155">
        <f t="shared" ca="1" si="171"/>
        <v>1.6216216216216217</v>
      </c>
      <c r="S119" s="154">
        <f t="shared" ca="1" si="151"/>
        <v>144500</v>
      </c>
      <c r="T119" s="155">
        <f t="shared" ca="1" si="172"/>
        <v>1.6216216216216217</v>
      </c>
      <c r="U119" s="154">
        <f t="shared" ca="1" si="152"/>
        <v>15402</v>
      </c>
      <c r="V119" s="155">
        <f t="shared" ca="1" si="173"/>
        <v>0</v>
      </c>
      <c r="W119" s="154">
        <f t="shared" ca="1" si="153"/>
        <v>102000</v>
      </c>
      <c r="X119" s="155">
        <f t="shared" ca="1" si="174"/>
        <v>1.6216216216216217</v>
      </c>
      <c r="Y119" s="154">
        <f t="shared" ca="1" si="154"/>
        <v>51000</v>
      </c>
      <c r="Z119" s="155">
        <f t="shared" ca="1" si="175"/>
        <v>1.6216216216216217</v>
      </c>
      <c r="AA119" s="154" t="str">
        <f t="shared" ca="1" si="155"/>
        <v/>
      </c>
      <c r="AB119" s="155" t="str">
        <f t="shared" ca="1" si="176"/>
        <v/>
      </c>
      <c r="AC119" s="154">
        <f t="shared" ca="1" si="156"/>
        <v>29750</v>
      </c>
      <c r="AD119" s="155">
        <f t="shared" ca="1" si="177"/>
        <v>0</v>
      </c>
      <c r="AE119" s="154" t="str">
        <f t="shared" si="157"/>
        <v/>
      </c>
      <c r="AF119" s="155" t="str">
        <f t="shared" si="178"/>
        <v/>
      </c>
      <c r="AG119" s="154" t="str">
        <f t="shared" si="158"/>
        <v/>
      </c>
      <c r="AH119" s="155" t="str">
        <f t="shared" si="179"/>
        <v/>
      </c>
      <c r="AI119" s="154" t="str">
        <f t="shared" si="159"/>
        <v/>
      </c>
      <c r="AJ119" s="155" t="str">
        <f t="shared" si="180"/>
        <v/>
      </c>
      <c r="AL119" s="255">
        <f t="shared" ca="1" si="181"/>
        <v>159436.20000000001</v>
      </c>
      <c r="AM119" s="70">
        <f t="shared" ca="1" si="182"/>
        <v>247917.46781935313</v>
      </c>
      <c r="AN119" s="365">
        <f t="shared" ca="1" si="183"/>
        <v>283394.93390967656</v>
      </c>
      <c r="AO119" s="365">
        <f t="shared" ca="1" si="184"/>
        <v>35477.466090323447</v>
      </c>
    </row>
    <row r="120" spans="1:41" s="147" customFormat="1" ht="21" customHeight="1" x14ac:dyDescent="0.25">
      <c r="A120" s="366">
        <v>3.7</v>
      </c>
      <c r="B120" s="153">
        <f t="shared" ca="1" si="185"/>
        <v>460244.8</v>
      </c>
      <c r="C120" s="154" t="str">
        <f t="shared" si="143"/>
        <v/>
      </c>
      <c r="D120" s="155" t="str">
        <f t="shared" si="164"/>
        <v/>
      </c>
      <c r="E120" s="154">
        <f t="shared" ca="1" si="144"/>
        <v>1657500</v>
      </c>
      <c r="F120" s="155">
        <f t="shared" ca="1" si="165"/>
        <v>0</v>
      </c>
      <c r="G120" s="154">
        <f t="shared" ca="1" si="145"/>
        <v>412250</v>
      </c>
      <c r="H120" s="155">
        <f t="shared" ca="1" si="166"/>
        <v>1.6216216216216217</v>
      </c>
      <c r="I120" s="154" t="str">
        <f t="shared" ca="1" si="146"/>
        <v/>
      </c>
      <c r="J120" s="155" t="str">
        <f t="shared" ca="1" si="167"/>
        <v/>
      </c>
      <c r="K120" s="154">
        <f t="shared" ca="1" si="147"/>
        <v>1020000</v>
      </c>
      <c r="L120" s="155">
        <f t="shared" ca="1" si="168"/>
        <v>0</v>
      </c>
      <c r="M120" s="154">
        <f t="shared" ca="1" si="148"/>
        <v>527000</v>
      </c>
      <c r="N120" s="155">
        <f t="shared" ca="1" si="169"/>
        <v>1.6216216216216217</v>
      </c>
      <c r="O120" s="154" t="str">
        <f t="shared" ca="1" si="149"/>
        <v/>
      </c>
      <c r="P120" s="155" t="str">
        <f t="shared" ca="1" si="170"/>
        <v/>
      </c>
      <c r="Q120" s="154">
        <f t="shared" ca="1" si="150"/>
        <v>119000</v>
      </c>
      <c r="R120" s="155">
        <f t="shared" ca="1" si="171"/>
        <v>0</v>
      </c>
      <c r="S120" s="154">
        <f t="shared" ca="1" si="151"/>
        <v>396100</v>
      </c>
      <c r="T120" s="155">
        <f t="shared" ca="1" si="172"/>
        <v>1.6216216216216217</v>
      </c>
      <c r="U120" s="154">
        <f t="shared" ca="1" si="152"/>
        <v>118431</v>
      </c>
      <c r="V120" s="155">
        <f t="shared" ca="1" si="173"/>
        <v>0</v>
      </c>
      <c r="W120" s="154">
        <f t="shared" ca="1" si="153"/>
        <v>935000</v>
      </c>
      <c r="X120" s="155">
        <f t="shared" ca="1" si="174"/>
        <v>0</v>
      </c>
      <c r="Y120" s="154">
        <f t="shared" ca="1" si="154"/>
        <v>467500</v>
      </c>
      <c r="Z120" s="155">
        <f t="shared" ca="1" si="175"/>
        <v>1.6216216216216217</v>
      </c>
      <c r="AA120" s="154" t="str">
        <f t="shared" ca="1" si="155"/>
        <v/>
      </c>
      <c r="AB120" s="155" t="str">
        <f t="shared" ca="1" si="176"/>
        <v/>
      </c>
      <c r="AC120" s="154">
        <f t="shared" ca="1" si="156"/>
        <v>212500</v>
      </c>
      <c r="AD120" s="155">
        <f t="shared" ca="1" si="177"/>
        <v>0</v>
      </c>
      <c r="AE120" s="154" t="str">
        <f t="shared" si="157"/>
        <v/>
      </c>
      <c r="AF120" s="155" t="str">
        <f t="shared" si="178"/>
        <v/>
      </c>
      <c r="AG120" s="154" t="str">
        <f t="shared" si="158"/>
        <v/>
      </c>
      <c r="AH120" s="155" t="str">
        <f t="shared" si="179"/>
        <v/>
      </c>
      <c r="AI120" s="154" t="str">
        <f t="shared" si="159"/>
        <v/>
      </c>
      <c r="AJ120" s="155" t="str">
        <f t="shared" si="180"/>
        <v/>
      </c>
      <c r="AL120" s="255">
        <f t="shared" ca="1" si="181"/>
        <v>586528.1</v>
      </c>
      <c r="AM120" s="70">
        <f t="shared" ca="1" si="182"/>
        <v>460244.80479033111</v>
      </c>
      <c r="AN120" s="365">
        <f t="shared" ca="1" si="183"/>
        <v>816650.5023951655</v>
      </c>
      <c r="AO120" s="365">
        <f t="shared" ca="1" si="184"/>
        <v>356405.69760483445</v>
      </c>
    </row>
    <row r="121" spans="1:41" s="147" customFormat="1" ht="21" customHeight="1" x14ac:dyDescent="0.25">
      <c r="A121" s="366">
        <v>3.8</v>
      </c>
      <c r="B121" s="153">
        <f t="shared" ca="1" si="185"/>
        <v>330851.40000000002</v>
      </c>
      <c r="C121" s="154" t="str">
        <f t="shared" si="143"/>
        <v/>
      </c>
      <c r="D121" s="155" t="str">
        <f t="shared" si="164"/>
        <v/>
      </c>
      <c r="E121" s="154">
        <f t="shared" ca="1" si="144"/>
        <v>272000</v>
      </c>
      <c r="F121" s="155">
        <f t="shared" ca="1" si="165"/>
        <v>0</v>
      </c>
      <c r="G121" s="154">
        <f t="shared" ca="1" si="145"/>
        <v>494700</v>
      </c>
      <c r="H121" s="155">
        <f t="shared" ca="1" si="166"/>
        <v>1.6216216216216217</v>
      </c>
      <c r="I121" s="154" t="str">
        <f t="shared" ca="1" si="146"/>
        <v/>
      </c>
      <c r="J121" s="155" t="str">
        <f t="shared" ca="1" si="167"/>
        <v/>
      </c>
      <c r="K121" s="154">
        <f t="shared" ca="1" si="147"/>
        <v>1275000</v>
      </c>
      <c r="L121" s="155">
        <f t="shared" ca="1" si="168"/>
        <v>0</v>
      </c>
      <c r="M121" s="154">
        <f t="shared" ca="1" si="148"/>
        <v>527000</v>
      </c>
      <c r="N121" s="155">
        <f t="shared" ca="1" si="169"/>
        <v>1.6216216216216217</v>
      </c>
      <c r="O121" s="154" t="str">
        <f t="shared" ca="1" si="149"/>
        <v/>
      </c>
      <c r="P121" s="155" t="str">
        <f t="shared" ca="1" si="170"/>
        <v/>
      </c>
      <c r="Q121" s="154">
        <f t="shared" ca="1" si="150"/>
        <v>212500</v>
      </c>
      <c r="R121" s="155">
        <f t="shared" ca="1" si="171"/>
        <v>0</v>
      </c>
      <c r="S121" s="154">
        <f t="shared" ca="1" si="151"/>
        <v>187000</v>
      </c>
      <c r="T121" s="155">
        <f t="shared" ca="1" si="172"/>
        <v>0</v>
      </c>
      <c r="U121" s="154">
        <f t="shared" ca="1" si="152"/>
        <v>93806</v>
      </c>
      <c r="V121" s="155">
        <f t="shared" ca="1" si="173"/>
        <v>0</v>
      </c>
      <c r="W121" s="154">
        <f t="shared" ca="1" si="153"/>
        <v>765000</v>
      </c>
      <c r="X121" s="155">
        <f t="shared" ca="1" si="174"/>
        <v>0</v>
      </c>
      <c r="Y121" s="154">
        <f t="shared" ca="1" si="154"/>
        <v>467500</v>
      </c>
      <c r="Z121" s="155">
        <f t="shared" ca="1" si="175"/>
        <v>1.6216216216216217</v>
      </c>
      <c r="AA121" s="154" t="str">
        <f t="shared" ca="1" si="155"/>
        <v/>
      </c>
      <c r="AB121" s="155" t="str">
        <f t="shared" ca="1" si="176"/>
        <v/>
      </c>
      <c r="AC121" s="154">
        <f t="shared" ca="1" si="156"/>
        <v>297500</v>
      </c>
      <c r="AD121" s="155">
        <f t="shared" ca="1" si="177"/>
        <v>1.6216216216216217</v>
      </c>
      <c r="AE121" s="154" t="str">
        <f t="shared" si="157"/>
        <v/>
      </c>
      <c r="AF121" s="155" t="str">
        <f t="shared" si="178"/>
        <v/>
      </c>
      <c r="AG121" s="154" t="str">
        <f t="shared" si="158"/>
        <v/>
      </c>
      <c r="AH121" s="155" t="str">
        <f t="shared" si="179"/>
        <v/>
      </c>
      <c r="AI121" s="154" t="str">
        <f t="shared" si="159"/>
        <v/>
      </c>
      <c r="AJ121" s="155" t="str">
        <f t="shared" si="180"/>
        <v/>
      </c>
      <c r="AL121" s="255">
        <f t="shared" ca="1" si="181"/>
        <v>459200.6</v>
      </c>
      <c r="AM121" s="70">
        <f t="shared" ca="1" si="182"/>
        <v>330851.40096913598</v>
      </c>
      <c r="AN121" s="365">
        <f t="shared" ca="1" si="183"/>
        <v>624626.300484568</v>
      </c>
      <c r="AO121" s="365">
        <f t="shared" ca="1" si="184"/>
        <v>293774.89951543196</v>
      </c>
    </row>
    <row r="122" spans="1:41" s="147" customFormat="1" ht="21" customHeight="1" x14ac:dyDescent="0.25">
      <c r="A122" s="366">
        <v>3.9</v>
      </c>
      <c r="B122" s="153">
        <f t="shared" ca="1" si="185"/>
        <v>545735.32999999996</v>
      </c>
      <c r="C122" s="154" t="str">
        <f t="shared" si="143"/>
        <v/>
      </c>
      <c r="D122" s="155" t="str">
        <f t="shared" si="164"/>
        <v/>
      </c>
      <c r="E122" s="154">
        <f t="shared" ca="1" si="144"/>
        <v>1402500</v>
      </c>
      <c r="F122" s="155">
        <f t="shared" ca="1" si="165"/>
        <v>0</v>
      </c>
      <c r="G122" s="154">
        <f t="shared" ca="1" si="145"/>
        <v>329800</v>
      </c>
      <c r="H122" s="155">
        <f t="shared" ca="1" si="166"/>
        <v>0</v>
      </c>
      <c r="I122" s="154" t="str">
        <f t="shared" ca="1" si="146"/>
        <v/>
      </c>
      <c r="J122" s="155" t="str">
        <f t="shared" ca="1" si="167"/>
        <v/>
      </c>
      <c r="K122" s="154">
        <f t="shared" ca="1" si="147"/>
        <v>1190000</v>
      </c>
      <c r="L122" s="155">
        <f t="shared" ca="1" si="168"/>
        <v>1.6216216216216217</v>
      </c>
      <c r="M122" s="154">
        <f t="shared" ca="1" si="148"/>
        <v>527000</v>
      </c>
      <c r="N122" s="155">
        <f t="shared" ca="1" si="169"/>
        <v>0</v>
      </c>
      <c r="O122" s="154" t="str">
        <f t="shared" ca="1" si="149"/>
        <v/>
      </c>
      <c r="P122" s="155" t="str">
        <f t="shared" ca="1" si="170"/>
        <v/>
      </c>
      <c r="Q122" s="154">
        <f t="shared" ca="1" si="150"/>
        <v>2125000</v>
      </c>
      <c r="R122" s="155">
        <f t="shared" ca="1" si="171"/>
        <v>0</v>
      </c>
      <c r="S122" s="154">
        <f t="shared" ca="1" si="151"/>
        <v>935000</v>
      </c>
      <c r="T122" s="155">
        <f t="shared" ca="1" si="172"/>
        <v>1.6216216216216217</v>
      </c>
      <c r="U122" s="154">
        <f t="shared" ca="1" si="152"/>
        <v>184799</v>
      </c>
      <c r="V122" s="155">
        <f t="shared" ca="1" si="173"/>
        <v>0</v>
      </c>
      <c r="W122" s="154">
        <f t="shared" ca="1" si="153"/>
        <v>1275000</v>
      </c>
      <c r="X122" s="155">
        <f t="shared" ca="1" si="174"/>
        <v>1.6216216216216217</v>
      </c>
      <c r="Y122" s="154">
        <f t="shared" ca="1" si="154"/>
        <v>850000</v>
      </c>
      <c r="Z122" s="155">
        <f t="shared" ca="1" si="175"/>
        <v>1.6216216216216217</v>
      </c>
      <c r="AA122" s="154" t="str">
        <f t="shared" ca="1" si="155"/>
        <v/>
      </c>
      <c r="AB122" s="155" t="str">
        <f t="shared" ca="1" si="176"/>
        <v/>
      </c>
      <c r="AC122" s="154">
        <f t="shared" ca="1" si="156"/>
        <v>1275000</v>
      </c>
      <c r="AD122" s="155">
        <f t="shared" ca="1" si="177"/>
        <v>1.6216216216216217</v>
      </c>
      <c r="AE122" s="154" t="str">
        <f t="shared" si="157"/>
        <v/>
      </c>
      <c r="AF122" s="155" t="str">
        <f t="shared" si="178"/>
        <v/>
      </c>
      <c r="AG122" s="154" t="str">
        <f t="shared" si="158"/>
        <v/>
      </c>
      <c r="AH122" s="155" t="str">
        <f t="shared" si="179"/>
        <v/>
      </c>
      <c r="AI122" s="154" t="str">
        <f t="shared" si="159"/>
        <v/>
      </c>
      <c r="AJ122" s="155" t="str">
        <f t="shared" si="180"/>
        <v/>
      </c>
      <c r="AL122" s="255">
        <f t="shared" ca="1" si="181"/>
        <v>1009409.9</v>
      </c>
      <c r="AM122" s="70">
        <f t="shared" ca="1" si="182"/>
        <v>545735.32946116838</v>
      </c>
      <c r="AN122" s="365">
        <f t="shared" ca="1" si="183"/>
        <v>1282277.5647305842</v>
      </c>
      <c r="AO122" s="365">
        <f t="shared" ca="1" si="184"/>
        <v>736542.23526941589</v>
      </c>
    </row>
    <row r="123" spans="1:41" s="147" customFormat="1" ht="21" customHeight="1" x14ac:dyDescent="0.25">
      <c r="A123" s="366" t="s">
        <v>295</v>
      </c>
      <c r="B123" s="153">
        <f t="shared" ca="1" si="185"/>
        <v>1677194.09</v>
      </c>
      <c r="C123" s="154" t="str">
        <f t="shared" si="143"/>
        <v/>
      </c>
      <c r="D123" s="155" t="str">
        <f t="shared" si="164"/>
        <v/>
      </c>
      <c r="E123" s="154">
        <f t="shared" ca="1" si="144"/>
        <v>6635950</v>
      </c>
      <c r="F123" s="155">
        <f t="shared" ca="1" si="165"/>
        <v>0</v>
      </c>
      <c r="G123" s="154">
        <f t="shared" ca="1" si="145"/>
        <v>3827329</v>
      </c>
      <c r="H123" s="155">
        <f t="shared" ca="1" si="166"/>
        <v>1.6216216216216217</v>
      </c>
      <c r="I123" s="154" t="str">
        <f t="shared" ca="1" si="146"/>
        <v/>
      </c>
      <c r="J123" s="155" t="str">
        <f t="shared" ca="1" si="167"/>
        <v/>
      </c>
      <c r="K123" s="154">
        <f t="shared" ca="1" si="147"/>
        <v>3945700</v>
      </c>
      <c r="L123" s="155">
        <f t="shared" ca="1" si="168"/>
        <v>1.6216216216216217</v>
      </c>
      <c r="M123" s="154">
        <f t="shared" ca="1" si="148"/>
        <v>4483750</v>
      </c>
      <c r="N123" s="155">
        <f t="shared" ca="1" si="169"/>
        <v>1.6216216216216217</v>
      </c>
      <c r="O123" s="154" t="str">
        <f t="shared" ca="1" si="149"/>
        <v/>
      </c>
      <c r="P123" s="155" t="str">
        <f t="shared" ca="1" si="170"/>
        <v/>
      </c>
      <c r="Q123" s="154">
        <f t="shared" ca="1" si="150"/>
        <v>1614150</v>
      </c>
      <c r="R123" s="155">
        <f t="shared" ca="1" si="171"/>
        <v>0</v>
      </c>
      <c r="S123" s="154">
        <f t="shared" ca="1" si="151"/>
        <v>5739200</v>
      </c>
      <c r="T123" s="155">
        <f t="shared" ca="1" si="172"/>
        <v>0</v>
      </c>
      <c r="U123" s="154">
        <f t="shared" ca="1" si="152"/>
        <v>530876</v>
      </c>
      <c r="V123" s="155">
        <f t="shared" ca="1" si="173"/>
        <v>0</v>
      </c>
      <c r="W123" s="154">
        <f t="shared" ca="1" si="153"/>
        <v>3945700</v>
      </c>
      <c r="X123" s="155">
        <f t="shared" ca="1" si="174"/>
        <v>1.6216216216216217</v>
      </c>
      <c r="Y123" s="154">
        <f t="shared" ca="1" si="154"/>
        <v>3587000</v>
      </c>
      <c r="Z123" s="155">
        <f t="shared" ca="1" si="175"/>
        <v>1.6216216216216217</v>
      </c>
      <c r="AA123" s="154" t="str">
        <f t="shared" ca="1" si="155"/>
        <v/>
      </c>
      <c r="AB123" s="155" t="str">
        <f t="shared" ca="1" si="176"/>
        <v/>
      </c>
      <c r="AC123" s="154">
        <f t="shared" ca="1" si="156"/>
        <v>3228300</v>
      </c>
      <c r="AD123" s="155">
        <f t="shared" ca="1" si="177"/>
        <v>1.6216216216216217</v>
      </c>
      <c r="AE123" s="154" t="str">
        <f t="shared" si="157"/>
        <v/>
      </c>
      <c r="AF123" s="155" t="str">
        <f t="shared" si="178"/>
        <v/>
      </c>
      <c r="AG123" s="154" t="str">
        <f t="shared" si="158"/>
        <v/>
      </c>
      <c r="AH123" s="155" t="str">
        <f t="shared" si="179"/>
        <v/>
      </c>
      <c r="AI123" s="154" t="str">
        <f t="shared" si="159"/>
        <v/>
      </c>
      <c r="AJ123" s="155" t="str">
        <f t="shared" si="180"/>
        <v/>
      </c>
      <c r="AL123" s="255">
        <f t="shared" ca="1" si="181"/>
        <v>3753795.5</v>
      </c>
      <c r="AM123" s="70">
        <f t="shared" ca="1" si="182"/>
        <v>1677194.0925520367</v>
      </c>
      <c r="AN123" s="365">
        <f t="shared" ca="1" si="183"/>
        <v>4592392.546276018</v>
      </c>
      <c r="AO123" s="365">
        <f t="shared" ca="1" si="184"/>
        <v>2915198.4537239815</v>
      </c>
    </row>
    <row r="124" spans="1:41" s="147" customFormat="1" ht="21" customHeight="1" x14ac:dyDescent="0.25">
      <c r="A124" s="366">
        <v>4.3</v>
      </c>
      <c r="B124" s="153">
        <f t="shared" ca="1" si="185"/>
        <v>211319.02</v>
      </c>
      <c r="C124" s="154" t="str">
        <f t="shared" si="143"/>
        <v/>
      </c>
      <c r="D124" s="155" t="str">
        <f t="shared" si="164"/>
        <v/>
      </c>
      <c r="E124" s="154">
        <f t="shared" ca="1" si="144"/>
        <v>1606500</v>
      </c>
      <c r="F124" s="155">
        <f t="shared" ca="1" si="165"/>
        <v>0</v>
      </c>
      <c r="G124" s="154">
        <f t="shared" ca="1" si="145"/>
        <v>1071850</v>
      </c>
      <c r="H124" s="155">
        <f t="shared" ca="1" si="166"/>
        <v>0</v>
      </c>
      <c r="I124" s="154" t="str">
        <f t="shared" ca="1" si="146"/>
        <v/>
      </c>
      <c r="J124" s="155" t="str">
        <f t="shared" ca="1" si="167"/>
        <v/>
      </c>
      <c r="K124" s="154">
        <f t="shared" ca="1" si="147"/>
        <v>1360000</v>
      </c>
      <c r="L124" s="155">
        <f t="shared" ca="1" si="168"/>
        <v>1.6216216216216217</v>
      </c>
      <c r="M124" s="154">
        <f t="shared" ca="1" si="148"/>
        <v>1317500</v>
      </c>
      <c r="N124" s="155">
        <f t="shared" ca="1" si="169"/>
        <v>1.6216216216216217</v>
      </c>
      <c r="O124" s="154" t="str">
        <f t="shared" ca="1" si="149"/>
        <v/>
      </c>
      <c r="P124" s="155" t="str">
        <f t="shared" ca="1" si="170"/>
        <v/>
      </c>
      <c r="Q124" s="154">
        <f t="shared" ca="1" si="150"/>
        <v>1275000</v>
      </c>
      <c r="R124" s="155">
        <f t="shared" ca="1" si="171"/>
        <v>1.6216216216216217</v>
      </c>
      <c r="S124" s="154">
        <f t="shared" ca="1" si="151"/>
        <v>952000</v>
      </c>
      <c r="T124" s="155">
        <f t="shared" ca="1" si="172"/>
        <v>0</v>
      </c>
      <c r="U124" s="154">
        <f t="shared" ca="1" si="152"/>
        <v>1253070</v>
      </c>
      <c r="V124" s="155">
        <f t="shared" ca="1" si="173"/>
        <v>1.6216216216216217</v>
      </c>
      <c r="W124" s="154">
        <f t="shared" ca="1" si="153"/>
        <v>1190000</v>
      </c>
      <c r="X124" s="155">
        <f t="shared" ca="1" si="174"/>
        <v>0</v>
      </c>
      <c r="Y124" s="154">
        <f t="shared" ca="1" si="154"/>
        <v>1275000</v>
      </c>
      <c r="Z124" s="155">
        <f t="shared" ca="1" si="175"/>
        <v>1.6216216216216217</v>
      </c>
      <c r="AA124" s="154" t="str">
        <f t="shared" ca="1" si="155"/>
        <v/>
      </c>
      <c r="AB124" s="155" t="str">
        <f t="shared" ca="1" si="176"/>
        <v/>
      </c>
      <c r="AC124" s="154">
        <f t="shared" ca="1" si="156"/>
        <v>1700000</v>
      </c>
      <c r="AD124" s="155">
        <f t="shared" ca="1" si="177"/>
        <v>0</v>
      </c>
      <c r="AE124" s="154" t="str">
        <f t="shared" si="157"/>
        <v/>
      </c>
      <c r="AF124" s="155" t="str">
        <f t="shared" si="178"/>
        <v/>
      </c>
      <c r="AG124" s="154" t="str">
        <f t="shared" si="158"/>
        <v/>
      </c>
      <c r="AH124" s="155" t="str">
        <f t="shared" si="179"/>
        <v/>
      </c>
      <c r="AI124" s="154" t="str">
        <f t="shared" si="159"/>
        <v/>
      </c>
      <c r="AJ124" s="155" t="str">
        <f t="shared" si="180"/>
        <v/>
      </c>
      <c r="AL124" s="255">
        <f t="shared" ca="1" si="181"/>
        <v>1300092</v>
      </c>
      <c r="AM124" s="70">
        <f t="shared" ca="1" si="182"/>
        <v>211319.0154150828</v>
      </c>
      <c r="AN124" s="365">
        <f t="shared" ca="1" si="183"/>
        <v>1405751.5077075413</v>
      </c>
      <c r="AO124" s="365">
        <f t="shared" ca="1" si="184"/>
        <v>1194432.4922924587</v>
      </c>
    </row>
    <row r="125" spans="1:41" s="147" customFormat="1" ht="21" customHeight="1" x14ac:dyDescent="0.25">
      <c r="A125" s="366">
        <v>4.4000000000000004</v>
      </c>
      <c r="B125" s="153">
        <f t="shared" ca="1" si="185"/>
        <v>204147.14</v>
      </c>
      <c r="C125" s="154" t="str">
        <f t="shared" si="143"/>
        <v/>
      </c>
      <c r="D125" s="155" t="str">
        <f t="shared" si="164"/>
        <v/>
      </c>
      <c r="E125" s="154">
        <f t="shared" ca="1" si="144"/>
        <v>1666000</v>
      </c>
      <c r="F125" s="155">
        <f t="shared" ca="1" si="165"/>
        <v>0</v>
      </c>
      <c r="G125" s="154">
        <f t="shared" ca="1" si="145"/>
        <v>1154300</v>
      </c>
      <c r="H125" s="155">
        <f t="shared" ca="1" si="166"/>
        <v>0</v>
      </c>
      <c r="I125" s="154" t="str">
        <f t="shared" ca="1" si="146"/>
        <v/>
      </c>
      <c r="J125" s="155" t="str">
        <f t="shared" ca="1" si="167"/>
        <v/>
      </c>
      <c r="K125" s="154">
        <f t="shared" ca="1" si="147"/>
        <v>1360000</v>
      </c>
      <c r="L125" s="155">
        <f t="shared" ca="1" si="168"/>
        <v>1.6216216216216217</v>
      </c>
      <c r="M125" s="154">
        <f t="shared" ca="1" si="148"/>
        <v>1317500</v>
      </c>
      <c r="N125" s="155">
        <f t="shared" ca="1" si="169"/>
        <v>1.6216216216216217</v>
      </c>
      <c r="O125" s="154" t="str">
        <f t="shared" ca="1" si="149"/>
        <v/>
      </c>
      <c r="P125" s="155" t="str">
        <f t="shared" ca="1" si="170"/>
        <v/>
      </c>
      <c r="Q125" s="154">
        <f t="shared" ca="1" si="150"/>
        <v>1360000</v>
      </c>
      <c r="R125" s="155">
        <f t="shared" ca="1" si="171"/>
        <v>1.6216216216216217</v>
      </c>
      <c r="S125" s="154">
        <f t="shared" ca="1" si="151"/>
        <v>994500</v>
      </c>
      <c r="T125" s="155">
        <f t="shared" ca="1" si="172"/>
        <v>0</v>
      </c>
      <c r="U125" s="154">
        <f t="shared" ca="1" si="152"/>
        <v>1285030</v>
      </c>
      <c r="V125" s="155">
        <f t="shared" ca="1" si="173"/>
        <v>1.6216216216216217</v>
      </c>
      <c r="W125" s="154">
        <f t="shared" ca="1" si="153"/>
        <v>1190000</v>
      </c>
      <c r="X125" s="155">
        <f t="shared" ca="1" si="174"/>
        <v>0</v>
      </c>
      <c r="Y125" s="154">
        <f t="shared" ca="1" si="154"/>
        <v>1317500</v>
      </c>
      <c r="Z125" s="155">
        <f t="shared" ca="1" si="175"/>
        <v>1.6216216216216217</v>
      </c>
      <c r="AA125" s="154" t="str">
        <f t="shared" ca="1" si="155"/>
        <v/>
      </c>
      <c r="AB125" s="155" t="str">
        <f t="shared" ca="1" si="176"/>
        <v/>
      </c>
      <c r="AC125" s="154">
        <f t="shared" ca="1" si="156"/>
        <v>1700000</v>
      </c>
      <c r="AD125" s="155">
        <f t="shared" ca="1" si="177"/>
        <v>0</v>
      </c>
      <c r="AE125" s="154" t="str">
        <f t="shared" si="157"/>
        <v/>
      </c>
      <c r="AF125" s="155" t="str">
        <f t="shared" si="178"/>
        <v/>
      </c>
      <c r="AG125" s="154" t="str">
        <f t="shared" si="158"/>
        <v/>
      </c>
      <c r="AH125" s="155" t="str">
        <f t="shared" si="179"/>
        <v/>
      </c>
      <c r="AI125" s="154" t="str">
        <f t="shared" si="159"/>
        <v/>
      </c>
      <c r="AJ125" s="155" t="str">
        <f t="shared" si="180"/>
        <v/>
      </c>
      <c r="AL125" s="255">
        <f t="shared" ca="1" si="181"/>
        <v>1334483</v>
      </c>
      <c r="AM125" s="70">
        <f t="shared" ca="1" si="182"/>
        <v>204147.14497391335</v>
      </c>
      <c r="AN125" s="365">
        <f t="shared" ca="1" si="183"/>
        <v>1436556.5724869566</v>
      </c>
      <c r="AO125" s="365">
        <f t="shared" ca="1" si="184"/>
        <v>1232409.4275130434</v>
      </c>
    </row>
    <row r="126" spans="1:41" s="147" customFormat="1" ht="21" customHeight="1" x14ac:dyDescent="0.25">
      <c r="A126" s="366">
        <v>5.2</v>
      </c>
      <c r="B126" s="153">
        <f t="shared" ca="1" si="185"/>
        <v>154668.41</v>
      </c>
      <c r="C126" s="154" t="str">
        <f t="shared" si="143"/>
        <v/>
      </c>
      <c r="D126" s="155" t="str">
        <f t="shared" si="164"/>
        <v/>
      </c>
      <c r="E126" s="154">
        <f t="shared" ca="1" si="144"/>
        <v>828750</v>
      </c>
      <c r="F126" s="155">
        <f t="shared" ca="1" si="165"/>
        <v>0</v>
      </c>
      <c r="G126" s="154">
        <f t="shared" ca="1" si="145"/>
        <v>659600</v>
      </c>
      <c r="H126" s="155">
        <f t="shared" ca="1" si="166"/>
        <v>1.6216216216216217</v>
      </c>
      <c r="I126" s="154" t="str">
        <f t="shared" ca="1" si="146"/>
        <v/>
      </c>
      <c r="J126" s="155" t="str">
        <f t="shared" ca="1" si="167"/>
        <v/>
      </c>
      <c r="K126" s="154">
        <f t="shared" ca="1" si="147"/>
        <v>850000</v>
      </c>
      <c r="L126" s="155">
        <f t="shared" ca="1" si="168"/>
        <v>0</v>
      </c>
      <c r="M126" s="154">
        <f t="shared" ca="1" si="148"/>
        <v>722500</v>
      </c>
      <c r="N126" s="155">
        <f t="shared" ca="1" si="169"/>
        <v>1.6216216216216217</v>
      </c>
      <c r="O126" s="154" t="str">
        <f t="shared" ca="1" si="149"/>
        <v/>
      </c>
      <c r="P126" s="155" t="str">
        <f t="shared" ca="1" si="170"/>
        <v/>
      </c>
      <c r="Q126" s="154">
        <f t="shared" ca="1" si="150"/>
        <v>510000</v>
      </c>
      <c r="R126" s="155">
        <f t="shared" ca="1" si="171"/>
        <v>0</v>
      </c>
      <c r="S126" s="154">
        <f t="shared" ca="1" si="151"/>
        <v>756500</v>
      </c>
      <c r="T126" s="155">
        <f t="shared" ca="1" si="172"/>
        <v>1.6216216216216217</v>
      </c>
      <c r="U126" s="154">
        <f t="shared" ca="1" si="152"/>
        <v>964368</v>
      </c>
      <c r="V126" s="155">
        <f t="shared" ca="1" si="173"/>
        <v>0</v>
      </c>
      <c r="W126" s="154">
        <f t="shared" ca="1" si="153"/>
        <v>552500</v>
      </c>
      <c r="X126" s="155">
        <f t="shared" ca="1" si="174"/>
        <v>0</v>
      </c>
      <c r="Y126" s="154">
        <f t="shared" ca="1" si="154"/>
        <v>892500</v>
      </c>
      <c r="Z126" s="155">
        <f t="shared" ca="1" si="175"/>
        <v>0</v>
      </c>
      <c r="AA126" s="154" t="str">
        <f t="shared" ca="1" si="155"/>
        <v/>
      </c>
      <c r="AB126" s="155" t="str">
        <f t="shared" ca="1" si="176"/>
        <v/>
      </c>
      <c r="AC126" s="154">
        <f t="shared" ca="1" si="156"/>
        <v>510000</v>
      </c>
      <c r="AD126" s="155">
        <f t="shared" ca="1" si="177"/>
        <v>0</v>
      </c>
      <c r="AE126" s="154" t="str">
        <f t="shared" si="157"/>
        <v/>
      </c>
      <c r="AF126" s="155" t="str">
        <f t="shared" si="178"/>
        <v/>
      </c>
      <c r="AG126" s="154" t="str">
        <f t="shared" si="158"/>
        <v/>
      </c>
      <c r="AH126" s="155" t="str">
        <f t="shared" si="179"/>
        <v/>
      </c>
      <c r="AI126" s="154" t="str">
        <f t="shared" si="159"/>
        <v/>
      </c>
      <c r="AJ126" s="155" t="str">
        <f t="shared" si="180"/>
        <v/>
      </c>
      <c r="AL126" s="255">
        <f t="shared" ca="1" si="181"/>
        <v>724671.8</v>
      </c>
      <c r="AM126" s="70">
        <f t="shared" ca="1" si="182"/>
        <v>154668.41460737871</v>
      </c>
      <c r="AN126" s="365">
        <f t="shared" ca="1" si="183"/>
        <v>802006.00730368937</v>
      </c>
      <c r="AO126" s="365">
        <f t="shared" ca="1" si="184"/>
        <v>647337.59269631072</v>
      </c>
    </row>
    <row r="127" spans="1:41" s="147" customFormat="1" ht="21" customHeight="1" x14ac:dyDescent="0.25">
      <c r="A127" s="366">
        <v>5.3</v>
      </c>
      <c r="B127" s="153">
        <f t="shared" ca="1" si="185"/>
        <v>289631.56</v>
      </c>
      <c r="C127" s="154" t="str">
        <f t="shared" si="143"/>
        <v/>
      </c>
      <c r="D127" s="155" t="str">
        <f t="shared" si="164"/>
        <v/>
      </c>
      <c r="E127" s="154">
        <f t="shared" ca="1" si="144"/>
        <v>1610750</v>
      </c>
      <c r="F127" s="155">
        <f t="shared" ca="1" si="165"/>
        <v>0</v>
      </c>
      <c r="G127" s="154">
        <f t="shared" ca="1" si="145"/>
        <v>1319200</v>
      </c>
      <c r="H127" s="155">
        <f t="shared" ca="1" si="166"/>
        <v>1.6216216216216217</v>
      </c>
      <c r="I127" s="154" t="str">
        <f t="shared" ca="1" si="146"/>
        <v/>
      </c>
      <c r="J127" s="155" t="str">
        <f t="shared" ca="1" si="167"/>
        <v/>
      </c>
      <c r="K127" s="154">
        <f t="shared" ca="1" si="147"/>
        <v>1360000</v>
      </c>
      <c r="L127" s="155">
        <f t="shared" ca="1" si="168"/>
        <v>1.6216216216216217</v>
      </c>
      <c r="M127" s="154">
        <f t="shared" ca="1" si="148"/>
        <v>1445000</v>
      </c>
      <c r="N127" s="155">
        <f t="shared" ca="1" si="169"/>
        <v>1.6216216216216217</v>
      </c>
      <c r="O127" s="154" t="str">
        <f t="shared" ca="1" si="149"/>
        <v/>
      </c>
      <c r="P127" s="155" t="str">
        <f t="shared" ca="1" si="170"/>
        <v/>
      </c>
      <c r="Q127" s="154">
        <f t="shared" ca="1" si="150"/>
        <v>1020000</v>
      </c>
      <c r="R127" s="155">
        <f t="shared" ca="1" si="171"/>
        <v>0</v>
      </c>
      <c r="S127" s="154">
        <f t="shared" ca="1" si="151"/>
        <v>1513000</v>
      </c>
      <c r="T127" s="155">
        <f t="shared" ca="1" si="172"/>
        <v>1.6216216216216217</v>
      </c>
      <c r="U127" s="154">
        <f t="shared" ca="1" si="152"/>
        <v>1898050</v>
      </c>
      <c r="V127" s="155">
        <f t="shared" ca="1" si="173"/>
        <v>0</v>
      </c>
      <c r="W127" s="154">
        <f t="shared" ca="1" si="153"/>
        <v>1105000</v>
      </c>
      <c r="X127" s="155">
        <f t="shared" ca="1" si="174"/>
        <v>0</v>
      </c>
      <c r="Y127" s="154">
        <f t="shared" ca="1" si="154"/>
        <v>1785000</v>
      </c>
      <c r="Z127" s="155">
        <f t="shared" ca="1" si="175"/>
        <v>0</v>
      </c>
      <c r="AA127" s="154" t="str">
        <f t="shared" ca="1" si="155"/>
        <v/>
      </c>
      <c r="AB127" s="155" t="str">
        <f t="shared" ca="1" si="176"/>
        <v/>
      </c>
      <c r="AC127" s="154">
        <f t="shared" ca="1" si="156"/>
        <v>1020000</v>
      </c>
      <c r="AD127" s="155">
        <f t="shared" ca="1" si="177"/>
        <v>0</v>
      </c>
      <c r="AE127" s="154" t="str">
        <f t="shared" si="157"/>
        <v/>
      </c>
      <c r="AF127" s="155" t="str">
        <f t="shared" si="178"/>
        <v/>
      </c>
      <c r="AG127" s="154" t="str">
        <f t="shared" si="158"/>
        <v/>
      </c>
      <c r="AH127" s="155" t="str">
        <f t="shared" si="179"/>
        <v/>
      </c>
      <c r="AI127" s="154" t="str">
        <f t="shared" si="159"/>
        <v/>
      </c>
      <c r="AJ127" s="155" t="str">
        <f t="shared" si="180"/>
        <v/>
      </c>
      <c r="AL127" s="255">
        <f t="shared" ca="1" si="181"/>
        <v>1407600</v>
      </c>
      <c r="AM127" s="70">
        <f t="shared" ca="1" si="182"/>
        <v>289631.55991707812</v>
      </c>
      <c r="AN127" s="365">
        <f t="shared" ca="1" si="183"/>
        <v>1552415.7799585392</v>
      </c>
      <c r="AO127" s="365">
        <f t="shared" ca="1" si="184"/>
        <v>1262784.2200414608</v>
      </c>
    </row>
    <row r="128" spans="1:41" s="147" customFormat="1" ht="21" customHeight="1" x14ac:dyDescent="0.25">
      <c r="A128" s="366">
        <v>5.4</v>
      </c>
      <c r="B128" s="153">
        <f t="shared" ca="1" si="185"/>
        <v>282453.89</v>
      </c>
      <c r="C128" s="154" t="str">
        <f t="shared" si="143"/>
        <v/>
      </c>
      <c r="D128" s="155" t="str">
        <f t="shared" si="164"/>
        <v/>
      </c>
      <c r="E128" s="154">
        <f t="shared" ca="1" si="144"/>
        <v>680000</v>
      </c>
      <c r="F128" s="155">
        <f t="shared" ca="1" si="165"/>
        <v>1.6216216216216217</v>
      </c>
      <c r="G128" s="154">
        <f t="shared" ca="1" si="145"/>
        <v>742050</v>
      </c>
      <c r="H128" s="155">
        <f t="shared" ca="1" si="166"/>
        <v>1.6216216216216217</v>
      </c>
      <c r="I128" s="154" t="str">
        <f t="shared" ca="1" si="146"/>
        <v/>
      </c>
      <c r="J128" s="155" t="str">
        <f t="shared" ca="1" si="167"/>
        <v/>
      </c>
      <c r="K128" s="154">
        <f t="shared" ca="1" si="147"/>
        <v>1020000</v>
      </c>
      <c r="L128" s="155">
        <f t="shared" ca="1" si="168"/>
        <v>0</v>
      </c>
      <c r="M128" s="154">
        <f t="shared" ca="1" si="148"/>
        <v>620500</v>
      </c>
      <c r="N128" s="155">
        <f t="shared" ca="1" si="169"/>
        <v>0</v>
      </c>
      <c r="O128" s="154" t="str">
        <f t="shared" ca="1" si="149"/>
        <v/>
      </c>
      <c r="P128" s="155" t="str">
        <f t="shared" ca="1" si="170"/>
        <v/>
      </c>
      <c r="Q128" s="154">
        <f t="shared" ca="1" si="150"/>
        <v>382500</v>
      </c>
      <c r="R128" s="155">
        <f t="shared" ca="1" si="171"/>
        <v>0</v>
      </c>
      <c r="S128" s="154">
        <f t="shared" ca="1" si="151"/>
        <v>935000</v>
      </c>
      <c r="T128" s="155">
        <f t="shared" ca="1" si="172"/>
        <v>0</v>
      </c>
      <c r="U128" s="154">
        <f t="shared" ca="1" si="152"/>
        <v>1425025</v>
      </c>
      <c r="V128" s="155">
        <f t="shared" ca="1" si="173"/>
        <v>0</v>
      </c>
      <c r="W128" s="154">
        <f t="shared" ca="1" si="153"/>
        <v>510000</v>
      </c>
      <c r="X128" s="155">
        <f t="shared" ca="1" si="174"/>
        <v>0</v>
      </c>
      <c r="Y128" s="154">
        <f t="shared" ca="1" si="154"/>
        <v>935000</v>
      </c>
      <c r="Z128" s="155">
        <f t="shared" ca="1" si="175"/>
        <v>0</v>
      </c>
      <c r="AA128" s="154" t="str">
        <f t="shared" ca="1" si="155"/>
        <v/>
      </c>
      <c r="AB128" s="155" t="str">
        <f t="shared" ca="1" si="176"/>
        <v/>
      </c>
      <c r="AC128" s="154">
        <f t="shared" ca="1" si="156"/>
        <v>680000</v>
      </c>
      <c r="AD128" s="155">
        <f t="shared" ca="1" si="177"/>
        <v>1.6216216216216217</v>
      </c>
      <c r="AE128" s="154" t="str">
        <f t="shared" si="157"/>
        <v/>
      </c>
      <c r="AF128" s="155" t="str">
        <f t="shared" si="178"/>
        <v/>
      </c>
      <c r="AG128" s="154" t="str">
        <f t="shared" si="158"/>
        <v/>
      </c>
      <c r="AH128" s="155" t="str">
        <f t="shared" si="179"/>
        <v/>
      </c>
      <c r="AI128" s="154" t="str">
        <f t="shared" si="159"/>
        <v/>
      </c>
      <c r="AJ128" s="155" t="str">
        <f t="shared" si="180"/>
        <v/>
      </c>
      <c r="AL128" s="255">
        <f t="shared" ca="1" si="181"/>
        <v>793007.5</v>
      </c>
      <c r="AM128" s="70">
        <f t="shared" ca="1" si="182"/>
        <v>282453.89049586485</v>
      </c>
      <c r="AN128" s="365">
        <f t="shared" ca="1" si="183"/>
        <v>934234.44524793245</v>
      </c>
      <c r="AO128" s="365">
        <f t="shared" ca="1" si="184"/>
        <v>651780.55475206755</v>
      </c>
    </row>
    <row r="129" spans="1:41" s="147" customFormat="1" ht="21" customHeight="1" x14ac:dyDescent="0.25">
      <c r="A129" s="366">
        <v>5.5</v>
      </c>
      <c r="B129" s="153">
        <f t="shared" ca="1" si="185"/>
        <v>287844.05</v>
      </c>
      <c r="C129" s="154" t="str">
        <f t="shared" si="143"/>
        <v/>
      </c>
      <c r="D129" s="155" t="str">
        <f t="shared" si="164"/>
        <v/>
      </c>
      <c r="E129" s="154">
        <f t="shared" ca="1" si="144"/>
        <v>1568250</v>
      </c>
      <c r="F129" s="155">
        <f t="shared" ca="1" si="165"/>
        <v>0</v>
      </c>
      <c r="G129" s="154">
        <f t="shared" ca="1" si="145"/>
        <v>1071850</v>
      </c>
      <c r="H129" s="155">
        <f t="shared" ca="1" si="166"/>
        <v>0</v>
      </c>
      <c r="I129" s="154" t="str">
        <f t="shared" ca="1" si="146"/>
        <v/>
      </c>
      <c r="J129" s="155" t="str">
        <f t="shared" ca="1" si="167"/>
        <v/>
      </c>
      <c r="K129" s="154">
        <f t="shared" ca="1" si="147"/>
        <v>1360000</v>
      </c>
      <c r="L129" s="155">
        <f t="shared" ca="1" si="168"/>
        <v>1.6216216216216217</v>
      </c>
      <c r="M129" s="154">
        <f t="shared" ca="1" si="148"/>
        <v>1275000</v>
      </c>
      <c r="N129" s="155">
        <f t="shared" ca="1" si="169"/>
        <v>1.6216216216216217</v>
      </c>
      <c r="O129" s="154" t="str">
        <f t="shared" ca="1" si="149"/>
        <v/>
      </c>
      <c r="P129" s="155" t="str">
        <f t="shared" ca="1" si="170"/>
        <v/>
      </c>
      <c r="Q129" s="154">
        <f t="shared" ca="1" si="150"/>
        <v>1020000</v>
      </c>
      <c r="R129" s="155">
        <f t="shared" ca="1" si="171"/>
        <v>0</v>
      </c>
      <c r="S129" s="154">
        <f t="shared" ca="1" si="151"/>
        <v>1530000</v>
      </c>
      <c r="T129" s="155">
        <f t="shared" ca="1" si="172"/>
        <v>0</v>
      </c>
      <c r="U129" s="154">
        <f t="shared" ca="1" si="152"/>
        <v>1738250</v>
      </c>
      <c r="V129" s="155">
        <f t="shared" ca="1" si="173"/>
        <v>0</v>
      </c>
      <c r="W129" s="154">
        <f t="shared" ca="1" si="153"/>
        <v>1020000</v>
      </c>
      <c r="X129" s="155">
        <f t="shared" ca="1" si="174"/>
        <v>0</v>
      </c>
      <c r="Y129" s="154">
        <f t="shared" ca="1" si="154"/>
        <v>1785000</v>
      </c>
      <c r="Z129" s="155">
        <f t="shared" ca="1" si="175"/>
        <v>0</v>
      </c>
      <c r="AA129" s="154" t="str">
        <f t="shared" ca="1" si="155"/>
        <v/>
      </c>
      <c r="AB129" s="155" t="str">
        <f t="shared" ca="1" si="176"/>
        <v/>
      </c>
      <c r="AC129" s="154">
        <f t="shared" ca="1" si="156"/>
        <v>1020000</v>
      </c>
      <c r="AD129" s="155">
        <f t="shared" ca="1" si="177"/>
        <v>0</v>
      </c>
      <c r="AE129" s="154" t="str">
        <f t="shared" si="157"/>
        <v/>
      </c>
      <c r="AF129" s="155" t="str">
        <f t="shared" si="178"/>
        <v/>
      </c>
      <c r="AG129" s="154" t="str">
        <f t="shared" si="158"/>
        <v/>
      </c>
      <c r="AH129" s="155" t="str">
        <f t="shared" si="179"/>
        <v/>
      </c>
      <c r="AI129" s="154" t="str">
        <f t="shared" si="159"/>
        <v/>
      </c>
      <c r="AJ129" s="155" t="str">
        <f t="shared" si="180"/>
        <v/>
      </c>
      <c r="AL129" s="255">
        <f t="shared" ca="1" si="181"/>
        <v>1338835</v>
      </c>
      <c r="AM129" s="70">
        <f t="shared" ca="1" si="182"/>
        <v>287844.0507028068</v>
      </c>
      <c r="AN129" s="365">
        <f t="shared" ca="1" si="183"/>
        <v>1482757.0253514033</v>
      </c>
      <c r="AO129" s="365">
        <f t="shared" ca="1" si="184"/>
        <v>1194912.9746485967</v>
      </c>
    </row>
    <row r="130" spans="1:41" s="147" customFormat="1" ht="21" customHeight="1" x14ac:dyDescent="0.25">
      <c r="A130" s="366" t="s">
        <v>314</v>
      </c>
      <c r="B130" s="153">
        <f t="shared" ca="1" si="185"/>
        <v>798139.63</v>
      </c>
      <c r="C130" s="154" t="str">
        <f t="shared" si="143"/>
        <v/>
      </c>
      <c r="D130" s="155" t="str">
        <f t="shared" si="164"/>
        <v/>
      </c>
      <c r="E130" s="154">
        <f t="shared" ca="1" si="144"/>
        <v>1759500</v>
      </c>
      <c r="F130" s="155">
        <f t="shared" ca="1" si="165"/>
        <v>1.6216216216216217</v>
      </c>
      <c r="G130" s="154">
        <f t="shared" ca="1" si="145"/>
        <v>3298000</v>
      </c>
      <c r="H130" s="155">
        <f t="shared" ca="1" si="166"/>
        <v>0</v>
      </c>
      <c r="I130" s="154" t="str">
        <f t="shared" ca="1" si="146"/>
        <v/>
      </c>
      <c r="J130" s="155" t="str">
        <f t="shared" ca="1" si="167"/>
        <v/>
      </c>
      <c r="K130" s="154">
        <f t="shared" ca="1" si="147"/>
        <v>1870000</v>
      </c>
      <c r="L130" s="155">
        <f t="shared" ca="1" si="168"/>
        <v>1.6216216216216217</v>
      </c>
      <c r="M130" s="154">
        <f t="shared" ca="1" si="148"/>
        <v>1589500</v>
      </c>
      <c r="N130" s="155">
        <f t="shared" ca="1" si="169"/>
        <v>0</v>
      </c>
      <c r="O130" s="154" t="str">
        <f t="shared" ca="1" si="149"/>
        <v/>
      </c>
      <c r="P130" s="155" t="str">
        <f t="shared" ca="1" si="170"/>
        <v/>
      </c>
      <c r="Q130" s="154">
        <f t="shared" ca="1" si="150"/>
        <v>1232500</v>
      </c>
      <c r="R130" s="155">
        <f t="shared" ca="1" si="171"/>
        <v>0</v>
      </c>
      <c r="S130" s="154">
        <f t="shared" ca="1" si="151"/>
        <v>2125000</v>
      </c>
      <c r="T130" s="155">
        <f t="shared" ca="1" si="172"/>
        <v>1.6216216216216217</v>
      </c>
      <c r="U130" s="154">
        <f t="shared" ca="1" si="152"/>
        <v>3893850</v>
      </c>
      <c r="V130" s="155">
        <f t="shared" ca="1" si="173"/>
        <v>0</v>
      </c>
      <c r="W130" s="154">
        <f t="shared" ca="1" si="153"/>
        <v>1360000</v>
      </c>
      <c r="X130" s="155">
        <f t="shared" ca="1" si="174"/>
        <v>0</v>
      </c>
      <c r="Y130" s="154">
        <f t="shared" ca="1" si="154"/>
        <v>2125000</v>
      </c>
      <c r="Z130" s="155">
        <f t="shared" ca="1" si="175"/>
        <v>1.6216216216216217</v>
      </c>
      <c r="AA130" s="154" t="str">
        <f t="shared" ca="1" si="155"/>
        <v/>
      </c>
      <c r="AB130" s="155" t="str">
        <f t="shared" ca="1" si="176"/>
        <v/>
      </c>
      <c r="AC130" s="154">
        <f t="shared" ca="1" si="156"/>
        <v>2125000</v>
      </c>
      <c r="AD130" s="155">
        <f t="shared" ca="1" si="177"/>
        <v>1.6216216216216217</v>
      </c>
      <c r="AE130" s="154" t="str">
        <f t="shared" si="157"/>
        <v/>
      </c>
      <c r="AF130" s="155" t="str">
        <f t="shared" si="178"/>
        <v/>
      </c>
      <c r="AG130" s="154" t="str">
        <f t="shared" si="158"/>
        <v/>
      </c>
      <c r="AH130" s="155" t="str">
        <f t="shared" si="179"/>
        <v/>
      </c>
      <c r="AI130" s="154" t="str">
        <f t="shared" si="159"/>
        <v/>
      </c>
      <c r="AJ130" s="155" t="str">
        <f t="shared" si="180"/>
        <v/>
      </c>
      <c r="AL130" s="255">
        <f t="shared" ca="1" si="181"/>
        <v>2137835</v>
      </c>
      <c r="AM130" s="70">
        <f t="shared" ca="1" si="182"/>
        <v>798139.63065681688</v>
      </c>
      <c r="AN130" s="365">
        <f t="shared" ca="1" si="183"/>
        <v>2536904.8153284085</v>
      </c>
      <c r="AO130" s="365">
        <f t="shared" ca="1" si="184"/>
        <v>1738765.1846715915</v>
      </c>
    </row>
    <row r="131" spans="1:41" s="147" customFormat="1" ht="21" customHeight="1" x14ac:dyDescent="0.25">
      <c r="A131" s="366">
        <v>7.3</v>
      </c>
      <c r="B131" s="153">
        <f t="shared" ca="1" si="185"/>
        <v>544218.65</v>
      </c>
      <c r="C131" s="154" t="str">
        <f t="shared" si="143"/>
        <v/>
      </c>
      <c r="D131" s="155" t="str">
        <f t="shared" si="164"/>
        <v/>
      </c>
      <c r="E131" s="154">
        <f t="shared" ca="1" si="144"/>
        <v>1173000</v>
      </c>
      <c r="F131" s="155">
        <f t="shared" ca="1" si="165"/>
        <v>1.6216216216216217</v>
      </c>
      <c r="G131" s="154">
        <f t="shared" ca="1" si="145"/>
        <v>989400</v>
      </c>
      <c r="H131" s="155">
        <f t="shared" ca="1" si="166"/>
        <v>1.6216216216216217</v>
      </c>
      <c r="I131" s="154" t="str">
        <f t="shared" ca="1" si="146"/>
        <v/>
      </c>
      <c r="J131" s="155" t="str">
        <f t="shared" ca="1" si="167"/>
        <v/>
      </c>
      <c r="K131" s="154">
        <f t="shared" ca="1" si="147"/>
        <v>1870000</v>
      </c>
      <c r="L131" s="155">
        <f t="shared" ca="1" si="168"/>
        <v>0</v>
      </c>
      <c r="M131" s="154">
        <f t="shared" ca="1" si="148"/>
        <v>2210000</v>
      </c>
      <c r="N131" s="155">
        <f t="shared" ca="1" si="169"/>
        <v>0</v>
      </c>
      <c r="O131" s="154" t="str">
        <f t="shared" ca="1" si="149"/>
        <v/>
      </c>
      <c r="P131" s="155" t="str">
        <f t="shared" ca="1" si="170"/>
        <v/>
      </c>
      <c r="Q131" s="154">
        <f t="shared" ca="1" si="150"/>
        <v>425000</v>
      </c>
      <c r="R131" s="155">
        <f t="shared" ca="1" si="171"/>
        <v>0</v>
      </c>
      <c r="S131" s="154">
        <f t="shared" ca="1" si="151"/>
        <v>773500</v>
      </c>
      <c r="T131" s="155">
        <f t="shared" ca="1" si="172"/>
        <v>0</v>
      </c>
      <c r="U131" s="154">
        <f t="shared" ca="1" si="152"/>
        <v>570775</v>
      </c>
      <c r="V131" s="155">
        <f t="shared" ca="1" si="173"/>
        <v>0</v>
      </c>
      <c r="W131" s="154">
        <f t="shared" ca="1" si="153"/>
        <v>1700000</v>
      </c>
      <c r="X131" s="155">
        <f t="shared" ca="1" si="174"/>
        <v>0</v>
      </c>
      <c r="Y131" s="154">
        <f t="shared" ca="1" si="154"/>
        <v>1360000</v>
      </c>
      <c r="Z131" s="155">
        <f t="shared" ca="1" si="175"/>
        <v>1.6216216216216217</v>
      </c>
      <c r="AA131" s="154" t="str">
        <f t="shared" ca="1" si="155"/>
        <v/>
      </c>
      <c r="AB131" s="155" t="str">
        <f t="shared" ca="1" si="176"/>
        <v/>
      </c>
      <c r="AC131" s="154">
        <f t="shared" ca="1" si="156"/>
        <v>1275000</v>
      </c>
      <c r="AD131" s="155">
        <f t="shared" ca="1" si="177"/>
        <v>1.6216216216216217</v>
      </c>
      <c r="AE131" s="154" t="str">
        <f t="shared" si="157"/>
        <v/>
      </c>
      <c r="AF131" s="155" t="str">
        <f t="shared" si="178"/>
        <v/>
      </c>
      <c r="AG131" s="154" t="str">
        <f t="shared" si="158"/>
        <v/>
      </c>
      <c r="AH131" s="155" t="str">
        <f t="shared" si="179"/>
        <v/>
      </c>
      <c r="AI131" s="154" t="str">
        <f t="shared" si="159"/>
        <v/>
      </c>
      <c r="AJ131" s="155" t="str">
        <f t="shared" si="180"/>
        <v/>
      </c>
      <c r="AL131" s="255">
        <f t="shared" ca="1" si="181"/>
        <v>1234667.5</v>
      </c>
      <c r="AM131" s="70">
        <f t="shared" ca="1" si="182"/>
        <v>544218.64678293595</v>
      </c>
      <c r="AN131" s="365">
        <f t="shared" ca="1" si="183"/>
        <v>1506776.823391468</v>
      </c>
      <c r="AO131" s="365">
        <f t="shared" ca="1" si="184"/>
        <v>962558.17660853197</v>
      </c>
    </row>
    <row r="132" spans="1:41" s="147" customFormat="1" ht="21" customHeight="1" x14ac:dyDescent="0.25">
      <c r="A132" s="366">
        <v>7.4</v>
      </c>
      <c r="B132" s="153">
        <f t="shared" ca="1" si="185"/>
        <v>359963.69</v>
      </c>
      <c r="C132" s="154" t="str">
        <f t="shared" si="143"/>
        <v/>
      </c>
      <c r="D132" s="155" t="str">
        <f t="shared" si="164"/>
        <v/>
      </c>
      <c r="E132" s="154">
        <f t="shared" ca="1" si="144"/>
        <v>1164458</v>
      </c>
      <c r="F132" s="155">
        <f t="shared" ca="1" si="165"/>
        <v>0</v>
      </c>
      <c r="G132" s="154">
        <f t="shared" ca="1" si="145"/>
        <v>494700</v>
      </c>
      <c r="H132" s="155">
        <f t="shared" ca="1" si="166"/>
        <v>0</v>
      </c>
      <c r="I132" s="154" t="str">
        <f t="shared" ca="1" si="146"/>
        <v/>
      </c>
      <c r="J132" s="155" t="str">
        <f t="shared" ca="1" si="167"/>
        <v/>
      </c>
      <c r="K132" s="154">
        <f t="shared" ca="1" si="147"/>
        <v>680000</v>
      </c>
      <c r="L132" s="155">
        <f t="shared" ca="1" si="168"/>
        <v>1.6216216216216217</v>
      </c>
      <c r="M132" s="154">
        <f t="shared" ca="1" si="148"/>
        <v>467500</v>
      </c>
      <c r="N132" s="155">
        <f t="shared" ca="1" si="169"/>
        <v>0</v>
      </c>
      <c r="O132" s="154" t="str">
        <f t="shared" ca="1" si="149"/>
        <v/>
      </c>
      <c r="P132" s="155" t="str">
        <f t="shared" ca="1" si="170"/>
        <v/>
      </c>
      <c r="Q132" s="154">
        <f t="shared" ca="1" si="150"/>
        <v>425000</v>
      </c>
      <c r="R132" s="155">
        <f t="shared" ca="1" si="171"/>
        <v>0</v>
      </c>
      <c r="S132" s="154">
        <f t="shared" ca="1" si="151"/>
        <v>850000</v>
      </c>
      <c r="T132" s="155">
        <f t="shared" ca="1" si="172"/>
        <v>1.6216216216216217</v>
      </c>
      <c r="U132" s="154">
        <f t="shared" ca="1" si="152"/>
        <v>575620</v>
      </c>
      <c r="V132" s="155">
        <f t="shared" ca="1" si="173"/>
        <v>0</v>
      </c>
      <c r="W132" s="154">
        <f t="shared" ca="1" si="153"/>
        <v>850000</v>
      </c>
      <c r="X132" s="155">
        <f t="shared" ca="1" si="174"/>
        <v>1.6216216216216217</v>
      </c>
      <c r="Y132" s="154">
        <f t="shared" ca="1" si="154"/>
        <v>1530000</v>
      </c>
      <c r="Z132" s="155">
        <f t="shared" ca="1" si="175"/>
        <v>0</v>
      </c>
      <c r="AA132" s="154" t="str">
        <f t="shared" ca="1" si="155"/>
        <v/>
      </c>
      <c r="AB132" s="155" t="str">
        <f t="shared" ca="1" si="176"/>
        <v/>
      </c>
      <c r="AC132" s="154">
        <f t="shared" ca="1" si="156"/>
        <v>1275000</v>
      </c>
      <c r="AD132" s="155">
        <f t="shared" ca="1" si="177"/>
        <v>0</v>
      </c>
      <c r="AE132" s="154" t="str">
        <f t="shared" si="157"/>
        <v/>
      </c>
      <c r="AF132" s="155" t="str">
        <f t="shared" si="178"/>
        <v/>
      </c>
      <c r="AG132" s="154" t="str">
        <f t="shared" si="158"/>
        <v/>
      </c>
      <c r="AH132" s="155" t="str">
        <f t="shared" si="179"/>
        <v/>
      </c>
      <c r="AI132" s="154" t="str">
        <f t="shared" si="159"/>
        <v/>
      </c>
      <c r="AJ132" s="155" t="str">
        <f t="shared" si="180"/>
        <v/>
      </c>
      <c r="AL132" s="255">
        <f t="shared" ca="1" si="181"/>
        <v>831227.8</v>
      </c>
      <c r="AM132" s="70">
        <f t="shared" ca="1" si="182"/>
        <v>359963.69306300877</v>
      </c>
      <c r="AN132" s="365">
        <f t="shared" ca="1" si="183"/>
        <v>1011209.6465315045</v>
      </c>
      <c r="AO132" s="365">
        <f t="shared" ca="1" si="184"/>
        <v>651245.95346849563</v>
      </c>
    </row>
    <row r="133" spans="1:41" s="147" customFormat="1" ht="21" customHeight="1" x14ac:dyDescent="0.25">
      <c r="A133" s="366">
        <v>7.6</v>
      </c>
      <c r="B133" s="153">
        <f t="shared" ca="1" si="185"/>
        <v>1090079.45</v>
      </c>
      <c r="C133" s="154" t="str">
        <f t="shared" si="143"/>
        <v/>
      </c>
      <c r="D133" s="155" t="str">
        <f t="shared" si="164"/>
        <v/>
      </c>
      <c r="E133" s="154">
        <f t="shared" ca="1" si="144"/>
        <v>1041250</v>
      </c>
      <c r="F133" s="155">
        <f t="shared" ca="1" si="165"/>
        <v>0</v>
      </c>
      <c r="G133" s="154">
        <f t="shared" ca="1" si="145"/>
        <v>1649000</v>
      </c>
      <c r="H133" s="155">
        <f t="shared" ca="1" si="166"/>
        <v>1.6216216216216217</v>
      </c>
      <c r="I133" s="154" t="str">
        <f t="shared" ca="1" si="146"/>
        <v/>
      </c>
      <c r="J133" s="155" t="str">
        <f t="shared" ca="1" si="167"/>
        <v/>
      </c>
      <c r="K133" s="154">
        <f t="shared" ca="1" si="147"/>
        <v>2975000</v>
      </c>
      <c r="L133" s="155">
        <f t="shared" ca="1" si="168"/>
        <v>0</v>
      </c>
      <c r="M133" s="154">
        <f t="shared" ca="1" si="148"/>
        <v>3400000</v>
      </c>
      <c r="N133" s="155">
        <f t="shared" ca="1" si="169"/>
        <v>0</v>
      </c>
      <c r="O133" s="154" t="str">
        <f t="shared" ca="1" si="149"/>
        <v/>
      </c>
      <c r="P133" s="155" t="str">
        <f t="shared" ca="1" si="170"/>
        <v/>
      </c>
      <c r="Q133" s="154">
        <f t="shared" ca="1" si="150"/>
        <v>1211250</v>
      </c>
      <c r="R133" s="155">
        <f t="shared" ca="1" si="171"/>
        <v>0</v>
      </c>
      <c r="S133" s="154">
        <f t="shared" ca="1" si="151"/>
        <v>1669400</v>
      </c>
      <c r="T133" s="155">
        <f t="shared" ca="1" si="172"/>
        <v>1.6216216216216217</v>
      </c>
      <c r="U133" s="154">
        <f t="shared" ca="1" si="152"/>
        <v>730575</v>
      </c>
      <c r="V133" s="155">
        <f t="shared" ca="1" si="173"/>
        <v>0</v>
      </c>
      <c r="W133" s="154">
        <f t="shared" ca="1" si="153"/>
        <v>1487500</v>
      </c>
      <c r="X133" s="155">
        <f t="shared" ca="1" si="174"/>
        <v>1.6216216216216217</v>
      </c>
      <c r="Y133" s="154">
        <f t="shared" ca="1" si="154"/>
        <v>1487500</v>
      </c>
      <c r="Z133" s="155">
        <f t="shared" ca="1" si="175"/>
        <v>1.6216216216216217</v>
      </c>
      <c r="AA133" s="154" t="str">
        <f t="shared" ca="1" si="155"/>
        <v/>
      </c>
      <c r="AB133" s="155" t="str">
        <f t="shared" ca="1" si="176"/>
        <v/>
      </c>
      <c r="AC133" s="154">
        <f t="shared" ca="1" si="156"/>
        <v>4250000</v>
      </c>
      <c r="AD133" s="155">
        <f t="shared" ca="1" si="177"/>
        <v>0</v>
      </c>
      <c r="AE133" s="154" t="str">
        <f t="shared" si="157"/>
        <v/>
      </c>
      <c r="AF133" s="155" t="str">
        <f t="shared" si="178"/>
        <v/>
      </c>
      <c r="AG133" s="154" t="str">
        <f t="shared" si="158"/>
        <v/>
      </c>
      <c r="AH133" s="155" t="str">
        <f t="shared" si="179"/>
        <v/>
      </c>
      <c r="AI133" s="154" t="str">
        <f t="shared" si="159"/>
        <v/>
      </c>
      <c r="AJ133" s="155" t="str">
        <f t="shared" si="180"/>
        <v/>
      </c>
      <c r="AL133" s="255">
        <f t="shared" ca="1" si="181"/>
        <v>1990147.5</v>
      </c>
      <c r="AM133" s="70">
        <f t="shared" ca="1" si="182"/>
        <v>1090079.4511439293</v>
      </c>
      <c r="AN133" s="365">
        <f t="shared" ca="1" si="183"/>
        <v>2535187.2255719649</v>
      </c>
      <c r="AO133" s="365">
        <f t="shared" ca="1" si="184"/>
        <v>1445107.7744280354</v>
      </c>
    </row>
    <row r="134" spans="1:41" s="147" customFormat="1" ht="21" customHeight="1" x14ac:dyDescent="0.25">
      <c r="A134" s="366">
        <v>7.7</v>
      </c>
      <c r="B134" s="153">
        <f t="shared" ca="1" si="185"/>
        <v>1528967.62</v>
      </c>
      <c r="C134" s="154" t="str">
        <f t="shared" si="143"/>
        <v/>
      </c>
      <c r="D134" s="155" t="str">
        <f t="shared" si="164"/>
        <v/>
      </c>
      <c r="E134" s="154">
        <f t="shared" ca="1" si="144"/>
        <v>1806250</v>
      </c>
      <c r="F134" s="155">
        <f t="shared" ca="1" si="165"/>
        <v>0</v>
      </c>
      <c r="G134" s="154">
        <f t="shared" ca="1" si="145"/>
        <v>2061250</v>
      </c>
      <c r="H134" s="155">
        <f t="shared" ca="1" si="166"/>
        <v>1.6216216216216217</v>
      </c>
      <c r="I134" s="154" t="str">
        <f t="shared" ca="1" si="146"/>
        <v/>
      </c>
      <c r="J134" s="155" t="str">
        <f t="shared" ca="1" si="167"/>
        <v/>
      </c>
      <c r="K134" s="154">
        <f t="shared" ca="1" si="147"/>
        <v>3825000</v>
      </c>
      <c r="L134" s="155">
        <f t="shared" ca="1" si="168"/>
        <v>0</v>
      </c>
      <c r="M134" s="154">
        <f t="shared" ca="1" si="148"/>
        <v>6162500</v>
      </c>
      <c r="N134" s="155">
        <f t="shared" ca="1" si="169"/>
        <v>0</v>
      </c>
      <c r="O134" s="154" t="str">
        <f t="shared" ca="1" si="149"/>
        <v/>
      </c>
      <c r="P134" s="155" t="str">
        <f t="shared" ca="1" si="170"/>
        <v/>
      </c>
      <c r="Q134" s="154">
        <f t="shared" ca="1" si="150"/>
        <v>1360000</v>
      </c>
      <c r="R134" s="155">
        <f t="shared" ca="1" si="171"/>
        <v>0</v>
      </c>
      <c r="S134" s="154">
        <f t="shared" ca="1" si="151"/>
        <v>1793075</v>
      </c>
      <c r="T134" s="155">
        <f t="shared" ca="1" si="172"/>
        <v>0</v>
      </c>
      <c r="U134" s="154">
        <f t="shared" ca="1" si="152"/>
        <v>1047498</v>
      </c>
      <c r="V134" s="155">
        <f t="shared" ca="1" si="173"/>
        <v>0</v>
      </c>
      <c r="W134" s="154">
        <f t="shared" ca="1" si="153"/>
        <v>1912500</v>
      </c>
      <c r="X134" s="155">
        <f t="shared" ca="1" si="174"/>
        <v>1.6216216216216217</v>
      </c>
      <c r="Y134" s="154">
        <f t="shared" ca="1" si="154"/>
        <v>1912500</v>
      </c>
      <c r="Z134" s="155">
        <f t="shared" ca="1" si="175"/>
        <v>1.6216216216216217</v>
      </c>
      <c r="AA134" s="154" t="str">
        <f t="shared" ca="1" si="155"/>
        <v/>
      </c>
      <c r="AB134" s="155" t="str">
        <f t="shared" ca="1" si="176"/>
        <v/>
      </c>
      <c r="AC134" s="154">
        <f t="shared" ca="1" si="156"/>
        <v>4250000</v>
      </c>
      <c r="AD134" s="155">
        <f t="shared" ca="1" si="177"/>
        <v>0</v>
      </c>
      <c r="AE134" s="154" t="str">
        <f t="shared" si="157"/>
        <v/>
      </c>
      <c r="AF134" s="155" t="str">
        <f t="shared" si="178"/>
        <v/>
      </c>
      <c r="AG134" s="154" t="str">
        <f t="shared" si="158"/>
        <v/>
      </c>
      <c r="AH134" s="155" t="str">
        <f t="shared" si="179"/>
        <v/>
      </c>
      <c r="AI134" s="154" t="str">
        <f t="shared" si="159"/>
        <v/>
      </c>
      <c r="AJ134" s="155" t="str">
        <f t="shared" si="180"/>
        <v/>
      </c>
      <c r="AL134" s="255">
        <f t="shared" ca="1" si="181"/>
        <v>2613057.2999999998</v>
      </c>
      <c r="AM134" s="70">
        <f t="shared" ca="1" si="182"/>
        <v>1528967.6209716182</v>
      </c>
      <c r="AN134" s="365">
        <f t="shared" ca="1" si="183"/>
        <v>3377541.1104858089</v>
      </c>
      <c r="AO134" s="365">
        <f t="shared" ca="1" si="184"/>
        <v>1848573.4895141907</v>
      </c>
    </row>
    <row r="135" spans="1:41" s="147" customFormat="1" ht="26.25" customHeight="1" x14ac:dyDescent="0.25">
      <c r="A135" s="366">
        <v>7.8</v>
      </c>
      <c r="B135" s="153">
        <f t="shared" ca="1" si="185"/>
        <v>1496882.98</v>
      </c>
      <c r="C135" s="154" t="str">
        <f t="shared" si="143"/>
        <v/>
      </c>
      <c r="D135" s="155" t="str">
        <f t="shared" si="164"/>
        <v/>
      </c>
      <c r="E135" s="154">
        <f t="shared" ca="1" si="144"/>
        <v>1912500</v>
      </c>
      <c r="F135" s="155">
        <f t="shared" ca="1" si="165"/>
        <v>1.6216216216216217</v>
      </c>
      <c r="G135" s="154">
        <f t="shared" ca="1" si="145"/>
        <v>1607775</v>
      </c>
      <c r="H135" s="155">
        <f t="shared" ca="1" si="166"/>
        <v>1.6216216216216217</v>
      </c>
      <c r="I135" s="154" t="str">
        <f t="shared" ca="1" si="146"/>
        <v/>
      </c>
      <c r="J135" s="155" t="str">
        <f t="shared" ca="1" si="167"/>
        <v/>
      </c>
      <c r="K135" s="154">
        <f t="shared" ca="1" si="147"/>
        <v>4335000</v>
      </c>
      <c r="L135" s="155">
        <f t="shared" ca="1" si="168"/>
        <v>0</v>
      </c>
      <c r="M135" s="154">
        <f t="shared" ca="1" si="148"/>
        <v>5737500</v>
      </c>
      <c r="N135" s="155">
        <f t="shared" ca="1" si="169"/>
        <v>0</v>
      </c>
      <c r="O135" s="154" t="str">
        <f t="shared" ca="1" si="149"/>
        <v/>
      </c>
      <c r="P135" s="155" t="str">
        <f t="shared" ca="1" si="170"/>
        <v/>
      </c>
      <c r="Q135" s="154">
        <f t="shared" ca="1" si="150"/>
        <v>994500</v>
      </c>
      <c r="R135" s="155">
        <f t="shared" ca="1" si="171"/>
        <v>0</v>
      </c>
      <c r="S135" s="154">
        <f t="shared" ca="1" si="151"/>
        <v>1285455</v>
      </c>
      <c r="T135" s="155">
        <f t="shared" ca="1" si="172"/>
        <v>0</v>
      </c>
      <c r="U135" s="154">
        <f t="shared" ca="1" si="152"/>
        <v>1040273</v>
      </c>
      <c r="V135" s="155">
        <f t="shared" ca="1" si="173"/>
        <v>0</v>
      </c>
      <c r="W135" s="154">
        <f t="shared" ca="1" si="153"/>
        <v>1479000</v>
      </c>
      <c r="X135" s="155">
        <f t="shared" ca="1" si="174"/>
        <v>0</v>
      </c>
      <c r="Y135" s="154">
        <f t="shared" ca="1" si="154"/>
        <v>1402500</v>
      </c>
      <c r="Z135" s="155">
        <f t="shared" ca="1" si="175"/>
        <v>0</v>
      </c>
      <c r="AA135" s="154" t="str">
        <f t="shared" ca="1" si="155"/>
        <v/>
      </c>
      <c r="AB135" s="155" t="str">
        <f t="shared" ca="1" si="176"/>
        <v/>
      </c>
      <c r="AC135" s="154">
        <f t="shared" ca="1" si="156"/>
        <v>2550000</v>
      </c>
      <c r="AD135" s="155">
        <f t="shared" ca="1" si="177"/>
        <v>1.6216216216216217</v>
      </c>
      <c r="AE135" s="154" t="str">
        <f t="shared" si="157"/>
        <v/>
      </c>
      <c r="AF135" s="155" t="str">
        <f t="shared" si="178"/>
        <v/>
      </c>
      <c r="AG135" s="154" t="str">
        <f t="shared" si="158"/>
        <v/>
      </c>
      <c r="AH135" s="155" t="str">
        <f t="shared" si="179"/>
        <v/>
      </c>
      <c r="AI135" s="154" t="str">
        <f t="shared" si="159"/>
        <v/>
      </c>
      <c r="AJ135" s="155" t="str">
        <f t="shared" si="180"/>
        <v/>
      </c>
      <c r="AL135" s="255">
        <f t="shared" ca="1" si="181"/>
        <v>2234450.2999999998</v>
      </c>
      <c r="AM135" s="70">
        <f t="shared" ca="1" si="182"/>
        <v>1496882.9777400135</v>
      </c>
      <c r="AN135" s="365">
        <f t="shared" ca="1" si="183"/>
        <v>2982891.7888700068</v>
      </c>
      <c r="AO135" s="365">
        <f t="shared" ca="1" si="184"/>
        <v>1486008.8111299931</v>
      </c>
    </row>
    <row r="136" spans="1:41" ht="24.75" customHeight="1" x14ac:dyDescent="0.25">
      <c r="A136" s="366">
        <v>7.9</v>
      </c>
      <c r="B136" s="153">
        <f t="shared" ref="B136:B140" ca="1" si="186">IF(A136="","",IF($K$4="Media aritmética",ROUND(AVERAGE(C136,E136,G136,I136,K136,M136,O136,Q136,S136,U136,W136,Y136,AA136,AC136,AE136,AG136,AI136),2),ROUND(_xlfn.STDEV.P(C136,E136,G136,I136,K136,M136,O136,Q136,S136,U136,W136,Y136,AA136,AC136,AE136,AG136,AI136),2)))</f>
        <v>686405.03</v>
      </c>
      <c r="C136" s="154" t="str">
        <f t="shared" si="143"/>
        <v/>
      </c>
      <c r="D136" s="155" t="str">
        <f t="shared" ref="D136:D140" si="187">IF($A136="","",IF(C136="","",IF($K$4="Media aritmética",(C136&lt;=$B136)*($G$5/$B$5)+(C136&gt;$B136)*0,IF(AND(ROUND(AVERAGE($C136,$E136,$G136,$I136,$K136,$M136,$O136,$Q136,$S136,$U136,$W136,$Y136,$AA136,$AC136,$AE136,$AG136,$AI136),2)-$B136/2&lt;=C136,(ROUND(AVERAGE($C136,$E136,$G136,$I136,$K136,$M136,$O136,$Q136,$S136,$U136,$W136,$Y136,$AA136,$AC136,$AE136,$AG136,$AI136),2)+$B136/2&gt;=C136)),($G$5/$B$5),0))))</f>
        <v/>
      </c>
      <c r="E136" s="154">
        <f t="shared" ca="1" si="144"/>
        <v>680000</v>
      </c>
      <c r="F136" s="155">
        <f t="shared" ref="F136:F140" ca="1" si="188">IF($A136="","",IF(E136="","",IF($K$4="Media aritmética",(E136&lt;=$B136)*($G$5/$B$5)+(E136&gt;$B136)*0,IF(AND(ROUND(AVERAGE($C136,$E136,$G136,$I136,$K136,$M136,$O136,$Q136,$S136,$U136,$W136,$Y136,$AA136,$AC136,$AE136,$AG136,$AI136),2)-$B136/2&lt;=E136,(ROUND(AVERAGE($C136,$E136,$G136,$I136,$K136,$M136,$O136,$Q136,$S136,$U136,$W136,$Y136,$AA136,$AC136,$AE136,$AG136,$AI136),2)+$B136/2&gt;=E136)),($G$5/$B$5),0))))</f>
        <v>1.6216216216216217</v>
      </c>
      <c r="G136" s="154">
        <f t="shared" ca="1" si="145"/>
        <v>577150</v>
      </c>
      <c r="H136" s="155">
        <f t="shared" ref="H136:H140" ca="1" si="189">IF($A136="","",IF(G136="","",IF($K$4="Media aritmética",(G136&lt;=$B136)*($G$5/$B$5)+(G136&gt;$B136)*0,IF(AND(ROUND(AVERAGE($C136,$E136,$G136,$I136,$K136,$M136,$O136,$Q136,$S136,$U136,$W136,$Y136,$AA136,$AC136,$AE136,$AG136,$AI136),2)-$B136/2&lt;=G136,(ROUND(AVERAGE($C136,$E136,$G136,$I136,$K136,$M136,$O136,$Q136,$S136,$U136,$W136,$Y136,$AA136,$AC136,$AE136,$AG136,$AI136),2)+$B136/2&gt;=G136)),($G$5/$B$5),0))))</f>
        <v>0</v>
      </c>
      <c r="I136" s="154" t="str">
        <f t="shared" ca="1" si="146"/>
        <v/>
      </c>
      <c r="J136" s="155" t="str">
        <f t="shared" ref="J136:J140" ca="1" si="190">IF($A136="","",IF(I136="","",IF($K$4="Media aritmética",(I136&lt;=$B136)*($G$5/$B$5)+(I136&gt;$B136)*0,IF(AND(ROUND(AVERAGE($C136,$E136,$G136,$I136,$K136,$M136,$O136,$Q136,$S136,$U136,$W136,$Y136,$AA136,$AC136,$AE136,$AG136,$AI136),2)-$B136/2&lt;=I136,(ROUND(AVERAGE($C136,$E136,$G136,$I136,$K136,$M136,$O136,$Q136,$S136,$U136,$W136,$Y136,$AA136,$AC136,$AE136,$AG136,$AI136),2)+$B136/2&gt;=I136)),($G$5/$B$5),0))))</f>
        <v/>
      </c>
      <c r="K136" s="154">
        <f t="shared" ca="1" si="147"/>
        <v>2108000</v>
      </c>
      <c r="L136" s="155">
        <f t="shared" ref="L136:L140" ca="1" si="191">IF($A136="","",IF(K136="","",IF($K$4="Media aritmética",(K136&lt;=$B136)*($G$5/$B$5)+(K136&gt;$B136)*0,IF(AND(ROUND(AVERAGE($C136,$E136,$G136,$I136,$K136,$M136,$O136,$Q136,$S136,$U136,$W136,$Y136,$AA136,$AC136,$AE136,$AG136,$AI136),2)-$B136/2&lt;=K136,(ROUND(AVERAGE($C136,$E136,$G136,$I136,$K136,$M136,$O136,$Q136,$S136,$U136,$W136,$Y136,$AA136,$AC136,$AE136,$AG136,$AI136),2)+$B136/2&gt;=K136)),($G$5/$B$5),0))))</f>
        <v>0</v>
      </c>
      <c r="M136" s="154">
        <f t="shared" ca="1" si="148"/>
        <v>2422500</v>
      </c>
      <c r="N136" s="155">
        <f t="shared" ref="N136:N140" ca="1" si="192">IF($A136="","",IF(M136="","",IF($K$4="Media aritmética",(M136&lt;=$B136)*($G$5/$B$5)+(M136&gt;$B136)*0,IF(AND(ROUND(AVERAGE($C136,$E136,$G136,$I136,$K136,$M136,$O136,$Q136,$S136,$U136,$W136,$Y136,$AA136,$AC136,$AE136,$AG136,$AI136),2)-$B136/2&lt;=M136,(ROUND(AVERAGE($C136,$E136,$G136,$I136,$K136,$M136,$O136,$Q136,$S136,$U136,$W136,$Y136,$AA136,$AC136,$AE136,$AG136,$AI136),2)+$B136/2&gt;=M136)),($G$5/$B$5),0))))</f>
        <v>0</v>
      </c>
      <c r="O136" s="154" t="str">
        <f t="shared" ca="1" si="149"/>
        <v/>
      </c>
      <c r="P136" s="155" t="str">
        <f t="shared" ref="P136:P140" ca="1" si="193">IF($A136="","",IF(O136="","",IF($K$4="Media aritmética",(O136&lt;=$B136)*($G$5/$B$5)+(O136&gt;$B136)*0,IF(AND(ROUND(AVERAGE($C136,$E136,$G136,$I136,$K136,$M136,$O136,$Q136,$S136,$U136,$W136,$Y136,$AA136,$AC136,$AE136,$AG136,$AI136),2)-$B136/2&lt;=O136,(ROUND(AVERAGE($C136,$E136,$G136,$I136,$K136,$M136,$O136,$Q136,$S136,$U136,$W136,$Y136,$AA136,$AC136,$AE136,$AG136,$AI136),2)+$B136/2&gt;=O136)),($G$5/$B$5),0))))</f>
        <v/>
      </c>
      <c r="Q136" s="154">
        <f t="shared" ca="1" si="150"/>
        <v>348500</v>
      </c>
      <c r="R136" s="155">
        <f t="shared" ref="R136:R140" ca="1" si="194">IF($A136="","",IF(Q136="","",IF($K$4="Media aritmética",(Q136&lt;=$B136)*($G$5/$B$5)+(Q136&gt;$B136)*0,IF(AND(ROUND(AVERAGE($C136,$E136,$G136,$I136,$K136,$M136,$O136,$Q136,$S136,$U136,$W136,$Y136,$AA136,$AC136,$AE136,$AG136,$AI136),2)-$B136/2&lt;=Q136,(ROUND(AVERAGE($C136,$E136,$G136,$I136,$K136,$M136,$O136,$Q136,$S136,$U136,$W136,$Y136,$AA136,$AC136,$AE136,$AG136,$AI136),2)+$B136/2&gt;=Q136)),($G$5/$B$5),0))))</f>
        <v>0</v>
      </c>
      <c r="S136" s="154">
        <f t="shared" ca="1" si="151"/>
        <v>470900</v>
      </c>
      <c r="T136" s="155">
        <f t="shared" ref="T136:T140" ca="1" si="195">IF($A136="","",IF(S136="","",IF($K$4="Media aritmética",(S136&lt;=$B136)*($G$5/$B$5)+(S136&gt;$B136)*0,IF(AND(ROUND(AVERAGE($C136,$E136,$G136,$I136,$K136,$M136,$O136,$Q136,$S136,$U136,$W136,$Y136,$AA136,$AC136,$AE136,$AG136,$AI136),2)-$B136/2&lt;=S136,(ROUND(AVERAGE($C136,$E136,$G136,$I136,$K136,$M136,$O136,$Q136,$S136,$U136,$W136,$Y136,$AA136,$AC136,$AE136,$AG136,$AI136),2)+$B136/2&gt;=S136)),($G$5/$B$5),0))))</f>
        <v>0</v>
      </c>
      <c r="U136" s="154">
        <f t="shared" ca="1" si="152"/>
        <v>501883</v>
      </c>
      <c r="V136" s="155">
        <f t="shared" ref="V136:V140" ca="1" si="196">IF($A136="","",IF(U136="","",IF($K$4="Media aritmética",(U136&lt;=$B136)*($G$5/$B$5)+(U136&gt;$B136)*0,IF(AND(ROUND(AVERAGE($C136,$E136,$G136,$I136,$K136,$M136,$O136,$Q136,$S136,$U136,$W136,$Y136,$AA136,$AC136,$AE136,$AG136,$AI136),2)-$B136/2&lt;=U136,(ROUND(AVERAGE($C136,$E136,$G136,$I136,$K136,$M136,$O136,$Q136,$S136,$U136,$W136,$Y136,$AA136,$AC136,$AE136,$AG136,$AI136),2)+$B136/2&gt;=U136)),($G$5/$B$5),0))))</f>
        <v>0</v>
      </c>
      <c r="W136" s="154">
        <f t="shared" ca="1" si="153"/>
        <v>637500</v>
      </c>
      <c r="X136" s="155">
        <f t="shared" ref="X136:X140" ca="1" si="197">IF($A136="","",IF(W136="","",IF($K$4="Media aritmética",(W136&lt;=$B136)*($G$5/$B$5)+(W136&gt;$B136)*0,IF(AND(ROUND(AVERAGE($C136,$E136,$G136,$I136,$K136,$M136,$O136,$Q136,$S136,$U136,$W136,$Y136,$AA136,$AC136,$AE136,$AG136,$AI136),2)-$B136/2&lt;=W136,(ROUND(AVERAGE($C136,$E136,$G136,$I136,$K136,$M136,$O136,$Q136,$S136,$U136,$W136,$Y136,$AA136,$AC136,$AE136,$AG136,$AI136),2)+$B136/2&gt;=W136)),($G$5/$B$5),0))))</f>
        <v>1.6216216216216217</v>
      </c>
      <c r="Y136" s="154">
        <f t="shared" ca="1" si="154"/>
        <v>637500</v>
      </c>
      <c r="Z136" s="155">
        <f t="shared" ref="Z136:Z140" ca="1" si="198">IF($A136="","",IF(Y136="","",IF($K$4="Media aritmética",(Y136&lt;=$B136)*($G$5/$B$5)+(Y136&gt;$B136)*0,IF(AND(ROUND(AVERAGE($C136,$E136,$G136,$I136,$K136,$M136,$O136,$Q136,$S136,$U136,$W136,$Y136,$AA136,$AC136,$AE136,$AG136,$AI136),2)-$B136/2&lt;=Y136,(ROUND(AVERAGE($C136,$E136,$G136,$I136,$K136,$M136,$O136,$Q136,$S136,$U136,$W136,$Y136,$AA136,$AC136,$AE136,$AG136,$AI136),2)+$B136/2&gt;=Y136)),($G$5/$B$5),0))))</f>
        <v>1.6216216216216217</v>
      </c>
      <c r="AA136" s="154" t="str">
        <f t="shared" ca="1" si="155"/>
        <v/>
      </c>
      <c r="AB136" s="155" t="str">
        <f t="shared" ref="AB136:AB140" ca="1" si="199">IF($A136="","",IF(AA136="","",IF($K$4="Media aritmética",(AA136&lt;=$B136)*($G$5/$B$5)+(AA136&gt;$B136)*0,IF(AND(ROUND(AVERAGE($C136,$E136,$G136,$I136,$K136,$M136,$O136,$Q136,$S136,$U136,$W136,$Y136,$AA136,$AC136,$AE136,$AG136,$AI136),2)-$B136/2&lt;=AA136,(ROUND(AVERAGE($C136,$E136,$G136,$I136,$K136,$M136,$O136,$Q136,$S136,$U136,$W136,$Y136,$AA136,$AC136,$AE136,$AG136,$AI136),2)+$B136/2&gt;=AA136)),($G$5/$B$5),0))))</f>
        <v/>
      </c>
      <c r="AC136" s="154">
        <f t="shared" ca="1" si="156"/>
        <v>850000</v>
      </c>
      <c r="AD136" s="155">
        <f t="shared" ref="AD136:AD140" ca="1" si="200">IF($A136="","",IF(AC136="","",IF($K$4="Media aritmética",(AC136&lt;=$B136)*($G$5/$B$5)+(AC136&gt;$B136)*0,IF(AND(ROUND(AVERAGE($C136,$E136,$G136,$I136,$K136,$M136,$O136,$Q136,$S136,$U136,$W136,$Y136,$AA136,$AC136,$AE136,$AG136,$AI136),2)-$B136/2&lt;=AC136,(ROUND(AVERAGE($C136,$E136,$G136,$I136,$K136,$M136,$O136,$Q136,$S136,$U136,$W136,$Y136,$AA136,$AC136,$AE136,$AG136,$AI136),2)+$B136/2&gt;=AC136)),($G$5/$B$5),0))))</f>
        <v>1.6216216216216217</v>
      </c>
      <c r="AL136" s="255">
        <f t="shared" ca="1" si="181"/>
        <v>923393.3</v>
      </c>
      <c r="AM136" s="70">
        <f t="shared" ca="1" si="182"/>
        <v>686405.02717711066</v>
      </c>
      <c r="AN136" s="365">
        <f t="shared" ca="1" si="183"/>
        <v>1266595.8135885554</v>
      </c>
      <c r="AO136" s="365">
        <f t="shared" ca="1" si="184"/>
        <v>580190.78641144466</v>
      </c>
    </row>
    <row r="137" spans="1:41" ht="21" customHeight="1" x14ac:dyDescent="0.25">
      <c r="A137" s="366" t="s">
        <v>325</v>
      </c>
      <c r="B137" s="153">
        <f t="shared" ca="1" si="186"/>
        <v>792255.29</v>
      </c>
      <c r="C137" s="154" t="str">
        <f t="shared" si="143"/>
        <v/>
      </c>
      <c r="D137" s="155" t="str">
        <f t="shared" si="187"/>
        <v/>
      </c>
      <c r="E137" s="154">
        <f t="shared" ca="1" si="144"/>
        <v>782000</v>
      </c>
      <c r="F137" s="155">
        <f t="shared" ca="1" si="188"/>
        <v>1.6216216216216217</v>
      </c>
      <c r="G137" s="154">
        <f t="shared" ca="1" si="145"/>
        <v>824500</v>
      </c>
      <c r="H137" s="155">
        <f t="shared" ca="1" si="189"/>
        <v>1.6216216216216217</v>
      </c>
      <c r="I137" s="154" t="str">
        <f t="shared" ca="1" si="146"/>
        <v/>
      </c>
      <c r="J137" s="155" t="str">
        <f t="shared" ca="1" si="190"/>
        <v/>
      </c>
      <c r="K137" s="154">
        <f t="shared" ca="1" si="147"/>
        <v>2125000</v>
      </c>
      <c r="L137" s="155">
        <f t="shared" ca="1" si="191"/>
        <v>0</v>
      </c>
      <c r="M137" s="154">
        <f t="shared" ca="1" si="148"/>
        <v>3060000</v>
      </c>
      <c r="N137" s="155">
        <f t="shared" ca="1" si="192"/>
        <v>0</v>
      </c>
      <c r="O137" s="154" t="str">
        <f t="shared" ref="O137:O140" ca="1" si="201">IF($O$8="Habilitado",IF($A137="","",ROUND(VLOOKUP($A137,OFERENTE_7,15,FALSE),2)),"")</f>
        <v/>
      </c>
      <c r="P137" s="155" t="str">
        <f t="shared" ca="1" si="193"/>
        <v/>
      </c>
      <c r="Q137" s="154">
        <f t="shared" ca="1" si="150"/>
        <v>518500</v>
      </c>
      <c r="R137" s="155">
        <f t="shared" ca="1" si="194"/>
        <v>0</v>
      </c>
      <c r="S137" s="154">
        <f t="shared" ca="1" si="151"/>
        <v>532449</v>
      </c>
      <c r="T137" s="155">
        <f t="shared" ca="1" si="195"/>
        <v>0</v>
      </c>
      <c r="U137" s="154">
        <f t="shared" ca="1" si="152"/>
        <v>648040</v>
      </c>
      <c r="V137" s="155">
        <f t="shared" ca="1" si="196"/>
        <v>0</v>
      </c>
      <c r="W137" s="154">
        <f t="shared" ca="1" si="153"/>
        <v>722500</v>
      </c>
      <c r="X137" s="155">
        <f t="shared" ca="1" si="197"/>
        <v>1.6216216216216217</v>
      </c>
      <c r="Y137" s="154">
        <f t="shared" ca="1" si="154"/>
        <v>722500</v>
      </c>
      <c r="Z137" s="155">
        <f t="shared" ca="1" si="198"/>
        <v>1.6216216216216217</v>
      </c>
      <c r="AA137" s="154" t="str">
        <f t="shared" ca="1" si="155"/>
        <v/>
      </c>
      <c r="AB137" s="155" t="str">
        <f t="shared" ca="1" si="199"/>
        <v/>
      </c>
      <c r="AC137" s="154">
        <f t="shared" ca="1" si="156"/>
        <v>850000</v>
      </c>
      <c r="AD137" s="155">
        <f t="shared" ca="1" si="200"/>
        <v>1.6216216216216217</v>
      </c>
      <c r="AL137" s="255">
        <f t="shared" ca="1" si="181"/>
        <v>1078548.8999999999</v>
      </c>
      <c r="AM137" s="70">
        <f t="shared" ca="1" si="182"/>
        <v>792255.29233252211</v>
      </c>
      <c r="AN137" s="365">
        <f t="shared" ca="1" si="183"/>
        <v>1474676.546166261</v>
      </c>
      <c r="AO137" s="365">
        <f t="shared" ca="1" si="184"/>
        <v>682421.25383373885</v>
      </c>
    </row>
    <row r="138" spans="1:41" ht="24.75" customHeight="1" x14ac:dyDescent="0.25">
      <c r="A138" s="366" t="s">
        <v>327</v>
      </c>
      <c r="B138" s="153">
        <f t="shared" ca="1" si="186"/>
        <v>966141.84</v>
      </c>
      <c r="C138" s="154" t="str">
        <f t="shared" si="143"/>
        <v/>
      </c>
      <c r="D138" s="155" t="str">
        <f t="shared" si="187"/>
        <v/>
      </c>
      <c r="E138" s="154">
        <f t="shared" ca="1" si="144"/>
        <v>977500</v>
      </c>
      <c r="F138" s="155">
        <f t="shared" ca="1" si="188"/>
        <v>1.6216216216216217</v>
      </c>
      <c r="G138" s="154">
        <f t="shared" ca="1" si="145"/>
        <v>824500</v>
      </c>
      <c r="H138" s="155">
        <f t="shared" ca="1" si="189"/>
        <v>1.6216216216216217</v>
      </c>
      <c r="I138" s="154" t="str">
        <f t="shared" ca="1" si="146"/>
        <v/>
      </c>
      <c r="J138" s="155" t="str">
        <f t="shared" ca="1" si="190"/>
        <v/>
      </c>
      <c r="K138" s="154">
        <f t="shared" ca="1" si="147"/>
        <v>2550000</v>
      </c>
      <c r="L138" s="155">
        <f t="shared" ca="1" si="191"/>
        <v>0</v>
      </c>
      <c r="M138" s="154">
        <f t="shared" ca="1" si="148"/>
        <v>3655000</v>
      </c>
      <c r="N138" s="155">
        <f t="shared" ca="1" si="192"/>
        <v>0</v>
      </c>
      <c r="O138" s="154" t="str">
        <f t="shared" ca="1" si="201"/>
        <v/>
      </c>
      <c r="P138" s="155" t="str">
        <f t="shared" ca="1" si="193"/>
        <v/>
      </c>
      <c r="Q138" s="154">
        <f t="shared" ca="1" si="150"/>
        <v>582250</v>
      </c>
      <c r="R138" s="155">
        <f t="shared" ca="1" si="194"/>
        <v>0</v>
      </c>
      <c r="S138" s="154">
        <f t="shared" ca="1" si="151"/>
        <v>555050</v>
      </c>
      <c r="T138" s="155">
        <f t="shared" ca="1" si="195"/>
        <v>0</v>
      </c>
      <c r="U138" s="154">
        <f t="shared" ca="1" si="152"/>
        <v>867340</v>
      </c>
      <c r="V138" s="155">
        <f t="shared" ca="1" si="196"/>
        <v>1.6216216216216217</v>
      </c>
      <c r="W138" s="154">
        <f t="shared" ca="1" si="153"/>
        <v>833000</v>
      </c>
      <c r="X138" s="155">
        <f t="shared" ca="1" si="197"/>
        <v>1.6216216216216217</v>
      </c>
      <c r="Y138" s="154">
        <f t="shared" ca="1" si="154"/>
        <v>807500</v>
      </c>
      <c r="Z138" s="155">
        <f t="shared" ca="1" si="198"/>
        <v>1.6216216216216217</v>
      </c>
      <c r="AA138" s="154" t="str">
        <f t="shared" ca="1" si="155"/>
        <v/>
      </c>
      <c r="AB138" s="155" t="str">
        <f t="shared" ca="1" si="199"/>
        <v/>
      </c>
      <c r="AC138" s="154">
        <f t="shared" ca="1" si="156"/>
        <v>850000</v>
      </c>
      <c r="AD138" s="155">
        <f t="shared" ca="1" si="200"/>
        <v>1.6216216216216217</v>
      </c>
      <c r="AL138" s="255">
        <f t="shared" ca="1" si="181"/>
        <v>1250214</v>
      </c>
      <c r="AM138" s="70">
        <f t="shared" ca="1" si="182"/>
        <v>966141.83910231316</v>
      </c>
      <c r="AN138" s="365">
        <f t="shared" ca="1" si="183"/>
        <v>1733284.9195511565</v>
      </c>
      <c r="AO138" s="365">
        <f t="shared" ca="1" si="184"/>
        <v>767143.08044884342</v>
      </c>
    </row>
    <row r="139" spans="1:41" ht="22.5" customHeight="1" x14ac:dyDescent="0.25">
      <c r="A139" s="366" t="s">
        <v>329</v>
      </c>
      <c r="B139" s="153">
        <f t="shared" ca="1" si="186"/>
        <v>1195963.19</v>
      </c>
      <c r="C139" s="154" t="str">
        <f t="shared" si="143"/>
        <v/>
      </c>
      <c r="D139" s="155" t="str">
        <f t="shared" si="187"/>
        <v/>
      </c>
      <c r="E139" s="154">
        <f t="shared" ca="1" si="144"/>
        <v>1232500</v>
      </c>
      <c r="F139" s="155">
        <f t="shared" ca="1" si="188"/>
        <v>1.6216216216216217</v>
      </c>
      <c r="G139" s="154">
        <f t="shared" ca="1" si="145"/>
        <v>824500</v>
      </c>
      <c r="H139" s="155">
        <f t="shared" ca="1" si="189"/>
        <v>0</v>
      </c>
      <c r="I139" s="154" t="str">
        <f t="shared" ca="1" si="146"/>
        <v/>
      </c>
      <c r="J139" s="155" t="str">
        <f t="shared" ca="1" si="190"/>
        <v/>
      </c>
      <c r="K139" s="154">
        <f t="shared" ca="1" si="147"/>
        <v>2975000</v>
      </c>
      <c r="L139" s="155">
        <f t="shared" ca="1" si="191"/>
        <v>0</v>
      </c>
      <c r="M139" s="154">
        <f t="shared" ca="1" si="148"/>
        <v>4462500</v>
      </c>
      <c r="N139" s="155">
        <f t="shared" ca="1" si="192"/>
        <v>0</v>
      </c>
      <c r="O139" s="154" t="str">
        <f t="shared" ca="1" si="201"/>
        <v/>
      </c>
      <c r="P139" s="155" t="str">
        <f t="shared" ca="1" si="193"/>
        <v/>
      </c>
      <c r="Q139" s="154">
        <f t="shared" ca="1" si="150"/>
        <v>688500</v>
      </c>
      <c r="R139" s="155">
        <f t="shared" ca="1" si="194"/>
        <v>0</v>
      </c>
      <c r="S139" s="154">
        <f t="shared" ca="1" si="151"/>
        <v>584800</v>
      </c>
      <c r="T139" s="155">
        <f t="shared" ca="1" si="195"/>
        <v>0</v>
      </c>
      <c r="U139" s="154">
        <f t="shared" ca="1" si="152"/>
        <v>954652</v>
      </c>
      <c r="V139" s="155">
        <f t="shared" ca="1" si="196"/>
        <v>1.6216216216216217</v>
      </c>
      <c r="W139" s="154">
        <f t="shared" ca="1" si="153"/>
        <v>935000</v>
      </c>
      <c r="X139" s="155">
        <f t="shared" ca="1" si="197"/>
        <v>1.6216216216216217</v>
      </c>
      <c r="Y139" s="154">
        <f t="shared" ca="1" si="154"/>
        <v>935000</v>
      </c>
      <c r="Z139" s="155">
        <f t="shared" ca="1" si="198"/>
        <v>1.6216216216216217</v>
      </c>
      <c r="AA139" s="154" t="str">
        <f t="shared" ca="1" si="155"/>
        <v/>
      </c>
      <c r="AB139" s="155" t="str">
        <f t="shared" ca="1" si="199"/>
        <v/>
      </c>
      <c r="AC139" s="154">
        <f t="shared" ca="1" si="156"/>
        <v>850000</v>
      </c>
      <c r="AD139" s="155">
        <f t="shared" ca="1" si="200"/>
        <v>1.6216216216216217</v>
      </c>
      <c r="AL139" s="255">
        <f t="shared" ca="1" si="181"/>
        <v>1444245.2</v>
      </c>
      <c r="AM139" s="70">
        <f t="shared" ca="1" si="182"/>
        <v>1195963.1893947907</v>
      </c>
      <c r="AN139" s="365">
        <f t="shared" ca="1" si="183"/>
        <v>2042226.7946973953</v>
      </c>
      <c r="AO139" s="365">
        <f t="shared" ca="1" si="184"/>
        <v>846263.60530260461</v>
      </c>
    </row>
    <row r="140" spans="1:41" ht="22.5" customHeight="1" x14ac:dyDescent="0.25">
      <c r="A140" s="366" t="s">
        <v>331</v>
      </c>
      <c r="B140" s="153">
        <f t="shared" ca="1" si="186"/>
        <v>2558396.65</v>
      </c>
      <c r="C140" s="154" t="str">
        <f t="shared" si="143"/>
        <v/>
      </c>
      <c r="D140" s="155" t="str">
        <f t="shared" si="187"/>
        <v/>
      </c>
      <c r="E140" s="154">
        <f t="shared" ca="1" si="144"/>
        <v>329930</v>
      </c>
      <c r="F140" s="155">
        <f t="shared" ca="1" si="188"/>
        <v>0</v>
      </c>
      <c r="G140" s="154">
        <f t="shared" ca="1" si="145"/>
        <v>288575</v>
      </c>
      <c r="H140" s="155">
        <f t="shared" ca="1" si="189"/>
        <v>0</v>
      </c>
      <c r="I140" s="154" t="str">
        <f t="shared" ca="1" si="146"/>
        <v/>
      </c>
      <c r="J140" s="155" t="str">
        <f t="shared" ca="1" si="190"/>
        <v/>
      </c>
      <c r="K140" s="154">
        <f t="shared" ca="1" si="147"/>
        <v>5100000</v>
      </c>
      <c r="L140" s="155">
        <f t="shared" ca="1" si="191"/>
        <v>0</v>
      </c>
      <c r="M140" s="154">
        <f t="shared" ca="1" si="148"/>
        <v>4271250</v>
      </c>
      <c r="N140" s="155">
        <f t="shared" ca="1" si="192"/>
        <v>0</v>
      </c>
      <c r="O140" s="154" t="str">
        <f t="shared" ca="1" si="201"/>
        <v/>
      </c>
      <c r="P140" s="155" t="str">
        <f t="shared" ca="1" si="193"/>
        <v/>
      </c>
      <c r="Q140" s="154">
        <f t="shared" ca="1" si="150"/>
        <v>7480000</v>
      </c>
      <c r="R140" s="155">
        <f t="shared" ca="1" si="194"/>
        <v>0</v>
      </c>
      <c r="S140" s="154">
        <f t="shared" ca="1" si="151"/>
        <v>561000</v>
      </c>
      <c r="T140" s="155">
        <f t="shared" ca="1" si="195"/>
        <v>0</v>
      </c>
      <c r="U140" s="154">
        <f t="shared" ca="1" si="152"/>
        <v>269195</v>
      </c>
      <c r="V140" s="155">
        <f t="shared" ca="1" si="196"/>
        <v>0</v>
      </c>
      <c r="W140" s="154">
        <f t="shared" ca="1" si="153"/>
        <v>297500</v>
      </c>
      <c r="X140" s="155">
        <f t="shared" ca="1" si="197"/>
        <v>0</v>
      </c>
      <c r="Y140" s="154">
        <f t="shared" ca="1" si="154"/>
        <v>297500</v>
      </c>
      <c r="Z140" s="155">
        <f t="shared" ca="1" si="198"/>
        <v>0</v>
      </c>
      <c r="AA140" s="154" t="str">
        <f t="shared" ca="1" si="155"/>
        <v/>
      </c>
      <c r="AB140" s="155" t="str">
        <f t="shared" ca="1" si="199"/>
        <v/>
      </c>
      <c r="AC140" s="154">
        <f t="shared" ca="1" si="156"/>
        <v>4250000</v>
      </c>
      <c r="AD140" s="155">
        <f t="shared" ca="1" si="200"/>
        <v>0</v>
      </c>
      <c r="AL140" s="255">
        <f t="shared" ca="1" si="181"/>
        <v>2314495</v>
      </c>
      <c r="AM140" s="70">
        <f t="shared" ca="1" si="182"/>
        <v>2558396.6521202298</v>
      </c>
      <c r="AN140" s="365">
        <f t="shared" ca="1" si="183"/>
        <v>3593693.3260601149</v>
      </c>
      <c r="AO140" s="365">
        <f t="shared" ca="1" si="184"/>
        <v>1035296.6739398851</v>
      </c>
    </row>
  </sheetData>
  <sheetProtection algorithmName="SHA-512" hashValue="V34vndzyO1mW+92KQpL55TvzIzQ6XW0ODjDiOq+dgWtG3godPfkeoyc8TnR2TcS6WTFuzMMQINz/WlmcnMFU4A==" saltValue="QgsmYTbpJcpko8ZEEDZcYw==" spinCount="100000" sheet="1" objects="1" scenarios="1"/>
  <mergeCells count="99">
    <mergeCell ref="I7:J7"/>
    <mergeCell ref="I8:J8"/>
    <mergeCell ref="S8:T8"/>
    <mergeCell ref="U8:V8"/>
    <mergeCell ref="K7:L7"/>
    <mergeCell ref="A1:Z1"/>
    <mergeCell ref="A3:B3"/>
    <mergeCell ref="E3:H3"/>
    <mergeCell ref="K3:M3"/>
    <mergeCell ref="E4:F4"/>
    <mergeCell ref="G4:H4"/>
    <mergeCell ref="K4:M5"/>
    <mergeCell ref="E5:F5"/>
    <mergeCell ref="G5:H5"/>
    <mergeCell ref="A7:A8"/>
    <mergeCell ref="C7:D7"/>
    <mergeCell ref="E7:F7"/>
    <mergeCell ref="G7:H7"/>
    <mergeCell ref="AI7:AJ7"/>
    <mergeCell ref="M7:N7"/>
    <mergeCell ref="O7:P7"/>
    <mergeCell ref="Q7:R7"/>
    <mergeCell ref="S7:T7"/>
    <mergeCell ref="U7:V7"/>
    <mergeCell ref="W7:X7"/>
    <mergeCell ref="Y7:Z7"/>
    <mergeCell ref="AA7:AB7"/>
    <mergeCell ref="AC7:AD7"/>
    <mergeCell ref="AE7:AF7"/>
    <mergeCell ref="AG7:AH7"/>
    <mergeCell ref="W8:X8"/>
    <mergeCell ref="Y8:Z8"/>
    <mergeCell ref="AA8:AB8"/>
    <mergeCell ref="A9:B9"/>
    <mergeCell ref="C9:D9"/>
    <mergeCell ref="E9:F9"/>
    <mergeCell ref="G9:H9"/>
    <mergeCell ref="I9:J9"/>
    <mergeCell ref="C8:D8"/>
    <mergeCell ref="E8:F8"/>
    <mergeCell ref="G8:H8"/>
    <mergeCell ref="O9:P9"/>
    <mergeCell ref="K8:L8"/>
    <mergeCell ref="M8:N8"/>
    <mergeCell ref="O8:P8"/>
    <mergeCell ref="Q8:R8"/>
    <mergeCell ref="AE8:AF8"/>
    <mergeCell ref="AI9:AJ9"/>
    <mergeCell ref="AC9:AD9"/>
    <mergeCell ref="AE9:AF9"/>
    <mergeCell ref="AG9:AH9"/>
    <mergeCell ref="AI8:AJ8"/>
    <mergeCell ref="AC8:AD8"/>
    <mergeCell ref="AG8:AH8"/>
    <mergeCell ref="A10:B10"/>
    <mergeCell ref="C10:D10"/>
    <mergeCell ref="E10:F10"/>
    <mergeCell ref="G10:H10"/>
    <mergeCell ref="I10:J10"/>
    <mergeCell ref="K10:L10"/>
    <mergeCell ref="M10:N10"/>
    <mergeCell ref="W9:X9"/>
    <mergeCell ref="Y9:Z9"/>
    <mergeCell ref="AA9:AB9"/>
    <mergeCell ref="K9:L9"/>
    <mergeCell ref="M9:N9"/>
    <mergeCell ref="Q9:R9"/>
    <mergeCell ref="S9:T9"/>
    <mergeCell ref="U9:V9"/>
    <mergeCell ref="AE10:AF10"/>
    <mergeCell ref="AG10:AH10"/>
    <mergeCell ref="AI10:AJ10"/>
    <mergeCell ref="O10:P10"/>
    <mergeCell ref="Q10:R10"/>
    <mergeCell ref="S10:T10"/>
    <mergeCell ref="U10:V10"/>
    <mergeCell ref="W10:X10"/>
    <mergeCell ref="Y10:Z10"/>
    <mergeCell ref="M11:N11"/>
    <mergeCell ref="O11:P11"/>
    <mergeCell ref="Q11:R11"/>
    <mergeCell ref="AA10:AB10"/>
    <mergeCell ref="AC10:AD10"/>
    <mergeCell ref="AE11:AF11"/>
    <mergeCell ref="AG11:AH11"/>
    <mergeCell ref="AI11:AJ11"/>
    <mergeCell ref="A103:C103"/>
    <mergeCell ref="S11:T11"/>
    <mergeCell ref="U11:V11"/>
    <mergeCell ref="W11:X11"/>
    <mergeCell ref="Y11:Z11"/>
    <mergeCell ref="AA11:AB11"/>
    <mergeCell ref="AC11:AD11"/>
    <mergeCell ref="A11:B11"/>
    <mergeCell ref="C11:D11"/>
    <mergeCell ref="E11:F11"/>
    <mergeCell ref="G11:H11"/>
    <mergeCell ref="I11:J11"/>
    <mergeCell ref="K11:L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30</vt:i4>
      </vt:variant>
    </vt:vector>
  </HeadingPairs>
  <TitlesOfParts>
    <vt:vector size="40" baseType="lpstr">
      <vt:lpstr>1_ENTREGA</vt:lpstr>
      <vt:lpstr>2_APERTURA DE SOBRES</vt:lpstr>
      <vt:lpstr>5,1. REQUISITOS JURÍDICOS</vt:lpstr>
      <vt:lpstr>5.2. EXPERIENCIA GRAL Y ESP</vt:lpstr>
      <vt:lpstr>5.4 CAP FINANCIERA</vt:lpstr>
      <vt:lpstr>5.5 REQUISITOS COMERCIALES</vt:lpstr>
      <vt:lpstr>PRESUPUESTO</vt:lpstr>
      <vt:lpstr>RESUMEN</vt:lpstr>
      <vt:lpstr>Cálculo Pt2</vt:lpstr>
      <vt:lpstr>10. EVALUACIÓN</vt:lpstr>
      <vt:lpstr>APERTURA</vt:lpstr>
      <vt:lpstr>'1_ENTREGA'!Área_de_impresión</vt:lpstr>
      <vt:lpstr>AU</vt:lpstr>
      <vt:lpstr>BANDERA</vt:lpstr>
      <vt:lpstr>C_FINANCIERA</vt:lpstr>
      <vt:lpstr>EST_UNI</vt:lpstr>
      <vt:lpstr>ESTATUS</vt:lpstr>
      <vt:lpstr>EVALUACION</vt:lpstr>
      <vt:lpstr>EXPERIENCIA</vt:lpstr>
      <vt:lpstr>LISTA_OFERENTES</vt:lpstr>
      <vt:lpstr>OFERENTE_1</vt:lpstr>
      <vt:lpstr>OFERENTE_10</vt:lpstr>
      <vt:lpstr>OFERENTE_11</vt:lpstr>
      <vt:lpstr>OFERENTE_12</vt:lpstr>
      <vt:lpstr>OFERENTE_13</vt:lpstr>
      <vt:lpstr>OFERENTE_14</vt:lpstr>
      <vt:lpstr>OFERENTE_2</vt:lpstr>
      <vt:lpstr>OFERENTE_3</vt:lpstr>
      <vt:lpstr>OFERENTE_4</vt:lpstr>
      <vt:lpstr>OFERENTE_5</vt:lpstr>
      <vt:lpstr>OFERENTE_6</vt:lpstr>
      <vt:lpstr>OFERENTE_7</vt:lpstr>
      <vt:lpstr>OFERENTE_8</vt:lpstr>
      <vt:lpstr>OFERENTE_9</vt:lpstr>
      <vt:lpstr>OFERTA_0</vt:lpstr>
      <vt:lpstr>'10. EVALUACIÓN'!ORDEN</vt:lpstr>
      <vt:lpstr>PT_2</vt:lpstr>
      <vt:lpstr>R_COMERCIALES</vt:lpstr>
      <vt:lpstr>V_UNITARIOS</vt:lpstr>
      <vt:lpstr>VER_UNI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usuario</cp:lastModifiedBy>
  <cp:lastPrinted>2020-08-04T01:46:37Z</cp:lastPrinted>
  <dcterms:created xsi:type="dcterms:W3CDTF">2020-08-04T01:26:52Z</dcterms:created>
  <dcterms:modified xsi:type="dcterms:W3CDTF">2021-09-14T19:44:33Z</dcterms:modified>
</cp:coreProperties>
</file>