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is Documentos\Control de plagas\Contrato 2020\"/>
    </mc:Choice>
  </mc:AlternateContent>
  <bookViews>
    <workbookView xWindow="0" yWindow="0" windowWidth="28800" windowHeight="12345" tabRatio="921" activeTab="9"/>
  </bookViews>
  <sheets>
    <sheet name="1_ENTREGA" sheetId="2" r:id="rId1"/>
    <sheet name="2_APERTURA DE SOBRES" sheetId="35" r:id="rId2"/>
    <sheet name="5,1. REQUISITOS JURÍDICOS" sheetId="21" r:id="rId3"/>
    <sheet name="5.2.1 EXPERIENCIA GRAL" sheetId="36" r:id="rId4"/>
    <sheet name="5.3 CAP FINANCIERA" sheetId="37" r:id="rId5"/>
    <sheet name="PRESUPUESTO" sheetId="53" r:id="rId6"/>
    <sheet name="5.4 REQUISITOS COMERCIALES" sheetId="38" r:id="rId7"/>
    <sheet name="VALORES UNITARIOS" sheetId="55" r:id="rId8"/>
    <sheet name="RESUMEN" sheetId="44" r:id="rId9"/>
    <sheet name="10. EVALUACIÓN" sheetId="18" r:id="rId10"/>
  </sheets>
  <externalReferences>
    <externalReference r:id="rId11"/>
    <externalReference r:id="rId12"/>
  </externalReferences>
  <definedNames>
    <definedName name="_Dist_Bin" hidden="1">[1]MPC3I4!$A$2040:$DD$3161</definedName>
    <definedName name="_Dist_Values" hidden="1">[1]MPC3I4!$A$2552:$IV$3906</definedName>
    <definedName name="_Fill" localSheetId="7" hidden="1">#REF!</definedName>
    <definedName name="_Fill" hidden="1">#REF!</definedName>
    <definedName name="_xlnm.Print_Area" localSheetId="0">'1_ENTREGA'!$A$1:$B$25</definedName>
    <definedName name="_xlnm.Print_Area" localSheetId="1">'2_APERTURA DE SOBRES'!$A$1:$I$24</definedName>
    <definedName name="AU">PRESUPUESTO!$G$73:$H$87</definedName>
    <definedName name="B" localSheetId="7" hidden="1">#REF!</definedName>
    <definedName name="B" hidden="1">#REF!</definedName>
    <definedName name="BANDERA">'5.2.1 EXPERIENCIA GRAL'!$AD$12:$AE$26</definedName>
    <definedName name="C_FINANCIERA">'5.3 CAP FINANCIERA'!$R$6:$T$20</definedName>
    <definedName name="CD_1" localSheetId="7">'VALORES UNITARIOS'!#REF!</definedName>
    <definedName name="CD_1">PRESUPUESTO!#REF!</definedName>
    <definedName name="COSTO_D" localSheetId="7">'VALORES UNITARIOS'!$G$53:$H$67</definedName>
    <definedName name="COSTO_D">PRESUPUESTO!$G$50:$H$64</definedName>
    <definedName name="EST_EXP" localSheetId="7">'VALORES UNITARIOS'!$M$47:$BC$48</definedName>
    <definedName name="EST_EXP">PRESUPUESTO!$L$45:$CV$46</definedName>
    <definedName name="ESTATUS">RESUMEN!$B$5:$I$19</definedName>
    <definedName name="EXPERIENCIA">'5.2.1 EXPERIENCIA GRAL'!$W$12:$Z$26</definedName>
    <definedName name="ITEM" localSheetId="7">#REF!</definedName>
    <definedName name="ITEM">#REF!</definedName>
    <definedName name="ITEMS_REPRE">#REF!</definedName>
    <definedName name="LISTA_OFERENTES">'1_ENTREGA'!$A$7:$B$21</definedName>
    <definedName name="OFERENTE_1">PRESUPUESTO!$L$12:$R$38</definedName>
    <definedName name="OFERENTE_2">PRESUPUESTO!$AD$12:$AJ$38</definedName>
    <definedName name="OFERENTE_3">PRESUPUESTO!$AV$12:$BB$38</definedName>
    <definedName name="OFERENTE_4">PRESUPUESTO!$BN$12:$BT$38</definedName>
    <definedName name="OFERENTE_5">PRESUPUESTO!$CF$12:$CL$38</definedName>
    <definedName name="OFERTA_0">PRESUPUESTO!$B$12:$H$38</definedName>
    <definedName name="ORDEN">'10. EVALUACIÓN'!$AE$13:$AF$16</definedName>
    <definedName name="PRESUPUESTO">PRESUPUESTO!$B$50:$E$54</definedName>
    <definedName name="R_COMERCIALES">'5.4 REQUISITOS COMERCIALES'!$L$4:$N$18</definedName>
    <definedName name="UNITARIO_1">'VALORES UNITARIOS'!$K$10:$Q$39</definedName>
    <definedName name="UNITARIO_2">'VALORES UNITARIOS'!$T$10:$Z$39</definedName>
    <definedName name="UNITARIO_3">'VALORES UNITARIOS'!$AC$10:$AI$39</definedName>
    <definedName name="UNITARIO_4">'VALORES UNITARIOS'!$AL$10:$AR$39</definedName>
    <definedName name="UNITARIO_5">'VALORES UNITARIOS'!$AU$10:$BA$39</definedName>
    <definedName name="wrn.GENERAL." hidden="1">{"TAB1",#N/A,TRUE,"GENERAL";"TAB2",#N/A,TRUE,"GENERAL";"TAB3",#N/A,TRUE,"GENERAL";"TAB4",#N/A,TRUE,"GENERAL";"TAB5",#N/A,TRUE,"GENERAL"}</definedName>
    <definedName name="wrn.items." localSheetId="9" hidden="1">{#N/A,#N/A,FALSE,"Items"}</definedName>
    <definedName name="wrn.items." localSheetId="2" hidden="1">{#N/A,#N/A,FALSE,"Items"}</definedName>
    <definedName name="wrn.items." hidden="1">{#N/A,#N/A,FALSE,"Items"}</definedName>
    <definedName name="wrn.via." hidden="1">{"via1",#N/A,TRUE,"general";"via2",#N/A,TRUE,"general";"via3",#N/A,TRUE,"general"}</definedName>
    <definedName name="wrn1.items" localSheetId="9" hidden="1">{#N/A,#N/A,FALSE,"Items"}</definedName>
    <definedName name="wrn1.items" localSheetId="2" hidden="1">{#N/A,#N/A,FALSE,"Items"}</definedName>
    <definedName name="wrn1.items" hidden="1">{#N/A,#N/A,FALSE,"Items"}</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'1_ENTREGA'!$A$1:$B$8</definedName>
    <definedName name="Z_0DF4D8E0_70F8_43CF_A6D4_A84D04F4D812_.wvu.Rows" localSheetId="0" hidden="1">'1_ENTREGA'!#REF!</definedName>
  </definedNames>
  <calcPr calcId="162913"/>
</workbook>
</file>

<file path=xl/calcChain.xml><?xml version="1.0" encoding="utf-8"?>
<calcChain xmlns="http://schemas.openxmlformats.org/spreadsheetml/2006/main">
  <c r="I14" i="18" l="1"/>
  <c r="J14" i="18"/>
  <c r="K14" i="18"/>
  <c r="L14" i="18"/>
  <c r="M14" i="18"/>
  <c r="N14" i="18"/>
  <c r="O14" i="18"/>
  <c r="P14" i="18"/>
  <c r="Q14" i="18"/>
  <c r="R14" i="18"/>
  <c r="S14" i="18"/>
  <c r="T14" i="18"/>
  <c r="U14" i="18"/>
  <c r="V14" i="18"/>
  <c r="W14" i="18"/>
  <c r="X14" i="18"/>
  <c r="Y14" i="18"/>
  <c r="H14" i="18"/>
  <c r="G14" i="18"/>
  <c r="N6" i="38" l="1"/>
  <c r="N7" i="38"/>
  <c r="N8" i="38"/>
  <c r="N9" i="38"/>
  <c r="N10" i="38"/>
  <c r="N11" i="38"/>
  <c r="N12" i="38"/>
  <c r="N13" i="38"/>
  <c r="N14" i="38"/>
  <c r="N15" i="38"/>
  <c r="N16" i="38"/>
  <c r="N17" i="38"/>
  <c r="N18" i="38"/>
  <c r="Q35" i="55" l="1"/>
  <c r="Q34" i="55"/>
  <c r="Q33" i="55"/>
  <c r="Q32" i="55"/>
  <c r="Q31" i="55"/>
  <c r="Q30" i="55"/>
  <c r="Q29" i="55"/>
  <c r="Q28" i="55"/>
  <c r="Q27" i="55"/>
  <c r="Q26" i="55"/>
  <c r="N26" i="55"/>
  <c r="Q25" i="55"/>
  <c r="Q24" i="55"/>
  <c r="Q23" i="55"/>
  <c r="Q22" i="55"/>
  <c r="Q36" i="55" s="1"/>
  <c r="Q17" i="55"/>
  <c r="Q16" i="55"/>
  <c r="Q15" i="55"/>
  <c r="Q14" i="55"/>
  <c r="Q13" i="55"/>
  <c r="Q18" i="55" s="1"/>
  <c r="BE14" i="53"/>
  <c r="BF14" i="53"/>
  <c r="BE15" i="53"/>
  <c r="BF15" i="53"/>
  <c r="BE16" i="53"/>
  <c r="BF16" i="53"/>
  <c r="BE17" i="53"/>
  <c r="BF17" i="53"/>
  <c r="BE22" i="53"/>
  <c r="BF22" i="53"/>
  <c r="BE23" i="53"/>
  <c r="BF23" i="53"/>
  <c r="BE24" i="53"/>
  <c r="BF24" i="53"/>
  <c r="BE25" i="53"/>
  <c r="BF25" i="53"/>
  <c r="BE26" i="53"/>
  <c r="BF26" i="53"/>
  <c r="BE27" i="53"/>
  <c r="BF27" i="53"/>
  <c r="BE28" i="53"/>
  <c r="BF28" i="53"/>
  <c r="BE29" i="53"/>
  <c r="BF29" i="53"/>
  <c r="BE30" i="53"/>
  <c r="BF30" i="53"/>
  <c r="BE31" i="53"/>
  <c r="BF31" i="53"/>
  <c r="BE32" i="53"/>
  <c r="BF32" i="53"/>
  <c r="BE33" i="53"/>
  <c r="BF33" i="53"/>
  <c r="BE34" i="53"/>
  <c r="BF34" i="53"/>
  <c r="BE35" i="53"/>
  <c r="BF35" i="53"/>
  <c r="BF13" i="53"/>
  <c r="BE13" i="53"/>
  <c r="BB35" i="53"/>
  <c r="BB34" i="53"/>
  <c r="BB33" i="53"/>
  <c r="BB32" i="53"/>
  <c r="BB31" i="53"/>
  <c r="BB30" i="53"/>
  <c r="BB29" i="53"/>
  <c r="BB28" i="53"/>
  <c r="BB27" i="53"/>
  <c r="BB26" i="53"/>
  <c r="AY26" i="53"/>
  <c r="BB25" i="53"/>
  <c r="BB24" i="53"/>
  <c r="BB23" i="53"/>
  <c r="BB22" i="53"/>
  <c r="BB36" i="53" s="1"/>
  <c r="BB17" i="53"/>
  <c r="BB16" i="53"/>
  <c r="BB15" i="53"/>
  <c r="BB14" i="53"/>
  <c r="BB13" i="53"/>
  <c r="BB18" i="53" s="1"/>
  <c r="Q19" i="55" l="1"/>
  <c r="Q20" i="55" s="1"/>
  <c r="Q37" i="55"/>
  <c r="Q38" i="55" s="1"/>
  <c r="BB19" i="53"/>
  <c r="BB20" i="53" s="1"/>
  <c r="BB37" i="53"/>
  <c r="BB38" i="53" s="1"/>
  <c r="AN14" i="53" l="1"/>
  <c r="AN15" i="53"/>
  <c r="AN16" i="53"/>
  <c r="AN17" i="53"/>
  <c r="AN22" i="53"/>
  <c r="AN23" i="53"/>
  <c r="AN24" i="53"/>
  <c r="AN25" i="53"/>
  <c r="AN26" i="53"/>
  <c r="AN27" i="53"/>
  <c r="AN28" i="53"/>
  <c r="AN29" i="53"/>
  <c r="AN30" i="53"/>
  <c r="AN31" i="53"/>
  <c r="AN32" i="53"/>
  <c r="AN33" i="53"/>
  <c r="AN34" i="53"/>
  <c r="AN35" i="53"/>
  <c r="AN13" i="53"/>
  <c r="AM14" i="53"/>
  <c r="AM15" i="53"/>
  <c r="AM16" i="53"/>
  <c r="AM17" i="53"/>
  <c r="AM22" i="53"/>
  <c r="AM23" i="53"/>
  <c r="AM24" i="53"/>
  <c r="AM25" i="53"/>
  <c r="AM26" i="53"/>
  <c r="AM27" i="53"/>
  <c r="AM28" i="53"/>
  <c r="AM29" i="53"/>
  <c r="AM30" i="53"/>
  <c r="AM31" i="53"/>
  <c r="AM32" i="53"/>
  <c r="AM33" i="53"/>
  <c r="AM34" i="53"/>
  <c r="AM35" i="53"/>
  <c r="AM13" i="53"/>
  <c r="AJ35" i="53"/>
  <c r="AJ34" i="53"/>
  <c r="AJ33" i="53"/>
  <c r="AJ32" i="53"/>
  <c r="AJ31" i="53"/>
  <c r="AJ30" i="53"/>
  <c r="AJ29" i="53"/>
  <c r="AJ28" i="53"/>
  <c r="AJ27" i="53"/>
  <c r="AJ26" i="53"/>
  <c r="AG26" i="53"/>
  <c r="AJ25" i="53"/>
  <c r="AJ24" i="53"/>
  <c r="AJ23" i="53"/>
  <c r="AJ22" i="53"/>
  <c r="AJ36" i="53" s="1"/>
  <c r="AJ17" i="53"/>
  <c r="AJ16" i="53"/>
  <c r="AJ15" i="53"/>
  <c r="AJ14" i="53"/>
  <c r="AJ13" i="53"/>
  <c r="AJ18" i="53" s="1"/>
  <c r="AJ19" i="53" l="1"/>
  <c r="AJ20" i="53" s="1"/>
  <c r="AJ37" i="53"/>
  <c r="AJ38" i="53" s="1"/>
  <c r="R35" i="53" l="1"/>
  <c r="X35" i="53" s="1"/>
  <c r="R34" i="53"/>
  <c r="R33" i="53"/>
  <c r="R32" i="53"/>
  <c r="R31" i="53"/>
  <c r="X31" i="53" s="1"/>
  <c r="R30" i="53"/>
  <c r="R29" i="53"/>
  <c r="R28" i="53"/>
  <c r="R27" i="53"/>
  <c r="X27" i="53" s="1"/>
  <c r="R26" i="53"/>
  <c r="O26" i="53"/>
  <c r="R25" i="53"/>
  <c r="R24" i="53"/>
  <c r="X24" i="53" s="1"/>
  <c r="R23" i="53"/>
  <c r="R22" i="53"/>
  <c r="R36" i="53" s="1"/>
  <c r="R17" i="53"/>
  <c r="R16" i="53"/>
  <c r="R15" i="53"/>
  <c r="X15" i="53" s="1"/>
  <c r="R14" i="53"/>
  <c r="R13" i="53"/>
  <c r="R18" i="53" s="1"/>
  <c r="W35" i="53"/>
  <c r="V35" i="53"/>
  <c r="U35" i="53"/>
  <c r="Y35" i="53" s="1"/>
  <c r="T35" i="53"/>
  <c r="Z34" i="53"/>
  <c r="AA34" i="53" s="1"/>
  <c r="X34" i="53"/>
  <c r="W34" i="53"/>
  <c r="V34" i="53"/>
  <c r="U34" i="53"/>
  <c r="T34" i="53"/>
  <c r="Y34" i="53" s="1"/>
  <c r="Z33" i="53"/>
  <c r="AA33" i="53" s="1"/>
  <c r="X33" i="53"/>
  <c r="W33" i="53"/>
  <c r="V33" i="53"/>
  <c r="U33" i="53"/>
  <c r="T33" i="53"/>
  <c r="Y33" i="53" s="1"/>
  <c r="Z32" i="53"/>
  <c r="AA32" i="53" s="1"/>
  <c r="X32" i="53"/>
  <c r="W32" i="53"/>
  <c r="V32" i="53"/>
  <c r="U32" i="53"/>
  <c r="T32" i="53"/>
  <c r="Y32" i="53" s="1"/>
  <c r="W31" i="53"/>
  <c r="V31" i="53"/>
  <c r="U31" i="53"/>
  <c r="Y31" i="53" s="1"/>
  <c r="T31" i="53"/>
  <c r="Z30" i="53"/>
  <c r="AA30" i="53" s="1"/>
  <c r="X30" i="53"/>
  <c r="W30" i="53"/>
  <c r="V30" i="53"/>
  <c r="U30" i="53"/>
  <c r="T30" i="53"/>
  <c r="Y30" i="53" s="1"/>
  <c r="Z29" i="53"/>
  <c r="AA29" i="53" s="1"/>
  <c r="X29" i="53"/>
  <c r="W29" i="53"/>
  <c r="V29" i="53"/>
  <c r="U29" i="53"/>
  <c r="T29" i="53"/>
  <c r="Y29" i="53" s="1"/>
  <c r="Z28" i="53"/>
  <c r="AA28" i="53" s="1"/>
  <c r="X28" i="53"/>
  <c r="W28" i="53"/>
  <c r="V28" i="53"/>
  <c r="U28" i="53"/>
  <c r="T28" i="53"/>
  <c r="Y28" i="53" s="1"/>
  <c r="W27" i="53"/>
  <c r="V27" i="53"/>
  <c r="U27" i="53"/>
  <c r="Y27" i="53" s="1"/>
  <c r="T27" i="53"/>
  <c r="Z26" i="53"/>
  <c r="AA26" i="53" s="1"/>
  <c r="X26" i="53"/>
  <c r="W26" i="53"/>
  <c r="V26" i="53"/>
  <c r="U26" i="53"/>
  <c r="T26" i="53"/>
  <c r="Y26" i="53" s="1"/>
  <c r="Z25" i="53"/>
  <c r="AA25" i="53" s="1"/>
  <c r="X25" i="53"/>
  <c r="W25" i="53"/>
  <c r="V25" i="53"/>
  <c r="U25" i="53"/>
  <c r="T25" i="53"/>
  <c r="Y25" i="53" s="1"/>
  <c r="Z24" i="53"/>
  <c r="AA24" i="53" s="1"/>
  <c r="W24" i="53"/>
  <c r="V24" i="53"/>
  <c r="U24" i="53"/>
  <c r="T24" i="53"/>
  <c r="Y24" i="53" s="1"/>
  <c r="Z23" i="53"/>
  <c r="AA23" i="53" s="1"/>
  <c r="X23" i="53"/>
  <c r="W23" i="53"/>
  <c r="V23" i="53"/>
  <c r="U23" i="53"/>
  <c r="Y23" i="53" s="1"/>
  <c r="T23" i="53"/>
  <c r="Z22" i="53"/>
  <c r="AA22" i="53" s="1"/>
  <c r="X22" i="53"/>
  <c r="W22" i="53"/>
  <c r="V22" i="53"/>
  <c r="U22" i="53"/>
  <c r="T22" i="53"/>
  <c r="Y22" i="53" s="1"/>
  <c r="Z17" i="53"/>
  <c r="AA17" i="53" s="1"/>
  <c r="X17" i="53"/>
  <c r="W17" i="53"/>
  <c r="V17" i="53"/>
  <c r="U17" i="53"/>
  <c r="T17" i="53"/>
  <c r="Y17" i="53" s="1"/>
  <c r="Z16" i="53"/>
  <c r="AA16" i="53" s="1"/>
  <c r="X16" i="53"/>
  <c r="W16" i="53"/>
  <c r="V16" i="53"/>
  <c r="U16" i="53"/>
  <c r="T16" i="53"/>
  <c r="Y16" i="53" s="1"/>
  <c r="Z15" i="53"/>
  <c r="AA15" i="53" s="1"/>
  <c r="W15" i="53"/>
  <c r="V15" i="53"/>
  <c r="U15" i="53"/>
  <c r="Y15" i="53" s="1"/>
  <c r="T15" i="53"/>
  <c r="Z14" i="53"/>
  <c r="AA14" i="53" s="1"/>
  <c r="X14" i="53"/>
  <c r="W14" i="53"/>
  <c r="V14" i="53"/>
  <c r="U14" i="53"/>
  <c r="Y14" i="53" s="1"/>
  <c r="T14" i="53"/>
  <c r="Z13" i="53"/>
  <c r="AA13" i="53" s="1"/>
  <c r="X13" i="53"/>
  <c r="W13" i="53"/>
  <c r="V13" i="53"/>
  <c r="U13" i="53"/>
  <c r="T13" i="53"/>
  <c r="Y13" i="53" s="1"/>
  <c r="O2" i="53"/>
  <c r="L45" i="53" s="1"/>
  <c r="R20" i="53" l="1"/>
  <c r="R19" i="53"/>
  <c r="R38" i="53"/>
  <c r="S22" i="53"/>
  <c r="R37" i="53"/>
  <c r="R40" i="53"/>
  <c r="Y46" i="53"/>
  <c r="Z27" i="53"/>
  <c r="AA27" i="53" s="1"/>
  <c r="Z31" i="53"/>
  <c r="AA31" i="53" s="1"/>
  <c r="Z35" i="53"/>
  <c r="AA35" i="53" s="1"/>
  <c r="AA41" i="53"/>
  <c r="R42" i="53" l="1"/>
  <c r="R41" i="53"/>
  <c r="S13" i="53"/>
  <c r="S40" i="53" s="1"/>
  <c r="W46" i="53" s="1"/>
  <c r="AA42" i="53" l="1"/>
  <c r="AA46" i="53" s="1"/>
  <c r="Q40" i="55" l="1"/>
  <c r="Q41" i="55" s="1"/>
  <c r="Z40" i="55"/>
  <c r="Z41" i="55" s="1"/>
  <c r="AI40" i="55"/>
  <c r="AI41" i="55" s="1"/>
  <c r="AI42" i="55" s="1"/>
  <c r="Q42" i="55" l="1"/>
  <c r="Z42" i="55"/>
  <c r="BB40" i="53"/>
  <c r="AJ40" i="53"/>
  <c r="BB39" i="53" l="1"/>
  <c r="BB41" i="53"/>
  <c r="BB42" i="53" s="1"/>
  <c r="AJ41" i="53"/>
  <c r="AJ42" i="53" s="1"/>
  <c r="I53" i="55" l="1"/>
  <c r="H41" i="55"/>
  <c r="H35" i="55"/>
  <c r="H34" i="55"/>
  <c r="H33" i="55"/>
  <c r="H32" i="55"/>
  <c r="H31" i="55"/>
  <c r="H30" i="55"/>
  <c r="H29" i="55"/>
  <c r="H28" i="55"/>
  <c r="H27" i="55"/>
  <c r="H26" i="55"/>
  <c r="E26" i="55"/>
  <c r="H25" i="55"/>
  <c r="H24" i="55"/>
  <c r="H23" i="55"/>
  <c r="H22" i="55"/>
  <c r="H17" i="55"/>
  <c r="H16" i="55"/>
  <c r="H15" i="55"/>
  <c r="H14" i="55"/>
  <c r="H13" i="55"/>
  <c r="I50" i="53"/>
  <c r="CQ46" i="53"/>
  <c r="CN35" i="53"/>
  <c r="CS35" i="53" s="1"/>
  <c r="CN34" i="53"/>
  <c r="CN33" i="53"/>
  <c r="CS33" i="53" s="1"/>
  <c r="CN32" i="53"/>
  <c r="CN31" i="53"/>
  <c r="CS31" i="53" s="1"/>
  <c r="CN30" i="53"/>
  <c r="CN29" i="53"/>
  <c r="CS29" i="53" s="1"/>
  <c r="CN28" i="53"/>
  <c r="CN27" i="53"/>
  <c r="CS27" i="53" s="1"/>
  <c r="CN26" i="53"/>
  <c r="CN25" i="53"/>
  <c r="CS25" i="53" s="1"/>
  <c r="CN24" i="53"/>
  <c r="CN23" i="53"/>
  <c r="CS23" i="53" s="1"/>
  <c r="CN22" i="53"/>
  <c r="CN17" i="53"/>
  <c r="CN16" i="53"/>
  <c r="CS16" i="53" s="1"/>
  <c r="CN15" i="53"/>
  <c r="CN14" i="53"/>
  <c r="CN13" i="53"/>
  <c r="BV35" i="53"/>
  <c r="BV34" i="53"/>
  <c r="BV33" i="53"/>
  <c r="BV32" i="53"/>
  <c r="BV31" i="53"/>
  <c r="BV30" i="53"/>
  <c r="BV29" i="53"/>
  <c r="BV28" i="53"/>
  <c r="BV27" i="53"/>
  <c r="BV26" i="53"/>
  <c r="BV25" i="53"/>
  <c r="BV24" i="53"/>
  <c r="BV23" i="53"/>
  <c r="BV22" i="53"/>
  <c r="BV17" i="53"/>
  <c r="BV16" i="53"/>
  <c r="BV15" i="53"/>
  <c r="BV14" i="53"/>
  <c r="BV13" i="53"/>
  <c r="BD35" i="53"/>
  <c r="BD34" i="53"/>
  <c r="BD33" i="53"/>
  <c r="BD32" i="53"/>
  <c r="BD31" i="53"/>
  <c r="BD30" i="53"/>
  <c r="BD29" i="53"/>
  <c r="BD28" i="53"/>
  <c r="BD27" i="53"/>
  <c r="BD26" i="53"/>
  <c r="BD25" i="53"/>
  <c r="BD24" i="53"/>
  <c r="BD23" i="53"/>
  <c r="BD22" i="53"/>
  <c r="BD17" i="53"/>
  <c r="BD16" i="53"/>
  <c r="BD15" i="53"/>
  <c r="BD14" i="53"/>
  <c r="BD13" i="53"/>
  <c r="AL35" i="53"/>
  <c r="AL34" i="53"/>
  <c r="AL33" i="53"/>
  <c r="AL32" i="53"/>
  <c r="AL31" i="53"/>
  <c r="AL30" i="53"/>
  <c r="AL29" i="53"/>
  <c r="AL28" i="53"/>
  <c r="AL27" i="53"/>
  <c r="AL26" i="53"/>
  <c r="AL25" i="53"/>
  <c r="AL24" i="53"/>
  <c r="AL23" i="53"/>
  <c r="AL22" i="53"/>
  <c r="AL17" i="53"/>
  <c r="AL16" i="53"/>
  <c r="AL15" i="53"/>
  <c r="AL14" i="53"/>
  <c r="AL13" i="53"/>
  <c r="CT35" i="53"/>
  <c r="CU35" i="53" s="1"/>
  <c r="CT31" i="53"/>
  <c r="CU31" i="53" s="1"/>
  <c r="CT27" i="53"/>
  <c r="CU27" i="53" s="1"/>
  <c r="CR24" i="53"/>
  <c r="CT16" i="53"/>
  <c r="CU16" i="53" s="1"/>
  <c r="BZ35" i="53"/>
  <c r="BZ31" i="53"/>
  <c r="BZ27" i="53"/>
  <c r="CB24" i="53"/>
  <c r="CC24" i="53" s="1"/>
  <c r="CB16" i="53"/>
  <c r="CC16" i="53" s="1"/>
  <c r="BJ35" i="53"/>
  <c r="BK35" i="53" s="1"/>
  <c r="BJ31" i="53"/>
  <c r="BK31" i="53" s="1"/>
  <c r="BH27" i="53"/>
  <c r="BJ24" i="53"/>
  <c r="BK24" i="53" s="1"/>
  <c r="BJ16" i="53"/>
  <c r="BK16" i="53" s="1"/>
  <c r="AP35" i="53"/>
  <c r="AP31" i="53"/>
  <c r="AP27" i="53"/>
  <c r="AP24" i="53"/>
  <c r="AP16" i="53"/>
  <c r="H35" i="53"/>
  <c r="H34" i="53"/>
  <c r="H33" i="53"/>
  <c r="H32" i="53"/>
  <c r="H31" i="53"/>
  <c r="H30" i="53"/>
  <c r="H29" i="53"/>
  <c r="H28" i="53"/>
  <c r="H27" i="53"/>
  <c r="H26" i="53"/>
  <c r="E26" i="53"/>
  <c r="H25" i="53"/>
  <c r="H24" i="53"/>
  <c r="H23" i="53"/>
  <c r="H22" i="53"/>
  <c r="N5" i="38"/>
  <c r="N4" i="38"/>
  <c r="AO15" i="53"/>
  <c r="AP15" i="53"/>
  <c r="AR15" i="53"/>
  <c r="AS15" i="53" s="1"/>
  <c r="AO16" i="53"/>
  <c r="AO17" i="53"/>
  <c r="AP17" i="53"/>
  <c r="AR17" i="53"/>
  <c r="AS17" i="53" s="1"/>
  <c r="AO22" i="53"/>
  <c r="AP22" i="53"/>
  <c r="AR22" i="53"/>
  <c r="AS22" i="53" s="1"/>
  <c r="AO23" i="53"/>
  <c r="AP23" i="53"/>
  <c r="AR23" i="53"/>
  <c r="AS23" i="53" s="1"/>
  <c r="AO24" i="53"/>
  <c r="AO25" i="53"/>
  <c r="AP25" i="53"/>
  <c r="AR25" i="53"/>
  <c r="AS25" i="53" s="1"/>
  <c r="AO26" i="53"/>
  <c r="AP26" i="53"/>
  <c r="AR26" i="53"/>
  <c r="AS26" i="53" s="1"/>
  <c r="AO27" i="53"/>
  <c r="AR27" i="53"/>
  <c r="AS27" i="53" s="1"/>
  <c r="AO28" i="53"/>
  <c r="AP28" i="53"/>
  <c r="AR28" i="53"/>
  <c r="AS28" i="53" s="1"/>
  <c r="AO29" i="53"/>
  <c r="AP29" i="53"/>
  <c r="AR29" i="53"/>
  <c r="AS29" i="53" s="1"/>
  <c r="AO30" i="53"/>
  <c r="AP30" i="53"/>
  <c r="AR30" i="53"/>
  <c r="AS30" i="53" s="1"/>
  <c r="AO31" i="53"/>
  <c r="AR31" i="53"/>
  <c r="AS31" i="53" s="1"/>
  <c r="AO32" i="53"/>
  <c r="AP32" i="53"/>
  <c r="AR32" i="53"/>
  <c r="AS32" i="53" s="1"/>
  <c r="AO33" i="53"/>
  <c r="AP33" i="53"/>
  <c r="AR33" i="53"/>
  <c r="AS33" i="53" s="1"/>
  <c r="AO34" i="53"/>
  <c r="AP34" i="53"/>
  <c r="AR34" i="53"/>
  <c r="AS34" i="53" s="1"/>
  <c r="AO35" i="53"/>
  <c r="AR35" i="53"/>
  <c r="AS35" i="53" s="1"/>
  <c r="BG15" i="53"/>
  <c r="BH15" i="53"/>
  <c r="BJ15" i="53"/>
  <c r="BK15" i="53" s="1"/>
  <c r="BG16" i="53"/>
  <c r="BH16" i="53"/>
  <c r="BG17" i="53"/>
  <c r="BH17" i="53"/>
  <c r="BJ17" i="53"/>
  <c r="BK17" i="53" s="1"/>
  <c r="BG22" i="53"/>
  <c r="BH22" i="53"/>
  <c r="BJ22" i="53"/>
  <c r="BK22" i="53" s="1"/>
  <c r="BG23" i="53"/>
  <c r="BH23" i="53"/>
  <c r="BJ23" i="53"/>
  <c r="BK23" i="53" s="1"/>
  <c r="BG24" i="53"/>
  <c r="BH24" i="53"/>
  <c r="BG25" i="53"/>
  <c r="BH25" i="53"/>
  <c r="BJ25" i="53"/>
  <c r="BK25" i="53" s="1"/>
  <c r="BG26" i="53"/>
  <c r="BH26" i="53"/>
  <c r="BJ26" i="53"/>
  <c r="BK26" i="53" s="1"/>
  <c r="BG27" i="53"/>
  <c r="BG28" i="53"/>
  <c r="BH28" i="53"/>
  <c r="BJ28" i="53"/>
  <c r="BK28" i="53" s="1"/>
  <c r="BG29" i="53"/>
  <c r="BH29" i="53"/>
  <c r="BJ29" i="53"/>
  <c r="BK29" i="53" s="1"/>
  <c r="BG30" i="53"/>
  <c r="BH30" i="53"/>
  <c r="BJ30" i="53"/>
  <c r="BK30" i="53" s="1"/>
  <c r="BG31" i="53"/>
  <c r="BH31" i="53"/>
  <c r="BG32" i="53"/>
  <c r="BH32" i="53"/>
  <c r="BJ32" i="53"/>
  <c r="BK32" i="53" s="1"/>
  <c r="BG33" i="53"/>
  <c r="BH33" i="53"/>
  <c r="BJ33" i="53"/>
  <c r="BK33" i="53" s="1"/>
  <c r="BG34" i="53"/>
  <c r="BH34" i="53"/>
  <c r="BJ34" i="53"/>
  <c r="BK34" i="53" s="1"/>
  <c r="BG35" i="53"/>
  <c r="BH35" i="53"/>
  <c r="BW15" i="53"/>
  <c r="BX15" i="53"/>
  <c r="BY15" i="53"/>
  <c r="BZ15" i="53"/>
  <c r="CB15" i="53"/>
  <c r="CC15" i="53" s="1"/>
  <c r="BW16" i="53"/>
  <c r="BX16" i="53"/>
  <c r="BY16" i="53"/>
  <c r="BZ16" i="53"/>
  <c r="BW17" i="53"/>
  <c r="BX17" i="53"/>
  <c r="BY17" i="53"/>
  <c r="BZ17" i="53"/>
  <c r="CB17" i="53"/>
  <c r="CC17" i="53" s="1"/>
  <c r="BW22" i="53"/>
  <c r="BX22" i="53"/>
  <c r="BY22" i="53"/>
  <c r="BZ22" i="53"/>
  <c r="CB22" i="53"/>
  <c r="CC22" i="53" s="1"/>
  <c r="BW23" i="53"/>
  <c r="BX23" i="53"/>
  <c r="BY23" i="53"/>
  <c r="BZ23" i="53"/>
  <c r="CB23" i="53"/>
  <c r="CC23" i="53" s="1"/>
  <c r="BW24" i="53"/>
  <c r="BX24" i="53"/>
  <c r="BY24" i="53"/>
  <c r="BZ24" i="53"/>
  <c r="BW25" i="53"/>
  <c r="BX25" i="53"/>
  <c r="BY25" i="53"/>
  <c r="BZ25" i="53"/>
  <c r="CB25" i="53"/>
  <c r="CC25" i="53" s="1"/>
  <c r="BW26" i="53"/>
  <c r="BX26" i="53"/>
  <c r="BY26" i="53"/>
  <c r="BZ26" i="53"/>
  <c r="CB26" i="53"/>
  <c r="CC26" i="53" s="1"/>
  <c r="BW27" i="53"/>
  <c r="BX27" i="53"/>
  <c r="BY27" i="53"/>
  <c r="BW28" i="53"/>
  <c r="BX28" i="53"/>
  <c r="BY28" i="53"/>
  <c r="BZ28" i="53"/>
  <c r="CB28" i="53"/>
  <c r="CC28" i="53" s="1"/>
  <c r="BW29" i="53"/>
  <c r="BX29" i="53"/>
  <c r="BY29" i="53"/>
  <c r="BZ29" i="53"/>
  <c r="CB29" i="53"/>
  <c r="CC29" i="53" s="1"/>
  <c r="BW30" i="53"/>
  <c r="BX30" i="53"/>
  <c r="BY30" i="53"/>
  <c r="BZ30" i="53"/>
  <c r="CB30" i="53"/>
  <c r="CC30" i="53" s="1"/>
  <c r="BW31" i="53"/>
  <c r="BX31" i="53"/>
  <c r="BY31" i="53"/>
  <c r="BW32" i="53"/>
  <c r="BX32" i="53"/>
  <c r="BY32" i="53"/>
  <c r="BZ32" i="53"/>
  <c r="CB32" i="53"/>
  <c r="CC32" i="53" s="1"/>
  <c r="BW33" i="53"/>
  <c r="BX33" i="53"/>
  <c r="BY33" i="53"/>
  <c r="BZ33" i="53"/>
  <c r="CB33" i="53"/>
  <c r="CC33" i="53" s="1"/>
  <c r="BW34" i="53"/>
  <c r="BX34" i="53"/>
  <c r="BY34" i="53"/>
  <c r="BZ34" i="53"/>
  <c r="CB34" i="53"/>
  <c r="CC34" i="53" s="1"/>
  <c r="BW35" i="53"/>
  <c r="BX35" i="53"/>
  <c r="BY35" i="53"/>
  <c r="CO22" i="53"/>
  <c r="CP22" i="53"/>
  <c r="CQ22" i="53"/>
  <c r="CR22" i="53"/>
  <c r="CT22" i="53"/>
  <c r="CU22" i="53" s="1"/>
  <c r="CO23" i="53"/>
  <c r="CP23" i="53"/>
  <c r="CQ23" i="53"/>
  <c r="CR23" i="53"/>
  <c r="CT23" i="53"/>
  <c r="CU23" i="53" s="1"/>
  <c r="CO24" i="53"/>
  <c r="CP24" i="53"/>
  <c r="CQ24" i="53"/>
  <c r="CO25" i="53"/>
  <c r="CP25" i="53"/>
  <c r="CQ25" i="53"/>
  <c r="CR25" i="53"/>
  <c r="CT25" i="53"/>
  <c r="CU25" i="53" s="1"/>
  <c r="CO26" i="53"/>
  <c r="CP26" i="53"/>
  <c r="CQ26" i="53"/>
  <c r="CR26" i="53"/>
  <c r="CT26" i="53"/>
  <c r="CU26" i="53" s="1"/>
  <c r="CO27" i="53"/>
  <c r="CP27" i="53"/>
  <c r="CQ27" i="53"/>
  <c r="CR27" i="53"/>
  <c r="CO28" i="53"/>
  <c r="CP28" i="53"/>
  <c r="CQ28" i="53"/>
  <c r="CR28" i="53"/>
  <c r="CT28" i="53"/>
  <c r="CU28" i="53" s="1"/>
  <c r="CO29" i="53"/>
  <c r="CP29" i="53"/>
  <c r="CQ29" i="53"/>
  <c r="CR29" i="53"/>
  <c r="CT29" i="53"/>
  <c r="CU29" i="53" s="1"/>
  <c r="CO30" i="53"/>
  <c r="CP30" i="53"/>
  <c r="CQ30" i="53"/>
  <c r="CR30" i="53"/>
  <c r="CT30" i="53"/>
  <c r="CU30" i="53" s="1"/>
  <c r="CO31" i="53"/>
  <c r="CP31" i="53"/>
  <c r="CQ31" i="53"/>
  <c r="CR31" i="53"/>
  <c r="CO32" i="53"/>
  <c r="CP32" i="53"/>
  <c r="CQ32" i="53"/>
  <c r="CR32" i="53"/>
  <c r="CT32" i="53"/>
  <c r="CU32" i="53" s="1"/>
  <c r="CO33" i="53"/>
  <c r="CP33" i="53"/>
  <c r="CQ33" i="53"/>
  <c r="CR33" i="53"/>
  <c r="CT33" i="53"/>
  <c r="CU33" i="53" s="1"/>
  <c r="CO34" i="53"/>
  <c r="CP34" i="53"/>
  <c r="CQ34" i="53"/>
  <c r="CR34" i="53"/>
  <c r="CT34" i="53"/>
  <c r="CU34" i="53" s="1"/>
  <c r="CO35" i="53"/>
  <c r="CP35" i="53"/>
  <c r="CQ35" i="53"/>
  <c r="CR35" i="53"/>
  <c r="CO15" i="53"/>
  <c r="CP15" i="53"/>
  <c r="CQ15" i="53"/>
  <c r="CR15" i="53"/>
  <c r="CT15" i="53"/>
  <c r="CU15" i="53" s="1"/>
  <c r="CO16" i="53"/>
  <c r="CP16" i="53"/>
  <c r="CQ16" i="53"/>
  <c r="CR16" i="53"/>
  <c r="CO17" i="53"/>
  <c r="CP17" i="53"/>
  <c r="CQ17" i="53"/>
  <c r="CR17" i="53"/>
  <c r="CT17" i="53"/>
  <c r="CU17" i="53" s="1"/>
  <c r="X17" i="36"/>
  <c r="X18" i="36"/>
  <c r="X19" i="36"/>
  <c r="X20" i="36"/>
  <c r="X21" i="36"/>
  <c r="X22" i="36"/>
  <c r="X23" i="36"/>
  <c r="X24" i="36"/>
  <c r="X25" i="36"/>
  <c r="X26" i="36"/>
  <c r="T55" i="36"/>
  <c r="T33" i="36"/>
  <c r="CA16" i="53" l="1"/>
  <c r="CA24" i="53"/>
  <c r="CA28" i="53"/>
  <c r="CA32" i="53"/>
  <c r="CA22" i="53"/>
  <c r="CA26" i="53"/>
  <c r="CA30" i="53"/>
  <c r="CA34" i="53"/>
  <c r="BI30" i="53"/>
  <c r="BI26" i="53"/>
  <c r="BI24" i="53"/>
  <c r="BI28" i="53"/>
  <c r="BI32" i="53"/>
  <c r="BI22" i="53"/>
  <c r="BI34" i="53"/>
  <c r="BA40" i="55"/>
  <c r="BB13" i="55" s="1"/>
  <c r="AR40" i="55"/>
  <c r="AS22" i="55" s="1"/>
  <c r="AS40" i="55" s="1"/>
  <c r="AS13" i="55"/>
  <c r="AJ13" i="55"/>
  <c r="R13" i="55"/>
  <c r="H18" i="55"/>
  <c r="H36" i="55"/>
  <c r="H18" i="53"/>
  <c r="H36" i="53"/>
  <c r="H37" i="53" s="1"/>
  <c r="H38" i="53" s="1"/>
  <c r="CL40" i="53"/>
  <c r="CT24" i="53"/>
  <c r="CU24" i="53" s="1"/>
  <c r="CS17" i="53"/>
  <c r="CS15" i="53"/>
  <c r="CS32" i="53"/>
  <c r="CS30" i="53"/>
  <c r="CS28" i="53"/>
  <c r="CS26" i="53"/>
  <c r="CS24" i="53"/>
  <c r="CS22" i="53"/>
  <c r="CS34" i="53"/>
  <c r="BU22" i="53"/>
  <c r="CB35" i="53"/>
  <c r="CC35" i="53" s="1"/>
  <c r="CB31" i="53"/>
  <c r="CC31" i="53" s="1"/>
  <c r="CB27" i="53"/>
  <c r="CC27" i="53" s="1"/>
  <c r="CA35" i="53"/>
  <c r="CA33" i="53"/>
  <c r="CA27" i="53"/>
  <c r="CA25" i="53"/>
  <c r="CA23" i="53"/>
  <c r="CA17" i="53"/>
  <c r="CA15" i="53"/>
  <c r="CA31" i="53"/>
  <c r="CA29" i="53"/>
  <c r="BC22" i="53"/>
  <c r="BC13" i="53"/>
  <c r="BI16" i="53"/>
  <c r="BJ27" i="53"/>
  <c r="BK27" i="53" s="1"/>
  <c r="BI35" i="53"/>
  <c r="BI33" i="53"/>
  <c r="BI31" i="53"/>
  <c r="BI29" i="53"/>
  <c r="BI27" i="53"/>
  <c r="BI25" i="53"/>
  <c r="BI23" i="53"/>
  <c r="BI17" i="53"/>
  <c r="BI15" i="53"/>
  <c r="AK13" i="53"/>
  <c r="AQ33" i="53"/>
  <c r="AQ31" i="53"/>
  <c r="AQ29" i="53"/>
  <c r="AQ27" i="53"/>
  <c r="AQ25" i="53"/>
  <c r="AQ23" i="53"/>
  <c r="AQ17" i="53"/>
  <c r="AQ15" i="53"/>
  <c r="AQ35" i="53"/>
  <c r="AR24" i="53"/>
  <c r="AS24" i="53" s="1"/>
  <c r="AR16" i="53"/>
  <c r="AS16" i="53" s="1"/>
  <c r="AQ34" i="53"/>
  <c r="AQ32" i="53"/>
  <c r="AQ30" i="53"/>
  <c r="AQ28" i="53"/>
  <c r="AQ26" i="53"/>
  <c r="AQ24" i="53"/>
  <c r="AQ22" i="53"/>
  <c r="AQ16" i="53"/>
  <c r="H40" i="53" l="1"/>
  <c r="AJ22" i="55"/>
  <c r="AJ40" i="55" s="1"/>
  <c r="BB22" i="55"/>
  <c r="BB40" i="55" s="1"/>
  <c r="BA41" i="55"/>
  <c r="BA42" i="55" s="1"/>
  <c r="AR41" i="55"/>
  <c r="AR42" i="55" s="1"/>
  <c r="AA13" i="55"/>
  <c r="AA22" i="55"/>
  <c r="AA40" i="55" s="1"/>
  <c r="R22" i="55"/>
  <c r="R40" i="55" s="1"/>
  <c r="H37" i="55"/>
  <c r="H38" i="55" s="1"/>
  <c r="H40" i="55"/>
  <c r="I13" i="55" s="1"/>
  <c r="H19" i="55"/>
  <c r="H20" i="55" s="1"/>
  <c r="H19" i="53"/>
  <c r="H20" i="53" s="1"/>
  <c r="H41" i="53"/>
  <c r="H42" i="53" s="1"/>
  <c r="BU13" i="53"/>
  <c r="BU40" i="53" s="1"/>
  <c r="AK22" i="53"/>
  <c r="CM40" i="53"/>
  <c r="CL41" i="53"/>
  <c r="CL42" i="53" s="1"/>
  <c r="BT42" i="53"/>
  <c r="I13" i="53"/>
  <c r="I22" i="55" l="1"/>
  <c r="I40" i="55" s="1"/>
  <c r="I22" i="53"/>
  <c r="I40" i="53" s="1"/>
  <c r="CO14" i="53" l="1"/>
  <c r="CP14" i="53"/>
  <c r="CQ14" i="53"/>
  <c r="BW14" i="53"/>
  <c r="BX14" i="53"/>
  <c r="BY14" i="53"/>
  <c r="CK44" i="53"/>
  <c r="AO13" i="53"/>
  <c r="BG13" i="53"/>
  <c r="BW13" i="53"/>
  <c r="BX13" i="53"/>
  <c r="BY13" i="53"/>
  <c r="CO13" i="53"/>
  <c r="CP13" i="53"/>
  <c r="CQ13" i="53"/>
  <c r="P6" i="36" l="1"/>
  <c r="AX2" i="55" l="1"/>
  <c r="AU47" i="55" s="1"/>
  <c r="AO2" i="55"/>
  <c r="AL47" i="55" s="1"/>
  <c r="AF2" i="55"/>
  <c r="AC47" i="55" s="1"/>
  <c r="W2" i="55"/>
  <c r="T47" i="55" s="1"/>
  <c r="N2" i="55"/>
  <c r="K47" i="55" s="1"/>
  <c r="E8" i="55"/>
  <c r="BS44" i="53" l="1"/>
  <c r="BJ13" i="53" l="1"/>
  <c r="BK13" i="53" s="1"/>
  <c r="BH13" i="53"/>
  <c r="BI13" i="53" s="1"/>
  <c r="AP13" i="53" l="1"/>
  <c r="AQ13" i="53" s="1"/>
  <c r="AR13" i="53"/>
  <c r="AS13" i="53" s="1"/>
  <c r="H42" i="55"/>
  <c r="CR14" i="53" l="1"/>
  <c r="CS14" i="53" s="1"/>
  <c r="CR13" i="53" l="1"/>
  <c r="CS13" i="53" s="1"/>
  <c r="CS46" i="53" s="1"/>
  <c r="CT13" i="53"/>
  <c r="CU13" i="53" s="1"/>
  <c r="BZ14" i="53" l="1"/>
  <c r="CA14" i="53" s="1"/>
  <c r="CB13" i="53" l="1"/>
  <c r="CC13" i="53" s="1"/>
  <c r="BZ13" i="53"/>
  <c r="CA13" i="53" s="1"/>
  <c r="CA46" i="53" s="1"/>
  <c r="BY46" i="53" l="1"/>
  <c r="E8" i="53" l="1"/>
  <c r="P8" i="53" s="1"/>
  <c r="BR8" i="53" l="1"/>
  <c r="AZ8" i="53"/>
  <c r="AH8" i="53"/>
  <c r="CJ8" i="53"/>
  <c r="J53" i="55" l="1"/>
  <c r="I54" i="55" s="1"/>
  <c r="J73" i="53"/>
  <c r="I73" i="53" s="1"/>
  <c r="BG14" i="53"/>
  <c r="AO14" i="53"/>
  <c r="D64" i="53"/>
  <c r="D63" i="53"/>
  <c r="D62" i="53"/>
  <c r="D61" i="53"/>
  <c r="D60" i="53"/>
  <c r="D59" i="53"/>
  <c r="D58" i="53"/>
  <c r="D57" i="53"/>
  <c r="D56" i="53"/>
  <c r="D55" i="53"/>
  <c r="D54" i="53"/>
  <c r="D53" i="53"/>
  <c r="D52" i="53"/>
  <c r="D51" i="53"/>
  <c r="D50" i="53"/>
  <c r="H50" i="53"/>
  <c r="J54" i="55" l="1"/>
  <c r="I55" i="55" s="1"/>
  <c r="J74" i="53"/>
  <c r="I74" i="53" s="1"/>
  <c r="J51" i="53"/>
  <c r="I51" i="53" s="1"/>
  <c r="J55" i="55" l="1"/>
  <c r="I56" i="55" s="1"/>
  <c r="J75" i="53"/>
  <c r="I75" i="53" s="1"/>
  <c r="J52" i="53"/>
  <c r="I52" i="53" s="1"/>
  <c r="CI2" i="53"/>
  <c r="CF45" i="53" s="1"/>
  <c r="BQ2" i="53"/>
  <c r="BN45" i="53" s="1"/>
  <c r="AY2" i="53"/>
  <c r="AV45" i="53" s="1"/>
  <c r="AG2" i="53"/>
  <c r="AD45" i="53" s="1"/>
  <c r="H51" i="53"/>
  <c r="H74" i="53"/>
  <c r="H55" i="55"/>
  <c r="J53" i="53" l="1"/>
  <c r="I53" i="53" s="1"/>
  <c r="J56" i="55"/>
  <c r="I57" i="55" s="1"/>
  <c r="CT14" i="53"/>
  <c r="CU14" i="53" s="1"/>
  <c r="CB14" i="53"/>
  <c r="CC14" i="53" s="1"/>
  <c r="BJ14" i="53"/>
  <c r="BK14" i="53" s="1"/>
  <c r="BH14" i="53"/>
  <c r="BI14" i="53" s="1"/>
  <c r="BI46" i="53" s="1"/>
  <c r="AP14" i="53"/>
  <c r="AQ14" i="53" s="1"/>
  <c r="AQ46" i="53" s="1"/>
  <c r="AR14" i="53"/>
  <c r="AS14" i="53" s="1"/>
  <c r="J76" i="53"/>
  <c r="I76" i="53" s="1"/>
  <c r="H75" i="53"/>
  <c r="H56" i="55"/>
  <c r="H52" i="53"/>
  <c r="J54" i="53" l="1"/>
  <c r="I54" i="53" s="1"/>
  <c r="J57" i="55"/>
  <c r="I58" i="55" s="1"/>
  <c r="CU41" i="53"/>
  <c r="CU42" i="53" s="1"/>
  <c r="CU46" i="53" s="1"/>
  <c r="AS41" i="53"/>
  <c r="AS42" i="53" s="1"/>
  <c r="AS46" i="53" s="1"/>
  <c r="J77" i="53"/>
  <c r="I77" i="53" s="1"/>
  <c r="H57" i="55"/>
  <c r="H53" i="55"/>
  <c r="H76" i="53"/>
  <c r="H53" i="53"/>
  <c r="BK41" i="53" l="1"/>
  <c r="BK42" i="53" s="1"/>
  <c r="BK46" i="53" s="1"/>
  <c r="CC41" i="53"/>
  <c r="CC42" i="53" s="1"/>
  <c r="CC46" i="53" s="1"/>
  <c r="J56" i="53"/>
  <c r="J57" i="53" s="1"/>
  <c r="J58" i="53" s="1"/>
  <c r="J59" i="53" s="1"/>
  <c r="J60" i="53" s="1"/>
  <c r="J61" i="53" s="1"/>
  <c r="J62" i="53" s="1"/>
  <c r="J63" i="53" s="1"/>
  <c r="J64" i="53" s="1"/>
  <c r="J58" i="55"/>
  <c r="I59" i="55" s="1"/>
  <c r="J78" i="53"/>
  <c r="H77" i="53"/>
  <c r="H58" i="55"/>
  <c r="H73" i="53"/>
  <c r="J59" i="55" l="1"/>
  <c r="I60" i="55" s="1"/>
  <c r="J79" i="53"/>
  <c r="I78" i="53"/>
  <c r="H59" i="55"/>
  <c r="H78" i="53"/>
  <c r="J60" i="55" l="1"/>
  <c r="I61" i="55" s="1"/>
  <c r="J80" i="53"/>
  <c r="I79" i="53"/>
  <c r="AH13" i="36"/>
  <c r="X12" i="36"/>
  <c r="AD12" i="36" s="1"/>
  <c r="S69" i="36"/>
  <c r="S66" i="36"/>
  <c r="S63" i="36"/>
  <c r="S60" i="36"/>
  <c r="S57" i="36"/>
  <c r="S54" i="36"/>
  <c r="F54" i="36"/>
  <c r="S47" i="36"/>
  <c r="S44" i="36"/>
  <c r="S41" i="36"/>
  <c r="S38" i="36"/>
  <c r="S35" i="36"/>
  <c r="S32" i="36"/>
  <c r="F32" i="36"/>
  <c r="H60" i="55"/>
  <c r="H79" i="53"/>
  <c r="H54" i="53"/>
  <c r="H54" i="55"/>
  <c r="J61" i="55" l="1"/>
  <c r="I62" i="55" s="1"/>
  <c r="J81" i="53"/>
  <c r="I80" i="53"/>
  <c r="S72" i="36"/>
  <c r="S50" i="36"/>
  <c r="S13" i="36"/>
  <c r="S10" i="36"/>
  <c r="AD26" i="36"/>
  <c r="AD25" i="36"/>
  <c r="S25" i="36"/>
  <c r="H61" i="55"/>
  <c r="H80" i="53"/>
  <c r="J62" i="55" l="1"/>
  <c r="I63" i="55" s="1"/>
  <c r="J82" i="53"/>
  <c r="I81" i="53"/>
  <c r="I56" i="53"/>
  <c r="AH14" i="36"/>
  <c r="Q4" i="21"/>
  <c r="P4" i="21"/>
  <c r="O4" i="21"/>
  <c r="N4" i="21"/>
  <c r="M4" i="21"/>
  <c r="L4" i="21"/>
  <c r="K4" i="21"/>
  <c r="J4" i="21"/>
  <c r="I4" i="21"/>
  <c r="H4" i="21"/>
  <c r="G4" i="21"/>
  <c r="F4" i="21"/>
  <c r="E4" i="21"/>
  <c r="D4" i="21"/>
  <c r="C4" i="21"/>
  <c r="H81" i="53"/>
  <c r="H62" i="55"/>
  <c r="H56" i="53"/>
  <c r="J63" i="55" l="1"/>
  <c r="I64" i="55" s="1"/>
  <c r="J83" i="53"/>
  <c r="I82" i="53"/>
  <c r="I57" i="53"/>
  <c r="AH15" i="36"/>
  <c r="H57" i="53"/>
  <c r="H82" i="53"/>
  <c r="H63" i="55"/>
  <c r="J64" i="55" l="1"/>
  <c r="I65" i="55" s="1"/>
  <c r="J84" i="53"/>
  <c r="I83" i="53"/>
  <c r="I58" i="53"/>
  <c r="AH16" i="36"/>
  <c r="H83" i="53"/>
  <c r="H64" i="55"/>
  <c r="H58" i="53"/>
  <c r="J65" i="55" l="1"/>
  <c r="I66" i="55" s="1"/>
  <c r="J85" i="53"/>
  <c r="I84" i="53"/>
  <c r="I59" i="53"/>
  <c r="AH17" i="36"/>
  <c r="H59" i="53"/>
  <c r="H84" i="53"/>
  <c r="H65" i="55"/>
  <c r="J66" i="55" l="1"/>
  <c r="I67" i="55" s="1"/>
  <c r="J86" i="53"/>
  <c r="I85" i="53"/>
  <c r="I60" i="53"/>
  <c r="AH18" i="36"/>
  <c r="H66" i="55"/>
  <c r="H60" i="53"/>
  <c r="H85" i="53"/>
  <c r="H67" i="55"/>
  <c r="J87" i="53" l="1"/>
  <c r="I87" i="53" s="1"/>
  <c r="I86" i="53"/>
  <c r="I61" i="53"/>
  <c r="AH19" i="36"/>
  <c r="H87" i="53"/>
  <c r="H61" i="53"/>
  <c r="H86" i="53"/>
  <c r="I62" i="53" l="1"/>
  <c r="AH20" i="36"/>
  <c r="H62" i="53"/>
  <c r="I64" i="53" l="1"/>
  <c r="I63" i="53"/>
  <c r="AH21" i="36"/>
  <c r="S22" i="36"/>
  <c r="S19" i="36"/>
  <c r="S16" i="36"/>
  <c r="H64" i="53"/>
  <c r="H63" i="53"/>
  <c r="AH22" i="36" l="1"/>
  <c r="S28" i="36"/>
  <c r="B16" i="18"/>
  <c r="B15" i="18"/>
  <c r="S7" i="37"/>
  <c r="S8" i="37"/>
  <c r="S9" i="37"/>
  <c r="S10" i="37"/>
  <c r="S11" i="37"/>
  <c r="S12" i="37"/>
  <c r="S13" i="37"/>
  <c r="S14" i="37"/>
  <c r="S15" i="37"/>
  <c r="S16" i="37"/>
  <c r="S17" i="37"/>
  <c r="S18" i="37"/>
  <c r="S19" i="37"/>
  <c r="S20" i="37"/>
  <c r="S6" i="37"/>
  <c r="C6" i="44"/>
  <c r="C7" i="44"/>
  <c r="C10" i="44"/>
  <c r="C11" i="44"/>
  <c r="C12" i="44"/>
  <c r="C13" i="44"/>
  <c r="C14" i="44"/>
  <c r="C15" i="44"/>
  <c r="C16" i="44"/>
  <c r="C17" i="44"/>
  <c r="C18" i="44"/>
  <c r="C19" i="44"/>
  <c r="C5" i="44"/>
  <c r="AH23" i="36" l="1"/>
  <c r="C16" i="18"/>
  <c r="C15" i="18"/>
  <c r="AH24" i="36" l="1"/>
  <c r="G17" i="44"/>
  <c r="G15" i="44"/>
  <c r="G12" i="44"/>
  <c r="G19" i="44"/>
  <c r="G10" i="44"/>
  <c r="G16" i="44"/>
  <c r="G18" i="44"/>
  <c r="G13" i="44"/>
  <c r="G14" i="44"/>
  <c r="G11" i="44"/>
  <c r="AH25" i="36" l="1"/>
  <c r="F19" i="44"/>
  <c r="F6" i="44"/>
  <c r="F7" i="44"/>
  <c r="F10" i="44"/>
  <c r="F11" i="44"/>
  <c r="F12" i="44"/>
  <c r="F13" i="44"/>
  <c r="F14" i="44"/>
  <c r="F15" i="44"/>
  <c r="F16" i="44"/>
  <c r="F17" i="44"/>
  <c r="F18" i="44"/>
  <c r="F5" i="44"/>
  <c r="M5" i="38"/>
  <c r="M6" i="38"/>
  <c r="M7" i="38"/>
  <c r="M8" i="38"/>
  <c r="M9" i="38"/>
  <c r="M10" i="38"/>
  <c r="M11" i="38"/>
  <c r="M12" i="38"/>
  <c r="M13" i="38"/>
  <c r="M14" i="38"/>
  <c r="M15" i="38"/>
  <c r="M16" i="38"/>
  <c r="M17" i="38"/>
  <c r="M18" i="38"/>
  <c r="M4" i="38"/>
  <c r="A6" i="38"/>
  <c r="B6" i="38" s="1"/>
  <c r="A7" i="38"/>
  <c r="A8" i="38"/>
  <c r="A9" i="38"/>
  <c r="A10" i="38"/>
  <c r="A11" i="38"/>
  <c r="A12" i="38"/>
  <c r="A13" i="38"/>
  <c r="A14" i="38"/>
  <c r="A15" i="38"/>
  <c r="A16" i="38"/>
  <c r="A17" i="38"/>
  <c r="A18" i="38"/>
  <c r="A5" i="38"/>
  <c r="B5" i="38" s="1"/>
  <c r="A4" i="38"/>
  <c r="B4" i="38" s="1"/>
  <c r="A7" i="37"/>
  <c r="B7" i="37" s="1"/>
  <c r="A8" i="37"/>
  <c r="B8" i="37" s="1"/>
  <c r="A9" i="37"/>
  <c r="B9" i="37" s="1"/>
  <c r="A10" i="37"/>
  <c r="B10" i="37" s="1"/>
  <c r="A11" i="37"/>
  <c r="B11" i="37" s="1"/>
  <c r="A12" i="37"/>
  <c r="B12" i="37" s="1"/>
  <c r="A13" i="37"/>
  <c r="B13" i="37" s="1"/>
  <c r="A14" i="37"/>
  <c r="B14" i="37" s="1"/>
  <c r="A15" i="37"/>
  <c r="B15" i="37" s="1"/>
  <c r="A16" i="37"/>
  <c r="B16" i="37" s="1"/>
  <c r="A17" i="37"/>
  <c r="B17" i="37" s="1"/>
  <c r="A18" i="37"/>
  <c r="B18" i="37" s="1"/>
  <c r="A19" i="37"/>
  <c r="B19" i="37" s="1"/>
  <c r="A20" i="37"/>
  <c r="B20" i="37" s="1"/>
  <c r="X13" i="36"/>
  <c r="AD13" i="36" s="1"/>
  <c r="X14" i="36"/>
  <c r="AD14" i="36" s="1"/>
  <c r="X15" i="36"/>
  <c r="AD15" i="36" s="1"/>
  <c r="X16" i="36"/>
  <c r="AD16" i="36" s="1"/>
  <c r="AD17" i="36"/>
  <c r="AD18" i="36"/>
  <c r="AD19" i="36"/>
  <c r="AD20" i="36"/>
  <c r="AD21" i="36"/>
  <c r="AD22" i="36"/>
  <c r="AD23" i="36"/>
  <c r="AD24" i="36"/>
  <c r="F10" i="36"/>
  <c r="AH26" i="36" l="1"/>
  <c r="E10" i="37"/>
  <c r="F10" i="37" s="1"/>
  <c r="I10" i="37"/>
  <c r="J10" i="37" s="1"/>
  <c r="E12" i="37"/>
  <c r="F12" i="37" s="1"/>
  <c r="I12" i="37"/>
  <c r="J12" i="37" s="1"/>
  <c r="E11" i="37"/>
  <c r="F11" i="37" s="1"/>
  <c r="I11" i="37"/>
  <c r="J11" i="37" s="1"/>
  <c r="E13" i="37"/>
  <c r="F13" i="37" s="1"/>
  <c r="I13" i="37"/>
  <c r="J13" i="37" s="1"/>
  <c r="E8" i="37"/>
  <c r="F8" i="37" s="1"/>
  <c r="I8" i="37"/>
  <c r="J8" i="37" s="1"/>
  <c r="E14" i="37"/>
  <c r="F14" i="37" s="1"/>
  <c r="I14" i="37"/>
  <c r="J14" i="37" s="1"/>
  <c r="E9" i="37"/>
  <c r="F9" i="37" s="1"/>
  <c r="I9" i="37"/>
  <c r="J9" i="37" s="1"/>
  <c r="I15" i="37"/>
  <c r="J15" i="37" s="1"/>
  <c r="E15" i="37"/>
  <c r="F15" i="37" s="1"/>
  <c r="I16" i="37"/>
  <c r="J16" i="37" s="1"/>
  <c r="E16" i="37"/>
  <c r="F16" i="37" s="1"/>
  <c r="I17" i="37"/>
  <c r="J17" i="37" s="1"/>
  <c r="E17" i="37"/>
  <c r="F17" i="37" s="1"/>
  <c r="E18" i="37"/>
  <c r="F18" i="37" s="1"/>
  <c r="I18" i="37"/>
  <c r="J18" i="37" s="1"/>
  <c r="I19" i="37"/>
  <c r="J19" i="37" s="1"/>
  <c r="E19" i="37"/>
  <c r="F19" i="37" s="1"/>
  <c r="I20" i="37"/>
  <c r="J20" i="37" s="1"/>
  <c r="E20" i="37"/>
  <c r="F20" i="37" s="1"/>
  <c r="A9" i="35"/>
  <c r="D9" i="35" s="1"/>
  <c r="A10" i="35"/>
  <c r="D10" i="35" s="1"/>
  <c r="A11" i="35"/>
  <c r="D11" i="35" s="1"/>
  <c r="A12" i="35"/>
  <c r="D12" i="35" s="1"/>
  <c r="A13" i="35"/>
  <c r="D13" i="35" s="1"/>
  <c r="A14" i="35"/>
  <c r="D14" i="35" s="1"/>
  <c r="A15" i="35"/>
  <c r="D15" i="35" s="1"/>
  <c r="A16" i="35"/>
  <c r="D16" i="35" s="1"/>
  <c r="A17" i="35"/>
  <c r="D17" i="35" s="1"/>
  <c r="A18" i="35"/>
  <c r="D18" i="35" s="1"/>
  <c r="A19" i="35"/>
  <c r="D19" i="35" s="1"/>
  <c r="A20" i="35"/>
  <c r="D20" i="35" s="1"/>
  <c r="A21" i="35"/>
  <c r="D21" i="35" s="1"/>
  <c r="A8" i="35"/>
  <c r="D8" i="35" s="1"/>
  <c r="T11" i="37" l="1"/>
  <c r="E10" i="44" s="1"/>
  <c r="T10" i="37"/>
  <c r="T13" i="37"/>
  <c r="E12" i="44" s="1"/>
  <c r="T12" i="37"/>
  <c r="E11" i="44" s="1"/>
  <c r="T15" i="37"/>
  <c r="E14" i="44" s="1"/>
  <c r="T9" i="37"/>
  <c r="T14" i="37"/>
  <c r="E13" i="44" s="1"/>
  <c r="T8" i="37"/>
  <c r="E7" i="44" s="1"/>
  <c r="T20" i="37"/>
  <c r="E19" i="44" s="1"/>
  <c r="T19" i="37"/>
  <c r="E18" i="44" s="1"/>
  <c r="T17" i="37"/>
  <c r="E16" i="44" s="1"/>
  <c r="T16" i="37"/>
  <c r="E15" i="44" s="1"/>
  <c r="T18" i="37"/>
  <c r="E17" i="44" s="1"/>
  <c r="A6" i="37" l="1"/>
  <c r="B6" i="37" s="1"/>
  <c r="I6" i="37" l="1"/>
  <c r="J6" i="37" s="1"/>
  <c r="E6" i="37"/>
  <c r="F6" i="37" s="1"/>
  <c r="E7" i="37"/>
  <c r="F7" i="37" s="1"/>
  <c r="S29" i="36" l="1"/>
  <c r="T28" i="36" s="1"/>
  <c r="S73" i="36"/>
  <c r="S51" i="36"/>
  <c r="I7" i="37"/>
  <c r="A7" i="35"/>
  <c r="B3" i="35"/>
  <c r="B2" i="35"/>
  <c r="AE12" i="36"/>
  <c r="G5" i="21" l="1"/>
  <c r="E5" i="21"/>
  <c r="D5" i="21"/>
  <c r="F5" i="21"/>
  <c r="C5" i="21"/>
  <c r="D7" i="35"/>
  <c r="Y12" i="36"/>
  <c r="Z12" i="36" s="1"/>
  <c r="T50" i="36"/>
  <c r="B50" i="36"/>
  <c r="T72" i="36"/>
  <c r="B72" i="36"/>
  <c r="T6" i="37"/>
  <c r="E5" i="44" s="1"/>
  <c r="B28" i="36"/>
  <c r="J7" i="37"/>
  <c r="AE14" i="36"/>
  <c r="AE20" i="36"/>
  <c r="AE21" i="36"/>
  <c r="AE18" i="36"/>
  <c r="AE22" i="36"/>
  <c r="AE26" i="36"/>
  <c r="AE19" i="36"/>
  <c r="AE16" i="36"/>
  <c r="AE23" i="36"/>
  <c r="AE24" i="36"/>
  <c r="AE25" i="36"/>
  <c r="AE15" i="36"/>
  <c r="AE13" i="36"/>
  <c r="AE17" i="36"/>
  <c r="Y26" i="36" l="1"/>
  <c r="Z26" i="36" s="1"/>
  <c r="D19" i="44" s="1"/>
  <c r="I19" i="44" s="1"/>
  <c r="Y19" i="36"/>
  <c r="Z19" i="36" s="1"/>
  <c r="D12" i="44" s="1"/>
  <c r="I12" i="44" s="1"/>
  <c r="Y23" i="36"/>
  <c r="Z23" i="36" s="1"/>
  <c r="D16" i="44" s="1"/>
  <c r="I16" i="44" s="1"/>
  <c r="Y20" i="36"/>
  <c r="Z20" i="36" s="1"/>
  <c r="D13" i="44" s="1"/>
  <c r="I13" i="44" s="1"/>
  <c r="Y18" i="36"/>
  <c r="Z18" i="36" s="1"/>
  <c r="D11" i="44" s="1"/>
  <c r="I11" i="44" s="1"/>
  <c r="Y24" i="36"/>
  <c r="Z24" i="36" s="1"/>
  <c r="D17" i="44" s="1"/>
  <c r="I17" i="44" s="1"/>
  <c r="Y21" i="36"/>
  <c r="Z21" i="36" s="1"/>
  <c r="D14" i="44" s="1"/>
  <c r="I14" i="44" s="1"/>
  <c r="Y22" i="36"/>
  <c r="Z22" i="36" s="1"/>
  <c r="D15" i="44" s="1"/>
  <c r="I15" i="44" s="1"/>
  <c r="Y25" i="36"/>
  <c r="Z25" i="36" s="1"/>
  <c r="D18" i="44" s="1"/>
  <c r="I18" i="44" s="1"/>
  <c r="Y17" i="36"/>
  <c r="Z17" i="36" s="1"/>
  <c r="D10" i="44" s="1"/>
  <c r="I10" i="44" s="1"/>
  <c r="Y15" i="36"/>
  <c r="Z15" i="36" s="1"/>
  <c r="Y14" i="36"/>
  <c r="Z14" i="36" s="1"/>
  <c r="D7" i="44" s="1"/>
  <c r="Y13" i="36"/>
  <c r="Z13" i="36" s="1"/>
  <c r="D6" i="44" s="1"/>
  <c r="Y16" i="36"/>
  <c r="Z16" i="36" s="1"/>
  <c r="D5" i="44"/>
  <c r="T7" i="37"/>
  <c r="E6" i="44" s="1"/>
  <c r="Z11" i="18" l="1"/>
  <c r="B14" i="18" l="1"/>
  <c r="B13" i="18"/>
  <c r="C13" i="18" l="1"/>
  <c r="C14" i="18"/>
  <c r="B4" i="18" l="1"/>
  <c r="B2" i="18"/>
  <c r="B3" i="18"/>
  <c r="E16" i="18" l="1"/>
  <c r="G16" i="18" l="1"/>
  <c r="F16" i="18"/>
  <c r="U16" i="18"/>
  <c r="P16" i="18"/>
  <c r="J16" i="18"/>
  <c r="Y16" i="18"/>
  <c r="T16" i="18"/>
  <c r="N16" i="18"/>
  <c r="I16" i="18"/>
  <c r="X16" i="18"/>
  <c r="R16" i="18"/>
  <c r="M16" i="18"/>
  <c r="H16" i="18"/>
  <c r="V16" i="18"/>
  <c r="Q16" i="18"/>
  <c r="L16" i="18"/>
  <c r="AA16" i="18"/>
  <c r="W16" i="18"/>
  <c r="S16" i="18"/>
  <c r="O16" i="18"/>
  <c r="K16" i="18"/>
  <c r="Z16" i="18" l="1"/>
  <c r="U46" i="53"/>
  <c r="L46" i="53" s="1"/>
  <c r="E50" i="53" s="1"/>
  <c r="G5" i="44" s="1"/>
  <c r="I5" i="44" s="1"/>
  <c r="E13" i="18" s="1"/>
  <c r="F13" i="18" s="1"/>
  <c r="G13" i="18" l="1"/>
  <c r="T13" i="18"/>
  <c r="U13" i="18"/>
  <c r="J13" i="18"/>
  <c r="Z13" i="18"/>
  <c r="M13" i="18"/>
  <c r="R13" i="18"/>
  <c r="O13" i="18"/>
  <c r="Q13" i="18"/>
  <c r="I13" i="18"/>
  <c r="S13" i="18"/>
  <c r="H13" i="18"/>
  <c r="X13" i="18"/>
  <c r="Y13" i="18"/>
  <c r="N13" i="18"/>
  <c r="K13" i="18"/>
  <c r="AA13" i="18"/>
  <c r="L13" i="18"/>
  <c r="W13" i="18"/>
  <c r="P13" i="18"/>
  <c r="V13" i="18"/>
  <c r="K15" i="18" l="1"/>
  <c r="Q15" i="18"/>
  <c r="I15" i="18"/>
  <c r="Z15" i="18"/>
  <c r="J15" i="18"/>
  <c r="H15" i="18"/>
  <c r="Y15" i="18"/>
  <c r="AA15" i="18"/>
  <c r="S15" i="18"/>
  <c r="P15" i="18"/>
  <c r="F15" i="18"/>
  <c r="T15" i="18"/>
  <c r="R15" i="18"/>
  <c r="M15" i="18"/>
  <c r="X15" i="18"/>
  <c r="O15" i="18"/>
  <c r="W15" i="18"/>
  <c r="L15" i="18"/>
  <c r="V15" i="18"/>
  <c r="G15" i="18"/>
  <c r="U15" i="18"/>
  <c r="N15" i="18"/>
  <c r="E63" i="53"/>
  <c r="E61" i="53"/>
  <c r="E57" i="53"/>
  <c r="E53" i="53"/>
  <c r="E60" i="53"/>
  <c r="E55" i="53"/>
  <c r="E58" i="53"/>
  <c r="E62" i="53"/>
  <c r="E59" i="53"/>
  <c r="E64" i="53"/>
  <c r="E56" i="53"/>
  <c r="E54" i="53"/>
  <c r="AE16" i="18"/>
  <c r="AE15" i="18"/>
  <c r="AE13" i="18"/>
  <c r="AE14" i="18"/>
  <c r="BW46" i="53"/>
  <c r="BN46" i="53"/>
  <c r="CO46" i="53"/>
  <c r="CF46" i="53"/>
  <c r="AA14" i="18"/>
  <c r="Z14" i="18"/>
  <c r="E52" i="53"/>
  <c r="G7" i="44"/>
  <c r="I7" i="44"/>
  <c r="E15" i="18"/>
  <c r="BE46" i="53"/>
  <c r="AV46" i="53"/>
  <c r="G6" i="44"/>
  <c r="I6" i="44"/>
  <c r="E14" i="18"/>
  <c r="F14" i="18"/>
  <c r="D9" i="18"/>
  <c r="AM46" i="53"/>
  <c r="AD46" i="53"/>
  <c r="E51" i="53"/>
</calcChain>
</file>

<file path=xl/comments1.xml><?xml version="1.0" encoding="utf-8"?>
<comments xmlns="http://schemas.openxmlformats.org/spreadsheetml/2006/main">
  <authors>
    <author>Gustavo</author>
  </authors>
  <commentList>
    <comment ref="B7" authorId="0" shapeId="0">
      <text>
        <r>
          <rPr>
            <b/>
            <sz val="9"/>
            <color indexed="81"/>
            <rFont val="Tahoma"/>
            <family val="2"/>
          </rPr>
          <t>Fecha de recibo de propuestas</t>
        </r>
      </text>
    </comment>
  </commentList>
</comments>
</file>

<file path=xl/sharedStrings.xml><?xml version="1.0" encoding="utf-8"?>
<sst xmlns="http://schemas.openxmlformats.org/spreadsheetml/2006/main" count="931" uniqueCount="288">
  <si>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</si>
  <si>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</si>
  <si>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</si>
  <si>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</si>
  <si>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</si>
  <si>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</si>
  <si>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</si>
  <si>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</si>
  <si>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</si>
  <si>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</si>
  <si>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</si>
  <si>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</si>
  <si>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</si>
  <si>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</si>
  <si>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</si>
  <si>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</si>
  <si>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</si>
  <si>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</si>
  <si>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</si>
  <si>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</si>
  <si>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</si>
  <si>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</si>
  <si>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</si>
  <si>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</si>
  <si>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</si>
  <si>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ORDEN</t>
  </si>
  <si>
    <t>Nro</t>
  </si>
  <si>
    <t>NOMBRE OFERENTE</t>
  </si>
  <si>
    <t>PROPONENTES</t>
  </si>
  <si>
    <t>PRESUPUESTO OFICIAL</t>
  </si>
  <si>
    <t>OBSERVACIONES CON RESPECTO A PROPUESTA ECONÓMICA</t>
  </si>
  <si>
    <t>N°</t>
  </si>
  <si>
    <t>RADICADO</t>
  </si>
  <si>
    <t>HORA DE RECIBIDO</t>
  </si>
  <si>
    <t>NIT/CC</t>
  </si>
  <si>
    <t>REPRESENTANTE LEGAL</t>
  </si>
  <si>
    <t>NUMERO DE FOLIOS DE LA PROPUESTA</t>
  </si>
  <si>
    <t>COSTO TOTAL CON IVA</t>
  </si>
  <si>
    <t>ENDEUDAMIENTO</t>
  </si>
  <si>
    <t>NIT O CÉDULA</t>
  </si>
  <si>
    <t>EVALUACIÓN EXPERIENCIA - INDICADORES FINANCIEROS</t>
  </si>
  <si>
    <t>APERTURA DE SOBRES</t>
  </si>
  <si>
    <t>Fecha</t>
  </si>
  <si>
    <t>CAPITAL DE TRABAJO</t>
  </si>
  <si>
    <t>ITEM</t>
  </si>
  <si>
    <t>PUNTAJE TOTAL</t>
  </si>
  <si>
    <t>*H=Habilitado  NH=No habilitado</t>
  </si>
  <si>
    <t>ESTADO*</t>
  </si>
  <si>
    <r>
      <rPr>
        <b/>
        <sz val="10"/>
        <rFont val="Arial"/>
        <family val="2"/>
      </rPr>
      <t>OBSERVACIÓN:</t>
    </r>
    <r>
      <rPr>
        <sz val="10"/>
        <rFont val="Arial"/>
        <family val="2"/>
      </rPr>
      <t xml:space="preserve">
</t>
    </r>
  </si>
  <si>
    <t>CLASIFICACIÓN DEL OBJETO DEL CONTRATO (8)</t>
  </si>
  <si>
    <t># propuestas (n)</t>
  </si>
  <si>
    <t>EVALUACIÓN DE REQUISITOS JURÍDICOS</t>
  </si>
  <si>
    <t>EVALUACIÓN DE EXPERIENCIA GENERAL</t>
  </si>
  <si>
    <t>EVALUACIÓN DE REQUISITOS COMERCIALES</t>
  </si>
  <si>
    <t>SALARIO MÍNIMO</t>
  </si>
  <si>
    <t>COCIENTE EVALUACIÓN</t>
  </si>
  <si>
    <t>ESTADO</t>
  </si>
  <si>
    <t>NE = PT/AT &lt;=
Siendo PT = pasivo total 
AT = activo total</t>
  </si>
  <si>
    <t>CT = AC-PC &gt; X*PO
Siendo PO = Presupuesto Oficial</t>
  </si>
  <si>
    <t>MÁXIMO PUNTAJE A ASIGNAR PARA Pti</t>
  </si>
  <si>
    <t>Método de evaluación</t>
  </si>
  <si>
    <t>5.1.1 Requisitos personas naturales</t>
  </si>
  <si>
    <t>5.1.2. Requisitos personas jurídicas</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</si>
  <si>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</si>
  <si>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</si>
  <si>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</si>
  <si>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</si>
  <si>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</si>
  <si>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</si>
  <si>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</si>
  <si>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</si>
  <si>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Unidad</t>
  </si>
  <si>
    <t>m2</t>
  </si>
  <si>
    <t>VERIFICACIÓN DE UNIDADES</t>
  </si>
  <si>
    <t>VERIFICACIÓN DE CANTIDADES</t>
  </si>
  <si>
    <t>VERIFICACIÓN DE PRECIOS UNITARIOS</t>
  </si>
  <si>
    <t>VERIFICACIÓN DE VALORES TOTALES</t>
  </si>
  <si>
    <t>PONDERACIÓN DE HABILITACIÓN</t>
  </si>
  <si>
    <t>VERIFICACIÓN DE REDONDEO</t>
  </si>
  <si>
    <t>DIFERENCIA</t>
  </si>
  <si>
    <t>ESTATUS EXPERIENCIA GENERAL</t>
  </si>
  <si>
    <t>ESTATUS CAPACIDAD FINANCIERA</t>
  </si>
  <si>
    <t>ESTATUS REQUISITOS COMERCIALES</t>
  </si>
  <si>
    <t>TABLA RESUMEN EXPERIENCIA</t>
  </si>
  <si>
    <t>ESTATUS</t>
  </si>
  <si>
    <t>TABLA RESUMEN</t>
  </si>
  <si>
    <t>ESTATUS GENERAL</t>
  </si>
  <si>
    <t>No estar reportada al Boletín de Responsables Fiscales de la Contraloría General de la República (Art. 60 Ley 610 de 2000; Circular 005 del 25 de febrero de 2008).</t>
  </si>
  <si>
    <t>No tener antecedentes disciplinarios en la Procuraduría General de la Nación.</t>
  </si>
  <si>
    <t>No estar en mora en el Sistema Registro Nacional de Medidas Correctivas RNMC de la Policía Nacional de Colombia (artículo 183 de la Ley 1801 de 2016)</t>
  </si>
  <si>
    <t>Estar inscrita en el Registro Único de Tributario.</t>
  </si>
  <si>
    <t>CERTIFICADOS PRESENTADOS</t>
  </si>
  <si>
    <t>VERIFICACIÓN DE ACTIVIDAD</t>
  </si>
  <si>
    <t>REQUISITOS JURÍDICOS</t>
  </si>
  <si>
    <t xml:space="preserve"> </t>
  </si>
  <si>
    <t xml:space="preserve">OBJETO: </t>
  </si>
  <si>
    <t>TOTAL COSTO DIRECTO</t>
  </si>
  <si>
    <t>No tener antecedentes judiciales en la Policía Nacional de Colombia.</t>
  </si>
  <si>
    <t xml:space="preserve">Póliza de seriedad de la oferta a favor de entidades Estatales y a nombre de la Universidad de Antioquia. </t>
  </si>
  <si>
    <t>T</t>
  </si>
  <si>
    <t>AU</t>
  </si>
  <si>
    <t>COSTOS DIRECTOS TOTALES</t>
  </si>
  <si>
    <t>DIFERENCIA DIRECCIÒN</t>
  </si>
  <si>
    <t>DIRECCION INICIAL</t>
  </si>
  <si>
    <t>DIRECCIÒN COSTO DIRECTO</t>
  </si>
  <si>
    <t>DIRECCIÒN AU</t>
  </si>
  <si>
    <t>AU TOTALES</t>
  </si>
  <si>
    <t>COSTOS DIRECTOS TOTALES UNITARIOS</t>
  </si>
  <si>
    <t>NH</t>
  </si>
  <si>
    <t>VERIFICACIÓN DE PRESUPUESTO</t>
  </si>
  <si>
    <t>ESTATUS VERIFICACIÓN PRESUPUESTO</t>
  </si>
  <si>
    <t>PRESENTÓ CERTIFICADO</t>
  </si>
  <si>
    <t>ACORDE A ITEM 5.2.1 (T.R.)</t>
  </si>
  <si>
    <t>SIN OBSERVACIÓN</t>
  </si>
  <si>
    <t>NINGUNO</t>
  </si>
  <si>
    <t>SI</t>
  </si>
  <si>
    <t>H</t>
  </si>
  <si>
    <t>LOGO DEL PROPONENTE</t>
  </si>
  <si>
    <t>CIUDADELA UNIVERSITARIA</t>
  </si>
  <si>
    <t>Obras electricas y civiles en las Subestaciones de los Bloques 5, 14 y 26</t>
  </si>
  <si>
    <t>Un</t>
  </si>
  <si>
    <t>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t>
  </si>
  <si>
    <t>VALIDACIÓN DE CODIGOS SEGÚN TABLAS 1 Y 2 (CODIGOS UNSPSC)</t>
  </si>
  <si>
    <t xml:space="preserve">CIERRE: 19/11/2019
HORA: 10:30 A.M </t>
  </si>
  <si>
    <t>CUMPLEN CON LO SOLICITADO</t>
  </si>
  <si>
    <t>TOTAL DIFERENCIA</t>
  </si>
  <si>
    <t>% DIFERENCIA</t>
  </si>
  <si>
    <t>CONCLUSIONES</t>
  </si>
  <si>
    <t>ORDEN ELEGIBILIDAD</t>
  </si>
  <si>
    <t>Invitación Pública N° VA-100-2019</t>
  </si>
  <si>
    <r>
      <rPr>
        <b/>
        <sz val="11"/>
        <rFont val="Arial"/>
        <family val="2"/>
      </rPr>
      <t xml:space="preserve">OBJETO: </t>
    </r>
    <r>
      <rPr>
        <sz val="11"/>
        <rFont val="Arial"/>
        <family val="2"/>
      </rPr>
      <t xml:space="preserve">“LA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t>
    </r>
  </si>
  <si>
    <t xml:space="preserve">5.1 REQUISITOS JURÍDICOS DE PARTICIPACIÓN  (personas naturales y jurídicas)
</t>
  </si>
  <si>
    <t>Estar afiliado y a paz y salvo con el Sistema de Salud (EPS) y el Sistema General de Pensiones en los términos de la Ley.
En caso de tener empleados a su cargo, deben estar afiliados y a paz y salvo con el Sistema General de Seguridad Social (Salud, Pens</t>
  </si>
  <si>
    <t>Número:</t>
  </si>
  <si>
    <t>Valor:</t>
  </si>
  <si>
    <t>Vigencia:</t>
  </si>
  <si>
    <t>Tener  capacidad  jurídica  para contratar.  Por tanto, el Proponente debe:
(i) Ser persona jurídica con capacidad jurídica para celebrar contratos;
(ii) Tener como objeto social principal, o conexo, las actividades establecidas en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 de A., según la Constitución y la Ley; y el Acuerdo Superior 395 de 2011.
(vii) No tener ninguna de estas situaciones: Cesación de pagos o, cualquier otra circunstancia que justificadamente permita a la U.de.A presumir incapacidad o imposibilidad jurídica, económica o técnica para cumplir el objeto del contrato.</t>
  </si>
  <si>
    <t>Haber cumplido  con los aportes al Sistema de Seguridad  Social  Integral y Parafiscales, en los seis (6) meses anteriores a la presentación de la propuesta Comercial y encontrarse a paz y salvo  con el sistema. Si tiene acuerdos de pago deberá certificarlo.</t>
  </si>
  <si>
    <t>Póliza número:</t>
  </si>
  <si>
    <t>valor asegurado:</t>
  </si>
  <si>
    <t>Vigencias:</t>
  </si>
  <si>
    <t>CUMPLE / NO CUMPLE:</t>
  </si>
  <si>
    <r>
      <t xml:space="preserve">Haber ejecutado contratos en COLOMBIA, y que dentro de su objeto o alcance incluyan Control de plagas que tengan relación con el objeto de la invitación.
El valor de cada contrato se tomará en Salarios Mínimos Mensuales Legales Vigentes (SMMLV) del R.U.P.
Para efectos de aplicar las siguientes fórmulas el valor del presupuesto oficial total se debe expresar en SMMLV del año 2019.
Cada certificado deberá estar en la clasificación de la UNSPSC, establecidas en la Tabla 4 en los códigos: </t>
    </r>
    <r>
      <rPr>
        <b/>
        <sz val="16"/>
        <rFont val="Arial"/>
        <family val="2"/>
      </rPr>
      <t>721021</t>
    </r>
    <r>
      <rPr>
        <sz val="16"/>
        <rFont val="Arial"/>
        <family val="2"/>
      </rPr>
      <t xml:space="preserve">
Se aceptarán aquellas propuestas que certifiquen la experiencia de máximo cinco (5) años de la terminación y liquidación, tomando como referencia la fecha de cierre o entrega de la propuesta, anexando en forma física hasta TRES (3) certificados de contratos terminados y liquidados que dentro de su objeto o alcance incluyan control de plagas que tengan relación con el objeto de la invitación y que al dividir la sumatoria  de los contratos solicitados por el presupuesto oficial total del contrato expresado en SMMLV, el resultado de éste sea mayor a uno punto cinco (1,5) veces el presupuesto oficial:
</t>
    </r>
    <r>
      <rPr>
        <u/>
        <sz val="28"/>
        <rFont val="Symbol"/>
        <family val="1"/>
        <charset val="2"/>
      </rPr>
      <t>S</t>
    </r>
    <r>
      <rPr>
        <u/>
        <sz val="16"/>
        <rFont val="Arial"/>
        <family val="2"/>
      </rPr>
      <t xml:space="preserve"> (del valor total de hasta 3 contratos liquidados que certifiquen clasificación de los códigos requeridos en SMMLV )</t>
    </r>
    <r>
      <rPr>
        <sz val="16"/>
        <rFont val="Arial"/>
        <family val="2"/>
      </rPr>
      <t xml:space="preserve"> &gt; 1,5
(Valor del presupuesto total oficial en SMMLV de 2019)</t>
    </r>
  </si>
  <si>
    <t>CUMPLE CON EL REQUERIMIENTO DE OBLIGATORIEDAD DE ESTAR INSCRITO EN EL CÓDIGO 721021 DE LA UNSPSC?</t>
  </si>
  <si>
    <t>NO</t>
  </si>
  <si>
    <t>5.4.4 No modificar los formatos del Proceso de Contratación, salvo autorización expresa.</t>
  </si>
  <si>
    <t>5.4.3 Tener una vigencia mínima de SESENTA (60) días calendario, contados a partir del cierre de la INVITACIÓN, prorrogable en un plazo igual, en caso que no se pueda adjudicar en dicho término</t>
  </si>
  <si>
    <t>5.4.2 Incluir todos los costos, gastos impuestos, tasas y contribuciones en los que deba incurrir el PROPONENTE para cumplir el objeto de la INVITACIÓN.</t>
  </si>
  <si>
    <t>5.4.1 Ser en PESOS COLOMBIANOS.</t>
  </si>
  <si>
    <t>6. Garantía de seridad</t>
  </si>
  <si>
    <t>MANEJO INTEGRAL DE PLAGAS VA-100-2019</t>
  </si>
  <si>
    <t>Concepto</t>
  </si>
  <si>
    <t>Total</t>
  </si>
  <si>
    <t>Vlr unitario actual</t>
  </si>
  <si>
    <t>Vlr total</t>
  </si>
  <si>
    <t>1.</t>
  </si>
  <si>
    <t>Ciudad Universitaria y otras sedes diferentes a regionales</t>
  </si>
  <si>
    <t>1.1</t>
  </si>
  <si>
    <t>Control general Químico y Físico de plagas y roedores en Ciudad Universitaria y las sedes alternas.</t>
  </si>
  <si>
    <t>Control de plagas y roedores en todas las zonas construidas, incluye la infraestructura de alcantarillado como tapas y cámaras de inspección.
Incluye entrega de informes.En Ciudad Universitaria y la Ciudadela Robledo, cada bloque se entiende como una unidad.</t>
  </si>
  <si>
    <t>1.2</t>
  </si>
  <si>
    <t>Monitoreo y control periódico Químico y Físico de plagas y roedores en Ciudad Universitaria y las sedes alternas.</t>
  </si>
  <si>
    <t>Control de plagas y roedores a usuarios programados y atención ordenes de servicio.
Incluye entrega de informe.</t>
  </si>
  <si>
    <t>1.3</t>
  </si>
  <si>
    <t xml:space="preserve">Control de larvas en tanques o depósitos de agua </t>
  </si>
  <si>
    <t>Aplicación de larvicidas en los tanques de agua potable.</t>
  </si>
  <si>
    <t>1.4</t>
  </si>
  <si>
    <t>Controles de plagas especiales de alto riesgo: panales de abejas, avispas, entre otros.</t>
  </si>
  <si>
    <t>Identificación y erradicación de panales con personal certificado en trabajo seguro de alturas. Incluye utilización de equipo de protección personal especial y entrega de informe.</t>
  </si>
  <si>
    <t>1.5</t>
  </si>
  <si>
    <t>Controles de plagas especiales de alto riesgo: termitas</t>
  </si>
  <si>
    <t>Identificación y erradicación de techos con termitas (comején) con personal certificado en trabajo seguro de alturas. Incluye utilización de equipo de protección personal especial y entrega de informe.</t>
  </si>
  <si>
    <t>1.6</t>
  </si>
  <si>
    <t>Subtotal Ciudad Universitaria y otras sedes diferentes a regionales</t>
  </si>
  <si>
    <t>IVA, 19%</t>
  </si>
  <si>
    <t>2.</t>
  </si>
  <si>
    <t>Sedes Regionales</t>
  </si>
  <si>
    <t>2.1</t>
  </si>
  <si>
    <t xml:space="preserve">Control general sede Occidente </t>
  </si>
  <si>
    <t>Control de plagas y roedores en todas las zonas construidas, incluye la infraestructura de alcantarillado como tapas y cámaras de inspección.   
Monitoreo  y seguimiento para el control de plagas o roedores en los puntos críticos  
Aplicación de larvicidas en los tanques de agua potable
Incluye entrega de informe</t>
  </si>
  <si>
    <t>2.2</t>
  </si>
  <si>
    <t>Control general sede Sonsón</t>
  </si>
  <si>
    <t>2.3</t>
  </si>
  <si>
    <t>Control general sede Oriente</t>
  </si>
  <si>
    <t>2.4</t>
  </si>
  <si>
    <t xml:space="preserve">Control general sede Yarumal </t>
  </si>
  <si>
    <t>2.5</t>
  </si>
  <si>
    <t xml:space="preserve">Control general sede Bajo Cauca </t>
  </si>
  <si>
    <t>2.6</t>
  </si>
  <si>
    <t>Control general sede Magdalena Medio</t>
  </si>
  <si>
    <t>2.7</t>
  </si>
  <si>
    <t xml:space="preserve">Control general Estación Piscícola </t>
  </si>
  <si>
    <t>2.8</t>
  </si>
  <si>
    <t xml:space="preserve">Control general sede Suroeste </t>
  </si>
  <si>
    <t>2.9</t>
  </si>
  <si>
    <t>Control general sede Amalfi</t>
  </si>
  <si>
    <t>2.10</t>
  </si>
  <si>
    <t xml:space="preserve">Control general sede Ciencias del Mar </t>
  </si>
  <si>
    <t>2.11</t>
  </si>
  <si>
    <t xml:space="preserve">Control general sede Apartadó </t>
  </si>
  <si>
    <t>2.12</t>
  </si>
  <si>
    <t xml:space="preserve">Control general sede Estudios Ecológicos </t>
  </si>
  <si>
    <t>2.13</t>
  </si>
  <si>
    <t xml:space="preserve">Control general sede Segovia </t>
  </si>
  <si>
    <t>2.14</t>
  </si>
  <si>
    <t>Controles de plagas especiales de termitas o abejas</t>
  </si>
  <si>
    <t>2.15</t>
  </si>
  <si>
    <t>Subtotal Sedes Regionales</t>
  </si>
  <si>
    <t xml:space="preserve"> IVA (19%) </t>
  </si>
  <si>
    <t xml:space="preserve"> TOTAL </t>
  </si>
  <si>
    <t>IVA TOTAL (19%)</t>
  </si>
  <si>
    <t>TOTAL GENERAL</t>
  </si>
  <si>
    <t>PORCENTAJE</t>
  </si>
  <si>
    <t>IVA 19%</t>
  </si>
  <si>
    <t>COSTO TOTAL</t>
  </si>
  <si>
    <t xml:space="preserve">EVALUACIÓN ECONÓMICA </t>
  </si>
  <si>
    <t>Menor valor</t>
  </si>
  <si>
    <r>
      <t>PUNTAJE (P</t>
    </r>
    <r>
      <rPr>
        <b/>
        <vertAlign val="subscript"/>
        <sz val="12"/>
        <rFont val="Calibri"/>
        <family val="2"/>
        <scheme val="minor"/>
      </rPr>
      <t>1.1</t>
    </r>
    <r>
      <rPr>
        <b/>
        <sz val="12"/>
        <rFont val="Calibri"/>
        <family val="2"/>
        <scheme val="minor"/>
      </rPr>
      <t>)</t>
    </r>
  </si>
  <si>
    <r>
      <t>PUNTAJE (P</t>
    </r>
    <r>
      <rPr>
        <b/>
        <vertAlign val="subscript"/>
        <sz val="12"/>
        <rFont val="Calibri"/>
        <family val="2"/>
        <scheme val="minor"/>
      </rPr>
      <t>1.2</t>
    </r>
    <r>
      <rPr>
        <b/>
        <sz val="12"/>
        <rFont val="Calibri"/>
        <family val="2"/>
        <scheme val="minor"/>
      </rPr>
      <t>)</t>
    </r>
  </si>
  <si>
    <r>
      <t>PUNTAJE (P</t>
    </r>
    <r>
      <rPr>
        <b/>
        <vertAlign val="subscript"/>
        <sz val="12"/>
        <rFont val="Calibri"/>
        <family val="2"/>
        <scheme val="minor"/>
      </rPr>
      <t>1.3</t>
    </r>
    <r>
      <rPr>
        <b/>
        <sz val="12"/>
        <rFont val="Calibri"/>
        <family val="2"/>
        <scheme val="minor"/>
      </rPr>
      <t>)</t>
    </r>
  </si>
  <si>
    <r>
      <t>PUNTAJE (P</t>
    </r>
    <r>
      <rPr>
        <b/>
        <vertAlign val="subscript"/>
        <sz val="12"/>
        <rFont val="Calibri"/>
        <family val="2"/>
        <scheme val="minor"/>
      </rPr>
      <t>1.41</t>
    </r>
    <r>
      <rPr>
        <b/>
        <sz val="12"/>
        <rFont val="Calibri"/>
        <family val="2"/>
        <scheme val="minor"/>
      </rPr>
      <t>)</t>
    </r>
  </si>
  <si>
    <r>
      <t>PUNTAJE (P</t>
    </r>
    <r>
      <rPr>
        <b/>
        <vertAlign val="subscript"/>
        <sz val="12"/>
        <rFont val="Calibri"/>
        <family val="2"/>
        <scheme val="minor"/>
      </rPr>
      <t>1.5</t>
    </r>
    <r>
      <rPr>
        <b/>
        <sz val="12"/>
        <rFont val="Calibri"/>
        <family val="2"/>
        <scheme val="minor"/>
      </rPr>
      <t>)</t>
    </r>
  </si>
  <si>
    <r>
      <t>PUNTAJE (P</t>
    </r>
    <r>
      <rPr>
        <b/>
        <vertAlign val="subscript"/>
        <sz val="12"/>
        <rFont val="Calibri"/>
        <family val="2"/>
        <scheme val="minor"/>
      </rPr>
      <t>2.1</t>
    </r>
    <r>
      <rPr>
        <b/>
        <sz val="12"/>
        <rFont val="Calibri"/>
        <family val="2"/>
        <scheme val="minor"/>
      </rPr>
      <t>)</t>
    </r>
  </si>
  <si>
    <r>
      <t>PUNTAJE (P</t>
    </r>
    <r>
      <rPr>
        <b/>
        <vertAlign val="subscript"/>
        <sz val="12"/>
        <rFont val="Calibri"/>
        <family val="2"/>
        <scheme val="minor"/>
      </rPr>
      <t>2.2</t>
    </r>
    <r>
      <rPr>
        <b/>
        <sz val="12"/>
        <rFont val="Calibri"/>
        <family val="2"/>
        <scheme val="minor"/>
      </rPr>
      <t>)</t>
    </r>
  </si>
  <si>
    <r>
      <t>PUNTAJE (P</t>
    </r>
    <r>
      <rPr>
        <b/>
        <vertAlign val="subscript"/>
        <sz val="12"/>
        <rFont val="Calibri"/>
        <family val="2"/>
        <scheme val="minor"/>
      </rPr>
      <t>2.3</t>
    </r>
    <r>
      <rPr>
        <b/>
        <sz val="12"/>
        <rFont val="Calibri"/>
        <family val="2"/>
        <scheme val="minor"/>
      </rPr>
      <t>)</t>
    </r>
  </si>
  <si>
    <r>
      <t>PUNTAJE (P</t>
    </r>
    <r>
      <rPr>
        <b/>
        <vertAlign val="subscript"/>
        <sz val="12"/>
        <rFont val="Calibri"/>
        <family val="2"/>
        <scheme val="minor"/>
      </rPr>
      <t>2.4</t>
    </r>
    <r>
      <rPr>
        <b/>
        <sz val="12"/>
        <rFont val="Calibri"/>
        <family val="2"/>
        <scheme val="minor"/>
      </rPr>
      <t>)</t>
    </r>
  </si>
  <si>
    <r>
      <t>PUNTAJE (P</t>
    </r>
    <r>
      <rPr>
        <b/>
        <vertAlign val="subscript"/>
        <sz val="12"/>
        <rFont val="Calibri"/>
        <family val="2"/>
        <scheme val="minor"/>
      </rPr>
      <t>2.5</t>
    </r>
    <r>
      <rPr>
        <b/>
        <sz val="12"/>
        <rFont val="Calibri"/>
        <family val="2"/>
        <scheme val="minor"/>
      </rPr>
      <t>)</t>
    </r>
  </si>
  <si>
    <r>
      <t>PUNTAJE (P</t>
    </r>
    <r>
      <rPr>
        <b/>
        <vertAlign val="subscript"/>
        <sz val="12"/>
        <rFont val="Calibri"/>
        <family val="2"/>
        <scheme val="minor"/>
      </rPr>
      <t>2.6</t>
    </r>
    <r>
      <rPr>
        <b/>
        <sz val="12"/>
        <rFont val="Calibri"/>
        <family val="2"/>
        <scheme val="minor"/>
      </rPr>
      <t>)</t>
    </r>
  </si>
  <si>
    <r>
      <t>PUNTAJE (P</t>
    </r>
    <r>
      <rPr>
        <b/>
        <vertAlign val="subscript"/>
        <sz val="12"/>
        <rFont val="Calibri"/>
        <family val="2"/>
        <scheme val="minor"/>
      </rPr>
      <t>2.7</t>
    </r>
    <r>
      <rPr>
        <b/>
        <sz val="12"/>
        <rFont val="Calibri"/>
        <family val="2"/>
        <scheme val="minor"/>
      </rPr>
      <t>)</t>
    </r>
  </si>
  <si>
    <r>
      <t>PUNTAJE (P</t>
    </r>
    <r>
      <rPr>
        <b/>
        <vertAlign val="subscript"/>
        <sz val="12"/>
        <rFont val="Calibri"/>
        <family val="2"/>
        <scheme val="minor"/>
      </rPr>
      <t>2.8</t>
    </r>
    <r>
      <rPr>
        <b/>
        <sz val="12"/>
        <rFont val="Calibri"/>
        <family val="2"/>
        <scheme val="minor"/>
      </rPr>
      <t>)</t>
    </r>
  </si>
  <si>
    <r>
      <t>PUNTAJE (P</t>
    </r>
    <r>
      <rPr>
        <b/>
        <vertAlign val="subscript"/>
        <sz val="12"/>
        <rFont val="Calibri"/>
        <family val="2"/>
        <scheme val="minor"/>
      </rPr>
      <t>2.9</t>
    </r>
    <r>
      <rPr>
        <b/>
        <sz val="12"/>
        <rFont val="Calibri"/>
        <family val="2"/>
        <scheme val="minor"/>
      </rPr>
      <t>)</t>
    </r>
  </si>
  <si>
    <r>
      <t>PUNTAJE (P</t>
    </r>
    <r>
      <rPr>
        <b/>
        <vertAlign val="subscript"/>
        <sz val="12"/>
        <rFont val="Calibri"/>
        <family val="2"/>
        <scheme val="minor"/>
      </rPr>
      <t>2.10</t>
    </r>
    <r>
      <rPr>
        <b/>
        <sz val="12"/>
        <rFont val="Calibri"/>
        <family val="2"/>
        <scheme val="minor"/>
      </rPr>
      <t>)</t>
    </r>
  </si>
  <si>
    <r>
      <t>PUNTAJE (P</t>
    </r>
    <r>
      <rPr>
        <b/>
        <vertAlign val="subscript"/>
        <sz val="12"/>
        <rFont val="Calibri"/>
        <family val="2"/>
        <scheme val="minor"/>
      </rPr>
      <t>2.11</t>
    </r>
    <r>
      <rPr>
        <b/>
        <sz val="12"/>
        <rFont val="Calibri"/>
        <family val="2"/>
        <scheme val="minor"/>
      </rPr>
      <t>)</t>
    </r>
  </si>
  <si>
    <r>
      <t>PUNTAJE (P</t>
    </r>
    <r>
      <rPr>
        <b/>
        <vertAlign val="subscript"/>
        <sz val="12"/>
        <rFont val="Calibri"/>
        <family val="2"/>
        <scheme val="minor"/>
      </rPr>
      <t>2.12</t>
    </r>
    <r>
      <rPr>
        <b/>
        <sz val="12"/>
        <rFont val="Calibri"/>
        <family val="2"/>
        <scheme val="minor"/>
      </rPr>
      <t>)</t>
    </r>
  </si>
  <si>
    <r>
      <t>PUNTAJE (P</t>
    </r>
    <r>
      <rPr>
        <b/>
        <vertAlign val="subscript"/>
        <sz val="12"/>
        <rFont val="Calibri"/>
        <family val="2"/>
        <scheme val="minor"/>
      </rPr>
      <t>2.13</t>
    </r>
    <r>
      <rPr>
        <b/>
        <sz val="12"/>
        <rFont val="Calibri"/>
        <family val="2"/>
        <scheme val="minor"/>
      </rPr>
      <t>)</t>
    </r>
  </si>
  <si>
    <r>
      <t>PUNTAJE (P</t>
    </r>
    <r>
      <rPr>
        <b/>
        <vertAlign val="subscript"/>
        <sz val="12"/>
        <rFont val="Calibri"/>
        <family val="2"/>
        <scheme val="minor"/>
      </rPr>
      <t>2.14</t>
    </r>
    <r>
      <rPr>
        <b/>
        <sz val="12"/>
        <rFont val="Calibri"/>
        <family val="2"/>
        <scheme val="minor"/>
      </rPr>
      <t>)</t>
    </r>
  </si>
  <si>
    <t>Resúmen: se recibieron TRES (3) propuestas.
EQUIPO TÉCNICO DE EVALUACIÓN
DIVISIÓN DE INFRAESTRUCTURA FÍSICA</t>
  </si>
  <si>
    <t>FUMIGAX S.A.S.</t>
  </si>
  <si>
    <t>Truly Nolen Soluciones S.A.</t>
  </si>
  <si>
    <t>Alfa Control S.A.S.</t>
  </si>
  <si>
    <t>890900947-1</t>
  </si>
  <si>
    <t>Juan Pablo Romero Muñóz</t>
  </si>
  <si>
    <t>811006418-4</t>
  </si>
  <si>
    <t>María Isabel Lema M.</t>
  </si>
  <si>
    <t>811021383-8</t>
  </si>
  <si>
    <t>Jhon Jairo Carmona Vélez</t>
  </si>
  <si>
    <t>Entrega un  sobre con propuesta 
Entrega memoria de 8 Gigas</t>
  </si>
  <si>
    <t>Entrega dos sobres: propuesta económica 4 folios y oferta original 192 folios, entrega CD.</t>
  </si>
  <si>
    <t>Entrega un  sobre con propuesta 
Entrega CD</t>
  </si>
  <si>
    <t>6 de 11</t>
  </si>
  <si>
    <t>7 de 11</t>
  </si>
  <si>
    <t>Postobon S.A.</t>
  </si>
  <si>
    <t>Caja de compensación familiar Comfenalco Antioquia</t>
  </si>
  <si>
    <t>Banco BNG sudameris</t>
  </si>
  <si>
    <t>NO CUMPLE</t>
  </si>
  <si>
    <t>CUMPLE</t>
  </si>
  <si>
    <t xml:space="preserve">Empresas Varias de Medellín </t>
  </si>
  <si>
    <t>NO ESTÁ ACORDE A ITEM 5.2.1 (T.R.)</t>
  </si>
  <si>
    <t>034 de 2016</t>
  </si>
  <si>
    <t>El valor del contrato en SMMLV del RUP no corresponde con el valor del contrato certificado (folio 59) el certificado (folio 60) está en ejecución.</t>
  </si>
  <si>
    <t>PENDIENTES</t>
  </si>
  <si>
    <t>Almacenes Éxito</t>
  </si>
  <si>
    <t>7 de 20</t>
  </si>
  <si>
    <t>2013-0533</t>
  </si>
  <si>
    <t>I</t>
  </si>
  <si>
    <t>Industria Nacional de Gaseosas S.A</t>
  </si>
  <si>
    <t xml:space="preserve">Caja de Compensación Familiar de Antioquia </t>
  </si>
  <si>
    <t>Continental Gold Limited</t>
  </si>
  <si>
    <t>CN2014-0200</t>
  </si>
  <si>
    <t>Metro de Medellín</t>
  </si>
  <si>
    <t>10602103-078-2016</t>
  </si>
  <si>
    <t>Universidad de Antioquia</t>
  </si>
  <si>
    <t>Fecha de reporte</t>
  </si>
  <si>
    <t xml:space="preserve">FUMIGAX </t>
  </si>
  <si>
    <t>El certificado NO se encuentra relacionado en el RUP</t>
  </si>
  <si>
    <t>NO SUBSANABLE</t>
  </si>
  <si>
    <t>Los certificados presentados (folios 57 y 58) no refrendan la información consignada en el RUP</t>
  </si>
  <si>
    <t>NO CUMPLEN CON LO SOLICITADO</t>
  </si>
  <si>
    <t>No presenta certificado para refrendar información del RUP.</t>
  </si>
  <si>
    <t>NO PRESENTÓ CERTIFICADO</t>
  </si>
  <si>
    <t>En el certificado (folio pag 63) el valor del contrato no coincide con valor del RUP</t>
  </si>
  <si>
    <t>PENDIENTE POR DESCRIPCIÓN</t>
  </si>
  <si>
    <t>DESCRIPCIÓN INSUFICIENTE</t>
  </si>
  <si>
    <t>Se recibieron tres (3) propuestas comerciales en presencia de la técnica Ángela Lopera. Para la apertura de sobres no estuvieron presentes los proponentes.</t>
  </si>
  <si>
    <t>Habilitable cumple estatus de experiencia general, capacidad financiera, requisitos comerciales y verificación de presupuesto.</t>
  </si>
  <si>
    <t>TOTAL COSTOS DIRECTOS ANTES DE IVA</t>
  </si>
  <si>
    <t>No habilitable, no cumple con el requisito de experiencia general, adicional cambio el formato de presentación de la propuesta .</t>
  </si>
  <si>
    <t>No cumple con el requisito de capacidad financiera (capital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</si>
</sst>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8" formatCode="&quot;$&quot;#,##0.00;[Red]\-&quot;$&quot;#,##0.00"/>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 #,##0.00_);_(* \(#,##0.00\);_(* &quot;-&quot;??_);_(@_)"/>
    <numFmt numFmtId="168" formatCode="_ * #,##0.00_ ;_ * \-#,##0.00_ ;_ * &quot;-&quot;??_ ;_ @_ "/>
    <numFmt numFmtId="169" formatCode="&quot;K=&quot;\ \ \ \ #,##0.00\ &quot;de contra&quot;"/>
    <numFmt numFmtId="170" formatCode="&quot;$&quot;\ #,##0.00"/>
    <numFmt numFmtId="171" formatCode="#,##0.00\ &quot;SMMLV&quot;"/>
    <numFmt numFmtId="172" formatCode="_ * #,##0_ ;_ * \-#,##0_ ;_ * &quot;-&quot;??_ ;_ @_ "/>
    <numFmt numFmtId="173" formatCode="_-* #,##0.00\ [$€]_-;\-* #,##0.00\ [$€]_-;_-* &quot;-&quot;??\ [$€]_-;_-@_-"/>
    <numFmt numFmtId="174" formatCode="\$#,##0.00_);[Red]\(\$#,##0.00\)"/>
    <numFmt numFmtId="175" formatCode="&quot;$&quot;\ #,##0.00;[Red]&quot;$&quot;\ \-#,##0.00"/>
    <numFmt numFmtId="176" formatCode="_-* #,##0.00\ _$_-;\-* #,##0.00\ _$_-;_-* &quot;-&quot;??\ _$_-;_-@_-"/>
    <numFmt numFmtId="177" formatCode="#,##0.000"/>
    <numFmt numFmtId="178" formatCode="0.0"/>
    <numFmt numFmtId="179" formatCode="###,###,##0.00000"/>
    <numFmt numFmtId="180" formatCode="&quot;$&quot;\ #,##0;&quot;$&quot;\ \-#,##0"/>
    <numFmt numFmtId="181" formatCode="_ &quot;$&quot;\ * #,##0.00_ ;_ &quot;$&quot;\ * \-#,##0.00_ ;_ &quot;$&quot;\ * &quot;-&quot;??_ ;_ @_ "/>
    <numFmt numFmtId="182" formatCode="_ &quot;$&quot;\ * #,##0_ ;_ &quot;$&quot;\ * \-#,##0_ ;_ &quot;$&quot;\ * &quot;-&quot;_ ;_ @_ "/>
    <numFmt numFmtId="183" formatCode="&quot;$&quot;\ #,##0.00;&quot;$&quot;\ \-#,##0.00"/>
    <numFmt numFmtId="184" formatCode="[$$-240A]\ #,##0.00"/>
    <numFmt numFmtId="185" formatCode="&quot;$&quot;\ #,##0;[Red]&quot;$&quot;\ \-#,##0"/>
    <numFmt numFmtId="186" formatCode="_(* #,##0_);_(* \(#,##0\);_(* &quot;-&quot;??_);_(@_)"/>
    <numFmt numFmtId="187" formatCode="_([$$-240A]\ * #,##0_);_([$$-240A]\ * \(#,##0\);_([$$-240A]\ * &quot;-&quot;_);_(@_)"/>
    <numFmt numFmtId="188" formatCode="#,##0.00;[Red]#,##0.00"/>
    <numFmt numFmtId="189" formatCode="&quot;$&quot;\ #,##0"/>
    <numFmt numFmtId="190" formatCode="#,##0.0000"/>
    <numFmt numFmtId="191" formatCode="&quot;X=&quot;0.0"/>
    <numFmt numFmtId="192" formatCode="_(&quot;$&quot;\ * #,##0.00_);_(&quot;$&quot;\ * \(#,##0.00\);_(&quot;$&quot;\ * &quot;-&quot;??_);_(@_)"/>
    <numFmt numFmtId="193" formatCode="_(&quot;$&quot;* #,##0.00_);_(&quot;$&quot;* \(#,##0.00\);_(&quot;$&quot;* &quot;-&quot;??_);_(@_)"/>
    <numFmt numFmtId="194" formatCode="_-[$$-240A]\ * #,##0.00_-;\-[$$-240A]\ * #,##0.00_-;_-[$$-240A]\ * &quot;-&quot;??_-;_-@_-"/>
    <numFmt numFmtId="195" formatCode="&quot;$&quot;#,##0"/>
    <numFmt numFmtId="196" formatCode="0.0%"/>
    <numFmt numFmtId="197" formatCode="###,###,##0.0"/>
    <numFmt numFmtId="198" formatCode="_-&quot;$&quot;* #,##0_-;\-&quot;$&quot;* #,##0_-;_-&quot;$&quot;* &quot;-&quot;??_-;_-@_-"/>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rgb="FF000000"/>
      <name val="Calibri"/>
      <family val="2"/>
    </font>
    <font>
      <b/>
      <sz val="12"/>
      <name val="Calibri"/>
      <family val="2"/>
      <scheme val="minor"/>
    </font>
    <font>
      <sz val="11"/>
      <name val="Arial"/>
      <family val="2"/>
    </font>
    <font>
      <b/>
      <sz val="14"/>
      <color rgb="FF000000"/>
      <name val="Calibri"/>
      <family val="2"/>
    </font>
    <font>
      <sz val="11"/>
      <color theme="1"/>
      <name val="Arial"/>
      <family val="2"/>
    </font>
    <font>
      <b/>
      <sz val="11"/>
      <color theme="1"/>
      <name val="Arial"/>
      <family val="2"/>
    </font>
    <font>
      <sz val="10"/>
      <name val="Swis721 LtCn BT"/>
      <family val="2"/>
    </font>
    <font>
      <sz val="11"/>
      <name val="Swis721 LtCn BT"/>
      <family val="2"/>
    </font>
    <font>
      <sz val="16"/>
      <name val="Arial"/>
      <family val="2"/>
    </font>
    <font>
      <b/>
      <sz val="11"/>
      <color rgb="FF000000"/>
      <name val="Arial"/>
      <family val="2"/>
    </font>
    <font>
      <sz val="12"/>
      <name val="Calibri"/>
      <family val="2"/>
      <scheme val="minor"/>
    </font>
    <font>
      <b/>
      <vertAlign val="subscript"/>
      <sz val="12"/>
      <name val="Calibri"/>
      <family val="2"/>
      <scheme val="minor"/>
    </font>
    <font>
      <sz val="10"/>
      <name val="Arial"/>
      <family val="2"/>
    </font>
    <font>
      <u/>
      <sz val="10"/>
      <color theme="10"/>
      <name val="Arial"/>
      <family val="2"/>
    </font>
    <font>
      <sz val="8"/>
      <name val="Arial"/>
      <family val="2"/>
    </font>
    <font>
      <b/>
      <sz val="18"/>
      <color theme="1"/>
      <name val="Arial"/>
      <family val="2"/>
    </font>
    <font>
      <b/>
      <sz val="18"/>
      <name val="Arial"/>
      <family val="2"/>
    </font>
    <font>
      <sz val="10"/>
      <name val="Arial"/>
      <family val="2"/>
    </font>
    <font>
      <b/>
      <sz val="22"/>
      <name val="Arial"/>
      <family val="2"/>
    </font>
    <font>
      <b/>
      <sz val="26"/>
      <color rgb="FF000000"/>
      <name val="Calibri"/>
      <family val="2"/>
    </font>
    <font>
      <b/>
      <sz val="20"/>
      <name val="Arial"/>
      <family val="2"/>
    </font>
    <font>
      <sz val="10"/>
      <name val="Arial"/>
      <family val="2"/>
    </font>
    <font>
      <b/>
      <sz val="48"/>
      <name val="Arial"/>
      <family val="2"/>
    </font>
    <font>
      <b/>
      <sz val="11.5"/>
      <name val="Arial"/>
      <family val="2"/>
    </font>
    <font>
      <b/>
      <sz val="36"/>
      <name val="Arial"/>
      <family val="2"/>
    </font>
    <font>
      <sz val="11"/>
      <color rgb="FFFF0000"/>
      <name val="Arial"/>
      <family val="2"/>
    </font>
    <font>
      <b/>
      <sz val="72"/>
      <name val="Arial"/>
      <family val="2"/>
    </font>
    <font>
      <b/>
      <sz val="11"/>
      <color theme="0"/>
      <name val="Arial"/>
      <family val="2"/>
    </font>
    <font>
      <sz val="10"/>
      <color rgb="FFFF0000"/>
      <name val="Arial"/>
      <family val="2"/>
    </font>
    <font>
      <sz val="11.5"/>
      <name val="Arial"/>
      <family val="2"/>
    </font>
    <font>
      <sz val="10"/>
      <color theme="0"/>
      <name val="Arial"/>
      <family val="2"/>
    </font>
    <font>
      <b/>
      <sz val="10"/>
      <name val="Swis721 LtCn BT"/>
      <family val="2"/>
    </font>
    <font>
      <u/>
      <sz val="28"/>
      <name val="Symbol"/>
      <family val="1"/>
      <charset val="2"/>
    </font>
    <font>
      <u/>
      <sz val="16"/>
      <name val="Arial"/>
      <family val="2"/>
    </font>
    <font>
      <b/>
      <sz val="12"/>
      <name val="Swis721 LtCn BT"/>
      <family val="2"/>
    </font>
    <font>
      <b/>
      <sz val="10"/>
      <name val="Century Gothic"/>
      <family val="2"/>
    </font>
    <font>
      <b/>
      <sz val="9"/>
      <color indexed="81"/>
      <name val="Tahoma"/>
      <family val="2"/>
    </font>
    <font>
      <b/>
      <sz val="16"/>
      <color rgb="FFFF0000"/>
      <name val="Arial"/>
      <family val="2"/>
    </font>
    <font>
      <b/>
      <sz val="10"/>
      <name val="Calibri"/>
      <family val="2"/>
      <scheme val="minor"/>
    </font>
    <font>
      <sz val="10"/>
      <name val="Calibri"/>
      <family val="2"/>
      <scheme val="minor"/>
    </font>
    <font>
      <sz val="16"/>
      <color rgb="FFFF0000"/>
      <name val="Arial"/>
      <family val="2"/>
    </font>
    <font>
      <b/>
      <sz val="11"/>
      <color rgb="FFFF0000"/>
      <name val="Arial"/>
      <family val="2"/>
    </font>
    <font>
      <b/>
      <sz val="12"/>
      <color rgb="FFFF0000"/>
      <name val="Arial"/>
      <family val="2"/>
    </font>
    <font>
      <sz val="9"/>
      <name val="Calibri"/>
      <family val="2"/>
      <scheme val="minor"/>
    </font>
    <font>
      <b/>
      <sz val="9"/>
      <name val="Arial"/>
      <family val="2"/>
    </font>
    <font>
      <b/>
      <sz val="9"/>
      <name val="Calibri"/>
      <family val="2"/>
      <scheme val="minor"/>
    </font>
    <font>
      <b/>
      <sz val="10"/>
      <name val="Calibri"/>
      <family val="2"/>
    </font>
    <font>
      <sz val="10"/>
      <name val="Calibri"/>
      <family val="2"/>
    </font>
    <font>
      <b/>
      <sz val="9"/>
      <name val="Calibri"/>
      <family val="2"/>
    </font>
    <font>
      <sz val="9"/>
      <name val="Calibri"/>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FFFF"/>
        <bgColor rgb="FF000000"/>
      </patternFill>
    </fill>
    <fill>
      <patternFill patternType="solid">
        <fgColor rgb="FFFFFF00"/>
        <bgColor rgb="FF000000"/>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auto="1"/>
      </left>
      <right style="double">
        <color auto="1"/>
      </right>
      <top style="double">
        <color auto="1"/>
      </top>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indexed="64"/>
      </right>
      <top/>
      <bottom/>
      <diagonal/>
    </border>
    <border>
      <left/>
      <right style="medium">
        <color auto="1"/>
      </right>
      <top style="double">
        <color auto="1"/>
      </top>
      <bottom style="medium">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medium">
        <color indexed="64"/>
      </left>
      <right style="medium">
        <color indexed="64"/>
      </right>
      <top style="hair">
        <color indexed="64"/>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double">
        <color auto="1"/>
      </right>
      <top style="medium">
        <color auto="1"/>
      </top>
      <bottom style="hair">
        <color auto="1"/>
      </bottom>
      <diagonal/>
    </border>
    <border>
      <left style="double">
        <color auto="1"/>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indexed="64"/>
      </right>
      <top/>
      <bottom style="double">
        <color indexed="64"/>
      </bottom>
      <diagonal/>
    </border>
    <border>
      <left style="double">
        <color auto="1"/>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0"/>
      </left>
      <right style="thin">
        <color indexed="0"/>
      </right>
      <top style="thin">
        <color indexed="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0"/>
      </left>
      <right style="thin">
        <color indexed="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0"/>
      </left>
      <right style="thin">
        <color indexed="8"/>
      </right>
      <top/>
      <bottom/>
      <diagonal/>
    </border>
    <border>
      <left/>
      <right/>
      <top style="thin">
        <color indexed="64"/>
      </top>
      <bottom style="thin">
        <color indexed="64"/>
      </bottom>
      <diagonal/>
    </border>
    <border>
      <left style="thin">
        <color indexed="0"/>
      </left>
      <right style="thin">
        <color indexed="8"/>
      </right>
      <top/>
      <bottom style="double">
        <color auto="1"/>
      </bottom>
      <diagonal/>
    </border>
    <border>
      <left/>
      <right style="thin">
        <color indexed="64"/>
      </right>
      <top style="thin">
        <color indexed="64"/>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auto="1"/>
      </right>
      <top style="hair">
        <color auto="1"/>
      </top>
      <bottom style="medium">
        <color auto="1"/>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auto="1"/>
      </left>
      <right/>
      <top style="medium">
        <color auto="1"/>
      </top>
      <bottom style="medium">
        <color auto="1"/>
      </bottom>
      <diagonal/>
    </border>
    <border>
      <left style="thin">
        <color indexed="0"/>
      </left>
      <right style="thin">
        <color indexed="0"/>
      </right>
      <top style="thin">
        <color indexed="0"/>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s>
  <cellStyleXfs count="435">
    <xf numFmtId="0" fontId="0" fillId="0" borderId="0"/>
    <xf numFmtId="8" fontId="13" fillId="0" borderId="0" applyFont="0" applyFill="0" applyProtection="0"/>
    <xf numFmtId="0" fontId="13" fillId="0" borderId="0"/>
    <xf numFmtId="168" fontId="16" fillId="0" borderId="0" applyFont="0" applyFill="0" applyBorder="0" applyAlignment="0" applyProtection="0"/>
    <xf numFmtId="173" fontId="13"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4" fontId="13" fillId="0" borderId="0" applyFont="0" applyFill="0" applyProtection="0"/>
    <xf numFmtId="174" fontId="13" fillId="0" borderId="0" applyFont="0" applyFill="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5" fontId="13" fillId="0" borderId="0" applyFont="0" applyFill="0" applyProtection="0"/>
    <xf numFmtId="175" fontId="13" fillId="0" borderId="0" applyFont="0" applyFill="0" applyProtection="0"/>
    <xf numFmtId="175" fontId="13" fillId="0" borderId="0" applyFont="0" applyFill="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5" fontId="13" fillId="0" borderId="0" applyFont="0" applyFill="0" applyProtection="0"/>
    <xf numFmtId="175" fontId="13" fillId="0" borderId="0" applyFont="0" applyFill="0" applyProtection="0"/>
    <xf numFmtId="175" fontId="13" fillId="0" borderId="0" applyFont="0" applyFill="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8" fontId="13" fillId="0" borderId="0" applyFont="0" applyFill="0" applyProtection="0"/>
    <xf numFmtId="8" fontId="13" fillId="0" borderId="0" applyFont="0" applyFill="0" applyProtection="0"/>
    <xf numFmtId="167" fontId="13" fillId="0" borderId="0" applyFont="0" applyFill="0" applyBorder="0" applyAlignment="0" applyProtection="0"/>
    <xf numFmtId="176" fontId="13" fillId="0" borderId="0" applyFont="0" applyFill="0" applyBorder="0" applyAlignment="0" applyProtection="0"/>
    <xf numFmtId="167" fontId="13" fillId="0" borderId="0" applyFont="0" applyFill="0" applyBorder="0" applyAlignment="0" applyProtection="0"/>
    <xf numFmtId="177"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174" fontId="13" fillId="0" borderId="0" applyFont="0" applyFill="0" applyProtection="0"/>
    <xf numFmtId="178" fontId="13" fillId="0" borderId="0" applyFont="0" applyFill="0" applyProtection="0"/>
    <xf numFmtId="178" fontId="13" fillId="0" borderId="0" applyFont="0" applyFill="0" applyProtection="0"/>
    <xf numFmtId="178" fontId="13" fillId="0" borderId="0" applyFont="0" applyFill="0" applyProtection="0"/>
    <xf numFmtId="174" fontId="13" fillId="0" borderId="0" applyFont="0" applyFill="0" applyProtection="0"/>
    <xf numFmtId="174" fontId="13" fillId="0" borderId="0" applyFont="0" applyFill="0" applyProtection="0"/>
    <xf numFmtId="177" fontId="13" fillId="0" borderId="0" applyFont="0" applyFill="0" applyProtection="0"/>
    <xf numFmtId="177" fontId="13" fillId="0" borderId="0" applyFont="0" applyFill="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9" fontId="13" fillId="0" borderId="0" applyFont="0" applyFill="0" applyProtection="0"/>
    <xf numFmtId="179" fontId="13" fillId="0" borderId="0" applyFont="0" applyFill="0" applyProtection="0"/>
    <xf numFmtId="179" fontId="13" fillId="0" borderId="0" applyFont="0" applyFill="0" applyProtection="0"/>
    <xf numFmtId="8" fontId="13" fillId="0" borderId="0" applyFont="0" applyFill="0" applyProtection="0"/>
    <xf numFmtId="8" fontId="13" fillId="0" borderId="0" applyFont="0" applyFill="0" applyProtection="0"/>
    <xf numFmtId="8" fontId="13" fillId="0" borderId="0" applyFont="0" applyFill="0" applyProtection="0"/>
    <xf numFmtId="8" fontId="13" fillId="0" borderId="0" applyFont="0" applyFill="0" applyProtection="0"/>
    <xf numFmtId="8" fontId="13" fillId="0" borderId="0" applyFont="0" applyFill="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2" fontId="13" fillId="0" borderId="0" applyFont="0" applyFill="0" applyProtection="0"/>
    <xf numFmtId="12" fontId="13" fillId="0" borderId="0" applyFont="0" applyFill="0" applyProtection="0"/>
    <xf numFmtId="12" fontId="13" fillId="0" borderId="0" applyFont="0" applyFill="0" applyProtection="0"/>
    <xf numFmtId="41" fontId="17" fillId="0" borderId="0" applyFont="0" applyFill="0" applyBorder="0" applyAlignment="0" applyProtection="0"/>
    <xf numFmtId="8" fontId="13" fillId="0" borderId="0" applyFont="0" applyFill="0" applyBorder="0" applyAlignment="0" applyProtection="0"/>
    <xf numFmtId="8" fontId="13" fillId="0" borderId="0" applyFont="0" applyFill="0" applyBorder="0" applyAlignment="0" applyProtection="0"/>
    <xf numFmtId="8" fontId="13" fillId="0" borderId="0" applyFont="0" applyFill="0" applyBorder="0" applyAlignment="0" applyProtection="0"/>
    <xf numFmtId="18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0" fontId="13" fillId="0" borderId="0"/>
    <xf numFmtId="0" fontId="13" fillId="0" borderId="0"/>
    <xf numFmtId="0" fontId="13"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3" fontId="15" fillId="0" borderId="0">
      <alignment horizontal="center" vertical="center"/>
    </xf>
    <xf numFmtId="0" fontId="24" fillId="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6" fillId="22"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8" fillId="24" borderId="5" applyNumberFormat="0" applyAlignment="0" applyProtection="0"/>
    <xf numFmtId="0" fontId="28" fillId="24" borderId="5" applyNumberFormat="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8" fillId="24" borderId="5" applyNumberFormat="0" applyAlignment="0" applyProtection="0"/>
    <xf numFmtId="0" fontId="30" fillId="0" borderId="0">
      <alignment horizontal="left" vertical="top"/>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13" fillId="27" borderId="1" applyNumberFormat="0" applyFont="0" applyFill="0" applyBorder="0" applyAlignment="0" applyProtection="0">
      <alignment horizontal="center" vertical="center" wrapText="1"/>
      <protection locked="0"/>
    </xf>
    <xf numFmtId="0" fontId="33" fillId="0" borderId="0" applyNumberFormat="0" applyFill="0" applyBorder="0" applyAlignment="0" applyProtection="0"/>
    <xf numFmtId="0" fontId="34" fillId="0" borderId="0">
      <alignment horizontal="centerContinuous"/>
    </xf>
    <xf numFmtId="0" fontId="25" fillId="4" borderId="0" applyNumberFormat="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32" fillId="7" borderId="4" applyNumberFormat="0" applyAlignment="0" applyProtection="0"/>
    <xf numFmtId="0" fontId="38" fillId="0" borderId="10" applyNumberFormat="0" applyFill="0" applyAlignment="0" applyProtection="0"/>
    <xf numFmtId="175" fontId="13" fillId="0" borderId="0" applyFont="0" applyFill="0" applyProtection="0"/>
    <xf numFmtId="183" fontId="13" fillId="0" borderId="0" applyFont="0" applyFill="0" applyBorder="0" applyAlignment="0" applyProtection="0"/>
    <xf numFmtId="168"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83"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40" fillId="0" borderId="0"/>
    <xf numFmtId="0" fontId="22" fillId="0" borderId="0"/>
    <xf numFmtId="0" fontId="22" fillId="0" borderId="0"/>
    <xf numFmtId="0" fontId="22" fillId="0" borderId="0"/>
    <xf numFmtId="0" fontId="22" fillId="0" borderId="0"/>
    <xf numFmtId="0" fontId="40" fillId="0" borderId="0"/>
    <xf numFmtId="0" fontId="13" fillId="0" borderId="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41" fillId="22" borderId="12" applyNumberFormat="0" applyAlignment="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 fontId="13" fillId="0" borderId="0" applyFont="0" applyFill="0" applyBorder="0" applyAlignment="0" applyProtection="0"/>
    <xf numFmtId="0" fontId="41" fillId="23" borderId="12" applyNumberFormat="0" applyAlignment="0" applyProtection="0"/>
    <xf numFmtId="0" fontId="41" fillId="23" borderId="12" applyNumberFormat="0" applyAlignment="0" applyProtection="0"/>
    <xf numFmtId="0" fontId="41" fillId="23" borderId="12"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2" applyBorder="0">
      <alignment horizontal="center"/>
    </xf>
    <xf numFmtId="0" fontId="43" fillId="0" borderId="0" applyNumberFormat="0" applyFill="0" applyBorder="0" applyAlignment="0" applyProtection="0"/>
    <xf numFmtId="0" fontId="44" fillId="0" borderId="0">
      <alignment horizontal="left" vertical="top"/>
    </xf>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3" fillId="0" borderId="0">
      <alignment horizontal="left" vertical="top"/>
    </xf>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18" fillId="0" borderId="0">
      <alignment horizontal="left" vertical="top"/>
    </xf>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2" fillId="0" borderId="0">
      <alignment horizontal="left" vertical="top"/>
    </xf>
    <xf numFmtId="0" fontId="29" fillId="0" borderId="0" applyNumberFormat="0" applyFill="0" applyBorder="0" applyAlignment="0" applyProtection="0"/>
    <xf numFmtId="181"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0" fontId="54" fillId="0" borderId="0"/>
    <xf numFmtId="0" fontId="11" fillId="0" borderId="0"/>
    <xf numFmtId="0" fontId="10" fillId="0" borderId="0"/>
    <xf numFmtId="187" fontId="13" fillId="0" borderId="0"/>
    <xf numFmtId="0" fontId="9" fillId="0" borderId="0"/>
    <xf numFmtId="0" fontId="8" fillId="0" borderId="0"/>
    <xf numFmtId="0" fontId="7" fillId="0" borderId="0"/>
    <xf numFmtId="0" fontId="6" fillId="0" borderId="0"/>
    <xf numFmtId="0" fontId="6"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66" fillId="0" borderId="0" applyFont="0" applyFill="0" applyBorder="0" applyAlignment="0" applyProtection="0"/>
    <xf numFmtId="0" fontId="5" fillId="0" borderId="0"/>
    <xf numFmtId="0" fontId="67" fillId="0" borderId="0" applyNumberForma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7" fillId="0" borderId="0" applyFont="0" applyFill="0" applyBorder="0" applyAlignment="0" applyProtection="0"/>
    <xf numFmtId="0" fontId="26" fillId="22" borderId="29" applyNumberFormat="0" applyAlignment="0" applyProtection="0"/>
    <xf numFmtId="0" fontId="27" fillId="23" borderId="29" applyNumberFormat="0" applyAlignment="0" applyProtection="0"/>
    <xf numFmtId="0" fontId="27" fillId="23" borderId="29" applyNumberFormat="0" applyAlignment="0" applyProtection="0"/>
    <xf numFmtId="0" fontId="27" fillId="23" borderId="29" applyNumberFormat="0" applyAlignment="0" applyProtection="0"/>
    <xf numFmtId="0" fontId="32" fillId="13" borderId="29" applyNumberFormat="0" applyAlignment="0" applyProtection="0"/>
    <xf numFmtId="0" fontId="32" fillId="13" borderId="29" applyNumberFormat="0" applyAlignment="0" applyProtection="0"/>
    <xf numFmtId="0" fontId="32" fillId="13" borderId="29" applyNumberFormat="0" applyAlignment="0" applyProtection="0"/>
    <xf numFmtId="0" fontId="13" fillId="27" borderId="22" applyNumberFormat="0" applyFont="0" applyFill="0" applyBorder="0" applyAlignment="0" applyProtection="0">
      <alignment horizontal="center" vertical="center" wrapText="1"/>
      <protection locked="0"/>
    </xf>
    <xf numFmtId="0" fontId="32" fillId="7" borderId="29" applyNumberFormat="0" applyAlignment="0" applyProtection="0"/>
    <xf numFmtId="0" fontId="13" fillId="10" borderId="30" applyNumberFormat="0" applyFont="0" applyAlignment="0" applyProtection="0"/>
    <xf numFmtId="0" fontId="13" fillId="10" borderId="30" applyNumberFormat="0" applyFont="0" applyAlignment="0" applyProtection="0"/>
    <xf numFmtId="0" fontId="13" fillId="10" borderId="30" applyNumberFormat="0" applyFont="0" applyAlignment="0" applyProtection="0"/>
    <xf numFmtId="0" fontId="13" fillId="10" borderId="30" applyNumberFormat="0" applyFont="0" applyAlignment="0" applyProtection="0"/>
    <xf numFmtId="0" fontId="41" fillId="22" borderId="31" applyNumberFormat="0" applyAlignment="0" applyProtection="0"/>
    <xf numFmtId="0" fontId="41" fillId="23" borderId="31" applyNumberFormat="0" applyAlignment="0" applyProtection="0"/>
    <xf numFmtId="0" fontId="41" fillId="23" borderId="31" applyNumberFormat="0" applyAlignment="0" applyProtection="0"/>
    <xf numFmtId="0" fontId="41" fillId="23" borderId="31" applyNumberFormat="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3" fillId="0" borderId="0" applyFont="0" applyFill="0" applyBorder="0" applyAlignment="0" applyProtection="0"/>
    <xf numFmtId="0" fontId="4" fillId="0" borderId="0"/>
    <xf numFmtId="0" fontId="3" fillId="0" borderId="0"/>
    <xf numFmtId="41" fontId="71" fillId="0" borderId="0" applyFont="0" applyFill="0" applyBorder="0" applyAlignment="0" applyProtection="0"/>
    <xf numFmtId="0" fontId="2" fillId="0" borderId="0"/>
    <xf numFmtId="192" fontId="2" fillId="0" borderId="0" applyFont="0" applyFill="0" applyBorder="0" applyAlignment="0" applyProtection="0"/>
    <xf numFmtId="9" fontId="2" fillId="0" borderId="0" applyFont="0" applyFill="0" applyBorder="0" applyAlignment="0" applyProtection="0"/>
    <xf numFmtId="193" fontId="1" fillId="0" borderId="0" applyFont="0" applyFill="0" applyBorder="0" applyAlignment="0" applyProtection="0"/>
    <xf numFmtId="166" fontId="13" fillId="0" borderId="0" applyFont="0" applyFill="0" applyBorder="0" applyAlignment="0" applyProtection="0"/>
    <xf numFmtId="166" fontId="75" fillId="0" borderId="0" applyFont="0" applyFill="0" applyBorder="0" applyAlignment="0" applyProtection="0"/>
    <xf numFmtId="44" fontId="13" fillId="0" borderId="0" applyFont="0" applyFill="0" applyBorder="0" applyAlignment="0" applyProtection="0"/>
    <xf numFmtId="0" fontId="13" fillId="0" borderId="0"/>
  </cellStyleXfs>
  <cellXfs count="800">
    <xf numFmtId="0" fontId="0" fillId="0" borderId="0" xfId="0"/>
    <xf numFmtId="0" fontId="58" fillId="0" borderId="0" xfId="350" applyFont="1" applyAlignment="1" applyProtection="1">
      <alignment vertical="center"/>
      <protection locked="0"/>
    </xf>
    <xf numFmtId="0" fontId="50" fillId="0" borderId="0" xfId="350" applyFont="1" applyFill="1" applyAlignment="1" applyProtection="1">
      <alignment vertical="center"/>
      <protection locked="0"/>
    </xf>
    <xf numFmtId="0" fontId="44" fillId="30" borderId="3" xfId="350" applyFont="1" applyFill="1" applyBorder="1" applyAlignment="1" applyProtection="1">
      <alignment horizontal="center" vertical="center" wrapText="1"/>
      <protection locked="0"/>
    </xf>
    <xf numFmtId="0" fontId="58" fillId="0" borderId="0" xfId="350" applyFont="1" applyFill="1" applyAlignment="1" applyProtection="1">
      <alignment vertical="center"/>
      <protection locked="0"/>
    </xf>
    <xf numFmtId="0" fontId="53" fillId="0" borderId="22" xfId="350" applyFont="1" applyFill="1" applyBorder="1" applyAlignment="1" applyProtection="1">
      <alignment horizontal="center" vertical="center" wrapText="1"/>
      <protection locked="0"/>
    </xf>
    <xf numFmtId="0" fontId="50" fillId="0" borderId="22" xfId="419" applyFont="1" applyFill="1" applyBorder="1" applyAlignment="1" applyProtection="1">
      <alignment horizontal="justify" vertical="center" wrapText="1"/>
      <protection locked="0"/>
    </xf>
    <xf numFmtId="0" fontId="50" fillId="0" borderId="22" xfId="350" applyFont="1" applyFill="1" applyBorder="1" applyAlignment="1" applyProtection="1">
      <alignment horizontal="center" vertical="center" wrapText="1"/>
      <protection locked="0"/>
    </xf>
    <xf numFmtId="0" fontId="13" fillId="0" borderId="22" xfId="350" applyFont="1" applyFill="1" applyBorder="1" applyAlignment="1" applyProtection="1">
      <alignment horizontal="justify" vertical="center" wrapText="1"/>
      <protection locked="0"/>
    </xf>
    <xf numFmtId="8" fontId="50" fillId="0" borderId="22" xfId="350" applyNumberFormat="1" applyFont="1" applyFill="1" applyBorder="1" applyAlignment="1" applyProtection="1">
      <alignment horizontal="center" vertical="center"/>
      <protection locked="0"/>
    </xf>
    <xf numFmtId="0" fontId="50" fillId="0" borderId="22" xfId="350" applyFont="1" applyFill="1" applyBorder="1" applyAlignment="1" applyProtection="1">
      <alignment horizontal="center" vertical="center"/>
      <protection locked="0"/>
    </xf>
    <xf numFmtId="0" fontId="50" fillId="0" borderId="22" xfId="350" applyFont="1" applyFill="1" applyBorder="1" applyAlignment="1" applyProtection="1">
      <alignment horizontal="justify" vertical="center"/>
      <protection locked="0"/>
    </xf>
    <xf numFmtId="0" fontId="13" fillId="0" borderId="22" xfId="350" applyFont="1" applyFill="1" applyBorder="1" applyAlignment="1" applyProtection="1">
      <alignment horizontal="center" vertical="center"/>
      <protection locked="0"/>
    </xf>
    <xf numFmtId="0" fontId="50" fillId="0" borderId="0" xfId="350" applyFont="1" applyFill="1" applyBorder="1" applyAlignment="1" applyProtection="1">
      <alignment vertical="center"/>
      <protection locked="0"/>
    </xf>
    <xf numFmtId="0" fontId="13" fillId="0" borderId="22" xfId="350" applyFont="1" applyFill="1" applyBorder="1" applyAlignment="1" applyProtection="1">
      <alignment horizontal="justify" vertical="center"/>
      <protection locked="0"/>
    </xf>
    <xf numFmtId="0" fontId="50" fillId="0" borderId="0" xfId="350" applyFont="1" applyAlignment="1" applyProtection="1">
      <alignment vertical="center"/>
      <protection locked="0"/>
    </xf>
    <xf numFmtId="0" fontId="17" fillId="30" borderId="0" xfId="350" applyFont="1" applyFill="1" applyBorder="1" applyAlignment="1" applyProtection="1">
      <alignment horizontal="center" vertical="center" wrapText="1"/>
    </xf>
    <xf numFmtId="0" fontId="50" fillId="0" borderId="1" xfId="344" applyFont="1" applyFill="1" applyBorder="1" applyAlignment="1" applyProtection="1">
      <alignment horizontal="center" vertical="center" wrapText="1"/>
      <protection locked="0"/>
    </xf>
    <xf numFmtId="0" fontId="58" fillId="31" borderId="0" xfId="350" applyFont="1" applyFill="1" applyAlignment="1" applyProtection="1">
      <alignment vertical="center"/>
      <protection locked="0"/>
    </xf>
    <xf numFmtId="164" fontId="50" fillId="0" borderId="22" xfId="350" applyNumberFormat="1" applyFont="1" applyFill="1" applyBorder="1" applyAlignment="1" applyProtection="1">
      <alignment horizontal="center" vertical="center"/>
      <protection locked="0"/>
    </xf>
    <xf numFmtId="0" fontId="58" fillId="32" borderId="22" xfId="350" applyFont="1" applyFill="1" applyBorder="1" applyAlignment="1" applyProtection="1">
      <alignment horizontal="center" vertical="center" wrapText="1"/>
      <protection locked="0"/>
    </xf>
    <xf numFmtId="0" fontId="56" fillId="0" borderId="0" xfId="2" applyFont="1" applyFill="1" applyAlignment="1" applyProtection="1">
      <alignment vertical="center" wrapText="1"/>
      <protection hidden="1"/>
    </xf>
    <xf numFmtId="168" fontId="44" fillId="0" borderId="0" xfId="3" applyFont="1" applyFill="1" applyBorder="1" applyAlignment="1" applyProtection="1">
      <alignment vertical="center" wrapText="1"/>
      <protection hidden="1"/>
    </xf>
    <xf numFmtId="168" fontId="44" fillId="0" borderId="0" xfId="3" applyFont="1" applyFill="1" applyAlignment="1" applyProtection="1">
      <alignment horizontal="center" wrapText="1"/>
      <protection hidden="1"/>
    </xf>
    <xf numFmtId="0" fontId="50" fillId="35" borderId="22" xfId="350" applyFont="1" applyFill="1" applyBorder="1" applyAlignment="1" applyProtection="1">
      <alignment horizontal="justify" vertical="center"/>
      <protection locked="0"/>
    </xf>
    <xf numFmtId="0" fontId="0" fillId="29" borderId="0" xfId="0" applyFill="1" applyAlignment="1" applyProtection="1">
      <alignment vertical="center" wrapText="1"/>
      <protection hidden="1"/>
    </xf>
    <xf numFmtId="0" fontId="58" fillId="0" borderId="0" xfId="351" applyFont="1" applyProtection="1">
      <protection hidden="1"/>
    </xf>
    <xf numFmtId="0" fontId="16" fillId="0" borderId="0" xfId="2" applyFont="1" applyFill="1" applyAlignment="1" applyProtection="1">
      <alignment vertical="center" wrapText="1"/>
      <protection hidden="1"/>
    </xf>
    <xf numFmtId="168" fontId="17" fillId="0" borderId="0" xfId="3" applyFont="1" applyFill="1" applyAlignment="1" applyProtection="1">
      <alignment vertical="center" wrapText="1"/>
      <protection hidden="1"/>
    </xf>
    <xf numFmtId="0" fontId="16" fillId="0" borderId="0" xfId="2" applyNumberFormat="1" applyFont="1" applyFill="1" applyAlignment="1" applyProtection="1">
      <alignment vertical="center" wrapText="1"/>
      <protection hidden="1"/>
    </xf>
    <xf numFmtId="172" fontId="16" fillId="0" borderId="0" xfId="3" applyNumberFormat="1" applyFont="1" applyFill="1" applyAlignment="1" applyProtection="1">
      <alignment vertical="center" wrapText="1"/>
      <protection hidden="1"/>
    </xf>
    <xf numFmtId="168" fontId="16" fillId="0" borderId="0" xfId="3" applyFont="1" applyFill="1" applyAlignment="1" applyProtection="1">
      <alignment vertical="center" wrapText="1"/>
      <protection hidden="1"/>
    </xf>
    <xf numFmtId="0" fontId="16" fillId="0" borderId="0" xfId="2" applyFont="1" applyFill="1" applyBorder="1" applyAlignment="1" applyProtection="1">
      <alignment vertical="center" wrapText="1"/>
      <protection hidden="1"/>
    </xf>
    <xf numFmtId="0" fontId="16" fillId="0" borderId="0" xfId="2" applyNumberFormat="1" applyFont="1" applyFill="1" applyAlignment="1" applyProtection="1">
      <alignment horizontal="center" vertical="center" wrapText="1"/>
      <protection hidden="1"/>
    </xf>
    <xf numFmtId="0" fontId="16" fillId="0" borderId="0" xfId="2" applyFont="1" applyFill="1" applyAlignment="1" applyProtection="1">
      <alignment horizontal="center" vertical="center" wrapText="1"/>
      <protection hidden="1"/>
    </xf>
    <xf numFmtId="0" fontId="16" fillId="30" borderId="0" xfId="2" applyFont="1" applyFill="1" applyAlignment="1" applyProtection="1">
      <alignment vertical="center" wrapText="1"/>
      <protection hidden="1"/>
    </xf>
    <xf numFmtId="0" fontId="16" fillId="30" borderId="0" xfId="2" applyNumberFormat="1" applyFont="1" applyFill="1" applyAlignment="1" applyProtection="1">
      <alignment horizontal="center" vertical="center" wrapText="1"/>
      <protection hidden="1"/>
    </xf>
    <xf numFmtId="0" fontId="16" fillId="30" borderId="0" xfId="2" applyFont="1" applyFill="1" applyAlignment="1" applyProtection="1">
      <alignment horizontal="center" vertical="center" wrapText="1"/>
      <protection hidden="1"/>
    </xf>
    <xf numFmtId="168" fontId="17" fillId="37" borderId="22" xfId="3" applyFont="1" applyFill="1" applyBorder="1" applyAlignment="1" applyProtection="1">
      <alignment horizontal="center" vertical="center" wrapText="1"/>
      <protection hidden="1"/>
    </xf>
    <xf numFmtId="0" fontId="17" fillId="0" borderId="22" xfId="3" applyNumberFormat="1" applyFont="1" applyFill="1" applyBorder="1" applyAlignment="1" applyProtection="1">
      <alignment horizontal="center" vertical="center" wrapText="1"/>
      <protection hidden="1"/>
    </xf>
    <xf numFmtId="168" fontId="17" fillId="0" borderId="22" xfId="3" applyFont="1" applyFill="1" applyBorder="1" applyAlignment="1" applyProtection="1">
      <alignment vertical="center" wrapText="1"/>
      <protection hidden="1"/>
    </xf>
    <xf numFmtId="168" fontId="17" fillId="0" borderId="22" xfId="3" applyFont="1" applyFill="1" applyBorder="1" applyAlignment="1" applyProtection="1">
      <alignment horizontal="center" vertical="center" wrapText="1"/>
      <protection hidden="1"/>
    </xf>
    <xf numFmtId="0" fontId="16" fillId="0" borderId="0" xfId="2" applyFont="1" applyFill="1" applyAlignment="1" applyProtection="1">
      <alignment horizontal="left" vertical="center"/>
      <protection hidden="1"/>
    </xf>
    <xf numFmtId="0" fontId="50" fillId="0" borderId="0" xfId="344" applyFont="1" applyAlignment="1" applyProtection="1">
      <alignment vertical="center"/>
      <protection hidden="1"/>
    </xf>
    <xf numFmtId="0" fontId="50" fillId="33" borderId="1" xfId="344" applyFont="1" applyFill="1" applyBorder="1" applyAlignment="1" applyProtection="1">
      <alignment vertical="center"/>
      <protection hidden="1"/>
    </xf>
    <xf numFmtId="0" fontId="52" fillId="33" borderId="1" xfId="344" applyFont="1" applyFill="1" applyBorder="1" applyAlignment="1" applyProtection="1">
      <alignment horizontal="center" vertical="center" wrapText="1"/>
      <protection hidden="1"/>
    </xf>
    <xf numFmtId="0" fontId="50" fillId="33" borderId="1" xfId="344" applyFont="1" applyFill="1" applyBorder="1" applyAlignment="1" applyProtection="1">
      <alignment horizontal="justify" vertical="center" wrapText="1"/>
      <protection hidden="1"/>
    </xf>
    <xf numFmtId="1" fontId="51" fillId="33" borderId="1" xfId="344" applyNumberFormat="1" applyFont="1" applyFill="1" applyBorder="1" applyAlignment="1" applyProtection="1">
      <alignment horizontal="center" vertical="center" wrapText="1"/>
      <protection hidden="1"/>
    </xf>
    <xf numFmtId="0" fontId="51" fillId="33" borderId="1" xfId="344" applyFont="1" applyFill="1" applyBorder="1" applyAlignment="1" applyProtection="1">
      <alignment horizontal="left" vertical="center" wrapText="1"/>
      <protection hidden="1"/>
    </xf>
    <xf numFmtId="0" fontId="13" fillId="0" borderId="0" xfId="0" applyFont="1" applyProtection="1">
      <protection hidden="1"/>
    </xf>
    <xf numFmtId="0" fontId="13" fillId="0" borderId="0" xfId="0" applyFont="1" applyFill="1" applyProtection="1">
      <protection hidden="1"/>
    </xf>
    <xf numFmtId="0" fontId="13" fillId="0" borderId="22" xfId="0" applyFont="1" applyBorder="1" applyAlignment="1" applyProtection="1">
      <alignment horizontal="center" vertical="center"/>
      <protection hidden="1"/>
    </xf>
    <xf numFmtId="0" fontId="62" fillId="37" borderId="22" xfId="0" applyFont="1" applyFill="1" applyBorder="1" applyAlignment="1" applyProtection="1">
      <alignment horizontal="center" vertical="center" wrapText="1"/>
      <protection hidden="1"/>
    </xf>
    <xf numFmtId="0" fontId="62" fillId="0" borderId="22" xfId="0" applyNumberFormat="1" applyFont="1" applyFill="1" applyBorder="1" applyAlignment="1" applyProtection="1">
      <alignment horizontal="center" vertical="center" wrapText="1"/>
      <protection hidden="1"/>
    </xf>
    <xf numFmtId="0" fontId="55" fillId="29" borderId="22" xfId="349" applyFont="1" applyFill="1" applyBorder="1" applyAlignment="1" applyProtection="1">
      <alignment vertical="center" wrapText="1"/>
      <protection hidden="1"/>
    </xf>
    <xf numFmtId="0" fontId="55" fillId="29" borderId="27" xfId="349" applyFont="1" applyFill="1" applyBorder="1" applyAlignment="1" applyProtection="1">
      <alignment horizontal="center" vertical="center" wrapText="1"/>
      <protection hidden="1"/>
    </xf>
    <xf numFmtId="0" fontId="55" fillId="29" borderId="33" xfId="349" applyFont="1" applyFill="1" applyBorder="1" applyAlignment="1" applyProtection="1">
      <alignment horizontal="center" vertical="center" wrapText="1"/>
      <protection hidden="1"/>
    </xf>
    <xf numFmtId="0" fontId="55" fillId="30" borderId="1" xfId="349" applyFont="1" applyFill="1" applyBorder="1" applyAlignment="1" applyProtection="1">
      <alignment horizontal="center" vertical="center"/>
      <protection hidden="1"/>
    </xf>
    <xf numFmtId="2" fontId="64" fillId="30" borderId="22" xfId="349" applyNumberFormat="1" applyFont="1" applyFill="1" applyBorder="1" applyAlignment="1" applyProtection="1">
      <alignment horizontal="center" vertical="center"/>
      <protection hidden="1"/>
    </xf>
    <xf numFmtId="2" fontId="55" fillId="30" borderId="22" xfId="349" applyNumberFormat="1" applyFont="1" applyFill="1" applyBorder="1" applyAlignment="1" applyProtection="1">
      <alignment horizontal="center" vertical="center"/>
      <protection hidden="1"/>
    </xf>
    <xf numFmtId="0" fontId="15" fillId="30" borderId="22" xfId="104"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58" fillId="33" borderId="22" xfId="350" applyFont="1" applyFill="1" applyBorder="1" applyAlignment="1" applyProtection="1">
      <alignment horizontal="center" vertical="center" wrapText="1"/>
      <protection locked="0"/>
    </xf>
    <xf numFmtId="0" fontId="63" fillId="33" borderId="22" xfId="350" applyFont="1" applyFill="1" applyBorder="1" applyAlignment="1" applyProtection="1">
      <alignment horizontal="center" vertical="center" wrapText="1"/>
    </xf>
    <xf numFmtId="0" fontId="59" fillId="33" borderId="22" xfId="350" applyFont="1" applyFill="1" applyBorder="1" applyAlignment="1" applyProtection="1">
      <alignment horizontal="center" vertical="center" wrapText="1"/>
    </xf>
    <xf numFmtId="3" fontId="59" fillId="33" borderId="22" xfId="350" applyNumberFormat="1" applyFont="1" applyFill="1" applyBorder="1" applyAlignment="1" applyProtection="1">
      <alignment horizontal="center" vertical="center" wrapText="1"/>
    </xf>
    <xf numFmtId="0" fontId="58" fillId="30" borderId="22" xfId="350" applyFont="1" applyFill="1" applyBorder="1" applyAlignment="1" applyProtection="1">
      <alignment horizontal="center" vertical="center" wrapText="1"/>
      <protection locked="0"/>
    </xf>
    <xf numFmtId="0" fontId="51" fillId="30" borderId="22" xfId="350" applyFont="1" applyFill="1" applyBorder="1" applyAlignment="1" applyProtection="1">
      <alignment horizontal="center" vertical="center" wrapText="1"/>
      <protection locked="0"/>
    </xf>
    <xf numFmtId="0" fontId="59" fillId="32" borderId="22" xfId="350" applyFont="1" applyFill="1" applyBorder="1" applyAlignment="1" applyProtection="1">
      <alignment horizontal="center" vertical="center" wrapText="1"/>
      <protection locked="0"/>
    </xf>
    <xf numFmtId="0" fontId="50" fillId="32" borderId="22" xfId="350" applyFont="1" applyFill="1" applyBorder="1" applyAlignment="1" applyProtection="1">
      <alignment vertical="center"/>
      <protection locked="0"/>
    </xf>
    <xf numFmtId="0" fontId="59" fillId="35" borderId="22" xfId="350" applyFont="1" applyFill="1" applyBorder="1" applyAlignment="1" applyProtection="1">
      <alignment horizontal="center" vertical="center"/>
      <protection locked="0"/>
    </xf>
    <xf numFmtId="0" fontId="58" fillId="35" borderId="22" xfId="350" applyFont="1" applyFill="1" applyBorder="1" applyAlignment="1" applyProtection="1">
      <alignment horizontal="center" vertical="center"/>
      <protection locked="0"/>
    </xf>
    <xf numFmtId="0" fontId="55" fillId="29" borderId="22" xfId="349" applyFont="1" applyFill="1" applyBorder="1" applyAlignment="1" applyProtection="1">
      <alignment horizontal="center" vertical="center" wrapText="1"/>
      <protection hidden="1"/>
    </xf>
    <xf numFmtId="189" fontId="13" fillId="0" borderId="22" xfId="0" applyNumberFormat="1" applyFont="1" applyBorder="1" applyAlignment="1" applyProtection="1">
      <alignment horizontal="center" vertical="center"/>
      <protection hidden="1"/>
    </xf>
    <xf numFmtId="0" fontId="13" fillId="37" borderId="22" xfId="0" applyFont="1" applyFill="1" applyBorder="1" applyAlignment="1" applyProtection="1">
      <alignment horizontal="center" vertical="center" wrapText="1"/>
      <protection hidden="1"/>
    </xf>
    <xf numFmtId="10" fontId="13" fillId="0" borderId="22" xfId="357" applyNumberFormat="1" applyFont="1" applyBorder="1" applyAlignment="1" applyProtection="1">
      <alignment horizontal="center"/>
      <protection hidden="1"/>
    </xf>
    <xf numFmtId="0" fontId="69" fillId="31" borderId="0" xfId="350" applyFont="1" applyFill="1" applyAlignment="1" applyProtection="1">
      <alignment vertical="center"/>
    </xf>
    <xf numFmtId="0" fontId="50" fillId="0" borderId="1" xfId="344" applyFont="1" applyFill="1" applyBorder="1" applyAlignment="1" applyProtection="1">
      <alignment horizontal="center" vertical="center" wrapText="1"/>
      <protection hidden="1"/>
    </xf>
    <xf numFmtId="0" fontId="82" fillId="0" borderId="0" xfId="0" applyFont="1" applyAlignment="1" applyProtection="1">
      <alignment vertical="center" wrapText="1"/>
      <protection hidden="1"/>
    </xf>
    <xf numFmtId="0" fontId="15" fillId="32" borderId="22" xfId="0" applyFont="1" applyFill="1" applyBorder="1" applyAlignment="1" applyProtection="1">
      <alignment horizontal="center" vertical="center"/>
      <protection hidden="1"/>
    </xf>
    <xf numFmtId="10" fontId="15" fillId="32" borderId="22" xfId="0" applyNumberFormat="1" applyFont="1" applyFill="1" applyBorder="1" applyAlignment="1" applyProtection="1">
      <alignment horizontal="center" vertical="center"/>
      <protection hidden="1"/>
    </xf>
    <xf numFmtId="0" fontId="50" fillId="0" borderId="76" xfId="419" applyFont="1" applyFill="1" applyBorder="1" applyAlignment="1" applyProtection="1">
      <alignment horizontal="justify" vertical="center" wrapText="1"/>
      <protection locked="0"/>
    </xf>
    <xf numFmtId="164" fontId="50" fillId="0" borderId="76" xfId="419" applyNumberFormat="1" applyFont="1" applyFill="1" applyBorder="1" applyAlignment="1" applyProtection="1">
      <alignment horizontal="justify" vertical="center" wrapText="1"/>
      <protection locked="0"/>
    </xf>
    <xf numFmtId="165" fontId="50" fillId="0" borderId="76" xfId="419" applyNumberFormat="1" applyFont="1" applyFill="1" applyBorder="1" applyAlignment="1" applyProtection="1">
      <alignment horizontal="justify" vertical="center" wrapText="1"/>
      <protection locked="0"/>
    </xf>
    <xf numFmtId="0" fontId="13" fillId="0" borderId="76" xfId="350" applyFont="1" applyFill="1" applyBorder="1" applyAlignment="1" applyProtection="1">
      <alignment horizontal="center" vertical="center" wrapText="1"/>
      <protection locked="0"/>
    </xf>
    <xf numFmtId="0" fontId="13" fillId="0" borderId="76" xfId="350" applyFont="1" applyFill="1" applyBorder="1" applyAlignment="1" applyProtection="1">
      <alignment horizontal="center" vertical="center"/>
      <protection locked="0"/>
    </xf>
    <xf numFmtId="0" fontId="53" fillId="0" borderId="76" xfId="350" applyFont="1" applyFill="1" applyBorder="1" applyAlignment="1" applyProtection="1">
      <alignment horizontal="center" vertical="center" wrapText="1"/>
      <protection locked="0"/>
    </xf>
    <xf numFmtId="165" fontId="53" fillId="0" borderId="76" xfId="350" applyNumberFormat="1" applyFont="1" applyFill="1" applyBorder="1" applyAlignment="1" applyProtection="1">
      <alignment horizontal="center" vertical="center" wrapText="1"/>
      <protection locked="0"/>
    </xf>
    <xf numFmtId="8" fontId="50" fillId="0" borderId="76" xfId="350" applyNumberFormat="1" applyFont="1" applyFill="1" applyBorder="1" applyAlignment="1" applyProtection="1">
      <alignment horizontal="center" vertical="center"/>
      <protection locked="0"/>
    </xf>
    <xf numFmtId="0" fontId="13" fillId="37" borderId="22" xfId="0" applyFont="1" applyFill="1" applyBorder="1" applyAlignment="1" applyProtection="1">
      <alignment horizontal="center" vertical="center"/>
      <protection hidden="1"/>
    </xf>
    <xf numFmtId="0" fontId="56" fillId="28" borderId="57" xfId="0" applyFont="1" applyFill="1" applyBorder="1" applyAlignment="1">
      <alignment vertical="center"/>
    </xf>
    <xf numFmtId="189" fontId="83" fillId="28" borderId="58" xfId="0" applyNumberFormat="1" applyFont="1" applyFill="1" applyBorder="1" applyAlignment="1">
      <alignment horizontal="center" vertical="center"/>
    </xf>
    <xf numFmtId="195" fontId="85" fillId="28" borderId="50" xfId="343" applyNumberFormat="1" applyFont="1" applyFill="1" applyBorder="1" applyAlignment="1">
      <alignment horizontal="center" vertical="center" wrapText="1"/>
    </xf>
    <xf numFmtId="10" fontId="56" fillId="37" borderId="68" xfId="343" applyNumberFormat="1" applyFont="1" applyFill="1" applyBorder="1" applyAlignment="1">
      <alignment horizontal="center" vertical="center"/>
    </xf>
    <xf numFmtId="189" fontId="56" fillId="31" borderId="69" xfId="0" applyNumberFormat="1" applyFont="1" applyFill="1" applyBorder="1" applyAlignment="1">
      <alignment horizontal="center" vertical="center" wrapText="1"/>
    </xf>
    <xf numFmtId="195" fontId="60" fillId="0" borderId="0" xfId="0" applyNumberFormat="1" applyFont="1" applyAlignment="1">
      <alignment vertical="center" wrapText="1"/>
    </xf>
    <xf numFmtId="9" fontId="17" fillId="28" borderId="63" xfId="343" applyFont="1" applyFill="1" applyBorder="1" applyAlignment="1">
      <alignment vertical="center"/>
    </xf>
    <xf numFmtId="189" fontId="44" fillId="31" borderId="64" xfId="0" applyNumberFormat="1" applyFont="1" applyFill="1" applyBorder="1" applyAlignment="1">
      <alignment horizontal="center" vertical="center"/>
    </xf>
    <xf numFmtId="187" fontId="60" fillId="0" borderId="0" xfId="0" applyNumberFormat="1" applyFont="1" applyAlignment="1">
      <alignment vertical="center" wrapText="1"/>
    </xf>
    <xf numFmtId="0" fontId="0" fillId="0" borderId="0" xfId="0" applyAlignment="1" applyProtection="1">
      <alignment wrapText="1"/>
      <protection hidden="1"/>
    </xf>
    <xf numFmtId="0" fontId="0" fillId="0" borderId="0" xfId="0" applyFill="1" applyAlignment="1" applyProtection="1">
      <alignment wrapText="1"/>
      <protection hidden="1"/>
    </xf>
    <xf numFmtId="0" fontId="62" fillId="0" borderId="22" xfId="0" applyFont="1" applyBorder="1" applyAlignment="1" applyProtection="1">
      <alignment vertical="center" wrapText="1"/>
      <protection hidden="1"/>
    </xf>
    <xf numFmtId="0" fontId="62" fillId="0" borderId="22" xfId="0" applyFont="1" applyBorder="1" applyAlignment="1" applyProtection="1">
      <alignment horizontal="center" vertical="center" wrapText="1"/>
      <protection hidden="1"/>
    </xf>
    <xf numFmtId="0" fontId="62" fillId="0" borderId="22"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196" fontId="13" fillId="42" borderId="77" xfId="0" applyNumberFormat="1" applyFont="1" applyFill="1" applyBorder="1" applyAlignment="1" applyProtection="1">
      <alignment horizontal="center" vertical="center" wrapText="1"/>
    </xf>
    <xf numFmtId="10" fontId="13" fillId="0" borderId="0" xfId="0" applyNumberFormat="1" applyFont="1" applyProtection="1">
      <protection hidden="1"/>
    </xf>
    <xf numFmtId="195" fontId="13" fillId="0" borderId="0" xfId="0" applyNumberFormat="1" applyFont="1" applyProtection="1">
      <protection hidden="1"/>
    </xf>
    <xf numFmtId="187" fontId="13" fillId="29" borderId="78" xfId="0" applyNumberFormat="1" applyFont="1" applyFill="1" applyBorder="1" applyAlignment="1" applyProtection="1">
      <alignment vertical="center" wrapText="1"/>
    </xf>
    <xf numFmtId="3" fontId="13" fillId="0" borderId="0" xfId="0" applyNumberFormat="1" applyFont="1" applyProtection="1">
      <protection hidden="1"/>
    </xf>
    <xf numFmtId="0" fontId="13" fillId="30" borderId="28" xfId="104" applyFont="1" applyFill="1" applyBorder="1" applyAlignment="1" applyProtection="1">
      <alignment horizontal="center" vertical="center"/>
      <protection hidden="1"/>
    </xf>
    <xf numFmtId="0" fontId="13" fillId="30" borderId="22" xfId="104" applyFont="1" applyFill="1" applyBorder="1" applyAlignment="1" applyProtection="1">
      <alignment horizontal="center" vertical="center"/>
      <protection hidden="1"/>
    </xf>
    <xf numFmtId="166" fontId="13" fillId="0" borderId="22" xfId="432" applyFont="1" applyBorder="1" applyAlignment="1" applyProtection="1">
      <alignment horizontal="center" vertical="center"/>
      <protection hidden="1"/>
    </xf>
    <xf numFmtId="194" fontId="13" fillId="0" borderId="22" xfId="0" applyNumberFormat="1" applyFont="1" applyBorder="1" applyAlignment="1" applyProtection="1">
      <alignment horizontal="center" vertical="center"/>
      <protection hidden="1"/>
    </xf>
    <xf numFmtId="187" fontId="13" fillId="29" borderId="81" xfId="0" applyNumberFormat="1" applyFont="1" applyFill="1" applyBorder="1" applyAlignment="1" applyProtection="1">
      <alignment vertical="center" wrapText="1"/>
    </xf>
    <xf numFmtId="195" fontId="15" fillId="28" borderId="50" xfId="343" applyNumberFormat="1" applyFont="1" applyFill="1" applyBorder="1" applyAlignment="1">
      <alignment horizontal="center" vertical="center" wrapText="1"/>
    </xf>
    <xf numFmtId="195" fontId="13" fillId="0" borderId="0" xfId="0" applyNumberFormat="1" applyFont="1" applyAlignment="1">
      <alignment vertical="center" wrapText="1"/>
    </xf>
    <xf numFmtId="187" fontId="13" fillId="0" borderId="0" xfId="0" applyNumberFormat="1" applyFont="1" applyAlignment="1">
      <alignment vertical="center" wrapText="1"/>
    </xf>
    <xf numFmtId="0" fontId="56" fillId="0" borderId="0" xfId="0" applyFont="1" applyAlignment="1" applyProtection="1">
      <alignment horizontal="center"/>
      <protection hidden="1"/>
    </xf>
    <xf numFmtId="0" fontId="56" fillId="0" borderId="0" xfId="0" applyFont="1" applyProtection="1">
      <protection hidden="1"/>
    </xf>
    <xf numFmtId="0" fontId="13" fillId="0" borderId="22" xfId="0" applyFont="1" applyBorder="1" applyAlignment="1" applyProtection="1">
      <alignment horizontal="center"/>
      <protection hidden="1"/>
    </xf>
    <xf numFmtId="0" fontId="13" fillId="0" borderId="0" xfId="0" applyFont="1" applyFill="1" applyAlignment="1" applyProtection="1">
      <protection hidden="1"/>
    </xf>
    <xf numFmtId="0" fontId="13" fillId="0" borderId="22" xfId="0" applyFont="1" applyFill="1" applyBorder="1" applyAlignment="1" applyProtection="1">
      <alignment horizontal="center" vertical="center"/>
      <protection hidden="1"/>
    </xf>
    <xf numFmtId="194" fontId="13" fillId="0" borderId="28" xfId="0" applyNumberFormat="1" applyFont="1" applyBorder="1" applyAlignment="1" applyProtection="1">
      <alignment horizontal="center" vertical="center"/>
      <protection hidden="1"/>
    </xf>
    <xf numFmtId="0" fontId="13" fillId="30" borderId="79" xfId="104" applyFont="1" applyFill="1" applyBorder="1" applyAlignment="1" applyProtection="1">
      <alignment horizontal="center" vertical="center"/>
      <protection hidden="1"/>
    </xf>
    <xf numFmtId="0" fontId="13" fillId="30" borderId="83" xfId="104" applyFont="1" applyFill="1" applyBorder="1" applyAlignment="1" applyProtection="1">
      <alignment horizontal="center" vertical="center"/>
      <protection hidden="1"/>
    </xf>
    <xf numFmtId="198" fontId="88" fillId="37" borderId="79" xfId="430" applyNumberFormat="1" applyFont="1" applyFill="1" applyBorder="1" applyAlignment="1" applyProtection="1">
      <alignment horizontal="center" vertical="center" wrapText="1"/>
      <protection hidden="1"/>
    </xf>
    <xf numFmtId="194" fontId="89" fillId="37" borderId="79" xfId="0" applyNumberFormat="1" applyFont="1" applyFill="1" applyBorder="1" applyAlignment="1" applyProtection="1">
      <alignment horizontal="center" vertical="center"/>
      <protection hidden="1"/>
    </xf>
    <xf numFmtId="188" fontId="64" fillId="0" borderId="1" xfId="349" applyNumberFormat="1" applyFont="1" applyFill="1" applyBorder="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49" fillId="0" borderId="22" xfId="0" applyFont="1" applyBorder="1" applyAlignment="1" applyProtection="1">
      <alignment horizontal="center" vertical="center" wrapText="1"/>
      <protection hidden="1"/>
    </xf>
    <xf numFmtId="0" fontId="62" fillId="0" borderId="0" xfId="0" applyFont="1" applyAlignment="1" applyProtection="1">
      <alignment horizontal="center" vertical="center" wrapText="1"/>
      <protection hidden="1"/>
    </xf>
    <xf numFmtId="0" fontId="64" fillId="0" borderId="0" xfId="349" applyFont="1" applyProtection="1">
      <protection hidden="1"/>
    </xf>
    <xf numFmtId="0" fontId="64" fillId="0" borderId="0" xfId="349" applyFont="1" applyBorder="1" applyProtection="1">
      <protection hidden="1"/>
    </xf>
    <xf numFmtId="0" fontId="64" fillId="30" borderId="0" xfId="349" applyFont="1" applyFill="1" applyProtection="1">
      <protection hidden="1"/>
    </xf>
    <xf numFmtId="0" fontId="64" fillId="30" borderId="0" xfId="349" applyFont="1" applyFill="1" applyBorder="1" applyProtection="1">
      <protection hidden="1"/>
    </xf>
    <xf numFmtId="164" fontId="64" fillId="30" borderId="0" xfId="349" applyNumberFormat="1" applyFont="1" applyFill="1" applyProtection="1">
      <protection hidden="1"/>
    </xf>
    <xf numFmtId="0" fontId="55" fillId="29" borderId="22" xfId="349" applyFont="1" applyFill="1" applyBorder="1" applyAlignment="1" applyProtection="1">
      <alignment horizontal="center" vertical="center"/>
      <protection hidden="1"/>
    </xf>
    <xf numFmtId="0" fontId="64" fillId="30" borderId="0" xfId="349" applyFont="1" applyFill="1" applyBorder="1" applyAlignment="1" applyProtection="1">
      <alignment horizontal="center"/>
      <protection hidden="1"/>
    </xf>
    <xf numFmtId="0" fontId="64" fillId="30" borderId="0" xfId="349" applyFont="1" applyFill="1" applyAlignment="1" applyProtection="1">
      <alignment horizontal="left"/>
      <protection hidden="1"/>
    </xf>
    <xf numFmtId="1" fontId="55" fillId="0" borderId="1" xfId="349" applyNumberFormat="1" applyFont="1" applyFill="1" applyBorder="1" applyAlignment="1" applyProtection="1">
      <alignment horizontal="center" vertical="center"/>
      <protection hidden="1"/>
    </xf>
    <xf numFmtId="188" fontId="64" fillId="0" borderId="0" xfId="349" applyNumberFormat="1" applyFont="1" applyBorder="1" applyAlignment="1" applyProtection="1">
      <alignment vertical="center"/>
      <protection hidden="1"/>
    </xf>
    <xf numFmtId="1" fontId="64" fillId="0" borderId="0" xfId="349" applyNumberFormat="1" applyFont="1" applyBorder="1" applyAlignment="1" applyProtection="1">
      <alignment horizontal="center" vertical="center"/>
      <protection hidden="1"/>
    </xf>
    <xf numFmtId="0" fontId="64" fillId="0" borderId="0" xfId="349" applyFont="1" applyAlignment="1" applyProtection="1">
      <alignment vertical="center"/>
      <protection hidden="1"/>
    </xf>
    <xf numFmtId="9" fontId="64" fillId="0" borderId="0" xfId="349" applyNumberFormat="1" applyFont="1" applyProtection="1">
      <protection hidden="1"/>
    </xf>
    <xf numFmtId="0" fontId="50" fillId="33" borderId="79" xfId="344" applyFont="1" applyFill="1" applyBorder="1" applyAlignment="1" applyProtection="1">
      <alignment horizontal="justify" vertical="center" wrapText="1"/>
      <protection hidden="1"/>
    </xf>
    <xf numFmtId="0" fontId="50" fillId="0" borderId="79" xfId="344" applyFont="1" applyFill="1" applyBorder="1" applyAlignment="1" applyProtection="1">
      <alignment horizontal="center" vertical="center" wrapText="1"/>
      <protection hidden="1"/>
    </xf>
    <xf numFmtId="0" fontId="0" fillId="0" borderId="0" xfId="0" applyBorder="1" applyAlignment="1" applyProtection="1">
      <alignment wrapText="1"/>
      <protection hidden="1"/>
    </xf>
    <xf numFmtId="10" fontId="0" fillId="0" borderId="0" xfId="0" applyNumberFormat="1" applyAlignment="1" applyProtection="1">
      <alignment wrapText="1"/>
      <protection hidden="1"/>
    </xf>
    <xf numFmtId="195" fontId="0" fillId="0" borderId="0" xfId="0" applyNumberFormat="1" applyAlignment="1" applyProtection="1">
      <alignment wrapText="1"/>
      <protection hidden="1"/>
    </xf>
    <xf numFmtId="0" fontId="56" fillId="28" borderId="57" xfId="0" applyFont="1" applyFill="1" applyBorder="1" applyAlignment="1">
      <alignment vertical="center" wrapText="1"/>
    </xf>
    <xf numFmtId="189" fontId="83" fillId="28" borderId="58" xfId="0" applyNumberFormat="1" applyFont="1" applyFill="1" applyBorder="1" applyAlignment="1">
      <alignment horizontal="center" vertical="center" wrapText="1"/>
    </xf>
    <xf numFmtId="10" fontId="56" fillId="37" borderId="59" xfId="343" applyNumberFormat="1" applyFont="1" applyFill="1" applyBorder="1" applyAlignment="1">
      <alignment horizontal="center" vertical="center" wrapText="1"/>
    </xf>
    <xf numFmtId="9" fontId="17" fillId="28" borderId="63" xfId="343" applyFont="1" applyFill="1" applyBorder="1" applyAlignment="1">
      <alignment vertical="center" wrapText="1"/>
    </xf>
    <xf numFmtId="189" fontId="44" fillId="31" borderId="64" xfId="0" applyNumberFormat="1" applyFont="1" applyFill="1" applyBorder="1" applyAlignment="1">
      <alignment horizontal="center" vertical="center" wrapText="1"/>
    </xf>
    <xf numFmtId="0" fontId="61" fillId="0" borderId="0" xfId="0" applyFont="1" applyAlignment="1" applyProtection="1">
      <alignment horizontal="center" wrapText="1"/>
      <protection hidden="1"/>
    </xf>
    <xf numFmtId="0" fontId="61" fillId="0" borderId="0" xfId="0" applyFont="1" applyAlignment="1" applyProtection="1">
      <alignment wrapText="1"/>
      <protection hidden="1"/>
    </xf>
    <xf numFmtId="0" fontId="76" fillId="0" borderId="0" xfId="356" applyFont="1" applyBorder="1" applyAlignment="1" applyProtection="1">
      <alignment vertical="center" wrapText="1"/>
      <protection hidden="1"/>
    </xf>
    <xf numFmtId="0" fontId="60"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13" fillId="0" borderId="22" xfId="0" applyFont="1" applyBorder="1" applyAlignment="1" applyProtection="1">
      <alignment horizontal="center" vertical="center" wrapText="1"/>
      <protection hidden="1"/>
    </xf>
    <xf numFmtId="0" fontId="0" fillId="0" borderId="22" xfId="0" applyBorder="1" applyAlignment="1" applyProtection="1">
      <alignment horizontal="center" wrapText="1"/>
      <protection hidden="1"/>
    </xf>
    <xf numFmtId="0" fontId="0" fillId="0" borderId="22" xfId="0" applyFill="1" applyBorder="1" applyAlignment="1" applyProtection="1">
      <alignment horizontal="center" vertical="center" wrapText="1"/>
      <protection hidden="1"/>
    </xf>
    <xf numFmtId="189" fontId="13" fillId="0" borderId="22" xfId="0" applyNumberFormat="1" applyFont="1" applyBorder="1" applyAlignment="1" applyProtection="1">
      <alignment horizontal="center" vertical="center" wrapText="1"/>
      <protection hidden="1"/>
    </xf>
    <xf numFmtId="0" fontId="15" fillId="30" borderId="79" xfId="350" applyFont="1" applyFill="1" applyBorder="1" applyAlignment="1" applyProtection="1">
      <alignment vertical="center" wrapText="1"/>
      <protection locked="0"/>
    </xf>
    <xf numFmtId="0" fontId="17" fillId="32" borderId="79" xfId="350" applyFont="1" applyFill="1" applyBorder="1" applyAlignment="1" applyProtection="1">
      <alignment vertical="center"/>
      <protection locked="0"/>
    </xf>
    <xf numFmtId="0" fontId="50" fillId="32" borderId="79" xfId="350" applyFont="1" applyFill="1" applyBorder="1" applyAlignment="1" applyProtection="1">
      <alignment horizontal="justify" vertical="center" wrapText="1"/>
      <protection locked="0"/>
    </xf>
    <xf numFmtId="0" fontId="17" fillId="35" borderId="79" xfId="350" applyFont="1" applyFill="1" applyBorder="1" applyAlignment="1" applyProtection="1">
      <alignment vertical="center"/>
      <protection locked="0"/>
    </xf>
    <xf numFmtId="0" fontId="50" fillId="35" borderId="79" xfId="350" applyFont="1" applyFill="1" applyBorder="1" applyAlignment="1" applyProtection="1">
      <alignment horizontal="justify" vertical="center" wrapText="1"/>
      <protection locked="0"/>
    </xf>
    <xf numFmtId="0" fontId="53" fillId="35" borderId="79" xfId="0" applyFont="1" applyFill="1" applyBorder="1" applyAlignment="1" applyProtection="1">
      <alignment horizontal="justify" vertical="center" wrapText="1"/>
      <protection locked="0"/>
    </xf>
    <xf numFmtId="0" fontId="50" fillId="0" borderId="79" xfId="350" applyFont="1" applyFill="1" applyBorder="1" applyAlignment="1" applyProtection="1">
      <alignment horizontal="center" vertical="center"/>
      <protection locked="0"/>
    </xf>
    <xf numFmtId="0" fontId="13" fillId="0" borderId="79" xfId="350" applyFont="1" applyFill="1" applyBorder="1" applyAlignment="1" applyProtection="1">
      <alignment horizontal="center" vertical="center" wrapText="1"/>
      <protection locked="0"/>
    </xf>
    <xf numFmtId="0" fontId="82" fillId="0" borderId="79" xfId="350" applyFont="1" applyFill="1" applyBorder="1" applyAlignment="1" applyProtection="1">
      <alignment horizontal="center" vertical="center" wrapText="1"/>
      <protection locked="0"/>
    </xf>
    <xf numFmtId="0" fontId="50" fillId="0" borderId="79" xfId="350" applyFont="1" applyFill="1" applyBorder="1" applyAlignment="1" applyProtection="1">
      <alignment horizontal="center" vertical="center" wrapText="1"/>
      <protection locked="0"/>
    </xf>
    <xf numFmtId="0" fontId="13" fillId="0" borderId="79" xfId="350" applyFont="1" applyFill="1" applyBorder="1" applyAlignment="1" applyProtection="1">
      <alignment horizontal="center" vertical="center"/>
      <protection locked="0"/>
    </xf>
    <xf numFmtId="0" fontId="53" fillId="0" borderId="79" xfId="350" applyFont="1" applyFill="1" applyBorder="1" applyAlignment="1" applyProtection="1">
      <alignment horizontal="center" vertical="center" wrapText="1"/>
      <protection locked="0"/>
    </xf>
    <xf numFmtId="164" fontId="50" fillId="0" borderId="79" xfId="350" applyNumberFormat="1" applyFont="1" applyFill="1" applyBorder="1" applyAlignment="1" applyProtection="1">
      <alignment horizontal="center" vertical="center"/>
      <protection locked="0"/>
    </xf>
    <xf numFmtId="164" fontId="53" fillId="0" borderId="79" xfId="350" applyNumberFormat="1" applyFont="1" applyFill="1" applyBorder="1" applyAlignment="1" applyProtection="1">
      <alignment horizontal="center" vertical="center" wrapText="1"/>
      <protection locked="0"/>
    </xf>
    <xf numFmtId="165" fontId="53" fillId="0" borderId="79" xfId="350" applyNumberFormat="1" applyFont="1" applyFill="1" applyBorder="1" applyAlignment="1" applyProtection="1">
      <alignment horizontal="center" vertical="center" wrapText="1"/>
      <protection locked="0"/>
    </xf>
    <xf numFmtId="165" fontId="50" fillId="0" borderId="79" xfId="350" applyNumberFormat="1" applyFont="1" applyFill="1" applyBorder="1" applyAlignment="1" applyProtection="1">
      <alignment horizontal="center" vertical="center"/>
      <protection locked="0"/>
    </xf>
    <xf numFmtId="14" fontId="50" fillId="0" borderId="79" xfId="350" applyNumberFormat="1" applyFont="1" applyFill="1" applyBorder="1" applyAlignment="1" applyProtection="1">
      <alignment horizontal="center" vertical="center"/>
      <protection locked="0"/>
    </xf>
    <xf numFmtId="8" fontId="50" fillId="0" borderId="79" xfId="35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hidden="1"/>
    </xf>
    <xf numFmtId="0" fontId="62" fillId="0" borderId="0" xfId="0" applyFont="1" applyAlignment="1" applyProtection="1">
      <alignment vertical="center" wrapText="1"/>
      <protection hidden="1"/>
    </xf>
    <xf numFmtId="0" fontId="62" fillId="0" borderId="0" xfId="0" applyFont="1" applyFill="1" applyAlignment="1" applyProtection="1">
      <alignment vertical="center" wrapText="1"/>
      <protection hidden="1"/>
    </xf>
    <xf numFmtId="0" fontId="62" fillId="0" borderId="28" xfId="0" applyNumberFormat="1" applyFont="1" applyFill="1" applyBorder="1" applyAlignment="1" applyProtection="1">
      <alignment horizontal="center" vertical="center" wrapText="1"/>
      <protection hidden="1"/>
    </xf>
    <xf numFmtId="0" fontId="62" fillId="0" borderId="28" xfId="0" applyFont="1" applyBorder="1" applyAlignment="1" applyProtection="1">
      <alignment vertical="center" wrapText="1"/>
      <protection hidden="1"/>
    </xf>
    <xf numFmtId="0" fontId="62" fillId="0" borderId="28" xfId="0" applyFont="1" applyBorder="1" applyAlignment="1" applyProtection="1">
      <alignment horizontal="center" vertical="center" wrapText="1"/>
      <protection hidden="1"/>
    </xf>
    <xf numFmtId="0" fontId="62" fillId="0" borderId="28" xfId="0" applyFont="1" applyFill="1" applyBorder="1" applyAlignment="1" applyProtection="1">
      <alignment horizontal="center" vertical="center" wrapText="1"/>
      <protection hidden="1"/>
    </xf>
    <xf numFmtId="0" fontId="49" fillId="0" borderId="28" xfId="0" applyFont="1" applyBorder="1" applyAlignment="1" applyProtection="1">
      <alignment horizontal="center" vertical="center" wrapText="1"/>
      <protection hidden="1"/>
    </xf>
    <xf numFmtId="0" fontId="62" fillId="0" borderId="89" xfId="0" applyNumberFormat="1" applyFont="1" applyFill="1" applyBorder="1" applyAlignment="1" applyProtection="1">
      <alignment horizontal="center" vertical="center" wrapText="1"/>
      <protection hidden="1"/>
    </xf>
    <xf numFmtId="0" fontId="62" fillId="0" borderId="79" xfId="0" applyFont="1" applyBorder="1" applyAlignment="1" applyProtection="1">
      <alignment vertical="center" wrapText="1"/>
      <protection hidden="1"/>
    </xf>
    <xf numFmtId="0" fontId="62" fillId="0" borderId="79" xfId="0" applyFont="1" applyBorder="1" applyAlignment="1" applyProtection="1">
      <alignment horizontal="center" vertical="center" wrapText="1"/>
      <protection hidden="1"/>
    </xf>
    <xf numFmtId="0" fontId="49" fillId="0" borderId="79" xfId="0" applyFont="1" applyBorder="1" applyAlignment="1" applyProtection="1">
      <alignment horizontal="center" vertical="center" wrapText="1"/>
      <protection hidden="1"/>
    </xf>
    <xf numFmtId="0" fontId="62" fillId="0" borderId="91" xfId="0" applyNumberFormat="1" applyFont="1" applyFill="1" applyBorder="1" applyAlignment="1" applyProtection="1">
      <alignment horizontal="center" vertical="center" wrapText="1"/>
      <protection hidden="1"/>
    </xf>
    <xf numFmtId="0" fontId="62" fillId="0" borderId="92" xfId="0" applyFont="1" applyBorder="1" applyAlignment="1" applyProtection="1">
      <alignment vertical="center" wrapText="1"/>
      <protection hidden="1"/>
    </xf>
    <xf numFmtId="0" fontId="62" fillId="0" borderId="92" xfId="0" applyFont="1" applyBorder="1" applyAlignment="1" applyProtection="1">
      <alignment horizontal="center" vertical="center" wrapText="1"/>
      <protection hidden="1"/>
    </xf>
    <xf numFmtId="0" fontId="49" fillId="0" borderId="92" xfId="0" applyFont="1" applyBorder="1" applyAlignment="1" applyProtection="1">
      <alignment horizontal="center" vertical="center" wrapText="1"/>
      <protection hidden="1"/>
    </xf>
    <xf numFmtId="0" fontId="62" fillId="0" borderId="94" xfId="0" applyNumberFormat="1" applyFont="1" applyFill="1" applyBorder="1" applyAlignment="1" applyProtection="1">
      <alignment horizontal="center" vertical="center" wrapText="1"/>
      <protection hidden="1"/>
    </xf>
    <xf numFmtId="0" fontId="49" fillId="37" borderId="50" xfId="0" applyFont="1" applyFill="1" applyBorder="1" applyAlignment="1" applyProtection="1">
      <alignment horizontal="center" vertical="center" wrapText="1"/>
      <protection hidden="1"/>
    </xf>
    <xf numFmtId="0" fontId="49" fillId="37" borderId="50" xfId="2" applyFont="1" applyFill="1" applyBorder="1" applyAlignment="1" applyProtection="1">
      <alignment horizontal="center" vertical="center" wrapText="1"/>
      <protection hidden="1"/>
    </xf>
    <xf numFmtId="0" fontId="49" fillId="41" borderId="50" xfId="0" applyFont="1" applyFill="1" applyBorder="1" applyAlignment="1" applyProtection="1">
      <alignment horizontal="center" vertical="center" wrapText="1"/>
      <protection hidden="1"/>
    </xf>
    <xf numFmtId="0" fontId="55" fillId="37" borderId="1" xfId="349" applyFont="1" applyFill="1" applyBorder="1" applyAlignment="1" applyProtection="1">
      <alignment horizontal="center" vertical="center" wrapText="1"/>
      <protection hidden="1"/>
    </xf>
    <xf numFmtId="0" fontId="14" fillId="37" borderId="39" xfId="0" applyFont="1" applyFill="1" applyBorder="1" applyAlignment="1" applyProtection="1">
      <alignment horizontal="center" vertical="center" wrapText="1"/>
      <protection hidden="1"/>
    </xf>
    <xf numFmtId="0" fontId="14" fillId="37" borderId="72"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7" fillId="0" borderId="2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22" xfId="2" applyFont="1" applyBorder="1" applyAlignment="1" applyProtection="1">
      <alignment horizontal="center" vertical="center" wrapText="1"/>
    </xf>
    <xf numFmtId="0" fontId="56" fillId="0" borderId="22" xfId="0" applyNumberFormat="1" applyFont="1" applyFill="1" applyBorder="1" applyAlignment="1" applyProtection="1">
      <alignment horizontal="center" vertical="center" wrapText="1"/>
    </xf>
    <xf numFmtId="0" fontId="56" fillId="0" borderId="22" xfId="0" applyFont="1" applyFill="1" applyBorder="1" applyAlignment="1" applyProtection="1">
      <alignment vertical="center"/>
    </xf>
    <xf numFmtId="0" fontId="56" fillId="0" borderId="0" xfId="0" applyNumberFormat="1" applyFont="1" applyFill="1" applyBorder="1" applyAlignment="1" applyProtection="1">
      <alignment horizontal="center" vertical="center" wrapText="1"/>
    </xf>
    <xf numFmtId="0" fontId="56" fillId="0" borderId="0" xfId="0" applyFont="1" applyBorder="1" applyAlignment="1" applyProtection="1">
      <alignment vertical="center"/>
    </xf>
    <xf numFmtId="49" fontId="56" fillId="0" borderId="0" xfId="0" applyNumberFormat="1" applyFont="1" applyFill="1" applyBorder="1" applyAlignment="1" applyProtection="1">
      <alignment horizontal="center" vertical="center" wrapText="1"/>
    </xf>
    <xf numFmtId="0" fontId="44" fillId="30" borderId="20" xfId="351" applyFont="1" applyFill="1" applyBorder="1" applyAlignment="1" applyProtection="1">
      <alignment wrapText="1"/>
    </xf>
    <xf numFmtId="0" fontId="44" fillId="30" borderId="21" xfId="351" applyFont="1" applyFill="1" applyBorder="1" applyAlignment="1" applyProtection="1">
      <alignment vertical="center" wrapText="1"/>
    </xf>
    <xf numFmtId="0" fontId="44" fillId="30" borderId="17" xfId="351" applyFont="1" applyFill="1" applyBorder="1" applyAlignment="1" applyProtection="1">
      <alignment vertical="center" wrapText="1"/>
    </xf>
    <xf numFmtId="0" fontId="44" fillId="29" borderId="22" xfId="351" applyFont="1" applyFill="1" applyBorder="1" applyAlignment="1" applyProtection="1">
      <alignment horizontal="center" vertical="center"/>
    </xf>
    <xf numFmtId="0" fontId="44" fillId="29" borderId="22" xfId="351" applyFont="1" applyFill="1" applyBorder="1" applyAlignment="1" applyProtection="1">
      <alignment horizontal="center" vertical="center" wrapText="1"/>
    </xf>
    <xf numFmtId="0" fontId="56" fillId="0" borderId="28" xfId="351" applyNumberFormat="1" applyFont="1" applyBorder="1" applyAlignment="1" applyProtection="1">
      <alignment horizontal="center" vertical="center"/>
    </xf>
    <xf numFmtId="0" fontId="56" fillId="31" borderId="28" xfId="351" applyFont="1" applyFill="1" applyBorder="1" applyAlignment="1" applyProtection="1">
      <alignment horizontal="center" vertical="center"/>
    </xf>
    <xf numFmtId="21" fontId="56" fillId="31" borderId="28" xfId="351" applyNumberFormat="1" applyFont="1" applyFill="1" applyBorder="1" applyAlignment="1" applyProtection="1">
      <alignment horizontal="center" vertical="center"/>
    </xf>
    <xf numFmtId="0" fontId="56" fillId="0" borderId="28" xfId="351" applyFont="1" applyBorder="1" applyAlignment="1" applyProtection="1">
      <alignment horizontal="left" vertical="center" wrapText="1"/>
    </xf>
    <xf numFmtId="3" fontId="56" fillId="31" borderId="28" xfId="351" applyNumberFormat="1" applyFont="1" applyFill="1" applyBorder="1" applyAlignment="1" applyProtection="1">
      <alignment horizontal="center" vertical="center" wrapText="1"/>
    </xf>
    <xf numFmtId="0" fontId="56" fillId="31" borderId="28" xfId="351" applyFont="1" applyFill="1" applyBorder="1" applyAlignment="1" applyProtection="1">
      <alignment horizontal="center" vertical="center" wrapText="1"/>
    </xf>
    <xf numFmtId="189" fontId="56" fillId="31" borderId="28" xfId="351" applyNumberFormat="1" applyFont="1" applyFill="1" applyBorder="1" applyAlignment="1" applyProtection="1">
      <alignment horizontal="center" vertical="center" wrapText="1"/>
    </xf>
    <xf numFmtId="0" fontId="56" fillId="31" borderId="28" xfId="351" applyFont="1" applyFill="1" applyBorder="1" applyAlignment="1" applyProtection="1">
      <alignment horizontal="left" vertical="center" wrapText="1"/>
    </xf>
    <xf numFmtId="3" fontId="56" fillId="31" borderId="22" xfId="351" applyNumberFormat="1" applyFont="1" applyFill="1" applyBorder="1" applyAlignment="1" applyProtection="1">
      <alignment horizontal="center" vertical="center" wrapText="1"/>
    </xf>
    <xf numFmtId="0" fontId="56" fillId="31" borderId="22" xfId="351" applyFont="1" applyFill="1" applyBorder="1" applyAlignment="1" applyProtection="1">
      <alignment horizontal="center" vertical="center" wrapText="1"/>
    </xf>
    <xf numFmtId="189" fontId="56" fillId="31" borderId="22" xfId="351" applyNumberFormat="1" applyFont="1" applyFill="1" applyBorder="1" applyAlignment="1" applyProtection="1">
      <alignment horizontal="center" vertical="center" wrapText="1"/>
    </xf>
    <xf numFmtId="0" fontId="56" fillId="0" borderId="0" xfId="351" applyFont="1" applyProtection="1"/>
    <xf numFmtId="0" fontId="59" fillId="0" borderId="22" xfId="350" applyFont="1" applyFill="1" applyBorder="1" applyAlignment="1" applyProtection="1">
      <alignment horizontal="center" vertical="center" wrapText="1"/>
      <protection locked="0"/>
    </xf>
    <xf numFmtId="0" fontId="17" fillId="0" borderId="22" xfId="350" applyFont="1" applyFill="1" applyBorder="1" applyAlignment="1" applyProtection="1">
      <alignment horizontal="left" vertical="center"/>
      <protection locked="0"/>
    </xf>
    <xf numFmtId="0" fontId="50" fillId="0" borderId="22" xfId="350" applyFont="1" applyFill="1" applyBorder="1" applyAlignment="1" applyProtection="1">
      <alignment horizontal="left" vertical="center" wrapText="1"/>
      <protection locked="0"/>
    </xf>
    <xf numFmtId="0" fontId="58" fillId="0" borderId="0" xfId="419" applyFont="1" applyFill="1" applyAlignment="1" applyProtection="1">
      <alignment horizontal="justify" vertical="center"/>
      <protection locked="0"/>
    </xf>
    <xf numFmtId="0" fontId="52" fillId="35" borderId="79" xfId="0" applyFont="1" applyFill="1" applyBorder="1" applyAlignment="1" applyProtection="1">
      <alignment horizontal="justify" vertical="center" wrapText="1"/>
      <protection locked="0"/>
    </xf>
    <xf numFmtId="0" fontId="51" fillId="32" borderId="79" xfId="350" applyFont="1" applyFill="1" applyBorder="1" applyAlignment="1" applyProtection="1">
      <alignment horizontal="justify" vertical="center" wrapText="1"/>
      <protection locked="0"/>
    </xf>
    <xf numFmtId="10" fontId="50" fillId="0" borderId="80" xfId="0" applyNumberFormat="1" applyFont="1" applyBorder="1" applyAlignment="1">
      <alignment vertical="center" wrapText="1"/>
    </xf>
    <xf numFmtId="10" fontId="50" fillId="0" borderId="79" xfId="0" applyNumberFormat="1" applyFont="1" applyBorder="1" applyAlignment="1">
      <alignment vertical="center" wrapText="1"/>
    </xf>
    <xf numFmtId="10" fontId="50" fillId="0" borderId="84" xfId="0" applyNumberFormat="1" applyFont="1" applyBorder="1" applyAlignment="1">
      <alignment vertical="center" wrapText="1"/>
    </xf>
    <xf numFmtId="10" fontId="50" fillId="0" borderId="86" xfId="0" applyNumberFormat="1" applyFont="1" applyBorder="1" applyAlignment="1">
      <alignment vertical="center" wrapText="1"/>
    </xf>
    <xf numFmtId="0" fontId="13" fillId="37" borderId="79" xfId="0" applyFont="1" applyFill="1" applyBorder="1" applyAlignment="1" applyProtection="1">
      <alignment horizontal="center" vertical="center"/>
      <protection hidden="1"/>
    </xf>
    <xf numFmtId="0" fontId="13" fillId="0" borderId="79" xfId="0" applyFont="1" applyBorder="1" applyAlignment="1" applyProtection="1">
      <alignment horizontal="center" vertical="center"/>
      <protection hidden="1"/>
    </xf>
    <xf numFmtId="0" fontId="92" fillId="30" borderId="79" xfId="0" applyFont="1" applyFill="1" applyBorder="1" applyAlignment="1">
      <alignment horizontal="center" vertical="center"/>
    </xf>
    <xf numFmtId="0" fontId="15" fillId="30" borderId="79" xfId="0" applyFont="1" applyFill="1" applyBorder="1" applyAlignment="1">
      <alignment horizontal="center" vertical="center" wrapText="1"/>
    </xf>
    <xf numFmtId="0" fontId="13" fillId="30" borderId="79" xfId="0" applyFont="1" applyFill="1" applyBorder="1" applyAlignment="1">
      <alignment horizontal="justify" wrapText="1"/>
    </xf>
    <xf numFmtId="0" fontId="13" fillId="30" borderId="79" xfId="0" applyFont="1" applyFill="1" applyBorder="1" applyAlignment="1">
      <alignment horizontal="center" wrapText="1"/>
    </xf>
    <xf numFmtId="0" fontId="93" fillId="30" borderId="79" xfId="0" applyFont="1" applyFill="1" applyBorder="1" applyAlignment="1"/>
    <xf numFmtId="3" fontId="93" fillId="37" borderId="79" xfId="0" applyNumberFormat="1" applyFont="1" applyFill="1" applyBorder="1" applyAlignment="1">
      <alignment horizontal="right"/>
    </xf>
    <xf numFmtId="3" fontId="93" fillId="30" borderId="79" xfId="0" applyNumberFormat="1" applyFont="1" applyFill="1" applyBorder="1" applyAlignment="1"/>
    <xf numFmtId="0" fontId="93" fillId="30" borderId="79" xfId="0" applyFont="1" applyFill="1" applyBorder="1" applyAlignment="1">
      <alignment horizontal="right"/>
    </xf>
    <xf numFmtId="3" fontId="92" fillId="30" borderId="79" xfId="0" applyNumberFormat="1" applyFont="1" applyFill="1" applyBorder="1" applyAlignment="1">
      <alignment horizontal="right"/>
    </xf>
    <xf numFmtId="0" fontId="15" fillId="30" borderId="79" xfId="0" applyFont="1" applyFill="1" applyBorder="1" applyAlignment="1">
      <alignment horizontal="left" wrapText="1"/>
    </xf>
    <xf numFmtId="0" fontId="15" fillId="30" borderId="79" xfId="0" applyFont="1" applyFill="1" applyBorder="1" applyAlignment="1">
      <alignment wrapText="1"/>
    </xf>
    <xf numFmtId="0" fontId="13" fillId="30" borderId="79" xfId="0" applyFont="1" applyFill="1" applyBorder="1" applyAlignment="1">
      <alignment vertical="center" wrapText="1"/>
    </xf>
    <xf numFmtId="3" fontId="13" fillId="30" borderId="79" xfId="1" applyNumberFormat="1" applyFont="1" applyFill="1" applyBorder="1" applyAlignment="1">
      <alignment horizontal="right" vertical="center"/>
    </xf>
    <xf numFmtId="0" fontId="93" fillId="30" borderId="79" xfId="0" applyFont="1" applyFill="1" applyBorder="1" applyAlignment="1">
      <alignment vertical="center" wrapText="1"/>
    </xf>
    <xf numFmtId="3" fontId="13" fillId="37" borderId="79" xfId="1" applyNumberFormat="1" applyFont="1" applyFill="1" applyBorder="1" applyAlignment="1">
      <alignment horizontal="right" vertical="center"/>
    </xf>
    <xf numFmtId="3" fontId="93" fillId="30" borderId="79" xfId="0" applyNumberFormat="1" applyFont="1" applyFill="1" applyBorder="1" applyAlignment="1">
      <alignment wrapText="1"/>
    </xf>
    <xf numFmtId="0" fontId="93" fillId="30" borderId="79" xfId="0" applyFont="1" applyFill="1" applyBorder="1" applyAlignment="1">
      <alignment horizontal="left" vertical="center" wrapText="1"/>
    </xf>
    <xf numFmtId="0" fontId="0" fillId="0" borderId="0" xfId="0" applyAlignment="1">
      <alignment horizontal="center" vertical="center"/>
    </xf>
    <xf numFmtId="0" fontId="92" fillId="30" borderId="79" xfId="0" applyFont="1" applyFill="1" applyBorder="1" applyAlignment="1">
      <alignment wrapText="1"/>
    </xf>
    <xf numFmtId="9" fontId="93" fillId="30" borderId="79" xfId="0" applyNumberFormat="1" applyFont="1" applyFill="1" applyBorder="1" applyAlignment="1">
      <alignment horizontal="right" wrapText="1"/>
    </xf>
    <xf numFmtId="0" fontId="93" fillId="30" borderId="79" xfId="0" applyFont="1" applyFill="1" applyBorder="1" applyAlignment="1">
      <alignment wrapText="1"/>
    </xf>
    <xf numFmtId="3" fontId="92" fillId="30" borderId="79" xfId="0" applyNumberFormat="1" applyFont="1" applyFill="1" applyBorder="1" applyAlignment="1">
      <alignment horizontal="right" wrapText="1"/>
    </xf>
    <xf numFmtId="0" fontId="13" fillId="30" borderId="17" xfId="104" applyFont="1" applyFill="1" applyBorder="1" applyAlignment="1" applyProtection="1">
      <alignment horizontal="center" vertical="center"/>
      <protection hidden="1"/>
    </xf>
    <xf numFmtId="0" fontId="0" fillId="0" borderId="101" xfId="0" applyBorder="1" applyAlignment="1">
      <alignment horizontal="center" vertical="center"/>
    </xf>
    <xf numFmtId="0" fontId="92" fillId="30" borderId="89" xfId="0" applyFont="1" applyFill="1" applyBorder="1" applyAlignment="1">
      <alignment horizontal="center" vertical="center" wrapText="1"/>
    </xf>
    <xf numFmtId="196" fontId="13" fillId="42" borderId="90" xfId="0" applyNumberFormat="1" applyFont="1" applyFill="1" applyBorder="1" applyAlignment="1" applyProtection="1">
      <alignment horizontal="center" vertical="center" wrapText="1"/>
    </xf>
    <xf numFmtId="0" fontId="92" fillId="30" borderId="89" xfId="0" applyFont="1" applyFill="1" applyBorder="1" applyAlignment="1">
      <alignment horizontal="center"/>
    </xf>
    <xf numFmtId="187" fontId="13" fillId="29" borderId="90" xfId="0" applyNumberFormat="1" applyFont="1" applyFill="1" applyBorder="1" applyAlignment="1" applyProtection="1">
      <alignment vertical="center" wrapText="1"/>
    </xf>
    <xf numFmtId="0" fontId="93" fillId="30" borderId="89" xfId="0" applyFont="1" applyFill="1" applyBorder="1" applyAlignment="1">
      <alignment horizontal="center"/>
    </xf>
    <xf numFmtId="0" fontId="15" fillId="30" borderId="89" xfId="0" applyFont="1" applyFill="1" applyBorder="1" applyAlignment="1">
      <alignment horizontal="center" vertical="top" wrapText="1"/>
    </xf>
    <xf numFmtId="10" fontId="50" fillId="0" borderId="90" xfId="0" applyNumberFormat="1" applyFont="1" applyBorder="1" applyAlignment="1">
      <alignment vertical="center" wrapText="1"/>
    </xf>
    <xf numFmtId="0" fontId="13" fillId="30" borderId="89" xfId="0" applyFont="1" applyFill="1" applyBorder="1" applyAlignment="1">
      <alignment horizontal="center" wrapText="1"/>
    </xf>
    <xf numFmtId="0" fontId="93" fillId="30" borderId="89" xfId="0" applyFont="1" applyFill="1" applyBorder="1" applyAlignment="1">
      <alignment horizontal="center" vertical="top" wrapText="1"/>
    </xf>
    <xf numFmtId="0" fontId="92" fillId="30" borderId="89" xfId="0" applyFont="1" applyFill="1" applyBorder="1" applyAlignment="1">
      <alignment horizontal="center" vertical="top" wrapText="1"/>
    </xf>
    <xf numFmtId="0" fontId="13" fillId="30" borderId="91" xfId="434" applyNumberFormat="1" applyFont="1" applyFill="1" applyBorder="1" applyAlignment="1" applyProtection="1">
      <alignment horizontal="center" vertical="center" wrapText="1"/>
    </xf>
    <xf numFmtId="0" fontId="13" fillId="30" borderId="92" xfId="434" applyNumberFormat="1" applyFont="1" applyFill="1" applyBorder="1" applyAlignment="1" applyProtection="1">
      <alignment horizontal="center" vertical="center" wrapText="1"/>
    </xf>
    <xf numFmtId="0" fontId="13" fillId="30" borderId="92" xfId="434" applyNumberFormat="1" applyFont="1" applyFill="1" applyBorder="1" applyAlignment="1" applyProtection="1">
      <alignment horizontal="justify" vertical="center" wrapText="1"/>
    </xf>
    <xf numFmtId="197" fontId="13" fillId="0" borderId="92" xfId="434" applyNumberFormat="1" applyFont="1" applyFill="1" applyBorder="1" applyAlignment="1" applyProtection="1">
      <alignment horizontal="center" vertical="center" wrapText="1"/>
    </xf>
    <xf numFmtId="187" fontId="13" fillId="37" borderId="92" xfId="434" applyNumberFormat="1" applyFont="1" applyFill="1" applyBorder="1" applyAlignment="1" applyProtection="1">
      <alignment horizontal="right" vertical="center" wrapText="1"/>
    </xf>
    <xf numFmtId="187" fontId="13" fillId="0" borderId="92" xfId="0" applyNumberFormat="1" applyFont="1" applyFill="1" applyBorder="1" applyAlignment="1" applyProtection="1">
      <alignment horizontal="right" vertical="center" wrapText="1"/>
    </xf>
    <xf numFmtId="10" fontId="50" fillId="0" borderId="93" xfId="0" applyNumberFormat="1" applyFont="1" applyBorder="1" applyAlignment="1">
      <alignment vertical="center" wrapText="1"/>
    </xf>
    <xf numFmtId="3" fontId="18" fillId="37" borderId="79" xfId="0" applyNumberFormat="1" applyFont="1" applyFill="1" applyBorder="1" applyAlignment="1">
      <alignment horizontal="left" vertical="center"/>
    </xf>
    <xf numFmtId="3" fontId="18" fillId="30" borderId="79" xfId="0" applyNumberFormat="1" applyFont="1" applyFill="1" applyBorder="1" applyAlignment="1">
      <alignment horizontal="left" vertical="center"/>
    </xf>
    <xf numFmtId="3" fontId="18" fillId="37" borderId="79" xfId="1" applyNumberFormat="1" applyFont="1" applyFill="1" applyBorder="1" applyAlignment="1">
      <alignment horizontal="left" vertical="center"/>
    </xf>
    <xf numFmtId="0" fontId="93" fillId="30" borderId="79" xfId="0" applyFont="1" applyFill="1" applyBorder="1" applyAlignment="1">
      <alignment horizontal="center"/>
    </xf>
    <xf numFmtId="0" fontId="93" fillId="30" borderId="79" xfId="0" applyFont="1" applyFill="1" applyBorder="1"/>
    <xf numFmtId="3" fontId="92" fillId="30" borderId="79" xfId="0" applyNumberFormat="1" applyFont="1" applyFill="1" applyBorder="1"/>
    <xf numFmtId="0" fontId="97" fillId="30" borderId="79" xfId="0" applyFont="1" applyFill="1" applyBorder="1" applyAlignment="1">
      <alignment horizontal="center"/>
    </xf>
    <xf numFmtId="0" fontId="18" fillId="30" borderId="79" xfId="0" applyFont="1" applyFill="1" applyBorder="1" applyAlignment="1">
      <alignment horizontal="justify" wrapText="1"/>
    </xf>
    <xf numFmtId="0" fontId="18" fillId="30" borderId="79" xfId="0" applyFont="1" applyFill="1" applyBorder="1" applyAlignment="1">
      <alignment horizontal="center" wrapText="1"/>
    </xf>
    <xf numFmtId="0" fontId="97" fillId="30" borderId="79" xfId="0" applyFont="1" applyFill="1" applyBorder="1" applyAlignment="1"/>
    <xf numFmtId="3" fontId="97" fillId="37" borderId="79" xfId="0" applyNumberFormat="1" applyFont="1" applyFill="1" applyBorder="1" applyAlignment="1">
      <alignment horizontal="right"/>
    </xf>
    <xf numFmtId="3" fontId="97" fillId="30" borderId="79" xfId="0" applyNumberFormat="1" applyFont="1" applyFill="1" applyBorder="1" applyAlignment="1"/>
    <xf numFmtId="0" fontId="97" fillId="30" borderId="79" xfId="0" applyFont="1" applyFill="1" applyBorder="1" applyAlignment="1">
      <alignment horizontal="right"/>
    </xf>
    <xf numFmtId="0" fontId="98" fillId="30" borderId="79" xfId="0" applyFont="1" applyFill="1" applyBorder="1" applyAlignment="1">
      <alignment horizontal="center" vertical="top" wrapText="1"/>
    </xf>
    <xf numFmtId="3" fontId="99" fillId="30" borderId="79" xfId="0" applyNumberFormat="1" applyFont="1" applyFill="1" applyBorder="1" applyAlignment="1">
      <alignment horizontal="right"/>
    </xf>
    <xf numFmtId="0" fontId="99" fillId="30" borderId="79" xfId="0" applyFont="1" applyFill="1" applyBorder="1" applyAlignment="1">
      <alignment horizontal="center"/>
    </xf>
    <xf numFmtId="0" fontId="98" fillId="30" borderId="79" xfId="0" applyFont="1" applyFill="1" applyBorder="1" applyAlignment="1">
      <alignment wrapText="1"/>
    </xf>
    <xf numFmtId="0" fontId="18" fillId="30" borderId="79" xfId="0" applyFont="1" applyFill="1" applyBorder="1" applyAlignment="1">
      <alignment vertical="center" wrapText="1"/>
    </xf>
    <xf numFmtId="3" fontId="18" fillId="30" borderId="79" xfId="1" applyNumberFormat="1" applyFont="1" applyFill="1" applyBorder="1" applyAlignment="1">
      <alignment horizontal="right" vertical="center"/>
    </xf>
    <xf numFmtId="0" fontId="97" fillId="30" borderId="79" xfId="0" applyFont="1" applyFill="1" applyBorder="1" applyAlignment="1">
      <alignment vertical="center" wrapText="1"/>
    </xf>
    <xf numFmtId="3" fontId="18" fillId="37" borderId="79" xfId="1" applyNumberFormat="1" applyFont="1" applyFill="1" applyBorder="1" applyAlignment="1">
      <alignment horizontal="right" vertical="center"/>
    </xf>
    <xf numFmtId="3" fontId="97" fillId="30" borderId="79" xfId="0" applyNumberFormat="1" applyFont="1" applyFill="1" applyBorder="1" applyAlignment="1">
      <alignment wrapText="1"/>
    </xf>
    <xf numFmtId="0" fontId="97" fillId="30" borderId="79" xfId="0" applyFont="1" applyFill="1" applyBorder="1" applyAlignment="1">
      <alignment horizontal="left" vertical="center" wrapText="1"/>
    </xf>
    <xf numFmtId="0" fontId="97" fillId="30" borderId="79" xfId="0" applyFont="1" applyFill="1" applyBorder="1" applyAlignment="1">
      <alignment horizontal="center" vertical="top" wrapText="1"/>
    </xf>
    <xf numFmtId="0" fontId="99" fillId="30" borderId="79" xfId="0" applyFont="1" applyFill="1" applyBorder="1" applyAlignment="1">
      <alignment wrapText="1"/>
    </xf>
    <xf numFmtId="9" fontId="97" fillId="30" borderId="79" xfId="0" applyNumberFormat="1" applyFont="1" applyFill="1" applyBorder="1" applyAlignment="1">
      <alignment horizontal="right" wrapText="1"/>
    </xf>
    <xf numFmtId="0" fontId="97" fillId="30" borderId="79" xfId="0" applyFont="1" applyFill="1" applyBorder="1" applyAlignment="1">
      <alignment wrapText="1"/>
    </xf>
    <xf numFmtId="3" fontId="99" fillId="30" borderId="79" xfId="0" applyNumberFormat="1" applyFont="1" applyFill="1" applyBorder="1" applyAlignment="1">
      <alignment horizontal="right" wrapText="1"/>
    </xf>
    <xf numFmtId="0" fontId="99" fillId="30" borderId="79" xfId="0" applyFont="1" applyFill="1" applyBorder="1" applyAlignment="1">
      <alignment horizontal="center" vertical="top" wrapText="1"/>
    </xf>
    <xf numFmtId="0" fontId="97" fillId="30" borderId="79" xfId="0" applyFont="1" applyFill="1" applyBorder="1"/>
    <xf numFmtId="3" fontId="99" fillId="30" borderId="79" xfId="0" applyNumberFormat="1" applyFont="1" applyFill="1" applyBorder="1"/>
    <xf numFmtId="0" fontId="100" fillId="43" borderId="79" xfId="0" applyFont="1" applyFill="1" applyBorder="1" applyAlignment="1">
      <alignment horizontal="left" vertical="center"/>
    </xf>
    <xf numFmtId="0" fontId="18" fillId="43" borderId="79" xfId="0" applyFont="1" applyFill="1" applyBorder="1" applyAlignment="1">
      <alignment horizontal="left" vertical="center"/>
    </xf>
    <xf numFmtId="0" fontId="18" fillId="43" borderId="79" xfId="0" applyFont="1" applyFill="1" applyBorder="1" applyAlignment="1">
      <alignment horizontal="left" vertical="center" wrapText="1"/>
    </xf>
    <xf numFmtId="3" fontId="18" fillId="44" borderId="79" xfId="0" applyNumberFormat="1" applyFont="1" applyFill="1" applyBorder="1" applyAlignment="1">
      <alignment horizontal="left" vertical="center"/>
    </xf>
    <xf numFmtId="3" fontId="18" fillId="43" borderId="79" xfId="0" applyNumberFormat="1" applyFont="1" applyFill="1" applyBorder="1" applyAlignment="1">
      <alignment horizontal="left" vertical="center"/>
    </xf>
    <xf numFmtId="0" fontId="98" fillId="43" borderId="79" xfId="0" applyFont="1" applyFill="1" applyBorder="1" applyAlignment="1">
      <alignment horizontal="left" vertical="center" wrapText="1"/>
    </xf>
    <xf numFmtId="3" fontId="98" fillId="43" borderId="79" xfId="0" applyNumberFormat="1" applyFont="1" applyFill="1" applyBorder="1" applyAlignment="1">
      <alignment horizontal="left" vertical="center"/>
    </xf>
    <xf numFmtId="0" fontId="98" fillId="43" borderId="79" xfId="0" applyFont="1" applyFill="1" applyBorder="1" applyAlignment="1">
      <alignment horizontal="left" vertical="center"/>
    </xf>
    <xf numFmtId="3" fontId="18" fillId="43" borderId="79" xfId="1" applyNumberFormat="1" applyFont="1" applyFill="1" applyBorder="1" applyAlignment="1">
      <alignment horizontal="left" vertical="center"/>
    </xf>
    <xf numFmtId="3" fontId="18" fillId="44" borderId="79" xfId="1" applyNumberFormat="1" applyFont="1" applyFill="1" applyBorder="1" applyAlignment="1">
      <alignment horizontal="left" vertical="center"/>
    </xf>
    <xf numFmtId="3" fontId="18" fillId="43" borderId="79" xfId="0" applyNumberFormat="1" applyFont="1" applyFill="1" applyBorder="1" applyAlignment="1">
      <alignment horizontal="left" vertical="center" wrapText="1"/>
    </xf>
    <xf numFmtId="9" fontId="18" fillId="43" borderId="79" xfId="0" applyNumberFormat="1" applyFont="1" applyFill="1" applyBorder="1" applyAlignment="1">
      <alignment horizontal="left" vertical="center" wrapText="1"/>
    </xf>
    <xf numFmtId="3" fontId="98" fillId="43" borderId="79" xfId="0" applyNumberFormat="1" applyFont="1" applyFill="1" applyBorder="1" applyAlignment="1">
      <alignment horizontal="left" vertical="center" wrapText="1"/>
    </xf>
    <xf numFmtId="196" fontId="13" fillId="42" borderId="105" xfId="0" applyNumberFormat="1" applyFont="1" applyFill="1" applyBorder="1" applyAlignment="1" applyProtection="1">
      <alignment horizontal="center" vertical="center" wrapText="1"/>
    </xf>
    <xf numFmtId="187" fontId="13" fillId="29" borderId="106" xfId="0" applyNumberFormat="1" applyFont="1" applyFill="1" applyBorder="1" applyAlignment="1" applyProtection="1">
      <alignment vertical="center" wrapText="1"/>
    </xf>
    <xf numFmtId="166" fontId="13" fillId="0" borderId="28" xfId="431" applyFont="1" applyBorder="1" applyAlignment="1" applyProtection="1">
      <alignment horizontal="center" vertical="center"/>
      <protection hidden="1"/>
    </xf>
    <xf numFmtId="166" fontId="13" fillId="0" borderId="79" xfId="431" applyFont="1" applyBorder="1" applyAlignment="1" applyProtection="1">
      <alignment horizontal="center" vertical="center"/>
      <protection hidden="1"/>
    </xf>
    <xf numFmtId="194" fontId="13" fillId="0" borderId="79" xfId="0" applyNumberFormat="1" applyFont="1" applyBorder="1" applyAlignment="1" applyProtection="1">
      <alignment horizontal="center" vertical="center"/>
      <protection hidden="1"/>
    </xf>
    <xf numFmtId="0" fontId="15" fillId="32" borderId="79" xfId="0" applyFont="1" applyFill="1" applyBorder="1" applyAlignment="1" applyProtection="1">
      <alignment horizontal="center" vertical="center"/>
      <protection hidden="1"/>
    </xf>
    <xf numFmtId="10" fontId="15" fillId="32" borderId="79" xfId="0" applyNumberFormat="1" applyFont="1" applyFill="1" applyBorder="1" applyAlignment="1" applyProtection="1">
      <alignment horizontal="center" vertical="center"/>
      <protection hidden="1"/>
    </xf>
    <xf numFmtId="0" fontId="15" fillId="30" borderId="79" xfId="104" applyFont="1" applyFill="1" applyBorder="1" applyAlignment="1" applyProtection="1">
      <alignment horizontal="center" vertical="center"/>
      <protection hidden="1"/>
    </xf>
    <xf numFmtId="0" fontId="100" fillId="43" borderId="79" xfId="0" applyFont="1" applyFill="1" applyBorder="1" applyAlignment="1">
      <alignment horizontal="center"/>
    </xf>
    <xf numFmtId="0" fontId="101" fillId="43" borderId="79" xfId="0" applyFont="1" applyFill="1" applyBorder="1" applyAlignment="1">
      <alignment horizontal="center"/>
    </xf>
    <xf numFmtId="0" fontId="13" fillId="43" borderId="79" xfId="0" applyFont="1" applyFill="1" applyBorder="1" applyAlignment="1">
      <alignment horizontal="justify" wrapText="1"/>
    </xf>
    <xf numFmtId="0" fontId="13" fillId="43" borderId="79" xfId="0" applyFont="1" applyFill="1" applyBorder="1" applyAlignment="1">
      <alignment horizontal="center" wrapText="1"/>
    </xf>
    <xf numFmtId="0" fontId="101" fillId="43" borderId="79" xfId="0" applyFont="1" applyFill="1" applyBorder="1" applyAlignment="1"/>
    <xf numFmtId="3" fontId="101" fillId="44" borderId="79" xfId="0" applyNumberFormat="1" applyFont="1" applyFill="1" applyBorder="1" applyAlignment="1">
      <alignment horizontal="right"/>
    </xf>
    <xf numFmtId="3" fontId="101" fillId="43" borderId="79" xfId="0" applyNumberFormat="1" applyFont="1" applyFill="1" applyBorder="1" applyAlignment="1"/>
    <xf numFmtId="0" fontId="101" fillId="43" borderId="79" xfId="0" applyFont="1" applyFill="1" applyBorder="1" applyAlignment="1">
      <alignment horizontal="right"/>
    </xf>
    <xf numFmtId="0" fontId="15" fillId="43" borderId="79" xfId="0" applyFont="1" applyFill="1" applyBorder="1" applyAlignment="1">
      <alignment horizontal="center" vertical="top" wrapText="1"/>
    </xf>
    <xf numFmtId="3" fontId="100" fillId="43" borderId="79" xfId="0" applyNumberFormat="1" applyFont="1" applyFill="1" applyBorder="1" applyAlignment="1">
      <alignment horizontal="right"/>
    </xf>
    <xf numFmtId="0" fontId="15" fillId="43" borderId="79" xfId="0" applyFont="1" applyFill="1" applyBorder="1" applyAlignment="1">
      <alignment wrapText="1"/>
    </xf>
    <xf numFmtId="0" fontId="13" fillId="43" borderId="79" xfId="0" applyFont="1" applyFill="1" applyBorder="1" applyAlignment="1">
      <alignment vertical="center" wrapText="1"/>
    </xf>
    <xf numFmtId="3" fontId="13" fillId="43" borderId="79" xfId="1" applyNumberFormat="1" applyFont="1" applyFill="1" applyBorder="1" applyAlignment="1">
      <alignment horizontal="right" vertical="center"/>
    </xf>
    <xf numFmtId="0" fontId="101" fillId="43" borderId="79" xfId="0" applyFont="1" applyFill="1" applyBorder="1" applyAlignment="1">
      <alignment vertical="center" wrapText="1"/>
    </xf>
    <xf numFmtId="3" fontId="13" fillId="44" borderId="79" xfId="1" applyNumberFormat="1" applyFont="1" applyFill="1" applyBorder="1" applyAlignment="1">
      <alignment horizontal="right" vertical="center"/>
    </xf>
    <xf numFmtId="3" fontId="101" fillId="43" borderId="79" xfId="0" applyNumberFormat="1" applyFont="1" applyFill="1" applyBorder="1" applyAlignment="1">
      <alignment wrapText="1"/>
    </xf>
    <xf numFmtId="0" fontId="101" fillId="43" borderId="79" xfId="0" applyFont="1" applyFill="1" applyBorder="1" applyAlignment="1">
      <alignment horizontal="left" vertical="center" wrapText="1"/>
    </xf>
    <xf numFmtId="0" fontId="101" fillId="43" borderId="79" xfId="0" applyFont="1" applyFill="1" applyBorder="1" applyAlignment="1">
      <alignment horizontal="center" vertical="top" wrapText="1"/>
    </xf>
    <xf numFmtId="0" fontId="100" fillId="43" borderId="79" xfId="0" applyFont="1" applyFill="1" applyBorder="1" applyAlignment="1">
      <alignment wrapText="1"/>
    </xf>
    <xf numFmtId="9" fontId="101" fillId="43" borderId="79" xfId="0" applyNumberFormat="1" applyFont="1" applyFill="1" applyBorder="1" applyAlignment="1">
      <alignment horizontal="right" wrapText="1"/>
    </xf>
    <xf numFmtId="0" fontId="101" fillId="43" borderId="79" xfId="0" applyFont="1" applyFill="1" applyBorder="1" applyAlignment="1">
      <alignment wrapText="1"/>
    </xf>
    <xf numFmtId="3" fontId="100" fillId="43" borderId="79" xfId="0" applyNumberFormat="1" applyFont="1" applyFill="1" applyBorder="1" applyAlignment="1">
      <alignment horizontal="right" wrapText="1"/>
    </xf>
    <xf numFmtId="0" fontId="100" fillId="43" borderId="79" xfId="0" applyFont="1" applyFill="1" applyBorder="1" applyAlignment="1">
      <alignment horizontal="center" vertical="top" wrapText="1"/>
    </xf>
    <xf numFmtId="0" fontId="102" fillId="43" borderId="79" xfId="0" applyFont="1" applyFill="1" applyBorder="1" applyAlignment="1">
      <alignment horizontal="center"/>
    </xf>
    <xf numFmtId="0" fontId="103" fillId="43" borderId="79" xfId="0" applyFont="1" applyFill="1" applyBorder="1" applyAlignment="1">
      <alignment horizontal="center"/>
    </xf>
    <xf numFmtId="0" fontId="18" fillId="43" borderId="79" xfId="0" applyFont="1" applyFill="1" applyBorder="1" applyAlignment="1">
      <alignment horizontal="justify" wrapText="1"/>
    </xf>
    <xf numFmtId="0" fontId="18" fillId="43" borderId="79" xfId="0" applyFont="1" applyFill="1" applyBorder="1" applyAlignment="1">
      <alignment horizontal="center" wrapText="1"/>
    </xf>
    <xf numFmtId="0" fontId="103" fillId="43" borderId="79" xfId="0" applyFont="1" applyFill="1" applyBorder="1" applyAlignment="1"/>
    <xf numFmtId="3" fontId="103" fillId="44" borderId="79" xfId="0" applyNumberFormat="1" applyFont="1" applyFill="1" applyBorder="1" applyAlignment="1">
      <alignment horizontal="right"/>
    </xf>
    <xf numFmtId="3" fontId="103" fillId="43" borderId="79" xfId="0" applyNumberFormat="1" applyFont="1" applyFill="1" applyBorder="1" applyAlignment="1"/>
    <xf numFmtId="0" fontId="103" fillId="43" borderId="79" xfId="0" applyFont="1" applyFill="1" applyBorder="1" applyAlignment="1">
      <alignment horizontal="right"/>
    </xf>
    <xf numFmtId="0" fontId="98" fillId="43" borderId="79" xfId="0" applyFont="1" applyFill="1" applyBorder="1" applyAlignment="1">
      <alignment horizontal="center" vertical="top" wrapText="1"/>
    </xf>
    <xf numFmtId="3" fontId="102" fillId="43" borderId="79" xfId="0" applyNumberFormat="1" applyFont="1" applyFill="1" applyBorder="1" applyAlignment="1">
      <alignment horizontal="right"/>
    </xf>
    <xf numFmtId="0" fontId="98" fillId="43" borderId="79" xfId="0" applyFont="1" applyFill="1" applyBorder="1" applyAlignment="1">
      <alignment wrapText="1"/>
    </xf>
    <xf numFmtId="0" fontId="18" fillId="43" borderId="79" xfId="0" applyFont="1" applyFill="1" applyBorder="1" applyAlignment="1">
      <alignment vertical="center" wrapText="1"/>
    </xf>
    <xf numFmtId="3" fontId="18" fillId="43" borderId="79" xfId="1" applyNumberFormat="1" applyFont="1" applyFill="1" applyBorder="1" applyAlignment="1">
      <alignment horizontal="right" vertical="center"/>
    </xf>
    <xf numFmtId="0" fontId="103" fillId="43" borderId="79" xfId="0" applyFont="1" applyFill="1" applyBorder="1" applyAlignment="1">
      <alignment vertical="center" wrapText="1"/>
    </xf>
    <xf numFmtId="3" fontId="18" fillId="44" borderId="79" xfId="1" applyNumberFormat="1" applyFont="1" applyFill="1" applyBorder="1" applyAlignment="1">
      <alignment horizontal="right" vertical="center"/>
    </xf>
    <xf numFmtId="3" fontId="103" fillId="43" borderId="79" xfId="0" applyNumberFormat="1" applyFont="1" applyFill="1" applyBorder="1" applyAlignment="1">
      <alignment wrapText="1"/>
    </xf>
    <xf numFmtId="0" fontId="103" fillId="43" borderId="79" xfId="0" applyFont="1" applyFill="1" applyBorder="1" applyAlignment="1">
      <alignment horizontal="left" vertical="center" wrapText="1"/>
    </xf>
    <xf numFmtId="0" fontId="103" fillId="43" borderId="79" xfId="0" applyFont="1" applyFill="1" applyBorder="1" applyAlignment="1">
      <alignment horizontal="center" vertical="top" wrapText="1"/>
    </xf>
    <xf numFmtId="0" fontId="102" fillId="43" borderId="79" xfId="0" applyFont="1" applyFill="1" applyBorder="1" applyAlignment="1">
      <alignment wrapText="1"/>
    </xf>
    <xf numFmtId="9" fontId="103" fillId="43" borderId="79" xfId="0" applyNumberFormat="1" applyFont="1" applyFill="1" applyBorder="1" applyAlignment="1">
      <alignment horizontal="right" wrapText="1"/>
    </xf>
    <xf numFmtId="0" fontId="103" fillId="43" borderId="79" xfId="0" applyFont="1" applyFill="1" applyBorder="1" applyAlignment="1">
      <alignment wrapText="1"/>
    </xf>
    <xf numFmtId="3" fontId="102" fillId="43" borderId="79" xfId="0" applyNumberFormat="1" applyFont="1" applyFill="1" applyBorder="1" applyAlignment="1">
      <alignment horizontal="right" wrapText="1"/>
    </xf>
    <xf numFmtId="0" fontId="102" fillId="43" borderId="79" xfId="0" applyFont="1" applyFill="1" applyBorder="1" applyAlignment="1">
      <alignment horizontal="center" vertical="top" wrapText="1"/>
    </xf>
    <xf numFmtId="9" fontId="85" fillId="28" borderId="50" xfId="357" applyFont="1" applyFill="1" applyBorder="1" applyAlignment="1">
      <alignment horizontal="center" vertical="center" wrapText="1"/>
    </xf>
    <xf numFmtId="0" fontId="15" fillId="30" borderId="79" xfId="0" applyFont="1" applyFill="1" applyBorder="1" applyAlignment="1">
      <alignment horizontal="left" wrapText="1"/>
    </xf>
    <xf numFmtId="0" fontId="92" fillId="30" borderId="79" xfId="0" applyFont="1" applyFill="1" applyBorder="1" applyAlignment="1">
      <alignment horizontal="center" vertical="center"/>
    </xf>
    <xf numFmtId="0" fontId="14" fillId="37" borderId="39" xfId="0" applyFont="1" applyFill="1" applyBorder="1" applyAlignment="1" applyProtection="1">
      <alignment horizontal="center" vertical="center" wrapText="1"/>
      <protection hidden="1"/>
    </xf>
    <xf numFmtId="0" fontId="14" fillId="37" borderId="72" xfId="0" applyFont="1" applyFill="1" applyBorder="1" applyAlignment="1" applyProtection="1">
      <alignment horizontal="center" vertical="center" wrapText="1"/>
      <protection hidden="1"/>
    </xf>
    <xf numFmtId="0" fontId="98" fillId="43" borderId="79" xfId="0" applyFont="1" applyFill="1" applyBorder="1" applyAlignment="1">
      <alignment horizontal="left" vertical="center" wrapText="1"/>
    </xf>
    <xf numFmtId="0" fontId="18" fillId="43" borderId="79" xfId="0" applyFont="1" applyFill="1" applyBorder="1" applyAlignment="1">
      <alignment horizontal="left" vertical="center" wrapText="1"/>
    </xf>
    <xf numFmtId="0" fontId="15" fillId="43" borderId="79" xfId="0" applyFont="1" applyFill="1" applyBorder="1" applyAlignment="1">
      <alignment horizontal="left" wrapText="1"/>
    </xf>
    <xf numFmtId="0" fontId="98" fillId="30" borderId="79" xfId="0" applyFont="1" applyFill="1" applyBorder="1" applyAlignment="1">
      <alignment horizontal="left" wrapText="1"/>
    </xf>
    <xf numFmtId="0" fontId="98" fillId="43" borderId="79" xfId="0" applyFont="1" applyFill="1" applyBorder="1" applyAlignment="1">
      <alignment horizontal="left" wrapText="1"/>
    </xf>
    <xf numFmtId="0" fontId="49" fillId="31" borderId="23" xfId="0" applyFont="1" applyFill="1" applyBorder="1" applyAlignment="1" applyProtection="1">
      <alignment horizontal="center" vertical="center" wrapText="1"/>
    </xf>
    <xf numFmtId="0" fontId="49" fillId="31" borderId="25" xfId="0" applyFont="1" applyFill="1" applyBorder="1" applyAlignment="1" applyProtection="1">
      <alignment horizontal="center" vertical="center" wrapText="1"/>
    </xf>
    <xf numFmtId="0" fontId="13" fillId="0" borderId="0" xfId="0" applyFont="1" applyFill="1" applyAlignment="1" applyProtection="1">
      <alignment horizontal="justify" vertical="top" wrapText="1"/>
    </xf>
    <xf numFmtId="0" fontId="17" fillId="31" borderId="20" xfId="0" applyFont="1" applyFill="1" applyBorder="1" applyAlignment="1" applyProtection="1">
      <alignment horizontal="center" vertical="center" wrapText="1"/>
    </xf>
    <xf numFmtId="0" fontId="17" fillId="31" borderId="17" xfId="0" applyFont="1" applyFill="1" applyBorder="1" applyAlignment="1" applyProtection="1">
      <alignment horizontal="center" vertical="center" wrapText="1"/>
    </xf>
    <xf numFmtId="0" fontId="56" fillId="31" borderId="18" xfId="0" applyFont="1" applyFill="1" applyBorder="1" applyAlignment="1" applyProtection="1">
      <alignment horizontal="justify" vertical="center" wrapText="1"/>
    </xf>
    <xf numFmtId="0" fontId="56" fillId="31" borderId="19" xfId="0" applyFont="1" applyFill="1" applyBorder="1" applyAlignment="1" applyProtection="1">
      <alignment horizontal="justify" vertical="center" wrapText="1"/>
    </xf>
    <xf numFmtId="0" fontId="14" fillId="31" borderId="18" xfId="0" applyFont="1" applyFill="1" applyBorder="1" applyAlignment="1" applyProtection="1">
      <alignment horizontal="center" vertical="center" wrapText="1"/>
    </xf>
    <xf numFmtId="0" fontId="14" fillId="31" borderId="19" xfId="0" applyFont="1" applyFill="1" applyBorder="1" applyAlignment="1" applyProtection="1">
      <alignment horizontal="center" vertical="center" wrapText="1"/>
    </xf>
    <xf numFmtId="0" fontId="56" fillId="0" borderId="0" xfId="351" applyFont="1" applyAlignment="1" applyProtection="1">
      <alignment horizontal="center" vertical="center" wrapText="1"/>
    </xf>
    <xf numFmtId="0" fontId="56" fillId="0" borderId="0" xfId="351" applyFont="1" applyAlignment="1" applyProtection="1">
      <alignment horizontal="center" vertical="center"/>
    </xf>
    <xf numFmtId="0" fontId="56" fillId="31" borderId="23" xfId="351" applyFont="1" applyFill="1" applyBorder="1" applyAlignment="1" applyProtection="1">
      <alignment horizontal="center"/>
    </xf>
    <xf numFmtId="0" fontId="56" fillId="31" borderId="18" xfId="351" applyFont="1" applyFill="1" applyBorder="1" applyAlignment="1" applyProtection="1">
      <alignment horizontal="center"/>
    </xf>
    <xf numFmtId="0" fontId="49" fillId="31" borderId="24" xfId="351" applyFont="1" applyFill="1" applyBorder="1" applyAlignment="1" applyProtection="1">
      <alignment horizontal="center" wrapText="1"/>
    </xf>
    <xf numFmtId="0" fontId="49" fillId="31" borderId="25" xfId="351" applyFont="1" applyFill="1" applyBorder="1" applyAlignment="1" applyProtection="1">
      <alignment horizontal="center" wrapText="1"/>
    </xf>
    <xf numFmtId="0" fontId="14" fillId="31" borderId="0" xfId="351" applyFont="1" applyFill="1" applyBorder="1" applyAlignment="1" applyProtection="1">
      <alignment horizontal="center"/>
    </xf>
    <xf numFmtId="0" fontId="14" fillId="31" borderId="19" xfId="351" applyFont="1" applyFill="1" applyBorder="1" applyAlignment="1" applyProtection="1">
      <alignment horizontal="center"/>
    </xf>
    <xf numFmtId="0" fontId="44" fillId="31" borderId="0" xfId="351" applyFont="1" applyFill="1" applyBorder="1" applyAlignment="1" applyProtection="1">
      <alignment horizontal="center" vertical="center" wrapText="1"/>
    </xf>
    <xf numFmtId="0" fontId="44" fillId="31" borderId="19" xfId="351" applyFont="1" applyFill="1" applyBorder="1" applyAlignment="1" applyProtection="1">
      <alignment horizontal="center" vertical="center" wrapText="1"/>
    </xf>
    <xf numFmtId="0" fontId="17" fillId="31" borderId="20" xfId="351" applyFont="1" applyFill="1" applyBorder="1" applyAlignment="1" applyProtection="1">
      <alignment horizontal="center" vertical="center" wrapText="1"/>
    </xf>
    <xf numFmtId="0" fontId="17" fillId="31" borderId="21" xfId="351" applyFont="1" applyFill="1" applyBorder="1" applyAlignment="1" applyProtection="1">
      <alignment horizontal="center" vertical="center" wrapText="1"/>
    </xf>
    <xf numFmtId="0" fontId="17" fillId="31" borderId="17" xfId="351" applyFont="1" applyFill="1" applyBorder="1" applyAlignment="1" applyProtection="1">
      <alignment horizontal="center" vertical="center" wrapText="1"/>
    </xf>
    <xf numFmtId="0" fontId="44" fillId="32" borderId="20" xfId="351" applyFont="1" applyFill="1" applyBorder="1" applyAlignment="1" applyProtection="1">
      <alignment horizontal="center" wrapText="1"/>
    </xf>
    <xf numFmtId="0" fontId="44" fillId="32" borderId="21" xfId="351" applyFont="1" applyFill="1" applyBorder="1" applyAlignment="1" applyProtection="1">
      <alignment horizontal="center" wrapText="1"/>
    </xf>
    <xf numFmtId="0" fontId="44" fillId="32" borderId="17" xfId="351" applyFont="1" applyFill="1" applyBorder="1" applyAlignment="1" applyProtection="1">
      <alignment horizontal="center" wrapText="1"/>
    </xf>
    <xf numFmtId="0" fontId="70" fillId="31" borderId="18" xfId="2" applyFont="1" applyFill="1" applyBorder="1" applyAlignment="1" applyProtection="1">
      <alignment horizontal="center" vertical="center" wrapText="1"/>
      <protection hidden="1"/>
    </xf>
    <xf numFmtId="0" fontId="70" fillId="31" borderId="0" xfId="2" applyFont="1" applyFill="1" applyBorder="1" applyAlignment="1" applyProtection="1">
      <alignment horizontal="center" vertical="center" wrapText="1"/>
      <protection hidden="1"/>
    </xf>
    <xf numFmtId="0" fontId="17" fillId="37" borderId="22" xfId="3" applyNumberFormat="1" applyFont="1" applyFill="1" applyBorder="1" applyAlignment="1" applyProtection="1">
      <alignment horizontal="center" vertical="center" wrapText="1"/>
      <protection hidden="1"/>
    </xf>
    <xf numFmtId="0" fontId="50" fillId="0" borderId="97" xfId="0" applyNumberFormat="1" applyFont="1" applyBorder="1" applyAlignment="1">
      <alignment horizontal="center" vertical="center" wrapText="1"/>
    </xf>
    <xf numFmtId="10" fontId="50" fillId="0" borderId="98" xfId="0" applyNumberFormat="1" applyFont="1" applyBorder="1" applyAlignment="1">
      <alignment horizontal="center" vertical="center" wrapText="1"/>
    </xf>
    <xf numFmtId="0" fontId="15" fillId="43" borderId="79" xfId="0" applyFont="1" applyFill="1" applyBorder="1" applyAlignment="1">
      <alignment horizontal="left" wrapText="1"/>
    </xf>
    <xf numFmtId="0" fontId="101" fillId="43" borderId="79" xfId="0" applyFont="1" applyFill="1" applyBorder="1" applyAlignment="1">
      <alignment horizontal="center" vertical="center" wrapText="1"/>
    </xf>
    <xf numFmtId="0" fontId="50" fillId="0" borderId="35" xfId="0" applyNumberFormat="1" applyFont="1" applyBorder="1" applyAlignment="1">
      <alignment horizontal="center" vertical="center" wrapText="1"/>
    </xf>
    <xf numFmtId="10" fontId="50" fillId="0" borderId="18" xfId="0" applyNumberFormat="1" applyFont="1" applyBorder="1" applyAlignment="1">
      <alignment horizontal="center" vertical="center" wrapText="1"/>
    </xf>
    <xf numFmtId="0" fontId="0" fillId="0" borderId="99" xfId="0" applyBorder="1" applyAlignment="1">
      <alignment horizontal="center" vertical="center"/>
    </xf>
    <xf numFmtId="0" fontId="0" fillId="0" borderId="100" xfId="0" applyBorder="1" applyAlignment="1">
      <alignment horizontal="center" vertical="center"/>
    </xf>
    <xf numFmtId="0" fontId="92" fillId="30" borderId="79" xfId="0" applyFont="1" applyFill="1" applyBorder="1" applyAlignment="1">
      <alignment horizontal="center" vertical="center"/>
    </xf>
    <xf numFmtId="0" fontId="92" fillId="30" borderId="79" xfId="0" applyFont="1" applyFill="1" applyBorder="1" applyAlignment="1">
      <alignment horizontal="left" vertical="top" wrapText="1"/>
    </xf>
    <xf numFmtId="0" fontId="50" fillId="0" borderId="90" xfId="0" applyNumberFormat="1" applyFont="1" applyBorder="1" applyAlignment="1">
      <alignment horizontal="center" vertical="center" wrapText="1"/>
    </xf>
    <xf numFmtId="10" fontId="50" fillId="0" borderId="90" xfId="0" applyNumberFormat="1" applyFont="1" applyBorder="1" applyAlignment="1">
      <alignment horizontal="center" vertical="center" wrapText="1"/>
    </xf>
    <xf numFmtId="0" fontId="98" fillId="30" borderId="79" xfId="0" applyFont="1" applyFill="1" applyBorder="1" applyAlignment="1">
      <alignment horizontal="left" wrapText="1"/>
    </xf>
    <xf numFmtId="0" fontId="97" fillId="30" borderId="79" xfId="0" applyFont="1" applyFill="1" applyBorder="1" applyAlignment="1">
      <alignment horizontal="center" vertical="center" wrapText="1"/>
    </xf>
    <xf numFmtId="0" fontId="98" fillId="43" borderId="79" xfId="0" applyFont="1" applyFill="1" applyBorder="1" applyAlignment="1">
      <alignment horizontal="left" wrapText="1"/>
    </xf>
    <xf numFmtId="0" fontId="103" fillId="43" borderId="79" xfId="0" applyFont="1" applyFill="1" applyBorder="1" applyAlignment="1">
      <alignment horizontal="center" vertical="center" wrapText="1"/>
    </xf>
    <xf numFmtId="0" fontId="44" fillId="28" borderId="56" xfId="0" applyFont="1" applyFill="1" applyBorder="1" applyAlignment="1">
      <alignment horizontal="center" vertical="center"/>
    </xf>
    <xf numFmtId="0" fontId="44" fillId="28" borderId="40" xfId="0" applyFont="1" applyFill="1" applyBorder="1" applyAlignment="1">
      <alignment horizontal="center" vertical="center"/>
    </xf>
    <xf numFmtId="0" fontId="44" fillId="28" borderId="48" xfId="0" applyFont="1" applyFill="1" applyBorder="1" applyAlignment="1">
      <alignment horizontal="center" vertical="center"/>
    </xf>
    <xf numFmtId="0" fontId="44" fillId="31" borderId="65" xfId="0" applyFont="1" applyFill="1" applyBorder="1" applyAlignment="1">
      <alignment horizontal="center" vertical="center"/>
    </xf>
    <xf numFmtId="0" fontId="44" fillId="31" borderId="66" xfId="0" applyFont="1" applyFill="1" applyBorder="1" applyAlignment="1">
      <alignment horizontal="center" vertical="center"/>
    </xf>
    <xf numFmtId="0" fontId="44" fillId="31" borderId="67" xfId="0" applyFont="1" applyFill="1" applyBorder="1" applyAlignment="1">
      <alignment horizontal="center" vertical="center"/>
    </xf>
    <xf numFmtId="0" fontId="98" fillId="43" borderId="79" xfId="0" applyFont="1" applyFill="1" applyBorder="1" applyAlignment="1">
      <alignment horizontal="left" vertical="center" wrapText="1"/>
    </xf>
    <xf numFmtId="0" fontId="18" fillId="43" borderId="79" xfId="0" applyFont="1" applyFill="1" applyBorder="1" applyAlignment="1">
      <alignment horizontal="left" vertical="center" wrapText="1"/>
    </xf>
    <xf numFmtId="0" fontId="50" fillId="0" borderId="102" xfId="0" applyNumberFormat="1" applyFont="1" applyBorder="1" applyAlignment="1">
      <alignment horizontal="center" vertical="center" wrapText="1"/>
    </xf>
    <xf numFmtId="0" fontId="76" fillId="0" borderId="51" xfId="356" applyFont="1" applyBorder="1" applyAlignment="1" applyProtection="1">
      <alignment horizontal="center" vertical="center"/>
      <protection hidden="1"/>
    </xf>
    <xf numFmtId="0" fontId="76" fillId="0" borderId="52" xfId="356" applyFont="1" applyBorder="1" applyAlignment="1" applyProtection="1">
      <alignment horizontal="center" vertical="center"/>
      <protection hidden="1"/>
    </xf>
    <xf numFmtId="0" fontId="76" fillId="0" borderId="53" xfId="356"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189" fontId="77" fillId="37" borderId="79" xfId="0" applyNumberFormat="1" applyFont="1" applyFill="1" applyBorder="1" applyAlignment="1" applyProtection="1">
      <alignment horizontal="center" vertical="center" wrapText="1"/>
      <protection hidden="1"/>
    </xf>
    <xf numFmtId="10" fontId="89" fillId="37" borderId="82" xfId="343" applyNumberFormat="1" applyFont="1" applyFill="1" applyBorder="1" applyAlignment="1" applyProtection="1">
      <alignment horizontal="center" vertical="center"/>
      <protection hidden="1"/>
    </xf>
    <xf numFmtId="10" fontId="89" fillId="37" borderId="28" xfId="343" applyNumberFormat="1" applyFont="1" applyFill="1" applyBorder="1" applyAlignment="1" applyProtection="1">
      <alignment horizontal="center" vertical="center"/>
      <protection hidden="1"/>
    </xf>
    <xf numFmtId="0" fontId="74" fillId="37" borderId="51" xfId="0" applyFont="1" applyFill="1" applyBorder="1" applyAlignment="1" applyProtection="1">
      <alignment horizontal="center"/>
      <protection hidden="1"/>
    </xf>
    <xf numFmtId="0" fontId="74" fillId="37" borderId="52" xfId="0" applyFont="1" applyFill="1" applyBorder="1" applyAlignment="1" applyProtection="1">
      <alignment horizontal="center"/>
      <protection hidden="1"/>
    </xf>
    <xf numFmtId="0" fontId="74" fillId="37" borderId="53" xfId="0" applyFont="1" applyFill="1" applyBorder="1" applyAlignment="1" applyProtection="1">
      <alignment horizontal="center"/>
      <protection hidden="1"/>
    </xf>
    <xf numFmtId="0" fontId="76" fillId="0" borderId="51" xfId="356" applyFont="1" applyBorder="1" applyAlignment="1" applyProtection="1">
      <alignment horizontal="center" vertical="center" wrapText="1"/>
      <protection hidden="1"/>
    </xf>
    <xf numFmtId="0" fontId="76" fillId="0" borderId="52" xfId="356" applyFont="1" applyBorder="1" applyAlignment="1" applyProtection="1">
      <alignment horizontal="center" vertical="center" wrapText="1"/>
      <protection hidden="1"/>
    </xf>
    <xf numFmtId="0" fontId="76" fillId="0" borderId="53" xfId="356" applyFont="1" applyBorder="1" applyAlignment="1" applyProtection="1">
      <alignment horizontal="center" vertical="center" wrapText="1"/>
      <protection hidden="1"/>
    </xf>
    <xf numFmtId="0" fontId="17" fillId="28" borderId="60" xfId="0" applyFont="1" applyFill="1" applyBorder="1" applyAlignment="1">
      <alignment horizontal="center" vertical="center"/>
    </xf>
    <xf numFmtId="0" fontId="17" fillId="28" borderId="61" xfId="0" applyFont="1" applyFill="1" applyBorder="1" applyAlignment="1">
      <alignment horizontal="center" vertical="center"/>
    </xf>
    <xf numFmtId="0" fontId="17" fillId="28" borderId="62" xfId="0" applyFont="1" applyFill="1" applyBorder="1" applyAlignment="1">
      <alignment horizontal="center" vertical="center"/>
    </xf>
    <xf numFmtId="0" fontId="14" fillId="37" borderId="45" xfId="0" applyFont="1" applyFill="1" applyBorder="1" applyAlignment="1" applyProtection="1">
      <alignment horizontal="center" vertical="center" wrapText="1"/>
      <protection hidden="1"/>
    </xf>
    <xf numFmtId="0" fontId="14" fillId="37" borderId="0" xfId="0" applyFont="1" applyFill="1" applyBorder="1" applyAlignment="1" applyProtection="1">
      <alignment horizontal="center" vertical="center" wrapText="1"/>
      <protection hidden="1"/>
    </xf>
    <xf numFmtId="0" fontId="14" fillId="37" borderId="73" xfId="0" applyFont="1" applyFill="1" applyBorder="1" applyAlignment="1" applyProtection="1">
      <alignment horizontal="center" vertical="center" wrapText="1"/>
      <protection hidden="1"/>
    </xf>
    <xf numFmtId="0" fontId="14" fillId="37" borderId="75" xfId="0" applyFont="1" applyFill="1" applyBorder="1" applyAlignment="1" applyProtection="1">
      <alignment horizontal="center" vertical="center" wrapText="1"/>
      <protection hidden="1"/>
    </xf>
    <xf numFmtId="0" fontId="44" fillId="28" borderId="39" xfId="356" applyFont="1" applyFill="1" applyBorder="1" applyAlignment="1" applyProtection="1">
      <alignment horizontal="center" vertical="center" textRotation="90" wrapText="1"/>
      <protection hidden="1"/>
    </xf>
    <xf numFmtId="0" fontId="44" fillId="28" borderId="47" xfId="356" applyFont="1" applyFill="1" applyBorder="1" applyAlignment="1" applyProtection="1">
      <alignment horizontal="center" vertical="center" textRotation="90" wrapText="1"/>
      <protection hidden="1"/>
    </xf>
    <xf numFmtId="0" fontId="44" fillId="28" borderId="72" xfId="356" applyFont="1" applyFill="1" applyBorder="1" applyAlignment="1" applyProtection="1">
      <alignment horizontal="center" vertical="center" textRotation="90" wrapText="1"/>
      <protection hidden="1"/>
    </xf>
    <xf numFmtId="0" fontId="44" fillId="40" borderId="39" xfId="356" applyFont="1" applyFill="1" applyBorder="1" applyAlignment="1" applyProtection="1">
      <alignment horizontal="center" vertical="center" textRotation="90" wrapText="1"/>
      <protection hidden="1"/>
    </xf>
    <xf numFmtId="0" fontId="44" fillId="40" borderId="47" xfId="356" applyFont="1" applyFill="1" applyBorder="1" applyAlignment="1" applyProtection="1">
      <alignment horizontal="center" vertical="center" textRotation="90" wrapText="1"/>
      <protection hidden="1"/>
    </xf>
    <xf numFmtId="0" fontId="44" fillId="40" borderId="72" xfId="356" applyFont="1" applyFill="1" applyBorder="1" applyAlignment="1" applyProtection="1">
      <alignment horizontal="center" vertical="center" textRotation="90" wrapText="1"/>
      <protection hidden="1"/>
    </xf>
    <xf numFmtId="0" fontId="44" fillId="28" borderId="46" xfId="356" applyFont="1" applyFill="1" applyBorder="1" applyAlignment="1" applyProtection="1">
      <alignment horizontal="center" vertical="center" textRotation="90" wrapText="1"/>
      <protection hidden="1"/>
    </xf>
    <xf numFmtId="0" fontId="44" fillId="28" borderId="74" xfId="356" applyFont="1" applyFill="1" applyBorder="1" applyAlignment="1" applyProtection="1">
      <alignment horizontal="center" vertical="center" textRotation="90" wrapText="1"/>
      <protection hidden="1"/>
    </xf>
    <xf numFmtId="0" fontId="14" fillId="37" borderId="39" xfId="0" applyFont="1" applyFill="1" applyBorder="1" applyAlignment="1" applyProtection="1">
      <alignment horizontal="center" vertical="center" wrapText="1"/>
      <protection hidden="1"/>
    </xf>
    <xf numFmtId="0" fontId="14" fillId="37" borderId="72" xfId="0" applyFont="1" applyFill="1" applyBorder="1" applyAlignment="1" applyProtection="1">
      <alignment horizontal="center" vertical="center" wrapText="1"/>
      <protection hidden="1"/>
    </xf>
    <xf numFmtId="0" fontId="14" fillId="28" borderId="54" xfId="0" quotePrefix="1" applyFont="1" applyFill="1" applyBorder="1" applyAlignment="1" applyProtection="1">
      <alignment horizontal="center" vertical="center" wrapText="1"/>
    </xf>
    <xf numFmtId="0" fontId="14" fillId="28" borderId="55" xfId="0" quotePrefix="1" applyFont="1" applyFill="1" applyBorder="1" applyAlignment="1" applyProtection="1">
      <alignment horizontal="center" vertical="center" wrapText="1"/>
    </xf>
    <xf numFmtId="0" fontId="14" fillId="28" borderId="49" xfId="0" quotePrefix="1" applyFont="1" applyFill="1" applyBorder="1" applyAlignment="1" applyProtection="1">
      <alignment horizontal="center" vertical="center" wrapText="1"/>
    </xf>
    <xf numFmtId="0" fontId="17" fillId="28" borderId="43" xfId="0" applyFont="1" applyFill="1" applyBorder="1" applyAlignment="1" applyProtection="1">
      <alignment horizontal="center" vertical="center" wrapText="1"/>
    </xf>
    <xf numFmtId="0" fontId="17" fillId="28" borderId="41" xfId="0" applyFont="1" applyFill="1" applyBorder="1" applyAlignment="1" applyProtection="1">
      <alignment horizontal="center" vertical="center" wrapText="1"/>
    </xf>
    <xf numFmtId="0" fontId="17" fillId="28" borderId="44" xfId="0" applyFont="1" applyFill="1" applyBorder="1" applyAlignment="1" applyProtection="1">
      <alignment horizontal="center" vertical="center" wrapText="1"/>
    </xf>
    <xf numFmtId="0" fontId="17" fillId="28" borderId="45" xfId="0" applyFont="1" applyFill="1" applyBorder="1" applyAlignment="1" applyProtection="1">
      <alignment horizontal="center" vertical="center" wrapText="1"/>
    </xf>
    <xf numFmtId="0" fontId="17" fillId="28" borderId="0" xfId="0" applyFont="1" applyFill="1" applyBorder="1" applyAlignment="1" applyProtection="1">
      <alignment horizontal="center" vertical="center" wrapText="1"/>
    </xf>
    <xf numFmtId="0" fontId="17" fillId="28" borderId="46" xfId="0" applyFont="1" applyFill="1" applyBorder="1" applyAlignment="1" applyProtection="1">
      <alignment horizontal="center" vertical="center" wrapText="1"/>
    </xf>
    <xf numFmtId="0" fontId="17" fillId="28" borderId="73" xfId="0" applyFont="1" applyFill="1" applyBorder="1" applyAlignment="1" applyProtection="1">
      <alignment horizontal="center" vertical="center" wrapText="1"/>
    </xf>
    <xf numFmtId="0" fontId="17" fillId="28" borderId="75" xfId="0" applyFont="1" applyFill="1" applyBorder="1" applyAlignment="1" applyProtection="1">
      <alignment horizontal="center" vertical="center" wrapText="1"/>
    </xf>
    <xf numFmtId="0" fontId="17" fillId="28" borderId="74" xfId="0" applyFont="1" applyFill="1" applyBorder="1" applyAlignment="1" applyProtection="1">
      <alignment horizontal="center" vertical="center" wrapText="1"/>
    </xf>
    <xf numFmtId="0" fontId="14" fillId="37" borderId="43" xfId="0" applyFont="1" applyFill="1" applyBorder="1" applyAlignment="1">
      <alignment horizontal="center" vertical="center" wrapText="1"/>
    </xf>
    <xf numFmtId="0" fontId="14" fillId="37" borderId="41" xfId="0" applyFont="1" applyFill="1" applyBorder="1" applyAlignment="1">
      <alignment horizontal="center" vertical="center" wrapText="1"/>
    </xf>
    <xf numFmtId="0" fontId="14" fillId="37" borderId="44" xfId="0" applyFont="1" applyFill="1" applyBorder="1" applyAlignment="1">
      <alignment horizontal="center" vertical="center" wrapText="1"/>
    </xf>
    <xf numFmtId="0" fontId="14" fillId="37" borderId="45" xfId="0" applyFont="1" applyFill="1" applyBorder="1" applyAlignment="1">
      <alignment horizontal="center" vertical="center" wrapText="1"/>
    </xf>
    <xf numFmtId="0" fontId="14" fillId="37" borderId="0" xfId="0" applyFont="1" applyFill="1" applyBorder="1" applyAlignment="1">
      <alignment horizontal="center" vertical="center" wrapText="1"/>
    </xf>
    <xf numFmtId="0" fontId="14" fillId="37" borderId="46" xfId="0" applyFont="1" applyFill="1" applyBorder="1" applyAlignment="1">
      <alignment horizontal="center" vertical="center" wrapText="1"/>
    </xf>
    <xf numFmtId="0" fontId="14" fillId="37" borderId="73" xfId="0" applyFont="1" applyFill="1" applyBorder="1" applyAlignment="1">
      <alignment horizontal="center" vertical="center" wrapText="1"/>
    </xf>
    <xf numFmtId="0" fontId="14" fillId="37" borderId="75" xfId="0" applyFont="1" applyFill="1" applyBorder="1" applyAlignment="1">
      <alignment horizontal="center" vertical="center" wrapText="1"/>
    </xf>
    <xf numFmtId="0" fontId="14" fillId="37" borderId="74" xfId="0" applyFont="1" applyFill="1" applyBorder="1" applyAlignment="1">
      <alignment horizontal="center" vertical="center" wrapText="1"/>
    </xf>
    <xf numFmtId="0" fontId="14" fillId="28" borderId="54" xfId="0" quotePrefix="1" applyFont="1" applyFill="1" applyBorder="1" applyAlignment="1">
      <alignment horizontal="center" vertical="center" wrapText="1"/>
    </xf>
    <xf numFmtId="0" fontId="14" fillId="28" borderId="55" xfId="0" quotePrefix="1" applyFont="1" applyFill="1" applyBorder="1" applyAlignment="1">
      <alignment horizontal="center" vertical="center" wrapText="1"/>
    </xf>
    <xf numFmtId="0" fontId="14" fillId="28" borderId="49" xfId="0" quotePrefix="1" applyFont="1" applyFill="1" applyBorder="1" applyAlignment="1">
      <alignment horizontal="center" vertical="center" wrapText="1"/>
    </xf>
    <xf numFmtId="0" fontId="17" fillId="28" borderId="43" xfId="0" applyFont="1" applyFill="1" applyBorder="1" applyAlignment="1">
      <alignment horizontal="center" vertical="center" wrapText="1"/>
    </xf>
    <xf numFmtId="0" fontId="17" fillId="28" borderId="41" xfId="0" applyFont="1" applyFill="1" applyBorder="1" applyAlignment="1">
      <alignment horizontal="center" vertical="center" wrapText="1"/>
    </xf>
    <xf numFmtId="0" fontId="17" fillId="28" borderId="44" xfId="0" applyFont="1" applyFill="1" applyBorder="1" applyAlignment="1">
      <alignment horizontal="center" vertical="center" wrapText="1"/>
    </xf>
    <xf numFmtId="0" fontId="17" fillId="28" borderId="45" xfId="0" applyFont="1" applyFill="1" applyBorder="1" applyAlignment="1">
      <alignment horizontal="center" vertical="center" wrapText="1"/>
    </xf>
    <xf numFmtId="0" fontId="17" fillId="28" borderId="0" xfId="0" applyFont="1" applyFill="1" applyAlignment="1">
      <alignment horizontal="center" vertical="center" wrapText="1"/>
    </xf>
    <xf numFmtId="0" fontId="17" fillId="28" borderId="46"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75" xfId="0" applyFont="1" applyFill="1" applyBorder="1" applyAlignment="1">
      <alignment horizontal="center" vertical="center" wrapText="1"/>
    </xf>
    <xf numFmtId="0" fontId="17" fillId="28" borderId="74" xfId="0" applyFont="1" applyFill="1" applyBorder="1" applyAlignment="1">
      <alignment horizontal="center" vertical="center" wrapText="1"/>
    </xf>
    <xf numFmtId="0" fontId="15" fillId="28" borderId="39" xfId="0" applyFont="1" applyFill="1" applyBorder="1" applyAlignment="1">
      <alignment horizontal="center" vertical="center" wrapText="1"/>
    </xf>
    <xf numFmtId="0" fontId="15" fillId="28" borderId="72"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4" xfId="0" applyFont="1" applyBorder="1" applyAlignment="1">
      <alignment horizontal="center" vertical="center" wrapText="1"/>
    </xf>
    <xf numFmtId="0" fontId="15" fillId="28" borderId="43" xfId="0" applyFont="1" applyFill="1" applyBorder="1" applyAlignment="1" applyProtection="1">
      <alignment horizontal="center" vertical="center" wrapText="1"/>
    </xf>
    <xf numFmtId="0" fontId="15" fillId="28" borderId="41" xfId="0" applyFont="1" applyFill="1" applyBorder="1" applyAlignment="1" applyProtection="1">
      <alignment horizontal="center" vertical="center" wrapText="1"/>
    </xf>
    <xf numFmtId="0" fontId="15" fillId="28" borderId="44" xfId="0" applyFont="1" applyFill="1" applyBorder="1" applyAlignment="1" applyProtection="1">
      <alignment horizontal="center" vertical="center" wrapText="1"/>
    </xf>
    <xf numFmtId="0" fontId="15" fillId="28" borderId="73" xfId="0" applyFont="1" applyFill="1" applyBorder="1" applyAlignment="1" applyProtection="1">
      <alignment horizontal="center" vertical="center" wrapText="1"/>
    </xf>
    <xf numFmtId="0" fontId="15" fillId="28" borderId="75" xfId="0" applyFont="1" applyFill="1" applyBorder="1" applyAlignment="1" applyProtection="1">
      <alignment horizontal="center" vertical="center" wrapText="1"/>
    </xf>
    <xf numFmtId="0" fontId="15" fillId="28" borderId="74" xfId="0" applyFont="1" applyFill="1" applyBorder="1" applyAlignment="1" applyProtection="1">
      <alignment horizontal="center" vertical="center" wrapText="1"/>
    </xf>
    <xf numFmtId="0" fontId="15" fillId="30" borderId="79" xfId="0" applyFont="1" applyFill="1" applyBorder="1" applyAlignment="1">
      <alignment horizontal="left" wrapText="1"/>
    </xf>
    <xf numFmtId="0" fontId="93" fillId="30" borderId="79" xfId="0" applyFont="1" applyFill="1" applyBorder="1" applyAlignment="1">
      <alignment horizontal="center" vertical="center" wrapText="1"/>
    </xf>
    <xf numFmtId="0" fontId="50" fillId="0" borderId="107" xfId="0" applyNumberFormat="1" applyFont="1" applyBorder="1" applyAlignment="1">
      <alignment horizontal="center" vertical="center" wrapText="1"/>
    </xf>
    <xf numFmtId="0" fontId="15" fillId="28" borderId="39" xfId="0" applyFont="1" applyFill="1" applyBorder="1" applyAlignment="1" applyProtection="1">
      <alignment horizontal="center" vertical="center" wrapText="1"/>
    </xf>
    <xf numFmtId="0" fontId="15" fillId="28" borderId="72" xfId="0" applyFont="1" applyFill="1" applyBorder="1" applyAlignment="1" applyProtection="1">
      <alignment horizontal="center" vertical="center" wrapText="1"/>
    </xf>
    <xf numFmtId="0" fontId="102" fillId="43" borderId="79" xfId="0" applyFont="1" applyFill="1" applyBorder="1" applyAlignment="1">
      <alignment horizontal="left" vertical="top" wrapText="1"/>
    </xf>
    <xf numFmtId="0" fontId="14" fillId="0" borderId="43"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30" borderId="43" xfId="0" applyFont="1" applyFill="1" applyBorder="1" applyAlignment="1">
      <alignment horizontal="center" vertical="center" wrapText="1"/>
    </xf>
    <xf numFmtId="0" fontId="14" fillId="30" borderId="41" xfId="0" applyFont="1" applyFill="1" applyBorder="1" applyAlignment="1">
      <alignment horizontal="center" vertical="center" wrapText="1"/>
    </xf>
    <xf numFmtId="0" fontId="14" fillId="30" borderId="44" xfId="0" applyFont="1" applyFill="1" applyBorder="1" applyAlignment="1">
      <alignment horizontal="center" vertical="center" wrapText="1"/>
    </xf>
    <xf numFmtId="0" fontId="14" fillId="30" borderId="45" xfId="0" applyFont="1" applyFill="1" applyBorder="1" applyAlignment="1">
      <alignment horizontal="center" vertical="center" wrapText="1"/>
    </xf>
    <xf numFmtId="0" fontId="14" fillId="30" borderId="0" xfId="0" applyFont="1" applyFill="1" applyBorder="1" applyAlignment="1">
      <alignment horizontal="center" vertical="center" wrapText="1"/>
    </xf>
    <xf numFmtId="0" fontId="14" fillId="30" borderId="46" xfId="0" applyFont="1" applyFill="1" applyBorder="1" applyAlignment="1">
      <alignment horizontal="center" vertical="center" wrapText="1"/>
    </xf>
    <xf numFmtId="0" fontId="14" fillId="30" borderId="73" xfId="0" applyFont="1" applyFill="1" applyBorder="1" applyAlignment="1">
      <alignment horizontal="center" vertical="center" wrapText="1"/>
    </xf>
    <xf numFmtId="0" fontId="14" fillId="30" borderId="75" xfId="0" applyFont="1" applyFill="1" applyBorder="1" applyAlignment="1">
      <alignment horizontal="center" vertical="center" wrapText="1"/>
    </xf>
    <xf numFmtId="0" fontId="14" fillId="30" borderId="74" xfId="0" applyFont="1" applyFill="1" applyBorder="1" applyAlignment="1">
      <alignment horizontal="center" vertical="center" wrapText="1"/>
    </xf>
    <xf numFmtId="0" fontId="100" fillId="43" borderId="79" xfId="0" applyFont="1" applyFill="1" applyBorder="1" applyAlignment="1">
      <alignment horizontal="left" vertical="center" wrapText="1"/>
    </xf>
    <xf numFmtId="0" fontId="100" fillId="43" borderId="79" xfId="0" applyFont="1" applyFill="1" applyBorder="1" applyAlignment="1">
      <alignment horizontal="left" vertical="top" wrapText="1"/>
    </xf>
    <xf numFmtId="189" fontId="50" fillId="0" borderId="90" xfId="0" applyNumberFormat="1" applyFont="1" applyBorder="1" applyAlignment="1">
      <alignment horizontal="center" vertical="center" wrapText="1"/>
    </xf>
    <xf numFmtId="0" fontId="15" fillId="30" borderId="83" xfId="0" applyFont="1" applyFill="1" applyBorder="1" applyAlignment="1">
      <alignment horizontal="left" wrapText="1"/>
    </xf>
    <xf numFmtId="0" fontId="15" fillId="30" borderId="85" xfId="0" applyFont="1" applyFill="1" applyBorder="1" applyAlignment="1">
      <alignment horizontal="left" wrapText="1"/>
    </xf>
    <xf numFmtId="0" fontId="15" fillId="30" borderId="103" xfId="0" applyFont="1" applyFill="1" applyBorder="1" applyAlignment="1">
      <alignment horizontal="left" wrapText="1"/>
    </xf>
    <xf numFmtId="0" fontId="93" fillId="30" borderId="82" xfId="0" applyFont="1" applyFill="1" applyBorder="1" applyAlignment="1">
      <alignment horizontal="center" vertical="center" wrapText="1"/>
    </xf>
    <xf numFmtId="0" fontId="93" fillId="30" borderId="33" xfId="0" applyFont="1" applyFill="1" applyBorder="1" applyAlignment="1">
      <alignment horizontal="center" vertical="center" wrapText="1"/>
    </xf>
    <xf numFmtId="0" fontId="93" fillId="30" borderId="28" xfId="0" applyFont="1" applyFill="1" applyBorder="1" applyAlignment="1">
      <alignment horizontal="center" vertical="center" wrapText="1"/>
    </xf>
    <xf numFmtId="9" fontId="50" fillId="0" borderId="90" xfId="357" applyFont="1" applyBorder="1" applyAlignment="1">
      <alignment horizontal="center" vertical="center" wrapText="1"/>
    </xf>
    <xf numFmtId="0" fontId="14" fillId="37" borderId="43" xfId="0" applyFont="1" applyFill="1" applyBorder="1" applyAlignment="1" applyProtection="1">
      <alignment horizontal="center" vertical="center" wrapText="1"/>
      <protection hidden="1"/>
    </xf>
    <xf numFmtId="0" fontId="14" fillId="37" borderId="41" xfId="0" applyFont="1" applyFill="1" applyBorder="1" applyAlignment="1" applyProtection="1">
      <alignment horizontal="center" vertical="center" wrapText="1"/>
      <protection hidden="1"/>
    </xf>
    <xf numFmtId="0" fontId="14" fillId="37" borderId="44" xfId="0" applyFont="1" applyFill="1" applyBorder="1" applyAlignment="1" applyProtection="1">
      <alignment horizontal="center" vertical="center" wrapText="1"/>
      <protection hidden="1"/>
    </xf>
    <xf numFmtId="0" fontId="14" fillId="37" borderId="74"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2" xfId="0" applyFont="1" applyBorder="1" applyAlignment="1" applyProtection="1">
      <alignment horizontal="center" wrapText="1"/>
      <protection hidden="1"/>
    </xf>
    <xf numFmtId="0" fontId="0" fillId="0" borderId="36" xfId="0" applyBorder="1" applyAlignment="1" applyProtection="1">
      <alignment horizontal="center" wrapText="1"/>
      <protection hidden="1"/>
    </xf>
    <xf numFmtId="0" fontId="74" fillId="37" borderId="0" xfId="0" applyFont="1" applyFill="1" applyBorder="1" applyAlignment="1" applyProtection="1">
      <alignment horizontal="center" wrapText="1"/>
      <protection hidden="1"/>
    </xf>
    <xf numFmtId="0" fontId="74" fillId="37" borderId="88" xfId="0" applyFont="1" applyFill="1" applyBorder="1" applyAlignment="1" applyProtection="1">
      <alignment horizontal="center" wrapText="1"/>
      <protection hidden="1"/>
    </xf>
    <xf numFmtId="0" fontId="74" fillId="37" borderId="79" xfId="0" applyFont="1" applyFill="1" applyBorder="1" applyAlignment="1" applyProtection="1">
      <alignment horizontal="center" wrapText="1"/>
      <protection hidden="1"/>
    </xf>
    <xf numFmtId="0" fontId="44" fillId="30" borderId="104" xfId="0" applyFont="1" applyFill="1" applyBorder="1" applyAlignment="1">
      <alignment horizontal="center" vertical="center" wrapText="1"/>
    </xf>
    <xf numFmtId="0" fontId="44" fillId="30" borderId="52" xfId="0" applyFont="1" applyFill="1" applyBorder="1" applyAlignment="1">
      <alignment horizontal="center" vertical="center" wrapText="1"/>
    </xf>
    <xf numFmtId="0" fontId="44" fillId="30" borderId="53" xfId="0" applyFont="1" applyFill="1" applyBorder="1" applyAlignment="1">
      <alignment horizontal="center" vertical="center" wrapText="1"/>
    </xf>
    <xf numFmtId="0" fontId="17" fillId="28" borderId="60" xfId="0" applyFont="1" applyFill="1" applyBorder="1" applyAlignment="1">
      <alignment horizontal="center" vertical="center" wrapText="1"/>
    </xf>
    <xf numFmtId="0" fontId="17" fillId="28" borderId="61" xfId="0" applyFont="1" applyFill="1" applyBorder="1" applyAlignment="1">
      <alignment horizontal="center" vertical="center" wrapText="1"/>
    </xf>
    <xf numFmtId="0" fontId="17" fillId="28" borderId="62" xfId="0" applyFont="1" applyFill="1" applyBorder="1" applyAlignment="1">
      <alignment horizontal="center" vertical="center" wrapText="1"/>
    </xf>
    <xf numFmtId="0" fontId="74" fillId="37" borderId="79" xfId="0" applyFont="1" applyFill="1" applyBorder="1" applyAlignment="1" applyProtection="1">
      <alignment horizontal="center" vertical="center" wrapText="1"/>
      <protection hidden="1"/>
    </xf>
    <xf numFmtId="0" fontId="44" fillId="28" borderId="56" xfId="0" applyFont="1" applyFill="1" applyBorder="1" applyAlignment="1">
      <alignment horizontal="center" vertical="center" wrapText="1"/>
    </xf>
    <xf numFmtId="0" fontId="44" fillId="28" borderId="40" xfId="0" applyFont="1" applyFill="1" applyBorder="1" applyAlignment="1">
      <alignment horizontal="center" vertical="center" wrapText="1"/>
    </xf>
    <xf numFmtId="0" fontId="44" fillId="28" borderId="48" xfId="0" applyFont="1" applyFill="1" applyBorder="1" applyAlignment="1">
      <alignment horizontal="center" vertical="center" wrapText="1"/>
    </xf>
    <xf numFmtId="0" fontId="44" fillId="30" borderId="70" xfId="0" applyFont="1" applyFill="1" applyBorder="1" applyAlignment="1">
      <alignment horizontal="center" vertical="center" wrapText="1"/>
    </xf>
    <xf numFmtId="0" fontId="44" fillId="30" borderId="96" xfId="0" applyFont="1" applyFill="1" applyBorder="1" applyAlignment="1">
      <alignment horizontal="center" vertical="center" wrapText="1"/>
    </xf>
    <xf numFmtId="0" fontId="44" fillId="30" borderId="59" xfId="0" applyFont="1" applyFill="1" applyBorder="1" applyAlignment="1">
      <alignment horizontal="center" vertical="center" wrapText="1"/>
    </xf>
    <xf numFmtId="0" fontId="64" fillId="30" borderId="2" xfId="349" applyFont="1" applyFill="1" applyBorder="1" applyAlignment="1" applyProtection="1">
      <alignment horizontal="left" vertical="center" wrapText="1"/>
      <protection hidden="1"/>
    </xf>
    <xf numFmtId="0" fontId="64" fillId="30" borderId="26" xfId="349" applyFont="1" applyFill="1" applyBorder="1" applyAlignment="1" applyProtection="1">
      <alignment horizontal="left" vertical="center" wrapText="1"/>
      <protection hidden="1"/>
    </xf>
    <xf numFmtId="0" fontId="55" fillId="29" borderId="2" xfId="349" applyFont="1" applyFill="1" applyBorder="1" applyAlignment="1" applyProtection="1">
      <alignment horizontal="center" vertical="center" wrapText="1"/>
      <protection hidden="1"/>
    </xf>
    <xf numFmtId="0" fontId="55" fillId="29" borderId="26" xfId="349" applyFont="1" applyFill="1" applyBorder="1" applyAlignment="1" applyProtection="1">
      <alignment horizontal="center" vertical="center" wrapText="1"/>
      <protection hidden="1"/>
    </xf>
    <xf numFmtId="0" fontId="55" fillId="29" borderId="71" xfId="349" applyFont="1" applyFill="1" applyBorder="1" applyAlignment="1" applyProtection="1">
      <alignment horizontal="center" vertical="center" wrapText="1"/>
      <protection hidden="1"/>
    </xf>
    <xf numFmtId="0" fontId="55" fillId="29" borderId="85" xfId="349" applyFont="1" applyFill="1" applyBorder="1" applyAlignment="1" applyProtection="1">
      <alignment horizontal="center" vertical="center" wrapText="1"/>
      <protection hidden="1"/>
    </xf>
    <xf numFmtId="0" fontId="55" fillId="29" borderId="42" xfId="349" applyFont="1" applyFill="1" applyBorder="1" applyAlignment="1" applyProtection="1">
      <alignment horizontal="center" vertical="center" wrapText="1"/>
      <protection hidden="1"/>
    </xf>
    <xf numFmtId="0" fontId="55" fillId="29" borderId="36" xfId="349" applyFont="1" applyFill="1" applyBorder="1" applyAlignment="1" applyProtection="1">
      <alignment horizontal="center" vertical="center" wrapText="1"/>
      <protection hidden="1"/>
    </xf>
    <xf numFmtId="0" fontId="55" fillId="29" borderId="83" xfId="349" applyFont="1" applyFill="1" applyBorder="1" applyAlignment="1" applyProtection="1">
      <alignment horizontal="center" vertical="center" wrapText="1"/>
      <protection hidden="1"/>
    </xf>
    <xf numFmtId="0" fontId="17" fillId="31" borderId="35" xfId="2" applyFont="1" applyFill="1" applyBorder="1" applyAlignment="1" applyProtection="1">
      <alignment horizontal="center" vertical="center" wrapText="1"/>
      <protection hidden="1"/>
    </xf>
    <xf numFmtId="0" fontId="17" fillId="31" borderId="37" xfId="2" applyFont="1" applyFill="1" applyBorder="1" applyAlignment="1" applyProtection="1">
      <alignment horizontal="center" vertical="center" wrapText="1"/>
      <protection hidden="1"/>
    </xf>
    <xf numFmtId="0" fontId="17" fillId="31" borderId="87" xfId="2" applyFont="1" applyFill="1" applyBorder="1" applyAlignment="1" applyProtection="1">
      <alignment horizontal="center" vertical="center" wrapText="1"/>
      <protection hidden="1"/>
    </xf>
    <xf numFmtId="0" fontId="17" fillId="31" borderId="18" xfId="2" applyFont="1" applyFill="1" applyBorder="1" applyAlignment="1" applyProtection="1">
      <alignment horizontal="center" vertical="center" wrapText="1"/>
      <protection hidden="1"/>
    </xf>
    <xf numFmtId="0" fontId="17" fillId="31" borderId="0" xfId="2" applyFont="1" applyFill="1" applyBorder="1" applyAlignment="1" applyProtection="1">
      <alignment horizontal="center" vertical="center" wrapText="1"/>
      <protection hidden="1"/>
    </xf>
    <xf numFmtId="0" fontId="17" fillId="31" borderId="19" xfId="2" applyFont="1" applyFill="1" applyBorder="1" applyAlignment="1" applyProtection="1">
      <alignment horizontal="center" vertical="center" wrapText="1"/>
      <protection hidden="1"/>
    </xf>
    <xf numFmtId="0" fontId="17" fillId="31" borderId="20" xfId="2" applyFont="1" applyFill="1" applyBorder="1" applyAlignment="1" applyProtection="1">
      <alignment horizontal="center" vertical="center" wrapText="1"/>
      <protection hidden="1"/>
    </xf>
    <xf numFmtId="0" fontId="17" fillId="31" borderId="21" xfId="2" applyFont="1" applyFill="1" applyBorder="1" applyAlignment="1" applyProtection="1">
      <alignment horizontal="center" vertical="center" wrapText="1"/>
      <protection hidden="1"/>
    </xf>
    <xf numFmtId="0" fontId="17" fillId="31" borderId="17" xfId="2" applyFont="1" applyFill="1" applyBorder="1" applyAlignment="1" applyProtection="1">
      <alignment horizontal="center" vertical="center" wrapText="1"/>
      <protection hidden="1"/>
    </xf>
    <xf numFmtId="188" fontId="64" fillId="0" borderId="0" xfId="349" applyNumberFormat="1" applyFont="1" applyBorder="1" applyAlignment="1" applyProtection="1">
      <alignment horizontal="center" vertical="center"/>
      <protection hidden="1"/>
    </xf>
    <xf numFmtId="0" fontId="16" fillId="0" borderId="0" xfId="2" applyNumberFormat="1" applyFont="1" applyFill="1" applyAlignment="1" applyProtection="1">
      <alignment vertical="center" wrapText="1"/>
    </xf>
    <xf numFmtId="0" fontId="78" fillId="31" borderId="2" xfId="2" applyNumberFormat="1" applyFont="1" applyFill="1" applyBorder="1" applyAlignment="1" applyProtection="1">
      <alignment horizontal="center" vertical="center" wrapText="1"/>
    </xf>
    <xf numFmtId="0" fontId="78" fillId="31" borderId="42" xfId="2" applyNumberFormat="1" applyFont="1" applyFill="1" applyBorder="1" applyAlignment="1" applyProtection="1">
      <alignment horizontal="center" vertical="center" wrapText="1"/>
    </xf>
    <xf numFmtId="0" fontId="78" fillId="31" borderId="36" xfId="2" applyNumberFormat="1" applyFont="1" applyFill="1" applyBorder="1" applyAlignment="1" applyProtection="1">
      <alignment horizontal="center" vertical="center" wrapText="1"/>
    </xf>
    <xf numFmtId="0" fontId="16" fillId="0" borderId="0" xfId="2" applyFont="1" applyFill="1" applyAlignment="1" applyProtection="1">
      <alignment vertical="center" wrapText="1"/>
    </xf>
    <xf numFmtId="0" fontId="17" fillId="0" borderId="0" xfId="3" applyNumberFormat="1" applyFont="1" applyFill="1" applyAlignment="1" applyProtection="1">
      <alignment vertical="center" wrapText="1"/>
    </xf>
    <xf numFmtId="168" fontId="17" fillId="0" borderId="0" xfId="3" applyFont="1" applyFill="1" applyAlignment="1" applyProtection="1">
      <alignment horizontal="center" vertical="center" wrapText="1"/>
    </xf>
    <xf numFmtId="168" fontId="17" fillId="0" borderId="0" xfId="3" applyFont="1" applyFill="1" applyAlignment="1" applyProtection="1">
      <alignment vertical="center" wrapText="1"/>
    </xf>
    <xf numFmtId="0" fontId="62" fillId="37" borderId="2" xfId="2" applyFont="1" applyFill="1" applyBorder="1" applyAlignment="1" applyProtection="1">
      <alignment horizontal="center" vertical="center" wrapText="1"/>
    </xf>
    <xf numFmtId="0" fontId="62" fillId="37" borderId="42" xfId="2" applyFont="1" applyFill="1" applyBorder="1" applyAlignment="1" applyProtection="1">
      <alignment horizontal="center" vertical="center" wrapText="1"/>
    </xf>
    <xf numFmtId="0" fontId="62" fillId="37" borderId="36" xfId="2" applyFont="1" applyFill="1" applyBorder="1" applyAlignment="1" applyProtection="1">
      <alignment horizontal="center" vertical="center" wrapText="1"/>
    </xf>
    <xf numFmtId="0" fontId="16" fillId="0" borderId="0" xfId="2" applyFont="1" applyFill="1" applyAlignment="1" applyProtection="1">
      <alignment horizontal="left" vertical="center" wrapText="1"/>
    </xf>
    <xf numFmtId="168" fontId="17" fillId="33" borderId="2" xfId="3" applyFont="1" applyFill="1" applyBorder="1" applyAlignment="1" applyProtection="1">
      <alignment horizontal="center" vertical="center" wrapText="1"/>
    </xf>
    <xf numFmtId="168" fontId="17" fillId="33" borderId="36" xfId="3" applyFont="1" applyFill="1" applyBorder="1" applyAlignment="1" applyProtection="1">
      <alignment horizontal="center" vertical="center" wrapText="1"/>
    </xf>
    <xf numFmtId="168" fontId="17" fillId="33" borderId="22" xfId="3" applyFont="1" applyFill="1" applyBorder="1" applyAlignment="1" applyProtection="1">
      <alignment horizontal="center" vertical="center" wrapText="1"/>
    </xf>
    <xf numFmtId="169" fontId="14" fillId="33" borderId="22" xfId="3" applyNumberFormat="1" applyFont="1" applyFill="1" applyBorder="1" applyAlignment="1" applyProtection="1">
      <alignment horizontal="center" vertical="center" wrapText="1"/>
    </xf>
    <xf numFmtId="168" fontId="14" fillId="33" borderId="22" xfId="3" applyFont="1" applyFill="1" applyBorder="1" applyAlignment="1" applyProtection="1">
      <alignment horizontal="center" vertical="center" wrapText="1"/>
    </xf>
    <xf numFmtId="168" fontId="14" fillId="33" borderId="22" xfId="3" applyFont="1" applyFill="1" applyBorder="1" applyAlignment="1" applyProtection="1">
      <alignment horizontal="center" vertical="center" wrapText="1"/>
    </xf>
    <xf numFmtId="189" fontId="14" fillId="37" borderId="2" xfId="3" applyNumberFormat="1" applyFont="1" applyFill="1" applyBorder="1" applyAlignment="1" applyProtection="1">
      <alignment horizontal="center" vertical="center" wrapText="1"/>
    </xf>
    <xf numFmtId="189" fontId="14" fillId="37" borderId="36" xfId="3" applyNumberFormat="1" applyFont="1" applyFill="1" applyBorder="1" applyAlignment="1" applyProtection="1">
      <alignment horizontal="center" vertical="center" wrapText="1"/>
    </xf>
    <xf numFmtId="178" fontId="14" fillId="37" borderId="22" xfId="3" applyNumberFormat="1" applyFont="1" applyFill="1" applyBorder="1" applyAlignment="1" applyProtection="1">
      <alignment horizontal="center" vertical="center" wrapText="1"/>
    </xf>
    <xf numFmtId="170" fontId="14" fillId="37" borderId="22" xfId="3" applyNumberFormat="1" applyFont="1" applyFill="1" applyBorder="1" applyAlignment="1" applyProtection="1">
      <alignment horizontal="center" vertical="center" wrapText="1"/>
    </xf>
    <xf numFmtId="171" fontId="14" fillId="33" borderId="22" xfId="3" applyNumberFormat="1" applyFont="1" applyFill="1" applyBorder="1" applyAlignment="1" applyProtection="1">
      <alignment horizontal="center" vertical="center" wrapText="1"/>
    </xf>
    <xf numFmtId="0" fontId="17" fillId="0" borderId="0" xfId="2" applyNumberFormat="1" applyFont="1" applyFill="1" applyBorder="1" applyAlignment="1" applyProtection="1">
      <alignment vertical="center" wrapText="1"/>
    </xf>
    <xf numFmtId="169" fontId="17" fillId="0" borderId="0" xfId="3" applyNumberFormat="1" applyFont="1" applyFill="1" applyBorder="1" applyAlignment="1" applyProtection="1">
      <alignment vertical="center" wrapText="1"/>
    </xf>
    <xf numFmtId="170" fontId="16" fillId="0" borderId="0" xfId="3" applyNumberFormat="1" applyFont="1" applyFill="1" applyBorder="1" applyAlignment="1" applyProtection="1">
      <alignment horizontal="right" vertical="center" wrapText="1"/>
    </xf>
    <xf numFmtId="171" fontId="16" fillId="0" borderId="0" xfId="3" applyNumberFormat="1" applyFont="1" applyFill="1" applyBorder="1" applyAlignment="1" applyProtection="1">
      <alignment vertical="center" wrapText="1"/>
    </xf>
    <xf numFmtId="3" fontId="17" fillId="0" borderId="0" xfId="3" applyNumberFormat="1" applyFont="1" applyFill="1" applyBorder="1" applyAlignment="1" applyProtection="1">
      <alignment vertical="center" wrapText="1"/>
    </xf>
    <xf numFmtId="172" fontId="16" fillId="0" borderId="0" xfId="3" applyNumberFormat="1" applyFont="1" applyFill="1" applyAlignment="1" applyProtection="1">
      <alignment vertical="center" wrapText="1"/>
    </xf>
    <xf numFmtId="168" fontId="16" fillId="0" borderId="0" xfId="3" applyFont="1" applyFill="1" applyAlignment="1" applyProtection="1">
      <alignment vertical="center" wrapText="1"/>
    </xf>
    <xf numFmtId="0" fontId="72" fillId="37" borderId="22" xfId="3" applyNumberFormat="1" applyFont="1" applyFill="1" applyBorder="1" applyAlignment="1" applyProtection="1">
      <alignment horizontal="center" vertical="center" wrapText="1"/>
    </xf>
    <xf numFmtId="0" fontId="73" fillId="33" borderId="2" xfId="0" applyFont="1" applyFill="1" applyBorder="1" applyAlignment="1" applyProtection="1">
      <alignment horizontal="center" vertical="center" wrapText="1"/>
    </xf>
    <xf numFmtId="0" fontId="73" fillId="33" borderId="42" xfId="0" applyFont="1" applyFill="1" applyBorder="1" applyAlignment="1" applyProtection="1">
      <alignment horizontal="center" vertical="center" wrapText="1"/>
    </xf>
    <xf numFmtId="0" fontId="73" fillId="33" borderId="36" xfId="0" applyFont="1" applyFill="1" applyBorder="1" applyAlignment="1" applyProtection="1">
      <alignment horizontal="center" vertical="center" wrapText="1"/>
    </xf>
    <xf numFmtId="0" fontId="73" fillId="37" borderId="2" xfId="0" applyNumberFormat="1" applyFont="1" applyFill="1" applyBorder="1" applyAlignment="1" applyProtection="1">
      <alignment horizontal="center" vertical="center" wrapText="1"/>
    </xf>
    <xf numFmtId="0" fontId="73" fillId="37" borderId="42" xfId="0" applyNumberFormat="1" applyFont="1" applyFill="1" applyBorder="1" applyAlignment="1" applyProtection="1">
      <alignment horizontal="center" vertical="center" wrapText="1"/>
    </xf>
    <xf numFmtId="0" fontId="73" fillId="37" borderId="36" xfId="0" applyNumberFormat="1" applyFont="1" applyFill="1" applyBorder="1" applyAlignment="1" applyProtection="1">
      <alignment horizontal="center" vertical="center" wrapText="1"/>
    </xf>
    <xf numFmtId="0" fontId="73" fillId="32" borderId="2" xfId="0" applyNumberFormat="1" applyFont="1" applyFill="1" applyBorder="1" applyAlignment="1" applyProtection="1">
      <alignment horizontal="center" vertical="center" wrapText="1"/>
    </xf>
    <xf numFmtId="0" fontId="73" fillId="32" borderId="42" xfId="0" applyNumberFormat="1" applyFont="1" applyFill="1" applyBorder="1" applyAlignment="1" applyProtection="1">
      <alignment horizontal="center" vertical="center" wrapText="1"/>
    </xf>
    <xf numFmtId="0" fontId="73" fillId="32" borderId="36" xfId="0" applyNumberFormat="1" applyFont="1" applyFill="1" applyBorder="1" applyAlignment="1" applyProtection="1">
      <alignment horizontal="center" vertical="center" wrapText="1"/>
    </xf>
    <xf numFmtId="0" fontId="73" fillId="37" borderId="22" xfId="0" applyNumberFormat="1" applyFont="1" applyFill="1" applyBorder="1" applyAlignment="1" applyProtection="1">
      <alignment horizontal="center" vertical="center" wrapText="1"/>
    </xf>
    <xf numFmtId="0" fontId="56" fillId="0" borderId="0" xfId="2" applyFont="1" applyFill="1" applyAlignment="1" applyProtection="1">
      <alignment vertical="center" wrapText="1"/>
    </xf>
    <xf numFmtId="0" fontId="16" fillId="0" borderId="0" xfId="2" applyFont="1" applyFill="1" applyBorder="1" applyAlignment="1" applyProtection="1">
      <alignment vertical="center" wrapText="1"/>
    </xf>
    <xf numFmtId="168" fontId="44" fillId="0" borderId="0" xfId="3" applyFont="1" applyFill="1" applyAlignment="1" applyProtection="1">
      <alignment horizontal="center" wrapText="1"/>
    </xf>
    <xf numFmtId="0" fontId="63" fillId="33" borderId="34" xfId="0" applyFont="1" applyFill="1" applyBorder="1" applyAlignment="1" applyProtection="1">
      <alignment horizontal="center" vertical="center" textRotation="255" wrapText="1"/>
    </xf>
    <xf numFmtId="0" fontId="44" fillId="33" borderId="34" xfId="2" applyNumberFormat="1" applyFont="1" applyFill="1" applyBorder="1" applyAlignment="1" applyProtection="1">
      <alignment horizontal="center" vertical="center" wrapText="1"/>
    </xf>
    <xf numFmtId="0" fontId="44" fillId="33" borderId="2" xfId="2" applyNumberFormat="1" applyFont="1" applyFill="1" applyBorder="1" applyAlignment="1" applyProtection="1">
      <alignment horizontal="center" vertical="center" wrapText="1"/>
    </xf>
    <xf numFmtId="0" fontId="44" fillId="33" borderId="42" xfId="2" applyNumberFormat="1" applyFont="1" applyFill="1" applyBorder="1" applyAlignment="1" applyProtection="1">
      <alignment horizontal="center" vertical="center" wrapText="1"/>
    </xf>
    <xf numFmtId="0" fontId="44" fillId="33" borderId="36" xfId="2" applyNumberFormat="1" applyFont="1" applyFill="1" applyBorder="1" applyAlignment="1" applyProtection="1">
      <alignment horizontal="center" vertical="center" wrapText="1"/>
    </xf>
    <xf numFmtId="0" fontId="44" fillId="33" borderId="22" xfId="2" applyNumberFormat="1" applyFont="1" applyFill="1" applyBorder="1" applyAlignment="1" applyProtection="1">
      <alignment horizontal="center" wrapText="1"/>
    </xf>
    <xf numFmtId="0" fontId="56" fillId="0" borderId="0" xfId="2" applyFont="1" applyFill="1" applyAlignment="1" applyProtection="1">
      <alignment horizontal="center" wrapText="1"/>
    </xf>
    <xf numFmtId="0" fontId="62" fillId="37" borderId="2" xfId="356" applyFont="1" applyFill="1" applyBorder="1" applyAlignment="1" applyProtection="1">
      <alignment horizontal="center" vertical="center"/>
    </xf>
    <xf numFmtId="0" fontId="62" fillId="37" borderId="42" xfId="356" applyFont="1" applyFill="1" applyBorder="1" applyAlignment="1" applyProtection="1">
      <alignment horizontal="center" vertical="center"/>
    </xf>
    <xf numFmtId="0" fontId="62" fillId="37" borderId="36" xfId="356" applyFont="1" applyFill="1" applyBorder="1" applyAlignment="1" applyProtection="1">
      <alignment horizontal="center" vertical="center"/>
    </xf>
    <xf numFmtId="0" fontId="16" fillId="37" borderId="22" xfId="2" applyFont="1" applyFill="1" applyBorder="1" applyAlignment="1" applyProtection="1">
      <alignment horizontal="center" vertical="center" wrapText="1"/>
    </xf>
    <xf numFmtId="0" fontId="63" fillId="33" borderId="28" xfId="0" applyFont="1" applyFill="1" applyBorder="1" applyAlignment="1" applyProtection="1">
      <alignment horizontal="center" vertical="center" textRotation="255" wrapText="1"/>
    </xf>
    <xf numFmtId="0" fontId="44" fillId="33" borderId="28" xfId="2" applyNumberFormat="1" applyFont="1" applyFill="1" applyBorder="1" applyAlignment="1" applyProtection="1">
      <alignment horizontal="center" vertical="center" wrapText="1"/>
    </xf>
    <xf numFmtId="9" fontId="44" fillId="33" borderId="2" xfId="2" applyNumberFormat="1" applyFont="1" applyFill="1" applyBorder="1" applyAlignment="1" applyProtection="1">
      <alignment horizontal="center" vertical="center" wrapText="1"/>
    </xf>
    <xf numFmtId="9" fontId="44" fillId="33" borderId="42" xfId="2" applyNumberFormat="1" applyFont="1" applyFill="1" applyBorder="1" applyAlignment="1" applyProtection="1">
      <alignment horizontal="center" vertical="center" wrapText="1"/>
    </xf>
    <xf numFmtId="9" fontId="44" fillId="33" borderId="36" xfId="2" applyNumberFormat="1" applyFont="1" applyFill="1" applyBorder="1" applyAlignment="1" applyProtection="1">
      <alignment horizontal="center" vertical="center" wrapText="1"/>
    </xf>
    <xf numFmtId="9" fontId="44" fillId="33" borderId="22" xfId="2" applyNumberFormat="1" applyFont="1" applyFill="1" applyBorder="1" applyAlignment="1" applyProtection="1">
      <alignment horizontal="center" vertical="center" wrapText="1"/>
    </xf>
    <xf numFmtId="0" fontId="13" fillId="0" borderId="22" xfId="356" applyBorder="1" applyAlignment="1" applyProtection="1">
      <alignment horizontal="center" vertical="center"/>
    </xf>
    <xf numFmtId="0" fontId="13" fillId="0" borderId="22" xfId="356" applyBorder="1" applyAlignment="1" applyProtection="1">
      <alignment vertical="center"/>
    </xf>
    <xf numFmtId="168" fontId="44" fillId="0" borderId="22" xfId="3" applyFont="1" applyFill="1" applyBorder="1" applyAlignment="1" applyProtection="1">
      <alignment horizontal="center" vertical="center" wrapText="1"/>
    </xf>
    <xf numFmtId="2" fontId="44" fillId="0" borderId="22" xfId="3" applyNumberFormat="1" applyFont="1" applyFill="1" applyBorder="1" applyAlignment="1" applyProtection="1">
      <alignment horizontal="center" vertical="center" wrapText="1"/>
    </xf>
    <xf numFmtId="0" fontId="44" fillId="0" borderId="22" xfId="3" applyNumberFormat="1" applyFont="1" applyFill="1" applyBorder="1" applyAlignment="1" applyProtection="1">
      <alignment horizontal="center" vertical="center" wrapText="1"/>
    </xf>
    <xf numFmtId="172" fontId="44" fillId="0" borderId="22" xfId="3" applyNumberFormat="1" applyFont="1" applyFill="1" applyBorder="1" applyAlignment="1" applyProtection="1">
      <alignment vertical="center" wrapText="1"/>
    </xf>
    <xf numFmtId="168" fontId="44" fillId="0" borderId="19" xfId="3" applyFont="1" applyFill="1" applyBorder="1" applyAlignment="1" applyProtection="1">
      <alignment vertical="center" wrapText="1"/>
    </xf>
    <xf numFmtId="0" fontId="57" fillId="33" borderId="34" xfId="0" applyFont="1" applyFill="1" applyBorder="1" applyAlignment="1" applyProtection="1">
      <alignment horizontal="center" vertical="center" textRotation="255" wrapText="1"/>
    </xf>
    <xf numFmtId="0" fontId="56" fillId="31" borderId="34" xfId="2" applyNumberFormat="1" applyFont="1" applyFill="1" applyBorder="1" applyAlignment="1" applyProtection="1">
      <alignment horizontal="center" vertical="center" wrapText="1"/>
    </xf>
    <xf numFmtId="0" fontId="56" fillId="0" borderId="34" xfId="2" applyNumberFormat="1" applyFont="1" applyFill="1" applyBorder="1" applyAlignment="1" applyProtection="1">
      <alignment horizontal="center" vertical="center" wrapText="1"/>
    </xf>
    <xf numFmtId="4" fontId="44" fillId="0" borderId="34" xfId="2" applyNumberFormat="1" applyFont="1" applyFill="1" applyBorder="1" applyAlignment="1" applyProtection="1">
      <alignment horizontal="center" vertical="center" wrapText="1"/>
    </xf>
    <xf numFmtId="0" fontId="56" fillId="39" borderId="34" xfId="2" applyNumberFormat="1" applyFont="1" applyFill="1" applyBorder="1" applyAlignment="1" applyProtection="1">
      <alignment horizontal="center" vertical="center" wrapText="1"/>
    </xf>
    <xf numFmtId="9" fontId="56" fillId="0" borderId="34" xfId="2" applyNumberFormat="1" applyFont="1" applyFill="1" applyBorder="1" applyAlignment="1" applyProtection="1">
      <alignment horizontal="center" vertical="center" wrapText="1"/>
    </xf>
    <xf numFmtId="9" fontId="44" fillId="39" borderId="34" xfId="2" applyNumberFormat="1" applyFont="1" applyFill="1" applyBorder="1" applyAlignment="1" applyProtection="1">
      <alignment horizontal="center" vertical="center" wrapText="1"/>
    </xf>
    <xf numFmtId="0" fontId="44" fillId="0" borderId="34" xfId="3" applyNumberFormat="1" applyFont="1" applyFill="1" applyBorder="1" applyAlignment="1" applyProtection="1">
      <alignment horizontal="center" vertical="center" wrapText="1"/>
    </xf>
    <xf numFmtId="0" fontId="95" fillId="39" borderId="34" xfId="2" applyFont="1" applyFill="1" applyBorder="1" applyAlignment="1" applyProtection="1">
      <alignment horizontal="center" vertical="center" wrapText="1"/>
    </xf>
    <xf numFmtId="0" fontId="79" fillId="0" borderId="34" xfId="2" applyFont="1" applyFill="1" applyBorder="1" applyAlignment="1" applyProtection="1">
      <alignment horizontal="center" vertical="center" wrapText="1"/>
    </xf>
    <xf numFmtId="0" fontId="96" fillId="0" borderId="34" xfId="3" applyNumberFormat="1" applyFont="1" applyFill="1" applyBorder="1" applyAlignment="1" applyProtection="1">
      <alignment horizontal="center" vertical="center" wrapText="1"/>
    </xf>
    <xf numFmtId="4" fontId="14" fillId="36" borderId="34" xfId="2" applyNumberFormat="1" applyFont="1" applyFill="1" applyBorder="1" applyAlignment="1" applyProtection="1">
      <alignment horizontal="center" vertical="center" wrapText="1"/>
    </xf>
    <xf numFmtId="168" fontId="80" fillId="0" borderId="34" xfId="3" applyFont="1" applyFill="1" applyBorder="1" applyAlignment="1" applyProtection="1">
      <alignment horizontal="center" vertical="center" wrapText="1"/>
    </xf>
    <xf numFmtId="168" fontId="44" fillId="0" borderId="0" xfId="3" applyFont="1" applyFill="1" applyBorder="1" applyAlignment="1" applyProtection="1">
      <alignment vertical="center" wrapText="1"/>
    </xf>
    <xf numFmtId="0" fontId="44" fillId="0" borderId="34" xfId="3" applyNumberFormat="1" applyFont="1" applyFill="1" applyBorder="1" applyAlignment="1" applyProtection="1">
      <alignment horizontal="center" vertical="center" wrapText="1"/>
    </xf>
    <xf numFmtId="0" fontId="57" fillId="33" borderId="33" xfId="0" applyFont="1" applyFill="1" applyBorder="1" applyAlignment="1" applyProtection="1">
      <alignment horizontal="center" vertical="center" textRotation="255" wrapText="1"/>
    </xf>
    <xf numFmtId="0" fontId="56" fillId="31" borderId="33" xfId="2" applyNumberFormat="1" applyFont="1" applyFill="1" applyBorder="1" applyAlignment="1" applyProtection="1">
      <alignment horizontal="center" vertical="center" wrapText="1"/>
    </xf>
    <xf numFmtId="0" fontId="56" fillId="0" borderId="33" xfId="2" applyNumberFormat="1" applyFont="1" applyFill="1" applyBorder="1" applyAlignment="1" applyProtection="1">
      <alignment horizontal="center" vertical="center" wrapText="1"/>
    </xf>
    <xf numFmtId="4" fontId="44" fillId="0" borderId="33" xfId="2" applyNumberFormat="1" applyFont="1" applyFill="1" applyBorder="1" applyAlignment="1" applyProtection="1">
      <alignment horizontal="center" vertical="center" wrapText="1"/>
    </xf>
    <xf numFmtId="0" fontId="56" fillId="39" borderId="33" xfId="2" applyNumberFormat="1" applyFont="1" applyFill="1" applyBorder="1" applyAlignment="1" applyProtection="1">
      <alignment horizontal="center" vertical="center" wrapText="1"/>
    </xf>
    <xf numFmtId="9" fontId="56" fillId="0" borderId="33" xfId="2" applyNumberFormat="1" applyFont="1" applyFill="1" applyBorder="1" applyAlignment="1" applyProtection="1">
      <alignment horizontal="center" vertical="center" wrapText="1"/>
    </xf>
    <xf numFmtId="0" fontId="44" fillId="31" borderId="34" xfId="3" applyNumberFormat="1" applyFont="1" applyFill="1" applyBorder="1" applyAlignment="1" applyProtection="1">
      <alignment horizontal="center" vertical="center" wrapText="1"/>
    </xf>
    <xf numFmtId="9" fontId="44" fillId="39" borderId="34" xfId="2" applyNumberFormat="1" applyFont="1" applyFill="1" applyBorder="1" applyAlignment="1" applyProtection="1">
      <alignment horizontal="center" vertical="center" wrapText="1"/>
    </xf>
    <xf numFmtId="0" fontId="95" fillId="39" borderId="33" xfId="2" applyFont="1" applyFill="1" applyBorder="1" applyAlignment="1" applyProtection="1">
      <alignment horizontal="center" vertical="center" wrapText="1"/>
    </xf>
    <xf numFmtId="0" fontId="79" fillId="0" borderId="33" xfId="2" applyFont="1" applyFill="1" applyBorder="1" applyAlignment="1" applyProtection="1">
      <alignment horizontal="center" vertical="center" wrapText="1"/>
    </xf>
    <xf numFmtId="0" fontId="96" fillId="0" borderId="33" xfId="3" applyNumberFormat="1" applyFont="1" applyFill="1" applyBorder="1" applyAlignment="1" applyProtection="1">
      <alignment horizontal="center" vertical="center" wrapText="1"/>
    </xf>
    <xf numFmtId="4" fontId="14" fillId="36" borderId="33" xfId="2" applyNumberFormat="1" applyFont="1" applyFill="1" applyBorder="1" applyAlignment="1" applyProtection="1">
      <alignment horizontal="center" vertical="center" wrapText="1"/>
    </xf>
    <xf numFmtId="168" fontId="80" fillId="0" borderId="33" xfId="3" applyFont="1" applyFill="1" applyBorder="1" applyAlignment="1" applyProtection="1">
      <alignment horizontal="center" vertical="center" wrapText="1"/>
    </xf>
    <xf numFmtId="0" fontId="44" fillId="0" borderId="33" xfId="3" applyNumberFormat="1" applyFont="1" applyFill="1" applyBorder="1" applyAlignment="1" applyProtection="1">
      <alignment horizontal="center" vertical="center" wrapText="1"/>
    </xf>
    <xf numFmtId="0" fontId="57" fillId="33" borderId="28" xfId="0" applyFont="1" applyFill="1" applyBorder="1" applyAlignment="1" applyProtection="1">
      <alignment horizontal="center" vertical="center" textRotation="255" wrapText="1"/>
    </xf>
    <xf numFmtId="0" fontId="56" fillId="31" borderId="28" xfId="2" applyNumberFormat="1" applyFont="1" applyFill="1" applyBorder="1" applyAlignment="1" applyProtection="1">
      <alignment horizontal="center" vertical="center" wrapText="1"/>
    </xf>
    <xf numFmtId="0" fontId="56" fillId="0" borderId="28" xfId="2" applyNumberFormat="1" applyFont="1" applyFill="1" applyBorder="1" applyAlignment="1" applyProtection="1">
      <alignment horizontal="center" vertical="center" wrapText="1"/>
    </xf>
    <xf numFmtId="4" fontId="44" fillId="0" borderId="28" xfId="2" applyNumberFormat="1" applyFont="1" applyFill="1" applyBorder="1" applyAlignment="1" applyProtection="1">
      <alignment horizontal="center" vertical="center" wrapText="1"/>
    </xf>
    <xf numFmtId="0" fontId="56" fillId="39" borderId="28" xfId="2" applyNumberFormat="1" applyFont="1" applyFill="1" applyBorder="1" applyAlignment="1" applyProtection="1">
      <alignment horizontal="center" vertical="center" wrapText="1"/>
    </xf>
    <xf numFmtId="9" fontId="56" fillId="0" borderId="28" xfId="2" applyNumberFormat="1" applyFont="1" applyFill="1" applyBorder="1" applyAlignment="1" applyProtection="1">
      <alignment horizontal="center" vertical="center" wrapText="1"/>
    </xf>
    <xf numFmtId="9" fontId="44" fillId="39" borderId="28" xfId="2" applyNumberFormat="1" applyFont="1" applyFill="1" applyBorder="1" applyAlignment="1" applyProtection="1">
      <alignment horizontal="center" vertical="center" wrapText="1"/>
    </xf>
    <xf numFmtId="0" fontId="44" fillId="0" borderId="28" xfId="3" applyNumberFormat="1" applyFont="1" applyFill="1" applyBorder="1" applyAlignment="1" applyProtection="1">
      <alignment horizontal="center" vertical="center" wrapText="1"/>
    </xf>
    <xf numFmtId="0" fontId="95" fillId="39" borderId="28" xfId="2" applyFont="1" applyFill="1" applyBorder="1" applyAlignment="1" applyProtection="1">
      <alignment horizontal="center" vertical="center" wrapText="1"/>
    </xf>
    <xf numFmtId="0" fontId="79" fillId="0" borderId="28" xfId="2" applyFont="1" applyFill="1" applyBorder="1" applyAlignment="1" applyProtection="1">
      <alignment horizontal="center" vertical="center" wrapText="1"/>
    </xf>
    <xf numFmtId="0" fontId="96" fillId="0" borderId="28" xfId="3" applyNumberFormat="1" applyFont="1" applyFill="1" applyBorder="1" applyAlignment="1" applyProtection="1">
      <alignment horizontal="center" vertical="center" wrapText="1"/>
    </xf>
    <xf numFmtId="4" fontId="14" fillId="36" borderId="28" xfId="2" applyNumberFormat="1" applyFont="1" applyFill="1" applyBorder="1" applyAlignment="1" applyProtection="1">
      <alignment horizontal="center" vertical="center" wrapText="1"/>
    </xf>
    <xf numFmtId="0" fontId="56" fillId="0" borderId="79" xfId="2" applyNumberFormat="1" applyFont="1" applyFill="1" applyBorder="1" applyAlignment="1" applyProtection="1">
      <alignment horizontal="center" vertical="center" wrapText="1"/>
    </xf>
    <xf numFmtId="4" fontId="44" fillId="31" borderId="34" xfId="2" applyNumberFormat="1" applyFont="1" applyFill="1" applyBorder="1" applyAlignment="1" applyProtection="1">
      <alignment horizontal="center" vertical="center" wrapText="1"/>
    </xf>
    <xf numFmtId="9" fontId="56" fillId="31" borderId="34" xfId="2" applyNumberFormat="1" applyFont="1" applyFill="1" applyBorder="1" applyAlignment="1" applyProtection="1">
      <alignment horizontal="center" vertical="center" wrapText="1"/>
    </xf>
    <xf numFmtId="0" fontId="96" fillId="28" borderId="34" xfId="3" applyNumberFormat="1" applyFont="1" applyFill="1" applyBorder="1" applyAlignment="1" applyProtection="1">
      <alignment horizontal="center" vertical="center" wrapText="1"/>
    </xf>
    <xf numFmtId="4" fontId="44" fillId="31" borderId="33" xfId="2" applyNumberFormat="1" applyFont="1" applyFill="1" applyBorder="1" applyAlignment="1" applyProtection="1">
      <alignment horizontal="center" vertical="center" wrapText="1"/>
    </xf>
    <xf numFmtId="9" fontId="56" fillId="31" borderId="33" xfId="2" applyNumberFormat="1" applyFont="1" applyFill="1" applyBorder="1" applyAlignment="1" applyProtection="1">
      <alignment horizontal="center" vertical="center" wrapText="1"/>
    </xf>
    <xf numFmtId="0" fontId="44" fillId="31" borderId="34" xfId="3" applyNumberFormat="1" applyFont="1" applyFill="1" applyBorder="1" applyAlignment="1" applyProtection="1">
      <alignment horizontal="center" vertical="center" wrapText="1"/>
    </xf>
    <xf numFmtId="0" fontId="96" fillId="28" borderId="33" xfId="3" applyNumberFormat="1" applyFont="1" applyFill="1" applyBorder="1" applyAlignment="1" applyProtection="1">
      <alignment horizontal="center" vertical="center" wrapText="1"/>
    </xf>
    <xf numFmtId="4" fontId="44" fillId="31" borderId="28" xfId="2" applyNumberFormat="1" applyFont="1" applyFill="1" applyBorder="1" applyAlignment="1" applyProtection="1">
      <alignment horizontal="center" vertical="center" wrapText="1"/>
    </xf>
    <xf numFmtId="9" fontId="56" fillId="31" borderId="28" xfId="2" applyNumberFormat="1" applyFont="1" applyFill="1" applyBorder="1" applyAlignment="1" applyProtection="1">
      <alignment horizontal="center" vertical="center" wrapText="1"/>
    </xf>
    <xf numFmtId="0" fontId="44" fillId="31" borderId="28" xfId="3" applyNumberFormat="1" applyFont="1" applyFill="1" applyBorder="1" applyAlignment="1" applyProtection="1">
      <alignment horizontal="center" vertical="center" wrapText="1"/>
    </xf>
    <xf numFmtId="0" fontId="96" fillId="28" borderId="28" xfId="3" applyNumberFormat="1" applyFont="1" applyFill="1" applyBorder="1" applyAlignment="1" applyProtection="1">
      <alignment horizontal="center" vertical="center" wrapText="1"/>
    </xf>
    <xf numFmtId="0" fontId="84" fillId="0" borderId="22" xfId="356" applyFont="1" applyBorder="1" applyAlignment="1" applyProtection="1">
      <alignment vertical="center"/>
    </xf>
    <xf numFmtId="2" fontId="81" fillId="0" borderId="22" xfId="3" applyNumberFormat="1" applyFont="1" applyFill="1" applyBorder="1" applyAlignment="1" applyProtection="1">
      <alignment horizontal="center" vertical="center" wrapText="1"/>
    </xf>
    <xf numFmtId="168" fontId="81" fillId="0" borderId="0" xfId="3" applyFont="1" applyFill="1" applyAlignment="1" applyProtection="1">
      <alignment horizontal="center" wrapText="1"/>
    </xf>
    <xf numFmtId="168" fontId="81" fillId="0" borderId="22" xfId="3" applyFont="1" applyFill="1" applyBorder="1" applyAlignment="1" applyProtection="1">
      <alignment horizontal="center" vertical="center" wrapText="1"/>
    </xf>
    <xf numFmtId="0" fontId="81" fillId="0" borderId="22" xfId="3" applyNumberFormat="1" applyFont="1" applyFill="1" applyBorder="1" applyAlignment="1" applyProtection="1">
      <alignment horizontal="center" vertical="center" wrapText="1"/>
    </xf>
    <xf numFmtId="0" fontId="44" fillId="39" borderId="34" xfId="2" applyFont="1" applyFill="1" applyBorder="1" applyAlignment="1" applyProtection="1">
      <alignment horizontal="center" vertical="center" wrapText="1"/>
    </xf>
    <xf numFmtId="0" fontId="56" fillId="28" borderId="34" xfId="2" applyFont="1" applyFill="1" applyBorder="1" applyAlignment="1" applyProtection="1">
      <alignment horizontal="center" vertical="center" wrapText="1"/>
    </xf>
    <xf numFmtId="0" fontId="17" fillId="28" borderId="34" xfId="3" applyNumberFormat="1" applyFont="1" applyFill="1" applyBorder="1" applyAlignment="1" applyProtection="1">
      <alignment horizontal="center" vertical="center" wrapText="1"/>
    </xf>
    <xf numFmtId="0" fontId="44" fillId="39" borderId="33" xfId="2" applyFont="1" applyFill="1" applyBorder="1" applyAlignment="1" applyProtection="1">
      <alignment horizontal="center" vertical="center" wrapText="1"/>
    </xf>
    <xf numFmtId="0" fontId="56" fillId="28" borderId="33" xfId="2" applyFont="1" applyFill="1" applyBorder="1" applyAlignment="1" applyProtection="1">
      <alignment horizontal="center" vertical="center" wrapText="1"/>
    </xf>
    <xf numFmtId="0" fontId="17" fillId="28" borderId="33" xfId="3" applyNumberFormat="1" applyFont="1" applyFill="1" applyBorder="1" applyAlignment="1" applyProtection="1">
      <alignment horizontal="center" vertical="center" wrapText="1"/>
    </xf>
    <xf numFmtId="0" fontId="44" fillId="39" borderId="28" xfId="2" applyFont="1" applyFill="1" applyBorder="1" applyAlignment="1" applyProtection="1">
      <alignment horizontal="center" vertical="center" wrapText="1"/>
    </xf>
    <xf numFmtId="0" fontId="56" fillId="28" borderId="28" xfId="2" applyFont="1" applyFill="1" applyBorder="1" applyAlignment="1" applyProtection="1">
      <alignment horizontal="center" vertical="center" wrapText="1"/>
    </xf>
    <xf numFmtId="0" fontId="17" fillId="28" borderId="28" xfId="3" applyNumberFormat="1" applyFont="1" applyFill="1" applyBorder="1" applyAlignment="1" applyProtection="1">
      <alignment horizontal="center" vertical="center" wrapText="1"/>
    </xf>
    <xf numFmtId="0" fontId="56" fillId="0" borderId="34" xfId="2" applyFont="1" applyFill="1" applyBorder="1" applyAlignment="1" applyProtection="1">
      <alignment horizontal="center" vertical="center" wrapText="1"/>
    </xf>
    <xf numFmtId="0" fontId="17" fillId="0" borderId="34" xfId="3" applyNumberFormat="1" applyFont="1" applyFill="1" applyBorder="1" applyAlignment="1" applyProtection="1">
      <alignment horizontal="center" vertical="center" wrapText="1"/>
    </xf>
    <xf numFmtId="0" fontId="56" fillId="0" borderId="33" xfId="2" applyFont="1" applyFill="1" applyBorder="1" applyAlignment="1" applyProtection="1">
      <alignment horizontal="center" vertical="center" wrapText="1"/>
    </xf>
    <xf numFmtId="0" fontId="17" fillId="0" borderId="33" xfId="3" applyNumberFormat="1" applyFont="1" applyFill="1" applyBorder="1" applyAlignment="1" applyProtection="1">
      <alignment horizontal="center" vertical="center" wrapText="1"/>
    </xf>
    <xf numFmtId="0" fontId="56" fillId="0" borderId="28" xfId="2" applyFont="1" applyFill="1" applyBorder="1" applyAlignment="1" applyProtection="1">
      <alignment horizontal="center" vertical="center" wrapText="1"/>
    </xf>
    <xf numFmtId="0" fontId="17" fillId="0" borderId="28" xfId="3" applyNumberFormat="1" applyFont="1" applyFill="1" applyBorder="1" applyAlignment="1" applyProtection="1">
      <alignment horizontal="center" vertical="center" wrapText="1"/>
    </xf>
    <xf numFmtId="168" fontId="80" fillId="0" borderId="28" xfId="3" applyFont="1" applyFill="1" applyBorder="1" applyAlignment="1" applyProtection="1">
      <alignment horizontal="center" vertical="center" wrapText="1"/>
    </xf>
    <xf numFmtId="0" fontId="74" fillId="0" borderId="35" xfId="1" applyNumberFormat="1" applyFont="1" applyFill="1" applyBorder="1" applyAlignment="1" applyProtection="1">
      <alignment horizontal="center" vertical="center" wrapText="1"/>
    </xf>
    <xf numFmtId="0" fontId="74" fillId="0" borderId="37" xfId="1" applyNumberFormat="1" applyFont="1" applyFill="1" applyBorder="1" applyAlignment="1" applyProtection="1">
      <alignment horizontal="center" vertical="center" wrapText="1"/>
    </xf>
    <xf numFmtId="0" fontId="74" fillId="0" borderId="38" xfId="1" applyNumberFormat="1" applyFont="1" applyFill="1" applyBorder="1" applyAlignment="1" applyProtection="1">
      <alignment horizontal="center" vertical="center" wrapText="1"/>
    </xf>
    <xf numFmtId="0" fontId="14" fillId="34" borderId="2" xfId="0" applyFont="1" applyFill="1" applyBorder="1" applyAlignment="1" applyProtection="1">
      <alignment horizontal="center" vertical="center"/>
    </xf>
    <xf numFmtId="0" fontId="14" fillId="34" borderId="36" xfId="0" applyFont="1" applyFill="1" applyBorder="1" applyAlignment="1" applyProtection="1">
      <alignment horizontal="center" vertical="center"/>
    </xf>
    <xf numFmtId="0" fontId="14" fillId="34" borderId="22" xfId="0" applyFont="1" applyFill="1" applyBorder="1" applyAlignment="1" applyProtection="1">
      <alignment horizontal="center" vertical="center"/>
    </xf>
    <xf numFmtId="4" fontId="14" fillId="0" borderId="22" xfId="2" applyNumberFormat="1" applyFont="1" applyFill="1" applyBorder="1" applyAlignment="1" applyProtection="1">
      <alignment horizontal="center" vertical="center" wrapText="1"/>
    </xf>
    <xf numFmtId="0" fontId="74" fillId="0" borderId="34" xfId="1" applyNumberFormat="1" applyFont="1" applyFill="1" applyBorder="1" applyAlignment="1" applyProtection="1">
      <alignment horizontal="center" vertical="center" wrapText="1"/>
    </xf>
    <xf numFmtId="0" fontId="74" fillId="0" borderId="20" xfId="1" applyNumberFormat="1" applyFont="1" applyFill="1" applyBorder="1" applyAlignment="1" applyProtection="1">
      <alignment horizontal="center" vertical="center" wrapText="1"/>
    </xf>
    <xf numFmtId="0" fontId="74" fillId="0" borderId="21" xfId="1" applyNumberFormat="1" applyFont="1" applyFill="1" applyBorder="1" applyAlignment="1" applyProtection="1">
      <alignment horizontal="center" vertical="center" wrapText="1"/>
    </xf>
    <xf numFmtId="0" fontId="74" fillId="0" borderId="17" xfId="1" applyNumberFormat="1" applyFont="1" applyFill="1" applyBorder="1" applyAlignment="1" applyProtection="1">
      <alignment horizontal="center" vertical="center" wrapText="1"/>
    </xf>
    <xf numFmtId="190" fontId="14" fillId="0" borderId="22" xfId="2" applyNumberFormat="1" applyFont="1" applyFill="1" applyBorder="1" applyAlignment="1" applyProtection="1">
      <alignment horizontal="center" vertical="center" wrapText="1"/>
    </xf>
    <xf numFmtId="0" fontId="74" fillId="0" borderId="28" xfId="1" applyNumberFormat="1" applyFont="1" applyFill="1" applyBorder="1" applyAlignment="1" applyProtection="1">
      <alignment horizontal="center" vertical="center" wrapText="1"/>
    </xf>
    <xf numFmtId="17" fontId="56" fillId="0" borderId="34" xfId="2" applyNumberFormat="1" applyFont="1" applyFill="1" applyBorder="1" applyAlignment="1" applyProtection="1">
      <alignment horizontal="center" vertical="center" wrapText="1"/>
    </xf>
    <xf numFmtId="0" fontId="70" fillId="31" borderId="18" xfId="2" applyFont="1" applyFill="1" applyBorder="1" applyAlignment="1" applyProtection="1">
      <alignment horizontal="center" vertical="center" wrapText="1"/>
    </xf>
    <xf numFmtId="0" fontId="70" fillId="31" borderId="0" xfId="2" applyFont="1" applyFill="1" applyBorder="1" applyAlignment="1" applyProtection="1">
      <alignment horizontal="center" vertical="center" wrapText="1"/>
    </xf>
    <xf numFmtId="0" fontId="14" fillId="30" borderId="0" xfId="2" applyFont="1" applyFill="1" applyBorder="1" applyAlignment="1" applyProtection="1">
      <alignment horizontal="center" vertical="center" wrapText="1"/>
    </xf>
    <xf numFmtId="0" fontId="16" fillId="30" borderId="0" xfId="2" applyFont="1" applyFill="1" applyAlignment="1" applyProtection="1">
      <alignment vertical="center" wrapText="1"/>
    </xf>
    <xf numFmtId="0" fontId="17" fillId="0" borderId="22" xfId="2" applyFont="1" applyFill="1" applyBorder="1" applyAlignment="1" applyProtection="1">
      <alignment horizontal="center" vertical="center" wrapText="1"/>
    </xf>
    <xf numFmtId="0" fontId="17" fillId="33" borderId="22" xfId="2" applyNumberFormat="1" applyFont="1" applyFill="1" applyBorder="1" applyAlignment="1" applyProtection="1">
      <alignment horizontal="center" vertical="center" wrapText="1"/>
    </xf>
    <xf numFmtId="0" fontId="17" fillId="38" borderId="22" xfId="2" applyNumberFormat="1" applyFont="1" applyFill="1" applyBorder="1" applyAlignment="1" applyProtection="1">
      <alignment horizontal="center" vertical="center" wrapText="1"/>
    </xf>
    <xf numFmtId="0" fontId="42" fillId="33" borderId="22" xfId="2" applyFont="1" applyFill="1" applyBorder="1" applyAlignment="1" applyProtection="1">
      <alignment horizontal="center" vertical="center" wrapText="1"/>
    </xf>
    <xf numFmtId="0" fontId="68" fillId="33" borderId="2" xfId="2" applyFont="1" applyFill="1" applyBorder="1" applyAlignment="1" applyProtection="1">
      <alignment horizontal="center" vertical="center" wrapText="1"/>
    </xf>
    <xf numFmtId="0" fontId="68" fillId="33" borderId="36" xfId="2" applyFont="1" applyFill="1" applyBorder="1" applyAlignment="1" applyProtection="1">
      <alignment horizontal="center" vertical="center" wrapText="1"/>
    </xf>
    <xf numFmtId="9" fontId="56" fillId="37" borderId="22" xfId="2" applyNumberFormat="1" applyFont="1" applyFill="1" applyBorder="1" applyAlignment="1" applyProtection="1">
      <alignment horizontal="center" vertical="center" wrapText="1"/>
    </xf>
    <xf numFmtId="0" fontId="42" fillId="38" borderId="22" xfId="0" applyFont="1" applyFill="1" applyBorder="1" applyAlignment="1" applyProtection="1">
      <alignment horizontal="center" vertical="center" wrapText="1"/>
    </xf>
    <xf numFmtId="0" fontId="68" fillId="38" borderId="2" xfId="2" applyFont="1" applyFill="1" applyBorder="1" applyAlignment="1" applyProtection="1">
      <alignment horizontal="center" vertical="center" wrapText="1"/>
    </xf>
    <xf numFmtId="0" fontId="68" fillId="38" borderId="36" xfId="2" applyFont="1" applyFill="1" applyBorder="1" applyAlignment="1" applyProtection="1">
      <alignment horizontal="center" vertical="center" wrapText="1"/>
    </xf>
    <xf numFmtId="191" fontId="56" fillId="37" borderId="22" xfId="2" applyNumberFormat="1" applyFont="1" applyFill="1" applyBorder="1" applyAlignment="1" applyProtection="1">
      <alignment horizontal="center" vertical="center" wrapText="1"/>
    </xf>
    <xf numFmtId="0" fontId="42" fillId="38" borderId="22" xfId="2" applyFont="1" applyFill="1" applyBorder="1" applyAlignment="1" applyProtection="1">
      <alignment horizontal="center" vertical="center" wrapText="1"/>
    </xf>
    <xf numFmtId="1" fontId="56" fillId="0" borderId="22" xfId="0" applyNumberFormat="1" applyFont="1" applyFill="1" applyBorder="1" applyAlignment="1" applyProtection="1">
      <alignment horizontal="center" vertical="center" wrapText="1"/>
    </xf>
    <xf numFmtId="4" fontId="56" fillId="0" borderId="22" xfId="3" applyNumberFormat="1" applyFont="1" applyFill="1" applyBorder="1" applyAlignment="1" applyProtection="1">
      <alignment horizontal="left" vertical="center" wrapText="1"/>
    </xf>
    <xf numFmtId="4" fontId="13" fillId="37" borderId="22" xfId="3" applyNumberFormat="1" applyFont="1" applyFill="1" applyBorder="1" applyAlignment="1" applyProtection="1">
      <alignment horizontal="center" vertical="center" wrapText="1"/>
    </xf>
    <xf numFmtId="4" fontId="13" fillId="0" borderId="22" xfId="2" applyNumberFormat="1" applyFont="1" applyFill="1" applyBorder="1" applyAlignment="1" applyProtection="1">
      <alignment horizontal="center" vertical="center"/>
    </xf>
    <xf numFmtId="4" fontId="44" fillId="32" borderId="22" xfId="2" applyNumberFormat="1" applyFont="1" applyFill="1" applyBorder="1" applyAlignment="1" applyProtection="1">
      <alignment horizontal="center" vertical="center"/>
    </xf>
    <xf numFmtId="4" fontId="13" fillId="37" borderId="22" xfId="2" applyNumberFormat="1" applyFont="1" applyFill="1" applyBorder="1" applyAlignment="1" applyProtection="1">
      <alignment horizontal="center" vertical="center"/>
    </xf>
    <xf numFmtId="14" fontId="17" fillId="0" borderId="0" xfId="3" applyNumberFormat="1" applyFont="1" applyFill="1" applyAlignment="1" applyProtection="1">
      <alignment vertical="center" wrapText="1"/>
    </xf>
    <xf numFmtId="0" fontId="16" fillId="0" borderId="0" xfId="2" applyFont="1" applyFill="1" applyAlignment="1" applyProtection="1">
      <alignment horizontal="left" vertical="center"/>
    </xf>
    <xf numFmtId="0" fontId="50" fillId="0" borderId="1" xfId="344" applyFont="1" applyFill="1" applyBorder="1" applyAlignment="1" applyProtection="1">
      <alignment horizontal="center" vertical="center" wrapText="1"/>
    </xf>
    <xf numFmtId="0" fontId="50" fillId="0" borderId="79" xfId="344" applyFont="1" applyFill="1" applyBorder="1" applyAlignment="1" applyProtection="1">
      <alignment horizontal="center" vertical="center" wrapText="1"/>
    </xf>
    <xf numFmtId="0" fontId="94" fillId="37" borderId="28" xfId="0" applyFont="1" applyFill="1" applyBorder="1" applyAlignment="1" applyProtection="1">
      <alignment horizontal="center" vertical="center" wrapText="1"/>
    </xf>
    <xf numFmtId="0" fontId="91" fillId="37" borderId="95" xfId="349" applyFont="1" applyFill="1" applyBorder="1" applyAlignment="1" applyProtection="1">
      <alignment horizontal="justify" vertical="center" wrapText="1"/>
    </xf>
    <xf numFmtId="0" fontId="94" fillId="37" borderId="79" xfId="0" applyFont="1" applyFill="1" applyBorder="1" applyAlignment="1" applyProtection="1">
      <alignment horizontal="center" vertical="center" wrapText="1"/>
    </xf>
    <xf numFmtId="0" fontId="49" fillId="37" borderId="90" xfId="349" applyFont="1" applyFill="1" applyBorder="1" applyAlignment="1" applyProtection="1">
      <alignment horizontal="justify" vertical="center" wrapText="1"/>
    </xf>
    <xf numFmtId="0" fontId="91" fillId="37" borderId="90" xfId="349" applyFont="1" applyFill="1" applyBorder="1" applyAlignment="1" applyProtection="1">
      <alignment horizontal="justify" vertical="center" wrapText="1"/>
    </xf>
    <xf numFmtId="0" fontId="94" fillId="37" borderId="92" xfId="0" applyFont="1" applyFill="1" applyBorder="1" applyAlignment="1" applyProtection="1">
      <alignment horizontal="center" vertical="center" wrapText="1"/>
    </xf>
    <xf numFmtId="0" fontId="49" fillId="37" borderId="93" xfId="349" applyFont="1" applyFill="1" applyBorder="1" applyAlignment="1" applyProtection="1">
      <alignment horizontal="justify" vertical="center" wrapText="1"/>
    </xf>
    <xf numFmtId="0" fontId="62" fillId="37" borderId="28" xfId="0" applyFont="1" applyFill="1" applyBorder="1" applyAlignment="1" applyProtection="1">
      <alignment horizontal="center" vertical="center" wrapText="1"/>
    </xf>
    <xf numFmtId="14" fontId="55" fillId="37" borderId="71" xfId="349" applyNumberFormat="1" applyFont="1" applyFill="1" applyBorder="1" applyAlignment="1" applyProtection="1">
      <alignment horizontal="center" vertical="center" wrapText="1"/>
    </xf>
    <xf numFmtId="164" fontId="55" fillId="37" borderId="71" xfId="349" applyNumberFormat="1" applyFont="1" applyFill="1" applyBorder="1" applyAlignment="1" applyProtection="1">
      <alignment horizontal="center" vertical="center" wrapText="1"/>
    </xf>
    <xf numFmtId="2" fontId="55" fillId="37" borderId="71" xfId="349" applyNumberFormat="1" applyFont="1" applyFill="1" applyBorder="1" applyAlignment="1" applyProtection="1">
      <alignment horizontal="center" vertical="center" wrapText="1"/>
    </xf>
    <xf numFmtId="0" fontId="55" fillId="37" borderId="22" xfId="426" applyNumberFormat="1" applyFont="1" applyFill="1" applyBorder="1" applyAlignment="1" applyProtection="1">
      <alignment horizontal="center" vertical="center" wrapText="1"/>
    </xf>
    <xf numFmtId="0" fontId="55" fillId="37" borderId="79" xfId="426" applyNumberFormat="1" applyFont="1" applyFill="1" applyBorder="1" applyAlignment="1" applyProtection="1">
      <alignment horizontal="center" vertical="center" wrapText="1"/>
    </xf>
    <xf numFmtId="0" fontId="55" fillId="37" borderId="83" xfId="349" applyFont="1" applyFill="1" applyBorder="1" applyAlignment="1" applyProtection="1">
      <alignment horizontal="center" vertical="center" wrapText="1"/>
    </xf>
    <xf numFmtId="0" fontId="55" fillId="37" borderId="85" xfId="349" applyFont="1" applyFill="1" applyBorder="1" applyAlignment="1" applyProtection="1">
      <alignment horizontal="center" vertical="center" wrapText="1"/>
    </xf>
    <xf numFmtId="0" fontId="55" fillId="37" borderId="36" xfId="349" applyFont="1" applyFill="1" applyBorder="1" applyAlignment="1" applyProtection="1">
      <alignment horizontal="center" vertical="center" wrapText="1"/>
    </xf>
  </cellXfs>
  <cellStyles count="435">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5"/>
    <cellStyle name="Cálculo 2" xfId="232"/>
    <cellStyle name="Cálculo 2 2" xfId="396"/>
    <cellStyle name="Cálculo 3" xfId="233"/>
    <cellStyle name="Cálculo 3 2" xfId="397"/>
    <cellStyle name="Cálculo 4" xfId="234"/>
    <cellStyle name="Cálculo 4 2" xfId="398"/>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399"/>
    <cellStyle name="Entrada 3" xfId="263"/>
    <cellStyle name="Entrada 3 2" xfId="400"/>
    <cellStyle name="Entrada 4" xfId="264"/>
    <cellStyle name="Entrada 4 2" xfId="401"/>
    <cellStyle name="Estilo 1" xfId="265"/>
    <cellStyle name="Estilo 1 2" xfId="402"/>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59"/>
    <cellStyle name="Incorrecto 2" xfId="273"/>
    <cellStyle name="Incorrecto 3" xfId="274"/>
    <cellStyle name="Incorrecto 4" xfId="275"/>
    <cellStyle name="Input" xfId="276"/>
    <cellStyle name="Input 2" xfId="403"/>
    <cellStyle name="Linked Cell" xfId="277"/>
    <cellStyle name="Millares" xfId="1" builtinId="3"/>
    <cellStyle name="Millares [0]" xfId="426" builtinId="6"/>
    <cellStyle name="Millares 10" xfId="7"/>
    <cellStyle name="Millares 10 2" xfId="8"/>
    <cellStyle name="Millares 10 2 2" xfId="362"/>
    <cellStyle name="Millares 10 3" xfId="9"/>
    <cellStyle name="Millares 10 3 2" xfId="363"/>
    <cellStyle name="Millares 10 4" xfId="361"/>
    <cellStyle name="Millares 11" xfId="10"/>
    <cellStyle name="Millares 11 2" xfId="11"/>
    <cellStyle name="Millares 11 2 2" xfId="365"/>
    <cellStyle name="Millares 11 3" xfId="12"/>
    <cellStyle name="Millares 11 3 2" xfId="366"/>
    <cellStyle name="Millares 11 4" xfId="364"/>
    <cellStyle name="Millares 12" xfId="13"/>
    <cellStyle name="Millares 12 2" xfId="14"/>
    <cellStyle name="Millares 13" xfId="354"/>
    <cellStyle name="Millares 13 2" xfId="423"/>
    <cellStyle name="Millares 2" xfId="15"/>
    <cellStyle name="Millares 2 10" xfId="16"/>
    <cellStyle name="Millares 2 10 2" xfId="17"/>
    <cellStyle name="Millares 2 10 3" xfId="18"/>
    <cellStyle name="Millares 2 11" xfId="19"/>
    <cellStyle name="Millares 2 11 2" xfId="20"/>
    <cellStyle name="Millares 2 11 2 2" xfId="369"/>
    <cellStyle name="Millares 2 11 3" xfId="368"/>
    <cellStyle name="Millares 2 12" xfId="21"/>
    <cellStyle name="Millares 2 12 2" xfId="22"/>
    <cellStyle name="Millares 2 12 2 2" xfId="371"/>
    <cellStyle name="Millares 2 12 3" xfId="370"/>
    <cellStyle name="Millares 2 13" xfId="23"/>
    <cellStyle name="Millares 2 13 2" xfId="24"/>
    <cellStyle name="Millares 2 13 2 2" xfId="373"/>
    <cellStyle name="Millares 2 13 3" xfId="372"/>
    <cellStyle name="Millares 2 14" xfId="25"/>
    <cellStyle name="Millares 2 14 2" xfId="26"/>
    <cellStyle name="Millares 2 14 2 2" xfId="375"/>
    <cellStyle name="Millares 2 14 3" xfId="374"/>
    <cellStyle name="Millares 2 15" xfId="27"/>
    <cellStyle name="Millares 2 15 2" xfId="28"/>
    <cellStyle name="Millares 2 15 2 2" xfId="377"/>
    <cellStyle name="Millares 2 15 3" xfId="376"/>
    <cellStyle name="Millares 2 16" xfId="367"/>
    <cellStyle name="Millares 2 2" xfId="29"/>
    <cellStyle name="Millares 2 2 2" xfId="30"/>
    <cellStyle name="Millares 2 2 2 2" xfId="31"/>
    <cellStyle name="Millares 2 2 2 3" xfId="32"/>
    <cellStyle name="Millares 2 2 2 4" xfId="378"/>
    <cellStyle name="Millares 2 2 3" xfId="33"/>
    <cellStyle name="Millares 2 2 3 2" xfId="379"/>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1"/>
    <cellStyle name="Millares 2 6 3" xfId="48"/>
    <cellStyle name="Millares 2 6 3 2" xfId="382"/>
    <cellStyle name="Millares 2 6 4" xfId="380"/>
    <cellStyle name="Millares 2 7" xfId="49"/>
    <cellStyle name="Millares 2 8" xfId="50"/>
    <cellStyle name="Millares 2 9" xfId="51"/>
    <cellStyle name="Millares 2 9 2" xfId="52"/>
    <cellStyle name="Millares 2 9 3" xfId="53"/>
    <cellStyle name="Millares 2 9 3 2" xfId="384"/>
    <cellStyle name="Millares 2 9 4" xfId="383"/>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6"/>
    <cellStyle name="Millares 4 3" xfId="71"/>
    <cellStyle name="Millares 4 3 2" xfId="387"/>
    <cellStyle name="Millares 4 4" xfId="385"/>
    <cellStyle name="Millares 5" xfId="72"/>
    <cellStyle name="Millares 5 2" xfId="73"/>
    <cellStyle name="Millares 5 3" xfId="74"/>
    <cellStyle name="Millares 6" xfId="75"/>
    <cellStyle name="Millares 6 2" xfId="76"/>
    <cellStyle name="Millares 6 2 2" xfId="389"/>
    <cellStyle name="Millares 6 3" xfId="77"/>
    <cellStyle name="Millares 6 3 2" xfId="390"/>
    <cellStyle name="Millares 6 4" xfId="388"/>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2"/>
    <cellStyle name="Millares 9 3" xfId="88"/>
    <cellStyle name="Millares 9 3 2" xfId="393"/>
    <cellStyle name="Millares 9 4" xfId="391"/>
    <cellStyle name="Millares_Formato Evaluacion LP No. 41 Biblioteca Belen" xfId="3"/>
    <cellStyle name="Moneda [0]" xfId="432" builtinId="7"/>
    <cellStyle name="Moneda [0] 10" xfId="280"/>
    <cellStyle name="Moneda [0] 11" xfId="281"/>
    <cellStyle name="Moneda [0] 14" xfId="282"/>
    <cellStyle name="Moneda [0] 2" xfId="283"/>
    <cellStyle name="Moneda [0] 3" xfId="284"/>
    <cellStyle name="Moneda [0] 6" xfId="431"/>
    <cellStyle name="Moneda 11" xfId="428"/>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4"/>
    <cellStyle name="Moneda 6" xfId="100"/>
    <cellStyle name="Moneda 6 2" xfId="101"/>
    <cellStyle name="Moneda 6 3" xfId="102"/>
    <cellStyle name="Moneda 7" xfId="103"/>
    <cellStyle name="Moneda 9" xfId="433"/>
    <cellStyle name="Moneda 9 2" xfId="430"/>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2"/>
    <cellStyle name="Normal 12 2 3" xfId="419"/>
    <cellStyle name="Normal 12 3" xfId="352"/>
    <cellStyle name="Normal 12 3 2" xfId="421"/>
    <cellStyle name="Normal 12 4" xfId="415"/>
    <cellStyle name="Normal 13" xfId="345"/>
    <cellStyle name="Normal 14" xfId="346"/>
    <cellStyle name="Normal 14 2" xfId="349"/>
    <cellStyle name="Normal 14 2 2" xfId="418"/>
    <cellStyle name="Normal 14 2 3" xfId="425"/>
    <cellStyle name="Normal 14 3" xfId="416"/>
    <cellStyle name="Normal 15" xfId="351"/>
    <cellStyle name="Normal 15 2" xfId="358"/>
    <cellStyle name="Normal 15 2 2" xfId="424"/>
    <cellStyle name="Normal 15 3" xfId="420"/>
    <cellStyle name="Normal 18" xfId="427"/>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7"/>
    <cellStyle name="Normal 7" xfId="296"/>
    <cellStyle name="Normal 78" xfId="342"/>
    <cellStyle name="Normal 8" xfId="297"/>
    <cellStyle name="Normal 9" xfId="298"/>
    <cellStyle name="Normal_CONSOLIDADO  EVALUACIÓN LP 53 OBRA ADECUACIÓN Y MANTENIMIENTO DEL TEATRO LIDO" xfId="2"/>
    <cellStyle name="Normal_Hoja1" xfId="434"/>
    <cellStyle name="Notas 2" xfId="299"/>
    <cellStyle name="Notas 2 2" xfId="404"/>
    <cellStyle name="Notas 3" xfId="300"/>
    <cellStyle name="Notas 3 2" xfId="405"/>
    <cellStyle name="Notas 4" xfId="301"/>
    <cellStyle name="Notas 4 2" xfId="406"/>
    <cellStyle name="Note" xfId="302"/>
    <cellStyle name="Note 2" xfId="407"/>
    <cellStyle name="Output" xfId="303"/>
    <cellStyle name="Output 2" xfId="408"/>
    <cellStyle name="Porcentaje" xfId="357" builtinId="5"/>
    <cellStyle name="Porcentaje 2" xfId="343"/>
    <cellStyle name="Porcentaje 6" xfId="429"/>
    <cellStyle name="Porcentual 2" xfId="140"/>
    <cellStyle name="Porcentual 2 2" xfId="141"/>
    <cellStyle name="Porcentual 2 2 2" xfId="142"/>
    <cellStyle name="Porcentual 2 2 2 2" xfId="143"/>
    <cellStyle name="Porcentual 2 2 2 3" xfId="360"/>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09"/>
    <cellStyle name="Salida 3" xfId="312"/>
    <cellStyle name="Salida 3 2" xfId="410"/>
    <cellStyle name="Salida 4" xfId="313"/>
    <cellStyle name="Salida 4 2" xfId="411"/>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2"/>
    <cellStyle name="Total 3" xfId="336"/>
    <cellStyle name="Total 3 2" xfId="413"/>
    <cellStyle name="Total 4" xfId="337"/>
    <cellStyle name="Total 4 2" xfId="414"/>
    <cellStyle name="Viñeta" xfId="338"/>
    <cellStyle name="Warning Text" xfId="339"/>
  </cellStyles>
  <dxfs count="761">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858254</xdr:colOff>
      <xdr:row>2</xdr:row>
      <xdr:rowOff>66675</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143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1</xdr:col>
      <xdr:colOff>541479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20Mercedes\Downloads\Evaluaci&#243;n%20VA-100-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PRESUPUESTO"/>
      <sheetName val="5.4 REQUISITOS COMERCIALES"/>
      <sheetName val="VALORES UNITARIOS"/>
      <sheetName val="RESUMEN"/>
      <sheetName val="10. EVALUACIÓN"/>
    </sheetNames>
    <sheetDataSet>
      <sheetData sheetId="0"/>
      <sheetData sheetId="1"/>
      <sheetData sheetId="2"/>
      <sheetData sheetId="3"/>
      <sheetData sheetId="4"/>
      <sheetData sheetId="5"/>
      <sheetData sheetId="6"/>
      <sheetData sheetId="7"/>
      <sheetData sheetId="8"/>
      <sheetData sheetId="9">
        <row r="11">
          <cell r="D1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5"/>
  <sheetViews>
    <sheetView showGridLines="0" zoomScaleNormal="100" zoomScaleSheetLayoutView="90" zoomScalePageLayoutView="90" workbookViewId="0">
      <selection sqref="A1:B25"/>
    </sheetView>
  </sheetViews>
  <sheetFormatPr baseColWidth="10" defaultColWidth="11.42578125" defaultRowHeight="12.75"/>
  <cols>
    <col min="1" max="1" width="13" style="25" customWidth="1"/>
    <col min="2" max="2" width="80" style="25" bestFit="1" customWidth="1"/>
    <col min="3" max="16384" width="11.42578125" style="25"/>
  </cols>
  <sheetData>
    <row r="1" spans="1:2" ht="37.5" customHeight="1">
      <c r="A1" s="392" t="s">
        <v>4</v>
      </c>
      <c r="B1" s="393"/>
    </row>
    <row r="2" spans="1:2" ht="37.5" customHeight="1">
      <c r="A2" s="399" t="s">
        <v>129</v>
      </c>
      <c r="B2" s="400"/>
    </row>
    <row r="3" spans="1:2" ht="99.95" customHeight="1">
      <c r="A3" s="397" t="s">
        <v>130</v>
      </c>
      <c r="B3" s="398"/>
    </row>
    <row r="4" spans="1:2" ht="27" customHeight="1">
      <c r="A4" s="395" t="s">
        <v>22</v>
      </c>
      <c r="B4" s="396"/>
    </row>
    <row r="5" spans="1:2" ht="15.75">
      <c r="A5" s="206"/>
      <c r="B5" s="206"/>
    </row>
    <row r="6" spans="1:2" ht="29.25" customHeight="1">
      <c r="A6" s="207" t="s">
        <v>24</v>
      </c>
      <c r="B6" s="208" t="s">
        <v>3</v>
      </c>
    </row>
    <row r="7" spans="1:2" ht="22.5" customHeight="1">
      <c r="A7" s="209">
        <v>1</v>
      </c>
      <c r="B7" s="210" t="s">
        <v>237</v>
      </c>
    </row>
    <row r="8" spans="1:2" ht="22.5" customHeight="1">
      <c r="A8" s="209">
        <v>2</v>
      </c>
      <c r="B8" s="210" t="s">
        <v>238</v>
      </c>
    </row>
    <row r="9" spans="1:2" ht="22.5" customHeight="1">
      <c r="A9" s="209">
        <v>3</v>
      </c>
      <c r="B9" s="210" t="s">
        <v>239</v>
      </c>
    </row>
    <row r="10" spans="1:2" ht="22.5" hidden="1" customHeight="1">
      <c r="A10" s="209">
        <v>4</v>
      </c>
      <c r="B10" s="210"/>
    </row>
    <row r="11" spans="1:2" ht="22.5" hidden="1" customHeight="1">
      <c r="A11" s="209">
        <v>5</v>
      </c>
      <c r="B11" s="210"/>
    </row>
    <row r="12" spans="1:2" ht="22.5" hidden="1" customHeight="1">
      <c r="A12" s="209">
        <v>6</v>
      </c>
      <c r="B12" s="210"/>
    </row>
    <row r="13" spans="1:2" ht="22.5" hidden="1" customHeight="1">
      <c r="A13" s="209">
        <v>7</v>
      </c>
      <c r="B13" s="210"/>
    </row>
    <row r="14" spans="1:2" ht="22.5" hidden="1" customHeight="1">
      <c r="A14" s="209">
        <v>8</v>
      </c>
      <c r="B14" s="210"/>
    </row>
    <row r="15" spans="1:2" ht="22.5" hidden="1" customHeight="1">
      <c r="A15" s="209">
        <v>9</v>
      </c>
      <c r="B15" s="210"/>
    </row>
    <row r="16" spans="1:2" ht="22.5" hidden="1" customHeight="1">
      <c r="A16" s="209">
        <v>10</v>
      </c>
      <c r="B16" s="210"/>
    </row>
    <row r="17" spans="1:2" ht="22.5" hidden="1" customHeight="1">
      <c r="A17" s="209">
        <v>11</v>
      </c>
      <c r="B17" s="210"/>
    </row>
    <row r="18" spans="1:2" ht="22.5" hidden="1" customHeight="1">
      <c r="A18" s="209">
        <v>12</v>
      </c>
      <c r="B18" s="210"/>
    </row>
    <row r="19" spans="1:2" ht="22.5" hidden="1" customHeight="1">
      <c r="A19" s="209">
        <v>13</v>
      </c>
      <c r="B19" s="210"/>
    </row>
    <row r="20" spans="1:2" ht="22.5" hidden="1" customHeight="1">
      <c r="A20" s="209">
        <v>14</v>
      </c>
      <c r="B20" s="210"/>
    </row>
    <row r="21" spans="1:2" ht="22.5" hidden="1" customHeight="1">
      <c r="A21" s="209">
        <v>15</v>
      </c>
      <c r="B21" s="210"/>
    </row>
    <row r="22" spans="1:2" ht="22.5" customHeight="1">
      <c r="A22" s="211"/>
      <c r="B22" s="212"/>
    </row>
    <row r="23" spans="1:2" ht="20.45" customHeight="1">
      <c r="A23" s="213"/>
      <c r="B23" s="212"/>
    </row>
    <row r="24" spans="1:2" ht="12.75" customHeight="1">
      <c r="A24" s="394" t="s">
        <v>48</v>
      </c>
      <c r="B24" s="394"/>
    </row>
    <row r="25" spans="1:2" ht="45.75" customHeight="1">
      <c r="A25" s="394" t="s">
        <v>283</v>
      </c>
      <c r="B25" s="394"/>
    </row>
  </sheetData>
  <sheetProtection algorithmName="SHA-512" hashValue="eKW+QNu4fNWLermn/Hyp13GqZr29zqFbNR38QOww9TmM1SkzKtQP6/OzzSGJNm3YoE5Q0FSFMH/zWbl0mezr6Q==" saltValue="/styAETy6ikRlNyqSWi1VQ==" spinCount="100000" sheet="1" selectLockedCells="1" selectUnlockedCells="1"/>
  <mergeCells count="6">
    <mergeCell ref="A1:B1"/>
    <mergeCell ref="A24:B24"/>
    <mergeCell ref="A25:B25"/>
    <mergeCell ref="A4:B4"/>
    <mergeCell ref="A3:B3"/>
    <mergeCell ref="A2:B2"/>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2:AF21"/>
  <sheetViews>
    <sheetView tabSelected="1" zoomScale="70" zoomScaleNormal="70" workbookViewId="0">
      <selection sqref="A1:AD17"/>
    </sheetView>
  </sheetViews>
  <sheetFormatPr baseColWidth="10" defaultColWidth="11.42578125" defaultRowHeight="15.75"/>
  <cols>
    <col min="1" max="1" width="4.42578125" style="132" customWidth="1"/>
    <col min="2" max="2" width="6.140625" style="132" customWidth="1"/>
    <col min="3" max="3" width="17" style="132" customWidth="1"/>
    <col min="4" max="4" width="16" style="132" customWidth="1"/>
    <col min="5" max="5" width="10" style="132" customWidth="1"/>
    <col min="6" max="6" width="21.140625" style="132" customWidth="1"/>
    <col min="7" max="19" width="10" style="132" customWidth="1"/>
    <col min="20" max="24" width="11.140625" style="132" customWidth="1"/>
    <col min="25" max="25" width="10" style="132" customWidth="1"/>
    <col min="26" max="26" width="10.140625" style="132" customWidth="1"/>
    <col min="27" max="27" width="13.85546875" style="132" customWidth="1"/>
    <col min="28" max="28" width="18.85546875" style="132" customWidth="1"/>
    <col min="29" max="29" width="16.5703125" style="132" customWidth="1"/>
    <col min="30" max="30" width="26.5703125" style="132" customWidth="1"/>
    <col min="31" max="31" width="13.7109375" style="133" hidden="1" customWidth="1"/>
    <col min="32" max="32" width="8.28515625" style="133" hidden="1" customWidth="1"/>
    <col min="33" max="33" width="13.7109375" style="132" customWidth="1"/>
    <col min="34" max="34" width="13.7109375" style="132" bestFit="1" customWidth="1"/>
    <col min="35" max="16384" width="11.42578125" style="132"/>
  </cols>
  <sheetData>
    <row r="2" spans="2:32" ht="25.5" customHeight="1">
      <c r="B2" s="592" t="str">
        <f>+'1_ENTREGA'!A1</f>
        <v>UNIVERSIDAD DE ANTIOQUIA</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4"/>
    </row>
    <row r="3" spans="2:32" ht="30.75" customHeight="1">
      <c r="B3" s="595" t="str">
        <f>+'1_ENTREGA'!A2</f>
        <v>Invitación Pública N° VA-100-2019</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7"/>
    </row>
    <row r="4" spans="2:32" ht="59.25" customHeight="1">
      <c r="B4" s="595" t="str">
        <f>+'1_ENTREGA'!A3</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7"/>
    </row>
    <row r="5" spans="2:32" ht="26.25" customHeight="1">
      <c r="B5" s="598" t="s">
        <v>215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600"/>
    </row>
    <row r="6" spans="2:32" ht="16.5" thickBot="1">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row>
    <row r="7" spans="2:32" ht="18" customHeight="1" thickBot="1">
      <c r="B7" s="587" t="s">
        <v>42</v>
      </c>
      <c r="C7" s="587"/>
      <c r="D7" s="792"/>
      <c r="F7" s="133"/>
      <c r="G7" s="133"/>
      <c r="AE7" s="132"/>
      <c r="AF7" s="132"/>
    </row>
    <row r="8" spans="2:32" ht="16.5" thickBot="1">
      <c r="B8" s="587" t="s">
        <v>60</v>
      </c>
      <c r="C8" s="587"/>
      <c r="D8" s="793" t="s">
        <v>216</v>
      </c>
      <c r="F8" s="133"/>
      <c r="G8" s="133"/>
      <c r="AE8" s="132"/>
      <c r="AF8" s="132"/>
    </row>
    <row r="9" spans="2:32" ht="21" customHeight="1" thickBot="1">
      <c r="B9" s="587" t="s">
        <v>50</v>
      </c>
      <c r="C9" s="587"/>
      <c r="D9" s="794">
        <f ca="1">COUNT(F13:F16)</f>
        <v>2</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row>
    <row r="10" spans="2:32" ht="28.5" customHeight="1">
      <c r="B10" s="134"/>
      <c r="C10" s="134"/>
      <c r="D10" s="136"/>
      <c r="E10" s="134"/>
      <c r="F10" s="134"/>
      <c r="G10" s="585" t="s">
        <v>59</v>
      </c>
      <c r="H10" s="588"/>
      <c r="I10" s="588"/>
      <c r="J10" s="588"/>
      <c r="K10" s="588"/>
      <c r="L10" s="588"/>
      <c r="M10" s="588"/>
      <c r="N10" s="588"/>
      <c r="O10" s="588"/>
      <c r="P10" s="588"/>
      <c r="Q10" s="588"/>
      <c r="R10" s="588"/>
      <c r="S10" s="589"/>
      <c r="T10" s="589"/>
      <c r="U10" s="588"/>
      <c r="V10" s="588"/>
      <c r="W10" s="588"/>
      <c r="X10" s="588"/>
      <c r="Y10" s="590"/>
      <c r="Z10" s="137" t="s">
        <v>2</v>
      </c>
      <c r="AA10" s="134"/>
    </row>
    <row r="11" spans="2:32" ht="18" customHeight="1">
      <c r="B11" s="138"/>
      <c r="C11" s="135"/>
      <c r="D11" s="138"/>
      <c r="E11" s="139" t="s">
        <v>46</v>
      </c>
      <c r="F11" s="135"/>
      <c r="G11" s="795">
        <v>48</v>
      </c>
      <c r="H11" s="796">
        <v>1</v>
      </c>
      <c r="I11" s="796">
        <v>1</v>
      </c>
      <c r="J11" s="796">
        <v>5</v>
      </c>
      <c r="K11" s="796">
        <v>16</v>
      </c>
      <c r="L11" s="796">
        <v>1</v>
      </c>
      <c r="M11" s="796">
        <v>2</v>
      </c>
      <c r="N11" s="796">
        <v>3</v>
      </c>
      <c r="O11" s="796">
        <v>2</v>
      </c>
      <c r="P11" s="796">
        <v>3</v>
      </c>
      <c r="Q11" s="796">
        <v>1</v>
      </c>
      <c r="R11" s="796">
        <v>1</v>
      </c>
      <c r="S11" s="795">
        <v>2</v>
      </c>
      <c r="T11" s="795">
        <v>3</v>
      </c>
      <c r="U11" s="796">
        <v>2</v>
      </c>
      <c r="V11" s="796">
        <v>4</v>
      </c>
      <c r="W11" s="796">
        <v>2</v>
      </c>
      <c r="X11" s="796">
        <v>2</v>
      </c>
      <c r="Y11" s="795">
        <v>3</v>
      </c>
      <c r="Z11" s="137">
        <f>+SUM(G11:Y11)</f>
        <v>102</v>
      </c>
      <c r="AA11" s="134"/>
    </row>
    <row r="12" spans="2:32" ht="47.25" customHeight="1">
      <c r="B12" s="72" t="s">
        <v>26</v>
      </c>
      <c r="C12" s="585" t="s">
        <v>27</v>
      </c>
      <c r="D12" s="586"/>
      <c r="E12" s="54" t="s">
        <v>47</v>
      </c>
      <c r="F12" s="72" t="s">
        <v>285</v>
      </c>
      <c r="G12" s="56" t="s">
        <v>217</v>
      </c>
      <c r="H12" s="56" t="s">
        <v>218</v>
      </c>
      <c r="I12" s="56" t="s">
        <v>219</v>
      </c>
      <c r="J12" s="56" t="s">
        <v>220</v>
      </c>
      <c r="K12" s="56" t="s">
        <v>221</v>
      </c>
      <c r="L12" s="56" t="s">
        <v>222</v>
      </c>
      <c r="M12" s="56" t="s">
        <v>223</v>
      </c>
      <c r="N12" s="56" t="s">
        <v>224</v>
      </c>
      <c r="O12" s="56" t="s">
        <v>225</v>
      </c>
      <c r="P12" s="56" t="s">
        <v>226</v>
      </c>
      <c r="Q12" s="56" t="s">
        <v>227</v>
      </c>
      <c r="R12" s="56" t="s">
        <v>228</v>
      </c>
      <c r="S12" s="56" t="s">
        <v>229</v>
      </c>
      <c r="T12" s="56" t="s">
        <v>230</v>
      </c>
      <c r="U12" s="56" t="s">
        <v>231</v>
      </c>
      <c r="V12" s="56" t="s">
        <v>232</v>
      </c>
      <c r="W12" s="56" t="s">
        <v>233</v>
      </c>
      <c r="X12" s="56" t="s">
        <v>234</v>
      </c>
      <c r="Y12" s="56" t="s">
        <v>235</v>
      </c>
      <c r="Z12" s="55" t="s">
        <v>45</v>
      </c>
      <c r="AA12" s="55" t="s">
        <v>128</v>
      </c>
      <c r="AB12" s="591" t="s">
        <v>30</v>
      </c>
      <c r="AC12" s="588"/>
      <c r="AD12" s="590"/>
      <c r="AE12" s="601" t="s">
        <v>25</v>
      </c>
      <c r="AF12" s="601"/>
    </row>
    <row r="13" spans="2:32" s="143" customFormat="1">
      <c r="B13" s="57">
        <f>+IF('1_ENTREGA'!A7="","",'1_ENTREGA'!A7)</f>
        <v>1</v>
      </c>
      <c r="C13" s="583" t="str">
        <f t="shared" ref="C13:C16" si="0">IF(B13="","",VLOOKUP(B13,LISTA_OFERENTES,2,FALSE))</f>
        <v>FUMIGAX S.A.S.</v>
      </c>
      <c r="D13" s="584"/>
      <c r="E13" s="202" t="str">
        <f ca="1">IFERROR(IF(VLOOKUP(B13,ESTATUS,8,FALSE)=0, " ",VLOOKUP(B13,ESTATUS,8,FALSE))," ")</f>
        <v>NH</v>
      </c>
      <c r="F13" s="128" t="str">
        <f ca="1">IF(OR(E13="NH",E13=""),"",ROUND(VLOOKUP(B13,COSTO_D,2,FALSE),0))</f>
        <v/>
      </c>
      <c r="G13" s="58" t="str">
        <f ca="1">IF($E13="H",($Y$11*(MIN(PRESUPUESTO!$R13,PRESUPUESTO!$AJ13,PRESUPUESTO!$BB13,PRESUPUESTO!$BT13,PRESUPUESTO!$CL13)/PRESUPUESTO!$R13))," ")</f>
        <v xml:space="preserve"> </v>
      </c>
      <c r="H13" s="58" t="str">
        <f ca="1">IF($E13="H",($Y$11*(MIN(PRESUPUESTO!$R14,PRESUPUESTO!$AJ14,PRESUPUESTO!$BB14,PRESUPUESTO!$BT14,PRESUPUESTO!$CL14)/PRESUPUESTO!$R14))," ")</f>
        <v xml:space="preserve"> </v>
      </c>
      <c r="I13" s="58" t="str">
        <f ca="1">IF($E13="H",($Y$11*(MIN(PRESUPUESTO!$R15,PRESUPUESTO!$AJ15,PRESUPUESTO!$BB15,PRESUPUESTO!$BT15,PRESUPUESTO!$CL15)/PRESUPUESTO!$R15))," ")</f>
        <v xml:space="preserve"> </v>
      </c>
      <c r="J13" s="58" t="str">
        <f ca="1">IF($E13="H",($Y$11*(MIN(PRESUPUESTO!$R16,PRESUPUESTO!$AJ16,PRESUPUESTO!$BB16,PRESUPUESTO!$BT16,PRESUPUESTO!$CL16)/PRESUPUESTO!$R16))," ")</f>
        <v xml:space="preserve"> </v>
      </c>
      <c r="K13" s="58" t="str">
        <f ca="1">IF($E13="H",($Y$11*(MIN(PRESUPUESTO!$R17,PRESUPUESTO!$AJ17,PRESUPUESTO!$BB17,PRESUPUESTO!$BT17,PRESUPUESTO!$CL17)/PRESUPUESTO!$R17))," ")</f>
        <v xml:space="preserve"> </v>
      </c>
      <c r="L13" s="58" t="str">
        <f ca="1">IF($E13="H",($Y$11*(MIN(PRESUPUESTO!$R22,PRESUPUESTO!$AJ22,PRESUPUESTO!$BB22,PRESUPUESTO!$BT22,PRESUPUESTO!$CL22)/PRESUPUESTO!$R22))," ")</f>
        <v xml:space="preserve"> </v>
      </c>
      <c r="M13" s="58" t="str">
        <f ca="1">IF($E13="H",($Y$11*(MIN(PRESUPUESTO!$R23,PRESUPUESTO!$AJ23,PRESUPUESTO!$BB23,PRESUPUESTO!$BT23,PRESUPUESTO!$CL23)/PRESUPUESTO!$R23))," ")</f>
        <v xml:space="preserve"> </v>
      </c>
      <c r="N13" s="58" t="str">
        <f ca="1">IF($E13="H",($Y$11*(MIN(PRESUPUESTO!$R24,PRESUPUESTO!$AJ24,PRESUPUESTO!$BB24,PRESUPUESTO!$BT24,PRESUPUESTO!$CL24)/PRESUPUESTO!$R24))," ")</f>
        <v xml:space="preserve"> </v>
      </c>
      <c r="O13" s="58" t="str">
        <f ca="1">IF($E13="H",($Y$11*(MIN(PRESUPUESTO!$R25,PRESUPUESTO!$AJ25,PRESUPUESTO!$BB25,PRESUPUESTO!$BT25,PRESUPUESTO!$CL25)/PRESUPUESTO!$R25))," ")</f>
        <v xml:space="preserve"> </v>
      </c>
      <c r="P13" s="58" t="str">
        <f ca="1">IF($E13="H",($Y$11*(MIN(PRESUPUESTO!$R26,PRESUPUESTO!$AJ26,PRESUPUESTO!$BB26,PRESUPUESTO!$BT26,PRESUPUESTO!$CL26)/PRESUPUESTO!$R26))," ")</f>
        <v xml:space="preserve"> </v>
      </c>
      <c r="Q13" s="58" t="str">
        <f ca="1">IF($E13="H",($Y$11*(MIN(PRESUPUESTO!$R27,PRESUPUESTO!$AJ27,PRESUPUESTO!$BB27,PRESUPUESTO!$BT27,PRESUPUESTO!$CL27)/PRESUPUESTO!$R27))," ")</f>
        <v xml:space="preserve"> </v>
      </c>
      <c r="R13" s="58" t="str">
        <f ca="1">IF($E13="H",($Y$11*(MIN(PRESUPUESTO!$R28,PRESUPUESTO!$AJ28,PRESUPUESTO!$BB28,PRESUPUESTO!$BT28,PRESUPUESTO!$CL28)/PRESUPUESTO!$R28))," ")</f>
        <v xml:space="preserve"> </v>
      </c>
      <c r="S13" s="58" t="str">
        <f ca="1">IF($E13="H",($Y$11*(MIN(PRESUPUESTO!$R29,PRESUPUESTO!$AJ29,PRESUPUESTO!$BB29,PRESUPUESTO!$BT29,PRESUPUESTO!$CL29)/PRESUPUESTO!$R29))," ")</f>
        <v xml:space="preserve"> </v>
      </c>
      <c r="T13" s="58" t="str">
        <f ca="1">IF($E13="H",($Y$11*(MIN(PRESUPUESTO!$R30,PRESUPUESTO!$AJ30,PRESUPUESTO!$BB30,PRESUPUESTO!$BT30,PRESUPUESTO!$CL30)/PRESUPUESTO!$R30))," ")</f>
        <v xml:space="preserve"> </v>
      </c>
      <c r="U13" s="58" t="str">
        <f ca="1">IF($E13="H",($Y$11*(MIN(PRESUPUESTO!$R31,PRESUPUESTO!$AJ31,PRESUPUESTO!$BB31,PRESUPUESTO!$BT31,PRESUPUESTO!$CL31)/PRESUPUESTO!$R31))," ")</f>
        <v xml:space="preserve"> </v>
      </c>
      <c r="V13" s="58" t="str">
        <f ca="1">IF($E13="H",($Y$11*(MIN(PRESUPUESTO!$R32,PRESUPUESTO!$AJ32,PRESUPUESTO!$BB32,PRESUPUESTO!$BT32,PRESUPUESTO!$CL32)/PRESUPUESTO!$R32))," ")</f>
        <v xml:space="preserve"> </v>
      </c>
      <c r="W13" s="58" t="str">
        <f ca="1">IF($E13="H",($Y$11*(MIN(PRESUPUESTO!$R33,PRESUPUESTO!$AJ33,PRESUPUESTO!$BB33,PRESUPUESTO!$BT33,PRESUPUESTO!$CL33)/PRESUPUESTO!$R33))," ")</f>
        <v xml:space="preserve"> </v>
      </c>
      <c r="X13" s="58" t="str">
        <f ca="1">IF($E13="H",($Y$11*(MIN(PRESUPUESTO!$R34,PRESUPUESTO!$AJ34,PRESUPUESTO!$BB34,PRESUPUESTO!$BT34,PRESUPUESTO!$CL34)/PRESUPUESTO!$R34))," ")</f>
        <v xml:space="preserve"> </v>
      </c>
      <c r="Y13" s="58" t="str">
        <f ca="1">IF($E13="H",($Y$11*(MIN(PRESUPUESTO!$R35,PRESUPUESTO!$AJ35,PRESUPUESTO!$BB35,PRESUPUESTO!$BT35,PRESUPUESTO!$CL35)/PRESUPUESTO!$R35))," ")</f>
        <v xml:space="preserve"> </v>
      </c>
      <c r="Z13" s="59" t="str">
        <f ca="1">IF(OR(E13="",E13="NH"),"",SUM(G13:Y13))</f>
        <v/>
      </c>
      <c r="AA13" s="140" t="str">
        <f ca="1">IFERROR(IF(OR(E13=" ",E13="NH")," ",VLOOKUP(Z13,ORDEN,2,FALSE))," ")</f>
        <v xml:space="preserve"> </v>
      </c>
      <c r="AB13" s="797"/>
      <c r="AC13" s="798"/>
      <c r="AD13" s="799"/>
      <c r="AE13" s="141">
        <f ca="1">IFERROR(LARGE($Z$13:$Z$16,AF13)," ")</f>
        <v>102</v>
      </c>
      <c r="AF13" s="142">
        <v>1</v>
      </c>
    </row>
    <row r="14" spans="2:32" s="143" customFormat="1">
      <c r="B14" s="57">
        <f>+IF('1_ENTREGA'!A8="","",'1_ENTREGA'!A8)</f>
        <v>2</v>
      </c>
      <c r="C14" s="583" t="str">
        <f t="shared" si="0"/>
        <v>Truly Nolen Soluciones S.A.</v>
      </c>
      <c r="D14" s="584"/>
      <c r="E14" s="202" t="str">
        <f ca="1">IFERROR(IF(VLOOKUP(B14,ESTATUS,8,FALSE)=0, " ",VLOOKUP(B14,ESTATUS,8,FALSE))," ")</f>
        <v>H</v>
      </c>
      <c r="F14" s="128">
        <f ca="1">IF(OR(E14="NH",E14=""),"",ROUND(VLOOKUP(B14,COSTO_D,2,FALSE),0))</f>
        <v>133786000</v>
      </c>
      <c r="G14" s="58">
        <f>G11</f>
        <v>48</v>
      </c>
      <c r="H14" s="58">
        <f>H11</f>
        <v>1</v>
      </c>
      <c r="I14" s="58">
        <f t="shared" ref="I14:Y14" si="1">I11</f>
        <v>1</v>
      </c>
      <c r="J14" s="58">
        <f t="shared" si="1"/>
        <v>5</v>
      </c>
      <c r="K14" s="58">
        <f t="shared" si="1"/>
        <v>16</v>
      </c>
      <c r="L14" s="58">
        <f t="shared" si="1"/>
        <v>1</v>
      </c>
      <c r="M14" s="58">
        <f t="shared" si="1"/>
        <v>2</v>
      </c>
      <c r="N14" s="58">
        <f t="shared" si="1"/>
        <v>3</v>
      </c>
      <c r="O14" s="58">
        <f t="shared" si="1"/>
        <v>2</v>
      </c>
      <c r="P14" s="58">
        <f t="shared" si="1"/>
        <v>3</v>
      </c>
      <c r="Q14" s="58">
        <f t="shared" si="1"/>
        <v>1</v>
      </c>
      <c r="R14" s="58">
        <f t="shared" si="1"/>
        <v>1</v>
      </c>
      <c r="S14" s="58">
        <f t="shared" si="1"/>
        <v>2</v>
      </c>
      <c r="T14" s="58">
        <f t="shared" si="1"/>
        <v>3</v>
      </c>
      <c r="U14" s="58">
        <f t="shared" si="1"/>
        <v>2</v>
      </c>
      <c r="V14" s="58">
        <f t="shared" si="1"/>
        <v>4</v>
      </c>
      <c r="W14" s="58">
        <f t="shared" si="1"/>
        <v>2</v>
      </c>
      <c r="X14" s="58">
        <f t="shared" si="1"/>
        <v>2</v>
      </c>
      <c r="Y14" s="58">
        <f t="shared" si="1"/>
        <v>3</v>
      </c>
      <c r="Z14" s="59">
        <f ca="1">IF(OR(E14="",E14="NH"),"",SUM(G14:Y14))</f>
        <v>102</v>
      </c>
      <c r="AA14" s="140">
        <f ca="1">IFERROR(IF(OR(E14=" ",E14="NH")," ",VLOOKUP(Z14,ORDEN,2,FALSE))," ")</f>
        <v>1</v>
      </c>
      <c r="AB14" s="797"/>
      <c r="AC14" s="798"/>
      <c r="AD14" s="799"/>
      <c r="AE14" s="141">
        <f ca="1">IFERROR(LARGE($Z$13:$Z$16,AF14)," ")</f>
        <v>0</v>
      </c>
      <c r="AF14" s="142">
        <v>2</v>
      </c>
    </row>
    <row r="15" spans="2:32" s="143" customFormat="1">
      <c r="B15" s="57">
        <f>+IF('1_ENTREGA'!A9="","",'1_ENTREGA'!A9)</f>
        <v>3</v>
      </c>
      <c r="C15" s="583" t="str">
        <f t="shared" si="0"/>
        <v>Alfa Control S.A.S.</v>
      </c>
      <c r="D15" s="584"/>
      <c r="E15" s="202" t="str">
        <f ca="1">IFERROR(IF(VLOOKUP(B15,ESTATUS,8,FALSE)=0, " ",VLOOKUP(B15,ESTATUS,8,FALSE))," ")</f>
        <v>NH</v>
      </c>
      <c r="F15" s="128" t="str">
        <f ca="1">IF(OR(E15="NH",E15=""),"",ROUND(VLOOKUP(B15,COSTO_D,2,FALSE),0))</f>
        <v/>
      </c>
      <c r="G15" s="58" t="str">
        <f ca="1">IF($E15="H",($Y$11*(MIN(PRESUPUESTO!$R13,PRESUPUESTO!$AJ13,PRESUPUESTO!$BB13,PRESUPUESTO!$BT13,PRESUPUESTO!$CL13)/PRESUPUESTO!$BB13))," ")</f>
        <v xml:space="preserve"> </v>
      </c>
      <c r="H15" s="58" t="str">
        <f ca="1">IF($E15="H",($Y$11*(MIN(PRESUPUESTO!$R14,PRESUPUESTO!$AJ14,PRESUPUESTO!$BB14,PRESUPUESTO!$BT14,PRESUPUESTO!$CL14)/PRESUPUESTO!$BB14))," ")</f>
        <v xml:space="preserve"> </v>
      </c>
      <c r="I15" s="58" t="str">
        <f ca="1">IF($E15="H",($Y$11*(MIN(PRESUPUESTO!$R15,PRESUPUESTO!$AJ15,PRESUPUESTO!$BB15,PRESUPUESTO!$BT15,PRESUPUESTO!$CL15)/PRESUPUESTO!$BB15))," ")</f>
        <v xml:space="preserve"> </v>
      </c>
      <c r="J15" s="58" t="str">
        <f ca="1">IF($E15="H",($Y$11*(MIN(PRESUPUESTO!$R16,PRESUPUESTO!$AJ16,PRESUPUESTO!$BB16,PRESUPUESTO!$BT16,PRESUPUESTO!$CL16)/PRESUPUESTO!$BB16))," ")</f>
        <v xml:space="preserve"> </v>
      </c>
      <c r="K15" s="58" t="str">
        <f ca="1">IF($E15="H",($Y$11*(MIN(PRESUPUESTO!$R17,PRESUPUESTO!$AJ17,PRESUPUESTO!$BB17,PRESUPUESTO!$BT17,PRESUPUESTO!$CL17)/PRESUPUESTO!$BB17))," ")</f>
        <v xml:space="preserve"> </v>
      </c>
      <c r="L15" s="58" t="str">
        <f ca="1">IF($E15="H",($Y$11*(MIN(PRESUPUESTO!$R22,PRESUPUESTO!$AJ22,PRESUPUESTO!$BB22,PRESUPUESTO!$BT22,PRESUPUESTO!$CL22)/PRESUPUESTO!$BB22))," ")</f>
        <v xml:space="preserve"> </v>
      </c>
      <c r="M15" s="58" t="str">
        <f ca="1">IF($E15="H",($Y$11*(MIN(PRESUPUESTO!$R23,PRESUPUESTO!$AJ23,PRESUPUESTO!$BB23,PRESUPUESTO!$BT23,PRESUPUESTO!$CL23)/PRESUPUESTO!$BB23))," ")</f>
        <v xml:space="preserve"> </v>
      </c>
      <c r="N15" s="58" t="str">
        <f ca="1">IF($E15="H",($Y$11*(MIN(PRESUPUESTO!$R24,PRESUPUESTO!$AJ24,PRESUPUESTO!$BB24,PRESUPUESTO!$BT24,PRESUPUESTO!$CL24)/PRESUPUESTO!$BB24))," ")</f>
        <v xml:space="preserve"> </v>
      </c>
      <c r="O15" s="58" t="str">
        <f ca="1">IF($E15="H",($Y$11*(MIN(PRESUPUESTO!$R25,PRESUPUESTO!$AJ25,PRESUPUESTO!$BB25,PRESUPUESTO!$BT25,PRESUPUESTO!$CL25)/PRESUPUESTO!$BB25))," ")</f>
        <v xml:space="preserve"> </v>
      </c>
      <c r="P15" s="58" t="str">
        <f ca="1">IF($E15="H",($Y$11*(MIN(PRESUPUESTO!$R26,PRESUPUESTO!$AJ26,PRESUPUESTO!$BB26,PRESUPUESTO!$BT26,PRESUPUESTO!$CL26)/PRESUPUESTO!$BB26))," ")</f>
        <v xml:space="preserve"> </v>
      </c>
      <c r="Q15" s="58" t="str">
        <f ca="1">IF($E15="H",($Y$11*(MIN(PRESUPUESTO!$R27,PRESUPUESTO!$AJ27,PRESUPUESTO!$BB27,PRESUPUESTO!$BT27,PRESUPUESTO!$CL27)/PRESUPUESTO!$BB27))," ")</f>
        <v xml:space="preserve"> </v>
      </c>
      <c r="R15" s="58" t="str">
        <f ca="1">IF($E15="H",($Y$11*(MIN(PRESUPUESTO!$R28,PRESUPUESTO!$AJ28,PRESUPUESTO!$BB28,PRESUPUESTO!$BT28,PRESUPUESTO!$CL28)/PRESUPUESTO!$BB28))," ")</f>
        <v xml:space="preserve"> </v>
      </c>
      <c r="S15" s="58" t="str">
        <f ca="1">IF($E15="H",($Y$11*(MIN(PRESUPUESTO!$R29,PRESUPUESTO!$AJ29,PRESUPUESTO!$BB29,PRESUPUESTO!$BT29,PRESUPUESTO!$CL29)/PRESUPUESTO!$BB29))," ")</f>
        <v xml:space="preserve"> </v>
      </c>
      <c r="T15" s="58" t="str">
        <f ca="1">IF($E15="H",($Y$11*(MIN(PRESUPUESTO!$R30,PRESUPUESTO!$AJ30,PRESUPUESTO!$BB30,PRESUPUESTO!$BT30,PRESUPUESTO!$CL30)/PRESUPUESTO!$BB30))," ")</f>
        <v xml:space="preserve"> </v>
      </c>
      <c r="U15" s="58" t="str">
        <f ca="1">IF($E15="H",($Y$11*(MIN(PRESUPUESTO!$R31,PRESUPUESTO!$AJ31,PRESUPUESTO!$BB31,PRESUPUESTO!$BT31,PRESUPUESTO!$CL31)/PRESUPUESTO!$BB31))," ")</f>
        <v xml:space="preserve"> </v>
      </c>
      <c r="V15" s="58" t="str">
        <f ca="1">IF($E15="H",($Y$11*(MIN(PRESUPUESTO!$R32,PRESUPUESTO!$AJ32,PRESUPUESTO!$BB32,PRESUPUESTO!$BT32,PRESUPUESTO!$CL32)/PRESUPUESTO!$BB32))," ")</f>
        <v xml:space="preserve"> </v>
      </c>
      <c r="W15" s="58" t="str">
        <f ca="1">IF($E15="H",($Y$11*(MIN(PRESUPUESTO!$R33,PRESUPUESTO!$AJ33,PRESUPUESTO!$BB33,PRESUPUESTO!$BT33,PRESUPUESTO!$CL33)/PRESUPUESTO!$BB33))," ")</f>
        <v xml:space="preserve"> </v>
      </c>
      <c r="X15" s="58" t="str">
        <f ca="1">IF($E15="H",($Y$11*(MIN(PRESUPUESTO!$R34,PRESUPUESTO!$AJ34,PRESUPUESTO!$BB34,PRESUPUESTO!$BT34,PRESUPUESTO!$CL34)/PRESUPUESTO!$BB34))," ")</f>
        <v xml:space="preserve"> </v>
      </c>
      <c r="Y15" s="58" t="str">
        <f ca="1">IF($E15="H",($Y$11*(MIN(PRESUPUESTO!$R35,PRESUPUESTO!$AJ35,PRESUPUESTO!$BB35,PRESUPUESTO!$BT35,PRESUPUESTO!$CL35)/PRESUPUESTO!$BB35))," ")</f>
        <v xml:space="preserve"> </v>
      </c>
      <c r="Z15" s="59" t="str">
        <f ca="1">IF(OR(E15="",E15="NH"),"",SUM(G15:Y15))</f>
        <v/>
      </c>
      <c r="AA15" s="140" t="str">
        <f ca="1">IFERROR(IF(OR(E15=" ",E15="NH")," ",VLOOKUP(Z15,ORDEN,2,FALSE))," ")</f>
        <v xml:space="preserve"> </v>
      </c>
      <c r="AB15" s="797"/>
      <c r="AC15" s="798"/>
      <c r="AD15" s="799"/>
      <c r="AE15" s="141" t="str">
        <f ca="1">IFERROR(LARGE($Z$13:$Z$16,AF15)," ")</f>
        <v xml:space="preserve"> </v>
      </c>
      <c r="AF15" s="142">
        <v>3</v>
      </c>
    </row>
    <row r="16" spans="2:32" s="143" customFormat="1" hidden="1">
      <c r="B16" s="57">
        <f>+IF('1_ENTREGA'!A10="","",'1_ENTREGA'!A10)</f>
        <v>4</v>
      </c>
      <c r="C16" s="583">
        <f t="shared" si="0"/>
        <v>0</v>
      </c>
      <c r="D16" s="584"/>
      <c r="E16" s="202" t="str">
        <f>IFERROR(IF(VLOOKUP(B16,ESTATUS,8,FALSE)=0, " ",VLOOKUP(B16,ESTATUS,8,FALSE))," ")</f>
        <v xml:space="preserve"> </v>
      </c>
      <c r="F16" s="128">
        <f ca="1">IF(OR(E16="NH",E16=""),"",ROUND(VLOOKUP(B16,COSTO_D,2,FALSE),0))</f>
        <v>0</v>
      </c>
      <c r="G16" s="58" t="str">
        <f>IF($E16="H",($Y$11*(MIN(PRESUPUESTO!$R13,PRESUPUESTO!$AJ13,PRESUPUESTO!$BB13,PRESUPUESTO!$BT13,PRESUPUESTO!$CL13)/PRESUPUESTO!$CL13))," ")</f>
        <v xml:space="preserve"> </v>
      </c>
      <c r="H16" s="58" t="str">
        <f>IF($E16="H",($Y$11*(MIN(PRESUPUESTO!$R14,PRESUPUESTO!$AJ14,PRESUPUESTO!$BB14,PRESUPUESTO!$BT14,PRESUPUESTO!$CL14)/PRESUPUESTO!$CL14))," ")</f>
        <v xml:space="preserve"> </v>
      </c>
      <c r="I16" s="58" t="str">
        <f>IF($E16="H",($Y$11*(MIN(PRESUPUESTO!$R15,PRESUPUESTO!$AJ15,PRESUPUESTO!$BB15,PRESUPUESTO!$BT15,PRESUPUESTO!$CL15)/PRESUPUESTO!$CL15))," ")</f>
        <v xml:space="preserve"> </v>
      </c>
      <c r="J16" s="58" t="str">
        <f>IF($E16="H",($Y$11*(MIN(PRESUPUESTO!$R16,PRESUPUESTO!$AJ16,PRESUPUESTO!$BB16,PRESUPUESTO!$BT16,PRESUPUESTO!$CL16)/PRESUPUESTO!$CL16))," ")</f>
        <v xml:space="preserve"> </v>
      </c>
      <c r="K16" s="58" t="str">
        <f>IF($E16="H",($Y$11*(MIN(PRESUPUESTO!$R17,PRESUPUESTO!$AJ17,PRESUPUESTO!$BB17,PRESUPUESTO!$BT17,PRESUPUESTO!$CL17)/PRESUPUESTO!$CL17))," ")</f>
        <v xml:space="preserve"> </v>
      </c>
      <c r="L16" s="58" t="str">
        <f>IF($E16="H",($Y$11*(MIN(PRESUPUESTO!$R22,PRESUPUESTO!$AJ22,PRESUPUESTO!$BB22,PRESUPUESTO!$BT22,PRESUPUESTO!$CL22)/PRESUPUESTO!$CL22))," ")</f>
        <v xml:space="preserve"> </v>
      </c>
      <c r="M16" s="58" t="str">
        <f>IF($E16="H",($Y$11*(MIN(PRESUPUESTO!$R23,PRESUPUESTO!$AJ23,PRESUPUESTO!$BB23,PRESUPUESTO!$BT23,PRESUPUESTO!$CL23)/PRESUPUESTO!$CL23))," ")</f>
        <v xml:space="preserve"> </v>
      </c>
      <c r="N16" s="58" t="str">
        <f>IF($E16="H",($Y$11*(MIN(PRESUPUESTO!$R24,PRESUPUESTO!$AJ24,PRESUPUESTO!$BB24,PRESUPUESTO!$BT24,PRESUPUESTO!$CL24)/PRESUPUESTO!$CL24))," ")</f>
        <v xml:space="preserve"> </v>
      </c>
      <c r="O16" s="58" t="str">
        <f>IF($E16="H",($Y$11*(MIN(PRESUPUESTO!$R25,PRESUPUESTO!$AJ25,PRESUPUESTO!$BB25,PRESUPUESTO!$BT25,PRESUPUESTO!$CL25)/PRESUPUESTO!$CL25))," ")</f>
        <v xml:space="preserve"> </v>
      </c>
      <c r="P16" s="58" t="str">
        <f>IF($E16="H",($Y$11*(MIN(PRESUPUESTO!$R26,PRESUPUESTO!$AJ26,PRESUPUESTO!$BB26,PRESUPUESTO!$BT26,PRESUPUESTO!$CL26)/PRESUPUESTO!$CL26))," ")</f>
        <v xml:space="preserve"> </v>
      </c>
      <c r="Q16" s="58" t="str">
        <f>IF($E16="H",($Y$11*(MIN(PRESUPUESTO!$R27,PRESUPUESTO!$AJ27,PRESUPUESTO!$BB27,PRESUPUESTO!$BT27,PRESUPUESTO!$CL27)/PRESUPUESTO!$CL27))," ")</f>
        <v xml:space="preserve"> </v>
      </c>
      <c r="R16" s="58" t="str">
        <f>IF($E16="H",($Y$11*(MIN(PRESUPUESTO!$R28,PRESUPUESTO!$AJ28,PRESUPUESTO!$BB28,PRESUPUESTO!$BT28,PRESUPUESTO!$CL28)/PRESUPUESTO!$CL28))," ")</f>
        <v xml:space="preserve"> </v>
      </c>
      <c r="S16" s="58" t="str">
        <f>IF($E16="H",($Y$11*(MIN(PRESUPUESTO!$R29,PRESUPUESTO!$AJ29,PRESUPUESTO!$BB29,PRESUPUESTO!$BT29,PRESUPUESTO!$CL29)/PRESUPUESTO!$CL29))," ")</f>
        <v xml:space="preserve"> </v>
      </c>
      <c r="T16" s="58" t="str">
        <f>IF($E16="H",($Y$11*(MIN(PRESUPUESTO!$R30,PRESUPUESTO!$AJ30,PRESUPUESTO!$BB30,PRESUPUESTO!$BT30,PRESUPUESTO!$CL30)/PRESUPUESTO!$CL30))," ")</f>
        <v xml:space="preserve"> </v>
      </c>
      <c r="U16" s="58" t="str">
        <f>IF($E16="H",($Y$11*(MIN(PRESUPUESTO!$R31,PRESUPUESTO!$AJ31,PRESUPUESTO!$BB31,PRESUPUESTO!$BT31,PRESUPUESTO!$CL31)/PRESUPUESTO!$CL31))," ")</f>
        <v xml:space="preserve"> </v>
      </c>
      <c r="V16" s="58" t="str">
        <f>IF($E16="H",($Y$11*(MIN(PRESUPUESTO!$R32,PRESUPUESTO!$AJ32,PRESUPUESTO!$BB32,PRESUPUESTO!$BT32,PRESUPUESTO!$CL32)/PRESUPUESTO!$CL32))," ")</f>
        <v xml:space="preserve"> </v>
      </c>
      <c r="W16" s="58" t="str">
        <f>IF($E16="H",($Y$11*(MIN(PRESUPUESTO!$R33,PRESUPUESTO!$AJ33,PRESUPUESTO!$BB33,PRESUPUESTO!$BT33,PRESUPUESTO!$CL33)/PRESUPUESTO!$CL33))," ")</f>
        <v xml:space="preserve"> </v>
      </c>
      <c r="X16" s="58" t="str">
        <f>IF($E16="H",($Y$11*(MIN(PRESUPUESTO!$R34,PRESUPUESTO!$AJ34,PRESUPUESTO!$BB34,PRESUPUESTO!$BT34,PRESUPUESTO!$CL34)/PRESUPUESTO!$CL34))," ")</f>
        <v xml:space="preserve"> </v>
      </c>
      <c r="Y16" s="58" t="str">
        <f>IF($E16="H",($Y$11*(MIN(PRESUPUESTO!$R35,PRESUPUESTO!$AJ35,PRESUPUESTO!$BB35,PRESUPUESTO!$BT35,PRESUPUESTO!$CL35)/PRESUPUESTO!$CL35))," ")</f>
        <v xml:space="preserve"> </v>
      </c>
      <c r="Z16" s="59">
        <f>IF(OR(E16="",E16="NH"),"",SUM(G16:Y16))</f>
        <v>0</v>
      </c>
      <c r="AA16" s="140" t="str">
        <f>IFERROR(IF(OR(E16=" ",E16="NH")," ",VLOOKUP(Z16,ORDEN,2,FALSE))," ")</f>
        <v xml:space="preserve"> </v>
      </c>
      <c r="AB16" s="797"/>
      <c r="AC16" s="798"/>
      <c r="AD16" s="799"/>
      <c r="AE16" s="141" t="str">
        <f ca="1">IFERROR(LARGE($Z$13:$Z$16,AF16)," ")</f>
        <v xml:space="preserve"> </v>
      </c>
      <c r="AF16" s="142">
        <v>4</v>
      </c>
    </row>
    <row r="18" spans="5:25">
      <c r="E18" s="132" t="s">
        <v>94</v>
      </c>
    </row>
    <row r="21" spans="5:25">
      <c r="Y21" s="144"/>
    </row>
  </sheetData>
  <sheetProtection algorithmName="SHA-512" hashValue="ZZB/2xJSYMJ0XMTwTmjMNAvJySYN1r1hHhkEyX8eitHpWDZ+D7A3XctRu4LClVXnrjjaBrKe6HWdemhsy+L+GA==" saltValue="YkHdgtYoMEY1onbokI+s1w==" spinCount="100000" sheet="1" selectLockedCells="1" selectUnlockedCells="1"/>
  <mergeCells count="19">
    <mergeCell ref="AB13:AD13"/>
    <mergeCell ref="AB14:AD14"/>
    <mergeCell ref="AB15:AD15"/>
    <mergeCell ref="AB16:AD16"/>
    <mergeCell ref="AE12:AF12"/>
    <mergeCell ref="G10:Y10"/>
    <mergeCell ref="AB12:AD12"/>
    <mergeCell ref="B2:AD2"/>
    <mergeCell ref="B3:AD3"/>
    <mergeCell ref="B4:AD4"/>
    <mergeCell ref="B5:AD5"/>
    <mergeCell ref="C15:D15"/>
    <mergeCell ref="C16:D16"/>
    <mergeCell ref="C14:D14"/>
    <mergeCell ref="C12:D12"/>
    <mergeCell ref="B7:C7"/>
    <mergeCell ref="C13:D13"/>
    <mergeCell ref="B8:C8"/>
    <mergeCell ref="B9:C9"/>
  </mergeCells>
  <conditionalFormatting sqref="AA13:AA16">
    <cfRule type="cellIs" dxfId="2" priority="24" operator="equal">
      <formula>1</formula>
    </cfRule>
  </conditionalFormatting>
  <conditionalFormatting sqref="E13:E16">
    <cfRule type="cellIs" dxfId="1" priority="22" operator="equal">
      <formula>"NH"</formula>
    </cfRule>
    <cfRule type="cellIs" dxfId="0" priority="23"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3"/>
  <sheetViews>
    <sheetView showGridLines="0" topLeftCell="A4" workbookViewId="0">
      <selection activeCell="A4" sqref="A4:I23"/>
    </sheetView>
  </sheetViews>
  <sheetFormatPr baseColWidth="10" defaultColWidth="11.42578125" defaultRowHeight="14.25"/>
  <cols>
    <col min="1" max="1" width="3.42578125" style="26" bestFit="1" customWidth="1"/>
    <col min="2" max="2" width="12.42578125" style="26" bestFit="1" customWidth="1"/>
    <col min="3" max="3" width="11.5703125" style="26" bestFit="1" customWidth="1"/>
    <col min="4" max="4" width="34.140625" style="26" customWidth="1"/>
    <col min="5" max="5" width="14.28515625" style="26" bestFit="1" customWidth="1"/>
    <col min="6" max="6" width="28.5703125" style="26" customWidth="1"/>
    <col min="7" max="7" width="15.7109375" style="26" bestFit="1" customWidth="1"/>
    <col min="8" max="8" width="15.85546875" style="26" bestFit="1" customWidth="1"/>
    <col min="9" max="9" width="19.7109375" style="26" bestFit="1" customWidth="1"/>
    <col min="10" max="16384" width="11.42578125" style="26"/>
  </cols>
  <sheetData>
    <row r="1" spans="1:9" ht="34.5" customHeight="1">
      <c r="A1" s="403"/>
      <c r="B1" s="405" t="s">
        <v>4</v>
      </c>
      <c r="C1" s="405"/>
      <c r="D1" s="405"/>
      <c r="E1" s="405"/>
      <c r="F1" s="405"/>
      <c r="G1" s="405"/>
      <c r="H1" s="405"/>
      <c r="I1" s="406"/>
    </row>
    <row r="2" spans="1:9" ht="32.25" customHeight="1">
      <c r="A2" s="404"/>
      <c r="B2" s="407" t="str">
        <f>+'1_ENTREGA'!A2</f>
        <v>Invitación Pública N° VA-100-2019</v>
      </c>
      <c r="C2" s="407"/>
      <c r="D2" s="407"/>
      <c r="E2" s="407"/>
      <c r="F2" s="407"/>
      <c r="G2" s="407"/>
      <c r="H2" s="407"/>
      <c r="I2" s="408"/>
    </row>
    <row r="3" spans="1:9" ht="57" customHeight="1">
      <c r="A3" s="404"/>
      <c r="B3" s="409" t="str">
        <f>+'1_ENTREGA'!A3</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C3" s="409"/>
      <c r="D3" s="409"/>
      <c r="E3" s="409"/>
      <c r="F3" s="409"/>
      <c r="G3" s="409"/>
      <c r="H3" s="409"/>
      <c r="I3" s="410"/>
    </row>
    <row r="4" spans="1:9" ht="18" customHeight="1">
      <c r="A4" s="411" t="s">
        <v>41</v>
      </c>
      <c r="B4" s="412"/>
      <c r="C4" s="412"/>
      <c r="D4" s="412"/>
      <c r="E4" s="412"/>
      <c r="F4" s="412"/>
      <c r="G4" s="412"/>
      <c r="H4" s="412"/>
      <c r="I4" s="413"/>
    </row>
    <row r="5" spans="1:9" ht="33" customHeight="1">
      <c r="A5" s="414" t="s">
        <v>123</v>
      </c>
      <c r="B5" s="415"/>
      <c r="C5" s="416"/>
      <c r="D5" s="214"/>
      <c r="E5" s="215"/>
      <c r="F5" s="215"/>
      <c r="G5" s="215"/>
      <c r="H5" s="215"/>
      <c r="I5" s="216"/>
    </row>
    <row r="6" spans="1:9" ht="45">
      <c r="A6" s="217" t="s">
        <v>31</v>
      </c>
      <c r="B6" s="217" t="s">
        <v>32</v>
      </c>
      <c r="C6" s="218" t="s">
        <v>33</v>
      </c>
      <c r="D6" s="217" t="s">
        <v>28</v>
      </c>
      <c r="E6" s="218" t="s">
        <v>34</v>
      </c>
      <c r="F6" s="218" t="s">
        <v>35</v>
      </c>
      <c r="G6" s="218" t="s">
        <v>36</v>
      </c>
      <c r="H6" s="218" t="s">
        <v>37</v>
      </c>
      <c r="I6" s="218" t="s">
        <v>13</v>
      </c>
    </row>
    <row r="7" spans="1:9" ht="62.25" customHeight="1">
      <c r="A7" s="219">
        <f>IF('1_ENTREGA'!A7="","",'1_ENTREGA'!A7)</f>
        <v>1</v>
      </c>
      <c r="B7" s="220"/>
      <c r="C7" s="221">
        <v>0.375</v>
      </c>
      <c r="D7" s="222" t="str">
        <f t="shared" ref="D7:D21" si="0">IF(A7="","",VLOOKUP(A7,LISTA_OFERENTES,2,FALSE))</f>
        <v>FUMIGAX S.A.S.</v>
      </c>
      <c r="E7" s="223" t="s">
        <v>240</v>
      </c>
      <c r="F7" s="224" t="s">
        <v>241</v>
      </c>
      <c r="G7" s="224">
        <v>123</v>
      </c>
      <c r="H7" s="225">
        <v>136707200</v>
      </c>
      <c r="I7" s="226" t="s">
        <v>246</v>
      </c>
    </row>
    <row r="8" spans="1:9" ht="80.25" customHeight="1">
      <c r="A8" s="219">
        <f>IF('1_ENTREGA'!A8="","",'1_ENTREGA'!A8)</f>
        <v>2</v>
      </c>
      <c r="B8" s="220"/>
      <c r="C8" s="221">
        <v>0.3756944444444445</v>
      </c>
      <c r="D8" s="222" t="str">
        <f t="shared" si="0"/>
        <v>Truly Nolen Soluciones S.A.</v>
      </c>
      <c r="E8" s="223" t="s">
        <v>242</v>
      </c>
      <c r="F8" s="224" t="s">
        <v>243</v>
      </c>
      <c r="G8" s="224">
        <v>196</v>
      </c>
      <c r="H8" s="225">
        <v>159205340</v>
      </c>
      <c r="I8" s="226" t="s">
        <v>247</v>
      </c>
    </row>
    <row r="9" spans="1:9" ht="78" customHeight="1">
      <c r="A9" s="219">
        <f>IF('1_ENTREGA'!A9="","",'1_ENTREGA'!A9)</f>
        <v>3</v>
      </c>
      <c r="B9" s="220"/>
      <c r="C9" s="221">
        <v>0.37986111111111115</v>
      </c>
      <c r="D9" s="222" t="str">
        <f t="shared" si="0"/>
        <v>Alfa Control S.A.S.</v>
      </c>
      <c r="E9" s="223" t="s">
        <v>244</v>
      </c>
      <c r="F9" s="224" t="s">
        <v>245</v>
      </c>
      <c r="G9" s="224">
        <v>82</v>
      </c>
      <c r="H9" s="225">
        <v>158508000</v>
      </c>
      <c r="I9" s="226" t="s">
        <v>248</v>
      </c>
    </row>
    <row r="10" spans="1:9" ht="42" hidden="1" customHeight="1">
      <c r="A10" s="219">
        <f>IF('1_ENTREGA'!A10="","",'1_ENTREGA'!A10)</f>
        <v>4</v>
      </c>
      <c r="B10" s="220"/>
      <c r="C10" s="221"/>
      <c r="D10" s="222">
        <f t="shared" si="0"/>
        <v>0</v>
      </c>
      <c r="E10" s="223"/>
      <c r="F10" s="224"/>
      <c r="G10" s="224"/>
      <c r="H10" s="225"/>
      <c r="I10" s="226"/>
    </row>
    <row r="11" spans="1:9" ht="42" hidden="1" customHeight="1">
      <c r="A11" s="219">
        <f>IF('1_ENTREGA'!A11="","",'1_ENTREGA'!A11)</f>
        <v>5</v>
      </c>
      <c r="B11" s="220"/>
      <c r="C11" s="221"/>
      <c r="D11" s="222">
        <f t="shared" si="0"/>
        <v>0</v>
      </c>
      <c r="E11" s="223"/>
      <c r="F11" s="224"/>
      <c r="G11" s="224"/>
      <c r="H11" s="225"/>
      <c r="I11" s="226"/>
    </row>
    <row r="12" spans="1:9" ht="42" hidden="1" customHeight="1">
      <c r="A12" s="219">
        <f>IF('1_ENTREGA'!A12="","",'1_ENTREGA'!A12)</f>
        <v>6</v>
      </c>
      <c r="B12" s="220"/>
      <c r="C12" s="221"/>
      <c r="D12" s="222">
        <f t="shared" si="0"/>
        <v>0</v>
      </c>
      <c r="E12" s="227"/>
      <c r="F12" s="228"/>
      <c r="G12" s="228"/>
      <c r="H12" s="229"/>
      <c r="I12" s="226"/>
    </row>
    <row r="13" spans="1:9" ht="42" hidden="1" customHeight="1">
      <c r="A13" s="219">
        <f>IF('1_ENTREGA'!A13="","",'1_ENTREGA'!A13)</f>
        <v>7</v>
      </c>
      <c r="B13" s="220"/>
      <c r="C13" s="221"/>
      <c r="D13" s="222">
        <f t="shared" si="0"/>
        <v>0</v>
      </c>
      <c r="E13" s="227"/>
      <c r="F13" s="228"/>
      <c r="G13" s="228"/>
      <c r="H13" s="229"/>
      <c r="I13" s="226"/>
    </row>
    <row r="14" spans="1:9" ht="42" hidden="1" customHeight="1">
      <c r="A14" s="219">
        <f>IF('1_ENTREGA'!A14="","",'1_ENTREGA'!A14)</f>
        <v>8</v>
      </c>
      <c r="B14" s="220"/>
      <c r="C14" s="221"/>
      <c r="D14" s="222">
        <f t="shared" si="0"/>
        <v>0</v>
      </c>
      <c r="E14" s="223"/>
      <c r="F14" s="224"/>
      <c r="G14" s="224"/>
      <c r="H14" s="225"/>
      <c r="I14" s="226"/>
    </row>
    <row r="15" spans="1:9" ht="42" hidden="1" customHeight="1">
      <c r="A15" s="219">
        <f>IF('1_ENTREGA'!A15="","",'1_ENTREGA'!A15)</f>
        <v>9</v>
      </c>
      <c r="B15" s="220"/>
      <c r="C15" s="221"/>
      <c r="D15" s="222">
        <f t="shared" si="0"/>
        <v>0</v>
      </c>
      <c r="E15" s="223"/>
      <c r="F15" s="224"/>
      <c r="G15" s="224"/>
      <c r="H15" s="225"/>
      <c r="I15" s="226"/>
    </row>
    <row r="16" spans="1:9" ht="42" hidden="1" customHeight="1">
      <c r="A16" s="219">
        <f>IF('1_ENTREGA'!A16="","",'1_ENTREGA'!A16)</f>
        <v>10</v>
      </c>
      <c r="B16" s="220"/>
      <c r="C16" s="221"/>
      <c r="D16" s="222">
        <f t="shared" si="0"/>
        <v>0</v>
      </c>
      <c r="E16" s="223"/>
      <c r="F16" s="224"/>
      <c r="G16" s="224"/>
      <c r="H16" s="225"/>
      <c r="I16" s="226"/>
    </row>
    <row r="17" spans="1:9" ht="42" hidden="1" customHeight="1">
      <c r="A17" s="219">
        <f>IF('1_ENTREGA'!A17="","",'1_ENTREGA'!A17)</f>
        <v>11</v>
      </c>
      <c r="B17" s="220"/>
      <c r="C17" s="221"/>
      <c r="D17" s="222">
        <f t="shared" si="0"/>
        <v>0</v>
      </c>
      <c r="E17" s="223"/>
      <c r="F17" s="224"/>
      <c r="G17" s="224"/>
      <c r="H17" s="225"/>
      <c r="I17" s="226"/>
    </row>
    <row r="18" spans="1:9" ht="42" hidden="1" customHeight="1">
      <c r="A18" s="219">
        <f>IF('1_ENTREGA'!A18="","",'1_ENTREGA'!A18)</f>
        <v>12</v>
      </c>
      <c r="B18" s="220"/>
      <c r="C18" s="221"/>
      <c r="D18" s="222">
        <f t="shared" si="0"/>
        <v>0</v>
      </c>
      <c r="E18" s="227"/>
      <c r="F18" s="228"/>
      <c r="G18" s="228"/>
      <c r="H18" s="229"/>
      <c r="I18" s="226"/>
    </row>
    <row r="19" spans="1:9" ht="42" hidden="1" customHeight="1">
      <c r="A19" s="219">
        <f>IF('1_ENTREGA'!A19="","",'1_ENTREGA'!A19)</f>
        <v>13</v>
      </c>
      <c r="B19" s="220"/>
      <c r="C19" s="221"/>
      <c r="D19" s="222">
        <f t="shared" si="0"/>
        <v>0</v>
      </c>
      <c r="E19" s="227"/>
      <c r="F19" s="228"/>
      <c r="G19" s="228"/>
      <c r="H19" s="229"/>
      <c r="I19" s="226"/>
    </row>
    <row r="20" spans="1:9" ht="42" hidden="1" customHeight="1">
      <c r="A20" s="219">
        <f>IF('1_ENTREGA'!A20="","",'1_ENTREGA'!A20)</f>
        <v>14</v>
      </c>
      <c r="B20" s="220"/>
      <c r="C20" s="221"/>
      <c r="D20" s="222">
        <f t="shared" si="0"/>
        <v>0</v>
      </c>
      <c r="E20" s="223"/>
      <c r="F20" s="224"/>
      <c r="G20" s="224"/>
      <c r="H20" s="225"/>
      <c r="I20" s="226"/>
    </row>
    <row r="21" spans="1:9" ht="42" hidden="1" customHeight="1">
      <c r="A21" s="219">
        <f>IF('1_ENTREGA'!A21="","",'1_ENTREGA'!A21)</f>
        <v>15</v>
      </c>
      <c r="B21" s="220"/>
      <c r="C21" s="221"/>
      <c r="D21" s="222">
        <f t="shared" si="0"/>
        <v>0</v>
      </c>
      <c r="E21" s="223"/>
      <c r="F21" s="224"/>
      <c r="G21" s="224"/>
      <c r="H21" s="225"/>
      <c r="I21" s="226"/>
    </row>
    <row r="22" spans="1:9">
      <c r="A22" s="230"/>
      <c r="B22" s="230"/>
      <c r="C22" s="230"/>
      <c r="D22" s="230"/>
      <c r="E22" s="230"/>
      <c r="F22" s="230"/>
      <c r="G22" s="230"/>
      <c r="H22" s="230"/>
      <c r="I22" s="230"/>
    </row>
    <row r="23" spans="1:9" ht="51.75" customHeight="1">
      <c r="A23" s="401" t="s">
        <v>236</v>
      </c>
      <c r="B23" s="401"/>
      <c r="C23" s="401"/>
      <c r="D23" s="402"/>
      <c r="E23" s="402"/>
      <c r="F23" s="402"/>
      <c r="G23" s="402"/>
      <c r="H23" s="402"/>
      <c r="I23" s="402"/>
    </row>
  </sheetData>
  <sheetProtection algorithmName="SHA-512" hashValue="nwVD7zZwCOUs4L737/zQfiYgTrIifnzsl6LVotmlb397ym2pt7oLK861/X6jbU+sst16XOAX/iN0reyqc8Su2Q==" saltValue="RlgzLG/4km0kEA+IZxbonA==" spinCount="100000" sheet="1" selectLockedCells="1" selectUnlockedCells="1"/>
  <mergeCells count="7">
    <mergeCell ref="A23:I23"/>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Q31"/>
  <sheetViews>
    <sheetView view="pageBreakPreview" topLeftCell="A13" zoomScale="83" zoomScaleNormal="25" zoomScaleSheetLayoutView="83" workbookViewId="0">
      <selection activeCell="C8" sqref="C8"/>
    </sheetView>
  </sheetViews>
  <sheetFormatPr baseColWidth="10" defaultColWidth="11.42578125" defaultRowHeight="14.25"/>
  <cols>
    <col min="1" max="1" width="10.5703125" style="1" customWidth="1"/>
    <col min="2" max="2" width="60.28515625" style="15" customWidth="1"/>
    <col min="3" max="17" width="66.5703125" style="15" customWidth="1"/>
    <col min="18" max="16384" width="11.42578125" style="2"/>
  </cols>
  <sheetData>
    <row r="1" spans="1:17" ht="41.25" customHeight="1">
      <c r="A1" s="18"/>
      <c r="B1" s="76" t="s">
        <v>51</v>
      </c>
      <c r="C1" s="76"/>
      <c r="D1" s="76"/>
      <c r="E1" s="76"/>
      <c r="F1" s="76"/>
      <c r="G1" s="76"/>
      <c r="H1" s="76"/>
      <c r="I1" s="76"/>
      <c r="J1" s="76"/>
      <c r="K1" s="76"/>
      <c r="L1" s="76"/>
      <c r="M1" s="76"/>
      <c r="N1" s="76"/>
      <c r="O1" s="76"/>
      <c r="P1" s="76"/>
      <c r="Q1" s="76"/>
    </row>
    <row r="2" spans="1:17" ht="15.75">
      <c r="A2" s="3"/>
      <c r="B2" s="16"/>
      <c r="C2" s="16"/>
      <c r="D2" s="16"/>
      <c r="E2" s="16"/>
      <c r="F2" s="16"/>
      <c r="G2" s="16"/>
      <c r="H2" s="16"/>
      <c r="I2" s="16"/>
      <c r="J2" s="16"/>
      <c r="K2" s="16"/>
      <c r="L2" s="16"/>
      <c r="M2" s="16"/>
      <c r="N2" s="16"/>
      <c r="O2" s="16"/>
      <c r="P2" s="16"/>
      <c r="Q2" s="16"/>
    </row>
    <row r="3" spans="1:17" s="4" customFormat="1" ht="15">
      <c r="A3" s="62"/>
      <c r="B3" s="63" t="s">
        <v>24</v>
      </c>
      <c r="C3" s="64">
        <v>1</v>
      </c>
      <c r="D3" s="64">
        <v>2</v>
      </c>
      <c r="E3" s="64">
        <v>3</v>
      </c>
      <c r="F3" s="64">
        <v>4</v>
      </c>
      <c r="G3" s="64">
        <v>5</v>
      </c>
      <c r="H3" s="64">
        <v>6</v>
      </c>
      <c r="I3" s="64">
        <v>7</v>
      </c>
      <c r="J3" s="64">
        <v>8</v>
      </c>
      <c r="K3" s="64">
        <v>9</v>
      </c>
      <c r="L3" s="64">
        <v>10</v>
      </c>
      <c r="M3" s="64">
        <v>11</v>
      </c>
      <c r="N3" s="64">
        <v>12</v>
      </c>
      <c r="O3" s="64">
        <v>13</v>
      </c>
      <c r="P3" s="64">
        <v>14</v>
      </c>
      <c r="Q3" s="64">
        <v>15</v>
      </c>
    </row>
    <row r="4" spans="1:17" s="4" customFormat="1" ht="34.5" customHeight="1">
      <c r="A4" s="62"/>
      <c r="B4" s="63" t="s">
        <v>28</v>
      </c>
      <c r="C4" s="64" t="str">
        <f t="shared" ref="C4:Q4" si="0">+VLOOKUP(C3,LISTA_OFERENTES,2,FALSE)</f>
        <v>FUMIGAX S.A.S.</v>
      </c>
      <c r="D4" s="64" t="str">
        <f t="shared" si="0"/>
        <v>Truly Nolen Soluciones S.A.</v>
      </c>
      <c r="E4" s="64" t="str">
        <f t="shared" si="0"/>
        <v>Alfa Control S.A.S.</v>
      </c>
      <c r="F4" s="64">
        <f t="shared" si="0"/>
        <v>0</v>
      </c>
      <c r="G4" s="64">
        <f t="shared" si="0"/>
        <v>0</v>
      </c>
      <c r="H4" s="64">
        <f t="shared" si="0"/>
        <v>0</v>
      </c>
      <c r="I4" s="64">
        <f t="shared" si="0"/>
        <v>0</v>
      </c>
      <c r="J4" s="64">
        <f t="shared" si="0"/>
        <v>0</v>
      </c>
      <c r="K4" s="64">
        <f t="shared" si="0"/>
        <v>0</v>
      </c>
      <c r="L4" s="64">
        <f t="shared" si="0"/>
        <v>0</v>
      </c>
      <c r="M4" s="64">
        <f t="shared" si="0"/>
        <v>0</v>
      </c>
      <c r="N4" s="64">
        <f t="shared" si="0"/>
        <v>0</v>
      </c>
      <c r="O4" s="64">
        <f t="shared" si="0"/>
        <v>0</v>
      </c>
      <c r="P4" s="64">
        <f t="shared" si="0"/>
        <v>0</v>
      </c>
      <c r="Q4" s="64">
        <f t="shared" si="0"/>
        <v>0</v>
      </c>
    </row>
    <row r="5" spans="1:17" s="4" customFormat="1" ht="20.25" customHeight="1">
      <c r="A5" s="62"/>
      <c r="B5" s="63" t="s">
        <v>39</v>
      </c>
      <c r="C5" s="65" t="str">
        <f>IF('1_ENTREGA'!$A7="","",VLOOKUP(C3,'2_APERTURA DE SOBRES'!$A$7:$I$21,5,FALSE))</f>
        <v>890900947-1</v>
      </c>
      <c r="D5" s="65" t="str">
        <f>IF('1_ENTREGA'!$A7="","",VLOOKUP(D3,'2_APERTURA DE SOBRES'!$A$7:$I$21,5,FALSE))</f>
        <v>811006418-4</v>
      </c>
      <c r="E5" s="65" t="str">
        <f>IF('1_ENTREGA'!$A7="","",VLOOKUP(E3,'2_APERTURA DE SOBRES'!$A$7:$I$21,5,FALSE))</f>
        <v>811021383-8</v>
      </c>
      <c r="F5" s="65">
        <f>IF('1_ENTREGA'!$A7="","",VLOOKUP(F3,'2_APERTURA DE SOBRES'!$A$7:$I$21,5,FALSE))</f>
        <v>0</v>
      </c>
      <c r="G5" s="65">
        <f>IF('1_ENTREGA'!$A7="","",VLOOKUP(G3,'2_APERTURA DE SOBRES'!$A$7:$I$21,5,FALSE))</f>
        <v>0</v>
      </c>
      <c r="H5" s="65">
        <v>0</v>
      </c>
      <c r="I5" s="65">
        <v>0</v>
      </c>
      <c r="J5" s="65">
        <v>0</v>
      </c>
      <c r="K5" s="65">
        <v>0</v>
      </c>
      <c r="L5" s="65">
        <v>0</v>
      </c>
      <c r="M5" s="65">
        <v>0</v>
      </c>
      <c r="N5" s="65">
        <v>0</v>
      </c>
      <c r="O5" s="65">
        <v>0</v>
      </c>
      <c r="P5" s="65">
        <v>0</v>
      </c>
      <c r="Q5" s="65">
        <v>0</v>
      </c>
    </row>
    <row r="6" spans="1:17" ht="51">
      <c r="A6" s="66"/>
      <c r="B6" s="164" t="s">
        <v>131</v>
      </c>
      <c r="C6" s="67"/>
      <c r="D6" s="67"/>
      <c r="E6" s="67"/>
      <c r="F6" s="67"/>
      <c r="G6" s="67"/>
      <c r="H6" s="67"/>
      <c r="I6" s="67"/>
      <c r="J6" s="67"/>
      <c r="K6" s="67"/>
      <c r="L6" s="67"/>
      <c r="M6" s="67"/>
      <c r="N6" s="67"/>
      <c r="O6" s="67"/>
      <c r="P6" s="67"/>
      <c r="Q6" s="67"/>
    </row>
    <row r="7" spans="1:17" ht="33" customHeight="1">
      <c r="A7" s="68" t="s">
        <v>12</v>
      </c>
      <c r="B7" s="165" t="s">
        <v>61</v>
      </c>
      <c r="C7" s="69"/>
      <c r="D7" s="69"/>
      <c r="E7" s="69"/>
      <c r="F7" s="69"/>
      <c r="G7" s="69"/>
      <c r="H7" s="69"/>
      <c r="I7" s="69"/>
      <c r="J7" s="69"/>
      <c r="K7" s="69"/>
      <c r="L7" s="69"/>
      <c r="M7" s="69"/>
      <c r="N7" s="69"/>
      <c r="O7" s="69"/>
      <c r="P7" s="69"/>
      <c r="Q7" s="69"/>
    </row>
    <row r="8" spans="1:17" ht="114.75">
      <c r="A8" s="20">
        <v>1</v>
      </c>
      <c r="B8" s="166" t="s">
        <v>121</v>
      </c>
      <c r="C8" s="5"/>
      <c r="D8" s="81"/>
      <c r="E8" s="81"/>
      <c r="F8" s="6"/>
      <c r="G8" s="5"/>
      <c r="H8" s="6"/>
      <c r="I8" s="6"/>
      <c r="J8" s="6"/>
      <c r="K8" s="5"/>
      <c r="L8" s="6"/>
      <c r="M8" s="6"/>
      <c r="N8" s="6"/>
      <c r="O8" s="6"/>
      <c r="P8" s="6"/>
      <c r="Q8" s="6"/>
    </row>
    <row r="9" spans="1:17" ht="63.75">
      <c r="A9" s="20">
        <v>2</v>
      </c>
      <c r="B9" s="166" t="s">
        <v>132</v>
      </c>
      <c r="C9" s="5"/>
      <c r="D9" s="81"/>
      <c r="E9" s="81"/>
      <c r="F9" s="6"/>
      <c r="G9" s="5"/>
      <c r="H9" s="6"/>
      <c r="I9" s="6"/>
      <c r="J9" s="6"/>
      <c r="K9" s="5"/>
      <c r="L9" s="6"/>
      <c r="M9" s="6"/>
      <c r="N9" s="6"/>
      <c r="O9" s="6"/>
      <c r="P9" s="6"/>
      <c r="Q9" s="6"/>
    </row>
    <row r="10" spans="1:17" ht="38.25">
      <c r="A10" s="20">
        <v>3</v>
      </c>
      <c r="B10" s="166" t="s">
        <v>87</v>
      </c>
      <c r="C10" s="5"/>
      <c r="D10" s="81"/>
      <c r="E10" s="81"/>
      <c r="F10" s="6"/>
      <c r="G10" s="5"/>
      <c r="H10" s="6"/>
      <c r="I10" s="6"/>
      <c r="J10" s="6"/>
      <c r="K10" s="5"/>
      <c r="L10" s="6"/>
      <c r="M10" s="6"/>
      <c r="N10" s="6"/>
      <c r="O10" s="6"/>
      <c r="P10" s="6"/>
      <c r="Q10" s="6"/>
    </row>
    <row r="11" spans="1:17" ht="25.5">
      <c r="A11" s="20">
        <v>4</v>
      </c>
      <c r="B11" s="166" t="s">
        <v>88</v>
      </c>
      <c r="C11" s="5"/>
      <c r="D11" s="81"/>
      <c r="E11" s="81"/>
      <c r="F11" s="6"/>
      <c r="G11" s="5"/>
      <c r="H11" s="6"/>
      <c r="I11" s="6"/>
      <c r="J11" s="6"/>
      <c r="K11" s="5"/>
      <c r="L11" s="6"/>
      <c r="M11" s="6"/>
      <c r="N11" s="6"/>
      <c r="O11" s="6"/>
      <c r="P11" s="6"/>
      <c r="Q11" s="6"/>
    </row>
    <row r="12" spans="1:17">
      <c r="A12" s="20">
        <v>5</v>
      </c>
      <c r="B12" s="166" t="s">
        <v>97</v>
      </c>
      <c r="C12" s="5"/>
      <c r="D12" s="81"/>
      <c r="E12" s="81"/>
      <c r="F12" s="6"/>
      <c r="G12" s="5"/>
      <c r="H12" s="6"/>
      <c r="I12" s="6"/>
      <c r="J12" s="6"/>
      <c r="K12" s="5"/>
      <c r="L12" s="6"/>
      <c r="M12" s="6"/>
      <c r="N12" s="6"/>
      <c r="O12" s="6"/>
      <c r="P12" s="6"/>
      <c r="Q12" s="6"/>
    </row>
    <row r="13" spans="1:17" ht="38.25">
      <c r="A13" s="20">
        <v>6</v>
      </c>
      <c r="B13" s="166" t="s">
        <v>89</v>
      </c>
      <c r="C13" s="5"/>
      <c r="D13" s="81"/>
      <c r="E13" s="81"/>
      <c r="F13" s="6"/>
      <c r="G13" s="5"/>
      <c r="H13" s="6"/>
      <c r="I13" s="6"/>
      <c r="J13" s="6"/>
      <c r="K13" s="5"/>
      <c r="L13" s="6"/>
      <c r="M13" s="6"/>
      <c r="N13" s="6"/>
      <c r="O13" s="6"/>
      <c r="P13" s="6"/>
      <c r="Q13" s="6"/>
    </row>
    <row r="14" spans="1:17">
      <c r="A14" s="20">
        <v>7</v>
      </c>
      <c r="B14" s="166" t="s">
        <v>90</v>
      </c>
      <c r="C14" s="5"/>
      <c r="D14" s="81"/>
      <c r="E14" s="81"/>
      <c r="F14" s="6"/>
      <c r="G14" s="5"/>
      <c r="H14" s="6"/>
      <c r="I14" s="6"/>
      <c r="J14" s="6"/>
      <c r="K14" s="5"/>
      <c r="L14" s="6"/>
      <c r="M14" s="6"/>
      <c r="N14" s="6"/>
      <c r="O14" s="6"/>
      <c r="P14" s="6"/>
      <c r="Q14" s="6"/>
    </row>
    <row r="15" spans="1:17" ht="25.5">
      <c r="A15" s="20">
        <v>8</v>
      </c>
      <c r="B15" s="166" t="s">
        <v>98</v>
      </c>
      <c r="C15" s="5"/>
      <c r="D15" s="81"/>
      <c r="E15" s="81"/>
      <c r="F15" s="6"/>
      <c r="G15" s="5"/>
      <c r="H15" s="6"/>
      <c r="I15" s="6"/>
      <c r="J15" s="6"/>
      <c r="K15" s="5"/>
      <c r="L15" s="6"/>
      <c r="M15" s="6"/>
      <c r="N15" s="6"/>
      <c r="O15" s="6"/>
      <c r="P15" s="6"/>
      <c r="Q15" s="6"/>
    </row>
    <row r="16" spans="1:17">
      <c r="A16" s="20"/>
      <c r="B16" s="166" t="s">
        <v>133</v>
      </c>
      <c r="C16" s="5"/>
      <c r="D16" s="81"/>
      <c r="E16" s="81"/>
      <c r="F16" s="6"/>
      <c r="G16" s="5"/>
      <c r="H16" s="6"/>
      <c r="I16" s="6"/>
      <c r="J16" s="6"/>
      <c r="K16" s="5"/>
      <c r="L16" s="6"/>
      <c r="M16" s="6"/>
      <c r="N16" s="6"/>
      <c r="O16" s="6"/>
      <c r="P16" s="6"/>
      <c r="Q16" s="6"/>
    </row>
    <row r="17" spans="1:17">
      <c r="A17" s="20"/>
      <c r="B17" s="166" t="s">
        <v>134</v>
      </c>
      <c r="C17" s="19"/>
      <c r="D17" s="82"/>
      <c r="E17" s="83"/>
      <c r="F17" s="6"/>
      <c r="G17" s="19"/>
      <c r="H17" s="6"/>
      <c r="I17" s="6"/>
      <c r="J17" s="6"/>
      <c r="K17" s="19"/>
      <c r="L17" s="6"/>
      <c r="M17" s="6"/>
      <c r="N17" s="6"/>
      <c r="O17" s="6"/>
      <c r="P17" s="6"/>
      <c r="Q17" s="6"/>
    </row>
    <row r="18" spans="1:17">
      <c r="A18" s="20"/>
      <c r="B18" s="166" t="s">
        <v>135</v>
      </c>
      <c r="C18" s="19"/>
      <c r="D18" s="81"/>
      <c r="E18" s="81"/>
      <c r="F18" s="6"/>
      <c r="G18" s="19"/>
      <c r="H18" s="6"/>
      <c r="I18" s="6"/>
      <c r="J18" s="6"/>
      <c r="K18" s="19"/>
      <c r="L18" s="6"/>
      <c r="M18" s="6"/>
      <c r="N18" s="6"/>
      <c r="O18" s="6"/>
      <c r="P18" s="6"/>
      <c r="Q18" s="6"/>
    </row>
    <row r="19" spans="1:17" ht="15">
      <c r="A19" s="68"/>
      <c r="B19" s="236" t="s">
        <v>141</v>
      </c>
      <c r="C19" s="17"/>
      <c r="D19" s="17"/>
      <c r="E19" s="17"/>
      <c r="F19" s="17"/>
      <c r="G19" s="17"/>
      <c r="H19" s="17"/>
      <c r="I19" s="17"/>
      <c r="J19" s="17"/>
      <c r="K19" s="17"/>
      <c r="L19" s="17"/>
      <c r="M19" s="17"/>
      <c r="N19" s="17"/>
      <c r="O19" s="17"/>
      <c r="P19" s="17"/>
      <c r="Q19" s="17"/>
    </row>
    <row r="20" spans="1:17" s="13" customFormat="1" ht="15.75">
      <c r="A20" s="231"/>
      <c r="B20" s="232"/>
      <c r="C20" s="233"/>
      <c r="D20" s="234"/>
      <c r="E20" s="234"/>
      <c r="F20" s="234"/>
      <c r="G20" s="233"/>
      <c r="H20" s="234"/>
      <c r="I20" s="234"/>
      <c r="J20" s="234"/>
      <c r="K20" s="233"/>
      <c r="L20" s="234"/>
      <c r="M20" s="234"/>
      <c r="N20" s="234"/>
      <c r="O20" s="234"/>
      <c r="P20" s="234"/>
      <c r="Q20" s="234"/>
    </row>
    <row r="21" spans="1:17" ht="24.75" customHeight="1">
      <c r="A21" s="70" t="s">
        <v>12</v>
      </c>
      <c r="B21" s="167" t="s">
        <v>62</v>
      </c>
      <c r="C21" s="24"/>
      <c r="D21" s="24"/>
      <c r="E21" s="24"/>
      <c r="F21" s="24"/>
      <c r="G21" s="24"/>
      <c r="H21" s="24"/>
      <c r="I21" s="24"/>
      <c r="J21" s="24"/>
      <c r="K21" s="24"/>
      <c r="L21" s="24"/>
      <c r="M21" s="24"/>
      <c r="N21" s="24"/>
      <c r="O21" s="24"/>
      <c r="P21" s="24"/>
      <c r="Q21" s="24"/>
    </row>
    <row r="22" spans="1:17" ht="242.25">
      <c r="A22" s="71">
        <v>1</v>
      </c>
      <c r="B22" s="168" t="s">
        <v>136</v>
      </c>
      <c r="C22" s="170"/>
      <c r="D22" s="171"/>
      <c r="E22" s="171"/>
      <c r="F22" s="172"/>
      <c r="G22" s="170"/>
      <c r="H22" s="84"/>
      <c r="I22" s="8"/>
      <c r="J22" s="8"/>
      <c r="K22" s="11"/>
      <c r="L22" s="8"/>
      <c r="M22" s="8"/>
      <c r="N22" s="8"/>
      <c r="O22" s="8"/>
      <c r="P22" s="8"/>
      <c r="Q22" s="8"/>
    </row>
    <row r="23" spans="1:17" ht="51">
      <c r="A23" s="71">
        <v>2</v>
      </c>
      <c r="B23" s="169" t="s">
        <v>137</v>
      </c>
      <c r="C23" s="173"/>
      <c r="D23" s="174"/>
      <c r="E23" s="174"/>
      <c r="F23" s="174"/>
      <c r="G23" s="173"/>
      <c r="H23" s="85"/>
      <c r="I23" s="12"/>
      <c r="J23" s="12"/>
      <c r="K23" s="7"/>
      <c r="L23" s="12"/>
      <c r="M23" s="12"/>
      <c r="N23" s="12"/>
      <c r="O23" s="12"/>
      <c r="P23" s="12"/>
      <c r="Q23" s="12"/>
    </row>
    <row r="24" spans="1:17" ht="38.25">
      <c r="A24" s="71">
        <v>3</v>
      </c>
      <c r="B24" s="169" t="s">
        <v>87</v>
      </c>
      <c r="C24" s="173"/>
      <c r="D24" s="174"/>
      <c r="E24" s="170"/>
      <c r="F24" s="174"/>
      <c r="G24" s="173"/>
      <c r="H24" s="85"/>
      <c r="I24" s="12"/>
      <c r="J24" s="12"/>
      <c r="K24" s="7"/>
      <c r="L24" s="12"/>
      <c r="M24" s="12"/>
      <c r="N24" s="12"/>
      <c r="O24" s="12"/>
      <c r="P24" s="12"/>
      <c r="Q24" s="12"/>
    </row>
    <row r="25" spans="1:17" ht="38.25">
      <c r="A25" s="71">
        <v>4</v>
      </c>
      <c r="B25" s="169" t="s">
        <v>89</v>
      </c>
      <c r="C25" s="170"/>
      <c r="D25" s="174"/>
      <c r="E25" s="174"/>
      <c r="F25" s="174"/>
      <c r="G25" s="170"/>
      <c r="H25" s="85"/>
      <c r="I25" s="14"/>
      <c r="J25" s="14"/>
      <c r="K25" s="11"/>
      <c r="L25" s="14"/>
      <c r="M25" s="14"/>
      <c r="N25" s="14"/>
      <c r="O25" s="14"/>
      <c r="P25" s="14"/>
      <c r="Q25" s="14"/>
    </row>
    <row r="26" spans="1:17">
      <c r="A26" s="71">
        <v>5</v>
      </c>
      <c r="B26" s="169" t="s">
        <v>90</v>
      </c>
      <c r="C26" s="170"/>
      <c r="D26" s="174"/>
      <c r="E26" s="174"/>
      <c r="F26" s="174"/>
      <c r="G26" s="170"/>
      <c r="H26" s="85"/>
      <c r="I26" s="14"/>
      <c r="J26" s="14"/>
      <c r="K26" s="11"/>
      <c r="L26" s="14"/>
      <c r="M26" s="14"/>
      <c r="N26" s="14"/>
      <c r="O26" s="14"/>
      <c r="P26" s="14"/>
      <c r="Q26" s="14"/>
    </row>
    <row r="27" spans="1:17" ht="25.5">
      <c r="A27" s="71">
        <v>6</v>
      </c>
      <c r="B27" s="169" t="s">
        <v>98</v>
      </c>
      <c r="C27" s="170"/>
      <c r="D27" s="175"/>
      <c r="E27" s="175"/>
      <c r="F27" s="175"/>
      <c r="G27" s="170"/>
      <c r="H27" s="86"/>
      <c r="I27" s="5"/>
      <c r="J27" s="5"/>
      <c r="K27" s="10"/>
      <c r="L27" s="5"/>
      <c r="M27" s="5"/>
      <c r="N27" s="5"/>
      <c r="O27" s="5"/>
      <c r="P27" s="5"/>
      <c r="Q27" s="5"/>
    </row>
    <row r="28" spans="1:17">
      <c r="A28" s="71"/>
      <c r="B28" s="169" t="s">
        <v>138</v>
      </c>
      <c r="C28" s="170"/>
      <c r="D28" s="175"/>
      <c r="E28" s="175"/>
      <c r="F28" s="175"/>
      <c r="G28" s="170"/>
      <c r="H28" s="86"/>
      <c r="I28" s="5"/>
      <c r="J28" s="5"/>
      <c r="K28" s="10"/>
      <c r="L28" s="5"/>
      <c r="M28" s="5"/>
      <c r="N28" s="5"/>
      <c r="O28" s="5"/>
      <c r="P28" s="5"/>
      <c r="Q28" s="5"/>
    </row>
    <row r="29" spans="1:17">
      <c r="A29" s="71"/>
      <c r="B29" s="169" t="s">
        <v>139</v>
      </c>
      <c r="C29" s="176"/>
      <c r="D29" s="177"/>
      <c r="E29" s="178"/>
      <c r="F29" s="178"/>
      <c r="G29" s="179"/>
      <c r="H29" s="87"/>
      <c r="I29" s="5"/>
      <c r="J29" s="5"/>
      <c r="K29" s="10"/>
      <c r="L29" s="5"/>
      <c r="M29" s="5"/>
      <c r="N29" s="5"/>
      <c r="O29" s="5"/>
      <c r="P29" s="5"/>
      <c r="Q29" s="5"/>
    </row>
    <row r="30" spans="1:17">
      <c r="A30" s="71"/>
      <c r="B30" s="169" t="s">
        <v>140</v>
      </c>
      <c r="C30" s="180"/>
      <c r="D30" s="181"/>
      <c r="E30" s="181"/>
      <c r="F30" s="181"/>
      <c r="G30" s="170"/>
      <c r="H30" s="88"/>
      <c r="I30" s="9"/>
      <c r="J30" s="9"/>
      <c r="K30" s="10"/>
      <c r="L30" s="9"/>
      <c r="M30" s="9"/>
      <c r="N30" s="9"/>
      <c r="O30" s="9"/>
      <c r="P30" s="9"/>
      <c r="Q30" s="9"/>
    </row>
    <row r="31" spans="1:17">
      <c r="A31" s="71"/>
      <c r="B31" s="235" t="s">
        <v>141</v>
      </c>
      <c r="C31" s="17"/>
      <c r="D31" s="17"/>
      <c r="E31" s="17"/>
      <c r="F31" s="17"/>
      <c r="G31" s="17"/>
      <c r="H31" s="17"/>
      <c r="I31" s="17"/>
      <c r="J31" s="17"/>
      <c r="K31" s="17"/>
      <c r="L31" s="17"/>
      <c r="M31" s="17"/>
      <c r="N31" s="17"/>
      <c r="O31" s="17"/>
      <c r="P31" s="17"/>
      <c r="Q31" s="17"/>
    </row>
  </sheetData>
  <sheetProtection selectLockedCells="1" selectUnlockedCells="1"/>
  <conditionalFormatting sqref="C31">
    <cfRule type="cellIs" dxfId="760" priority="15" operator="equal">
      <formula>"NO CUMPLE"</formula>
    </cfRule>
    <cfRule type="cellIs" dxfId="759" priority="16" operator="equal">
      <formula>"CUMPLE"</formula>
    </cfRule>
  </conditionalFormatting>
  <conditionalFormatting sqref="D31">
    <cfRule type="cellIs" dxfId="758" priority="13" operator="equal">
      <formula>"NO CUMPLE"</formula>
    </cfRule>
    <cfRule type="cellIs" dxfId="757" priority="14" operator="equal">
      <formula>"CUMPLE"</formula>
    </cfRule>
  </conditionalFormatting>
  <conditionalFormatting sqref="E31">
    <cfRule type="cellIs" dxfId="756" priority="11" operator="equal">
      <formula>"NO CUMPLE"</formula>
    </cfRule>
    <cfRule type="cellIs" dxfId="755" priority="12" operator="equal">
      <formula>"CUMPLE"</formula>
    </cfRule>
  </conditionalFormatting>
  <conditionalFormatting sqref="F31:Q31">
    <cfRule type="cellIs" dxfId="754" priority="9" operator="equal">
      <formula>"NO CUMPLE"</formula>
    </cfRule>
    <cfRule type="cellIs" dxfId="753" priority="10" operator="equal">
      <formula>"CUMPLE"</formula>
    </cfRule>
  </conditionalFormatting>
  <conditionalFormatting sqref="F19:Q19">
    <cfRule type="cellIs" dxfId="752" priority="1" operator="equal">
      <formula>"NO CUMPLE"</formula>
    </cfRule>
    <cfRule type="cellIs" dxfId="751" priority="2" operator="equal">
      <formula>"CUMPLE"</formula>
    </cfRule>
  </conditionalFormatting>
  <conditionalFormatting sqref="C19">
    <cfRule type="cellIs" dxfId="750" priority="7" operator="equal">
      <formula>"NO CUMPLE"</formula>
    </cfRule>
    <cfRule type="cellIs" dxfId="749" priority="8" operator="equal">
      <formula>"CUMPLE"</formula>
    </cfRule>
  </conditionalFormatting>
  <conditionalFormatting sqref="D19">
    <cfRule type="cellIs" dxfId="748" priority="5" operator="equal">
      <formula>"NO CUMPLE"</formula>
    </cfRule>
    <cfRule type="cellIs" dxfId="747" priority="6" operator="equal">
      <formula>"CUMPLE"</formula>
    </cfRule>
  </conditionalFormatting>
  <conditionalFormatting sqref="E19">
    <cfRule type="cellIs" dxfId="746" priority="3" operator="equal">
      <formula>"NO CUMPLE"</formula>
    </cfRule>
    <cfRule type="cellIs" dxfId="745" priority="4" operator="equal">
      <formula>"CUMPLE"</formula>
    </cfRule>
  </conditionalFormatting>
  <dataValidations count="1">
    <dataValidation type="list" allowBlank="1" showInputMessage="1" showErrorMessage="1" sqref="C31:Q31 C19:Q19">
      <formula1>"CUMPLE,NO CUMPLE"</formula1>
    </dataValidation>
  </dataValidations>
  <printOptions horizontalCentered="1"/>
  <pageMargins left="0.39370078740157483" right="0.19685039370078741" top="0.39370078740157483" bottom="0.39370078740157483" header="0.31496062992125984" footer="0.31496062992125984"/>
  <pageSetup scale="10" orientation="portrait" horizontalDpi="300" verticalDpi="300" r:id="rId1"/>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K75"/>
  <sheetViews>
    <sheetView zoomScale="80" zoomScaleNormal="80" workbookViewId="0">
      <selection sqref="A1:AK75"/>
    </sheetView>
  </sheetViews>
  <sheetFormatPr baseColWidth="10" defaultColWidth="11.42578125" defaultRowHeight="30" customHeight="1"/>
  <cols>
    <col min="1" max="1" width="6.140625" style="29" customWidth="1"/>
    <col min="2" max="2" width="6.85546875" style="29" bestFit="1" customWidth="1"/>
    <col min="3" max="3" width="27.85546875" style="27" customWidth="1"/>
    <col min="4" max="4" width="17" style="27" customWidth="1"/>
    <col min="5" max="5" width="18.7109375" style="30" bestFit="1" customWidth="1"/>
    <col min="6" max="6" width="23.140625" style="31" bestFit="1" customWidth="1"/>
    <col min="7" max="7" width="17.7109375" style="31" bestFit="1" customWidth="1"/>
    <col min="8" max="8" width="16.7109375" style="27" customWidth="1"/>
    <col min="9" max="9" width="18" style="27" customWidth="1"/>
    <col min="10" max="10" width="18.42578125" style="27" bestFit="1" customWidth="1"/>
    <col min="11" max="11" width="14.140625" style="27" customWidth="1"/>
    <col min="12" max="12" width="15.42578125" style="27" bestFit="1" customWidth="1"/>
    <col min="13" max="13" width="14.85546875" style="27" customWidth="1"/>
    <col min="14" max="14" width="21.28515625" style="27" customWidth="1"/>
    <col min="15" max="15" width="20.5703125" style="27" customWidth="1"/>
    <col min="16" max="16" width="64.42578125" style="27" customWidth="1"/>
    <col min="17" max="17" width="32.28515625" style="27" customWidth="1"/>
    <col min="18" max="18" width="24.42578125" style="27" customWidth="1"/>
    <col min="19" max="19" width="20.85546875" style="27" customWidth="1"/>
    <col min="20" max="20" width="38.5703125" style="27" customWidth="1"/>
    <col min="21" max="22" width="11.42578125" style="27"/>
    <col min="23" max="23" width="11.42578125" style="32"/>
    <col min="24" max="24" width="39.5703125" style="32" customWidth="1"/>
    <col min="25" max="25" width="22.85546875" style="32" customWidth="1"/>
    <col min="26" max="26" width="32.42578125" style="32" customWidth="1"/>
    <col min="27" max="27" width="11.42578125" style="27"/>
    <col min="28" max="29" width="0" style="27" hidden="1" customWidth="1"/>
    <col min="30" max="30" width="35.140625" style="27" hidden="1" customWidth="1"/>
    <col min="31" max="31" width="15.7109375" style="27" hidden="1" customWidth="1"/>
    <col min="32" max="33" width="0" style="27" hidden="1" customWidth="1"/>
    <col min="34" max="34" width="11.42578125" style="27" hidden="1" customWidth="1"/>
    <col min="35" max="36" width="0" style="27" hidden="1" customWidth="1"/>
    <col min="37" max="16384" width="11.42578125" style="27"/>
  </cols>
  <sheetData>
    <row r="1" spans="1:37" ht="51" customHeight="1">
      <c r="A1" s="602"/>
      <c r="B1" s="603" t="s">
        <v>52</v>
      </c>
      <c r="C1" s="604"/>
      <c r="D1" s="604"/>
      <c r="E1" s="604"/>
      <c r="F1" s="604"/>
      <c r="G1" s="604"/>
      <c r="H1" s="604"/>
      <c r="I1" s="604"/>
      <c r="J1" s="604"/>
      <c r="K1" s="604"/>
      <c r="L1" s="604"/>
      <c r="M1" s="604"/>
      <c r="N1" s="604"/>
      <c r="O1" s="604"/>
      <c r="P1" s="604"/>
      <c r="Q1" s="604"/>
      <c r="R1" s="604"/>
      <c r="S1" s="605"/>
      <c r="T1" s="606"/>
      <c r="U1" s="606"/>
      <c r="V1" s="606"/>
      <c r="W1" s="606"/>
      <c r="X1" s="606"/>
      <c r="Y1" s="606"/>
      <c r="Z1" s="606"/>
      <c r="AA1" s="606"/>
      <c r="AB1" s="606"/>
      <c r="AC1" s="606"/>
      <c r="AD1" s="606"/>
      <c r="AE1" s="606"/>
      <c r="AF1" s="606"/>
      <c r="AG1" s="606"/>
      <c r="AH1" s="606"/>
      <c r="AI1" s="606"/>
      <c r="AJ1" s="606"/>
      <c r="AK1" s="606"/>
    </row>
    <row r="2" spans="1:37" s="28" customFormat="1" ht="12.75" customHeight="1">
      <c r="A2" s="607"/>
      <c r="B2" s="607"/>
      <c r="C2" s="608"/>
      <c r="D2" s="608"/>
      <c r="E2" s="608"/>
      <c r="F2" s="608"/>
      <c r="G2" s="608"/>
      <c r="H2" s="608"/>
      <c r="I2" s="606"/>
      <c r="J2" s="606"/>
      <c r="K2" s="606"/>
      <c r="L2" s="606"/>
      <c r="M2" s="606"/>
      <c r="N2" s="609"/>
      <c r="O2" s="609"/>
      <c r="P2" s="609"/>
      <c r="Q2" s="609"/>
      <c r="R2" s="609"/>
      <c r="S2" s="609"/>
      <c r="T2" s="609"/>
      <c r="U2" s="609"/>
      <c r="V2" s="609"/>
      <c r="W2" s="609"/>
      <c r="X2" s="609"/>
      <c r="Y2" s="609"/>
      <c r="Z2" s="609"/>
      <c r="AA2" s="609"/>
      <c r="AB2" s="609"/>
      <c r="AC2" s="609"/>
      <c r="AD2" s="609"/>
      <c r="AE2" s="609"/>
      <c r="AF2" s="609"/>
      <c r="AG2" s="609"/>
      <c r="AH2" s="609"/>
      <c r="AI2" s="609"/>
      <c r="AJ2" s="609"/>
      <c r="AK2" s="609"/>
    </row>
    <row r="3" spans="1:37" s="28" customFormat="1" ht="288.75" customHeight="1">
      <c r="A3" s="609"/>
      <c r="B3" s="610" t="s">
        <v>142</v>
      </c>
      <c r="C3" s="611"/>
      <c r="D3" s="611"/>
      <c r="E3" s="611"/>
      <c r="F3" s="611"/>
      <c r="G3" s="611"/>
      <c r="H3" s="611"/>
      <c r="I3" s="611"/>
      <c r="J3" s="611"/>
      <c r="K3" s="611"/>
      <c r="L3" s="611"/>
      <c r="M3" s="611"/>
      <c r="N3" s="611"/>
      <c r="O3" s="611"/>
      <c r="P3" s="611"/>
      <c r="Q3" s="611"/>
      <c r="R3" s="611"/>
      <c r="S3" s="612"/>
      <c r="T3" s="609"/>
      <c r="U3" s="609"/>
      <c r="V3" s="609"/>
      <c r="W3" s="609"/>
      <c r="X3" s="609"/>
      <c r="Y3" s="609"/>
      <c r="Z3" s="609"/>
      <c r="AA3" s="609"/>
      <c r="AB3" s="609"/>
      <c r="AC3" s="609"/>
      <c r="AD3" s="609"/>
      <c r="AE3" s="609"/>
      <c r="AF3" s="609"/>
      <c r="AG3" s="609"/>
      <c r="AH3" s="609"/>
      <c r="AI3" s="609"/>
      <c r="AJ3" s="609"/>
      <c r="AK3" s="609"/>
    </row>
    <row r="4" spans="1:37" s="28" customFormat="1" ht="12.75" customHeight="1">
      <c r="A4" s="609"/>
      <c r="B4" s="609"/>
      <c r="C4" s="609"/>
      <c r="D4" s="609"/>
      <c r="E4" s="609"/>
      <c r="F4" s="613"/>
      <c r="G4" s="613"/>
      <c r="H4" s="613"/>
      <c r="I4" s="613"/>
      <c r="J4" s="613"/>
      <c r="K4" s="613"/>
      <c r="L4" s="613"/>
      <c r="M4" s="613"/>
      <c r="N4" s="613"/>
      <c r="O4" s="606"/>
      <c r="P4" s="606"/>
      <c r="Q4" s="609"/>
      <c r="R4" s="609"/>
      <c r="S4" s="609"/>
      <c r="T4" s="609"/>
      <c r="U4" s="609"/>
      <c r="V4" s="609"/>
      <c r="W4" s="609"/>
      <c r="X4" s="609"/>
      <c r="Y4" s="609"/>
      <c r="Z4" s="609"/>
      <c r="AA4" s="609"/>
      <c r="AB4" s="609"/>
      <c r="AC4" s="609"/>
      <c r="AD4" s="609"/>
      <c r="AE4" s="609"/>
      <c r="AF4" s="609"/>
      <c r="AG4" s="609"/>
      <c r="AH4" s="609"/>
      <c r="AI4" s="609"/>
      <c r="AJ4" s="609"/>
      <c r="AK4" s="609"/>
    </row>
    <row r="5" spans="1:37" s="28" customFormat="1" ht="30.75" customHeight="1">
      <c r="A5" s="609"/>
      <c r="B5" s="609"/>
      <c r="C5" s="609"/>
      <c r="D5" s="609"/>
      <c r="E5" s="609"/>
      <c r="F5" s="614" t="s">
        <v>54</v>
      </c>
      <c r="G5" s="615"/>
      <c r="H5" s="616" t="s">
        <v>55</v>
      </c>
      <c r="I5" s="609"/>
      <c r="J5" s="609"/>
      <c r="K5" s="609"/>
      <c r="L5" s="617" t="s">
        <v>29</v>
      </c>
      <c r="M5" s="617"/>
      <c r="N5" s="618" t="s">
        <v>0</v>
      </c>
      <c r="O5" s="618"/>
      <c r="P5" s="619" t="s">
        <v>1</v>
      </c>
      <c r="Q5" s="609"/>
      <c r="R5" s="609"/>
      <c r="S5" s="609"/>
      <c r="T5" s="609"/>
      <c r="U5" s="609"/>
      <c r="V5" s="609"/>
      <c r="W5" s="609"/>
      <c r="X5" s="609"/>
      <c r="Y5" s="609"/>
      <c r="Z5" s="609"/>
      <c r="AA5" s="609"/>
      <c r="AB5" s="609"/>
      <c r="AC5" s="609"/>
      <c r="AD5" s="609"/>
      <c r="AE5" s="609"/>
      <c r="AF5" s="609"/>
      <c r="AG5" s="609"/>
      <c r="AH5" s="609"/>
      <c r="AI5" s="609"/>
      <c r="AJ5" s="609"/>
      <c r="AK5" s="609"/>
    </row>
    <row r="6" spans="1:37" s="28" customFormat="1" ht="48" customHeight="1">
      <c r="A6" s="609"/>
      <c r="B6" s="609"/>
      <c r="C6" s="609"/>
      <c r="D6" s="609"/>
      <c r="E6" s="609"/>
      <c r="F6" s="620">
        <v>828116</v>
      </c>
      <c r="G6" s="621"/>
      <c r="H6" s="622">
        <v>1.5</v>
      </c>
      <c r="I6" s="609"/>
      <c r="J6" s="609"/>
      <c r="K6" s="609"/>
      <c r="L6" s="617"/>
      <c r="M6" s="617"/>
      <c r="N6" s="623">
        <v>162747732</v>
      </c>
      <c r="O6" s="623"/>
      <c r="P6" s="624">
        <f>+ROUND(N6/$F$6,0)</f>
        <v>197</v>
      </c>
      <c r="Q6" s="609"/>
      <c r="R6" s="609"/>
      <c r="S6" s="609"/>
      <c r="T6" s="609"/>
      <c r="U6" s="609"/>
      <c r="V6" s="609"/>
      <c r="W6" s="609"/>
      <c r="X6" s="609"/>
      <c r="Y6" s="609"/>
      <c r="Z6" s="609"/>
      <c r="AA6" s="609"/>
      <c r="AB6" s="609"/>
      <c r="AC6" s="609"/>
      <c r="AD6" s="609"/>
      <c r="AE6" s="609"/>
      <c r="AF6" s="609"/>
      <c r="AG6" s="609"/>
      <c r="AH6" s="609"/>
      <c r="AI6" s="609"/>
      <c r="AJ6" s="609"/>
      <c r="AK6" s="609"/>
    </row>
    <row r="7" spans="1:37" s="28" customFormat="1" ht="12.75" customHeight="1">
      <c r="A7" s="625"/>
      <c r="B7" s="625"/>
      <c r="C7" s="626"/>
      <c r="D7" s="627"/>
      <c r="E7" s="628"/>
      <c r="F7" s="606"/>
      <c r="G7" s="606"/>
      <c r="H7" s="606"/>
      <c r="I7" s="629"/>
      <c r="J7" s="606"/>
      <c r="K7" s="606"/>
      <c r="L7" s="606"/>
      <c r="M7" s="606"/>
      <c r="N7" s="609"/>
      <c r="O7" s="609"/>
      <c r="P7" s="609"/>
      <c r="Q7" s="609"/>
      <c r="R7" s="609"/>
      <c r="S7" s="609"/>
      <c r="T7" s="609"/>
      <c r="U7" s="609"/>
      <c r="V7" s="609"/>
      <c r="W7" s="609"/>
      <c r="X7" s="609"/>
      <c r="Y7" s="609"/>
      <c r="Z7" s="609"/>
      <c r="AA7" s="609"/>
      <c r="AB7" s="609"/>
      <c r="AC7" s="609"/>
      <c r="AD7" s="609"/>
      <c r="AE7" s="609"/>
      <c r="AF7" s="609"/>
      <c r="AG7" s="609"/>
      <c r="AH7" s="609"/>
      <c r="AI7" s="609"/>
      <c r="AJ7" s="609"/>
      <c r="AK7" s="609"/>
    </row>
    <row r="8" spans="1:37" ht="15">
      <c r="A8" s="602"/>
      <c r="B8" s="602"/>
      <c r="C8" s="606"/>
      <c r="D8" s="606"/>
      <c r="E8" s="630"/>
      <c r="F8" s="631"/>
      <c r="G8" s="631"/>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row>
    <row r="9" spans="1:37" ht="15">
      <c r="A9" s="602"/>
      <c r="B9" s="602"/>
      <c r="C9" s="606"/>
      <c r="D9" s="606"/>
      <c r="E9" s="630"/>
      <c r="F9" s="631"/>
      <c r="G9" s="631"/>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row>
    <row r="10" spans="1:37" ht="36" customHeight="1">
      <c r="A10" s="602"/>
      <c r="B10" s="632">
        <v>1</v>
      </c>
      <c r="C10" s="633" t="s">
        <v>63</v>
      </c>
      <c r="D10" s="634"/>
      <c r="E10" s="635"/>
      <c r="F10" s="636" t="str">
        <f>IFERROR(VLOOKUP(B10,LISTA_OFERENTES,2,FALSE)," ")</f>
        <v>FUMIGAX S.A.S.</v>
      </c>
      <c r="G10" s="637"/>
      <c r="H10" s="637"/>
      <c r="I10" s="637"/>
      <c r="J10" s="637"/>
      <c r="K10" s="637"/>
      <c r="L10" s="637"/>
      <c r="M10" s="637"/>
      <c r="N10" s="637"/>
      <c r="O10" s="638"/>
      <c r="P10" s="639" t="s">
        <v>91</v>
      </c>
      <c r="Q10" s="640"/>
      <c r="R10" s="641"/>
      <c r="S10" s="642">
        <f>5-(INT(COUNTBLANK(C13:C27))-10)</f>
        <v>5</v>
      </c>
      <c r="T10" s="643"/>
      <c r="U10" s="606"/>
      <c r="V10" s="606"/>
      <c r="W10" s="644"/>
      <c r="X10" s="644"/>
      <c r="Y10" s="644"/>
      <c r="Z10" s="644"/>
      <c r="AA10" s="606"/>
      <c r="AB10" s="606"/>
      <c r="AC10" s="606"/>
      <c r="AD10" s="606"/>
      <c r="AE10" s="606"/>
      <c r="AF10" s="606"/>
      <c r="AG10" s="606"/>
      <c r="AH10" s="606"/>
      <c r="AI10" s="606"/>
      <c r="AJ10" s="606"/>
      <c r="AK10" s="606"/>
    </row>
    <row r="11" spans="1:37" s="23" customFormat="1" ht="30" customHeight="1">
      <c r="A11" s="645"/>
      <c r="B11" s="646" t="s">
        <v>44</v>
      </c>
      <c r="C11" s="647" t="s">
        <v>14</v>
      </c>
      <c r="D11" s="647" t="s">
        <v>15</v>
      </c>
      <c r="E11" s="647" t="s">
        <v>16</v>
      </c>
      <c r="F11" s="647" t="s">
        <v>17</v>
      </c>
      <c r="G11" s="647" t="s">
        <v>18</v>
      </c>
      <c r="H11" s="647" t="s">
        <v>19</v>
      </c>
      <c r="I11" s="647" t="s">
        <v>20</v>
      </c>
      <c r="J11" s="648" t="s">
        <v>49</v>
      </c>
      <c r="K11" s="649"/>
      <c r="L11" s="649"/>
      <c r="M11" s="650"/>
      <c r="N11" s="647" t="s">
        <v>64</v>
      </c>
      <c r="O11" s="647" t="s">
        <v>65</v>
      </c>
      <c r="P11" s="651" t="s">
        <v>66</v>
      </c>
      <c r="Q11" s="651"/>
      <c r="R11" s="647" t="s">
        <v>67</v>
      </c>
      <c r="S11" s="647" t="s">
        <v>68</v>
      </c>
      <c r="T11" s="647" t="s">
        <v>143</v>
      </c>
      <c r="U11" s="652"/>
      <c r="V11" s="652"/>
      <c r="W11" s="653" t="s">
        <v>83</v>
      </c>
      <c r="X11" s="654"/>
      <c r="Y11" s="655"/>
      <c r="Z11" s="656" t="s">
        <v>84</v>
      </c>
      <c r="AA11" s="645"/>
      <c r="AB11" s="645"/>
      <c r="AC11" s="645"/>
      <c r="AD11" s="645"/>
      <c r="AE11" s="645"/>
      <c r="AF11" s="645"/>
      <c r="AG11" s="645"/>
      <c r="AH11" s="645"/>
      <c r="AI11" s="645"/>
      <c r="AJ11" s="645"/>
      <c r="AK11" s="645"/>
    </row>
    <row r="12" spans="1:37" s="23" customFormat="1" ht="90.75" customHeight="1">
      <c r="A12" s="645"/>
      <c r="B12" s="657"/>
      <c r="C12" s="658"/>
      <c r="D12" s="658"/>
      <c r="E12" s="658"/>
      <c r="F12" s="658"/>
      <c r="G12" s="658"/>
      <c r="H12" s="658"/>
      <c r="I12" s="658"/>
      <c r="J12" s="659" t="s">
        <v>122</v>
      </c>
      <c r="K12" s="660"/>
      <c r="L12" s="660"/>
      <c r="M12" s="661"/>
      <c r="N12" s="658"/>
      <c r="O12" s="658"/>
      <c r="P12" s="662" t="s">
        <v>13</v>
      </c>
      <c r="Q12" s="662" t="s">
        <v>69</v>
      </c>
      <c r="R12" s="658"/>
      <c r="S12" s="658"/>
      <c r="T12" s="658"/>
      <c r="U12" s="652"/>
      <c r="V12" s="652"/>
      <c r="W12" s="663">
        <v>1</v>
      </c>
      <c r="X12" s="664" t="str">
        <f>IFERROR(VLOOKUP(W12,LISTA_OFERENTES,2,FALSE)," ")</f>
        <v>FUMIGAX S.A.S.</v>
      </c>
      <c r="Y12" s="664" t="str">
        <f t="shared" ref="Y12:Y16" ca="1" si="0">VLOOKUP(X12,BANDERA,2,FALSE)</f>
        <v>NO CUMPLE</v>
      </c>
      <c r="Z12" s="665" t="str">
        <f ca="1">IF(Y12="CUMPLE","H","NH")</f>
        <v>NH</v>
      </c>
      <c r="AA12" s="645"/>
      <c r="AB12" s="645"/>
      <c r="AC12" s="645"/>
      <c r="AD12" s="664" t="str">
        <f>X12</f>
        <v>FUMIGAX S.A.S.</v>
      </c>
      <c r="AE12" s="666" t="str">
        <f ca="1">INDIRECT("T"&amp;AH12)</f>
        <v>NO CUMPLE</v>
      </c>
      <c r="AF12" s="645"/>
      <c r="AG12" s="665" t="s">
        <v>99</v>
      </c>
      <c r="AH12" s="667">
        <v>28</v>
      </c>
      <c r="AI12" s="668"/>
      <c r="AJ12" s="645"/>
      <c r="AK12" s="645"/>
    </row>
    <row r="13" spans="1:37" s="22" customFormat="1" ht="24.95" customHeight="1">
      <c r="A13" s="669"/>
      <c r="B13" s="670">
        <v>1</v>
      </c>
      <c r="C13" s="671">
        <v>1</v>
      </c>
      <c r="D13" s="672" t="s">
        <v>249</v>
      </c>
      <c r="E13" s="672"/>
      <c r="F13" s="672" t="s">
        <v>251</v>
      </c>
      <c r="G13" s="673">
        <v>584.14</v>
      </c>
      <c r="H13" s="674"/>
      <c r="I13" s="675">
        <v>0.05</v>
      </c>
      <c r="J13" s="676" t="s">
        <v>255</v>
      </c>
      <c r="K13" s="677">
        <v>721021</v>
      </c>
      <c r="L13" s="676"/>
      <c r="M13" s="677"/>
      <c r="N13" s="678" t="s">
        <v>111</v>
      </c>
      <c r="O13" s="678" t="s">
        <v>282</v>
      </c>
      <c r="P13" s="679" t="s">
        <v>276</v>
      </c>
      <c r="Q13" s="680" t="s">
        <v>113</v>
      </c>
      <c r="R13" s="680" t="s">
        <v>277</v>
      </c>
      <c r="S13" s="681">
        <f>IF(COUNTIF(J13:M15,"CUMPLE")&gt;=1,(G13*I13),0)* (IF(N13="PRESENTÓ CERTIFICADO",1,0))* (IF(O13="ACORDE A ITEM 5.2.1 (T.R.)",1,0) )* ( IF(OR(Q13="SIN OBSERVACIÓN", Q13="REQUERIMIENTOS SUBSANADOS"),1,0)) *(IF(OR(R13="NINGUNO", R13="CUMPLEN CON LO SOLICITADO"),1,0))</f>
        <v>0</v>
      </c>
      <c r="T13" s="682" t="s">
        <v>115</v>
      </c>
      <c r="U13" s="683"/>
      <c r="V13" s="683"/>
      <c r="W13" s="663">
        <v>2</v>
      </c>
      <c r="X13" s="664" t="str">
        <f t="shared" ref="X13:X16" si="1">IFERROR(VLOOKUP(W13,LISTA_OFERENTES,2,FALSE)," ")</f>
        <v>Truly Nolen Soluciones S.A.</v>
      </c>
      <c r="Y13" s="664" t="str">
        <f t="shared" ca="1" si="0"/>
        <v>CUMPLE</v>
      </c>
      <c r="Z13" s="665" t="str">
        <f t="shared" ref="Z13:Z26" ca="1" si="2">IF(Y13="CUMPLE","H","NH")</f>
        <v>H</v>
      </c>
      <c r="AA13" s="683"/>
      <c r="AB13" s="683"/>
      <c r="AC13" s="683"/>
      <c r="AD13" s="664" t="str">
        <f t="shared" ref="AD13:AD26" si="3">X13</f>
        <v>Truly Nolen Soluciones S.A.</v>
      </c>
      <c r="AE13" s="666" t="str">
        <f t="shared" ref="AE13:AE26" ca="1" si="4">INDIRECT("T"&amp;AH13)</f>
        <v>CUMPLE</v>
      </c>
      <c r="AF13" s="645"/>
      <c r="AG13" s="665" t="s">
        <v>99</v>
      </c>
      <c r="AH13" s="667">
        <f t="shared" ref="AH13:AH26" si="5">AH12+AI$13</f>
        <v>50</v>
      </c>
      <c r="AI13" s="684">
        <v>22</v>
      </c>
      <c r="AJ13" s="683"/>
      <c r="AK13" s="683"/>
    </row>
    <row r="14" spans="1:37" s="22" customFormat="1" ht="24.95" customHeight="1">
      <c r="A14" s="669"/>
      <c r="B14" s="685"/>
      <c r="C14" s="686"/>
      <c r="D14" s="687"/>
      <c r="E14" s="687"/>
      <c r="F14" s="687"/>
      <c r="G14" s="688"/>
      <c r="H14" s="689"/>
      <c r="I14" s="690"/>
      <c r="J14" s="676"/>
      <c r="K14" s="691"/>
      <c r="L14" s="692"/>
      <c r="M14" s="684"/>
      <c r="N14" s="693"/>
      <c r="O14" s="693"/>
      <c r="P14" s="694"/>
      <c r="Q14" s="695"/>
      <c r="R14" s="695"/>
      <c r="S14" s="696"/>
      <c r="T14" s="697"/>
      <c r="U14" s="683"/>
      <c r="V14" s="683"/>
      <c r="W14" s="663">
        <v>3</v>
      </c>
      <c r="X14" s="664" t="str">
        <f t="shared" si="1"/>
        <v>Alfa Control S.A.S.</v>
      </c>
      <c r="Y14" s="664" t="str">
        <f t="shared" ca="1" si="0"/>
        <v>NO CUMPLE</v>
      </c>
      <c r="Z14" s="665" t="str">
        <f t="shared" ca="1" si="2"/>
        <v>NH</v>
      </c>
      <c r="AA14" s="683"/>
      <c r="AB14" s="683"/>
      <c r="AC14" s="683"/>
      <c r="AD14" s="664" t="str">
        <f t="shared" si="3"/>
        <v>Alfa Control S.A.S.</v>
      </c>
      <c r="AE14" s="666" t="str">
        <f t="shared" ca="1" si="4"/>
        <v>NO CUMPLE</v>
      </c>
      <c r="AF14" s="645"/>
      <c r="AG14" s="665" t="s">
        <v>99</v>
      </c>
      <c r="AH14" s="667">
        <f t="shared" si="5"/>
        <v>72</v>
      </c>
      <c r="AI14" s="698"/>
      <c r="AJ14" s="683"/>
      <c r="AK14" s="683"/>
    </row>
    <row r="15" spans="1:37" s="22" customFormat="1" ht="24.95" customHeight="1">
      <c r="A15" s="669"/>
      <c r="B15" s="699"/>
      <c r="C15" s="700"/>
      <c r="D15" s="701"/>
      <c r="E15" s="701"/>
      <c r="F15" s="701"/>
      <c r="G15" s="702"/>
      <c r="H15" s="703"/>
      <c r="I15" s="704"/>
      <c r="J15" s="676"/>
      <c r="K15" s="691"/>
      <c r="L15" s="705"/>
      <c r="M15" s="706"/>
      <c r="N15" s="707"/>
      <c r="O15" s="707"/>
      <c r="P15" s="708"/>
      <c r="Q15" s="709"/>
      <c r="R15" s="709"/>
      <c r="S15" s="710"/>
      <c r="T15" s="697"/>
      <c r="U15" s="683"/>
      <c r="V15" s="683"/>
      <c r="W15" s="663">
        <v>4</v>
      </c>
      <c r="X15" s="664">
        <f t="shared" si="1"/>
        <v>0</v>
      </c>
      <c r="Y15" s="664">
        <f t="shared" ca="1" si="0"/>
        <v>0</v>
      </c>
      <c r="Z15" s="665" t="str">
        <f t="shared" ca="1" si="2"/>
        <v>NH</v>
      </c>
      <c r="AA15" s="683"/>
      <c r="AB15" s="683"/>
      <c r="AC15" s="683"/>
      <c r="AD15" s="664">
        <f t="shared" si="3"/>
        <v>0</v>
      </c>
      <c r="AE15" s="666">
        <f t="shared" ca="1" si="4"/>
        <v>0</v>
      </c>
      <c r="AF15" s="645"/>
      <c r="AG15" s="665" t="s">
        <v>99</v>
      </c>
      <c r="AH15" s="667">
        <f t="shared" si="5"/>
        <v>94</v>
      </c>
      <c r="AI15" s="698"/>
      <c r="AJ15" s="683"/>
      <c r="AK15" s="683"/>
    </row>
    <row r="16" spans="1:37" s="22" customFormat="1" ht="24.95" customHeight="1">
      <c r="A16" s="669"/>
      <c r="B16" s="670">
        <v>2</v>
      </c>
      <c r="C16" s="671">
        <v>2</v>
      </c>
      <c r="D16" s="711" t="s">
        <v>249</v>
      </c>
      <c r="E16" s="671"/>
      <c r="F16" s="671" t="s">
        <v>252</v>
      </c>
      <c r="G16" s="712">
        <v>258.11</v>
      </c>
      <c r="H16" s="674"/>
      <c r="I16" s="713">
        <v>0.05</v>
      </c>
      <c r="J16" s="676" t="s">
        <v>254</v>
      </c>
      <c r="K16" s="677">
        <v>721021</v>
      </c>
      <c r="L16" s="676"/>
      <c r="M16" s="691"/>
      <c r="N16" s="678" t="s">
        <v>279</v>
      </c>
      <c r="O16" s="678" t="s">
        <v>257</v>
      </c>
      <c r="P16" s="679" t="s">
        <v>278</v>
      </c>
      <c r="Q16" s="714" t="s">
        <v>113</v>
      </c>
      <c r="R16" s="714" t="s">
        <v>277</v>
      </c>
      <c r="S16" s="681">
        <f>IF(COUNTIF(J16:M18,"CUMPLE")&gt;=1,(G16*I16),0)* (IF(N16="PRESENTÓ CERTIFICADO",1,0))* (IF(O16="ACORDE A ITEM 5.2.1 (T.R.)",1,0) )* ( IF(OR(Q16="SIN OBSERVACIÓN", Q16="REQUERIMIENTOS SUBSANADOS"),1,0)) *(IF(OR(R16="NINGUNO", R16="CUMPLEN CON LO SOLICITADO"),1,0))</f>
        <v>0</v>
      </c>
      <c r="T16" s="697"/>
      <c r="U16" s="683"/>
      <c r="V16" s="683"/>
      <c r="W16" s="663">
        <v>5</v>
      </c>
      <c r="X16" s="664">
        <f t="shared" si="1"/>
        <v>0</v>
      </c>
      <c r="Y16" s="664">
        <f t="shared" ca="1" si="0"/>
        <v>0</v>
      </c>
      <c r="Z16" s="665" t="str">
        <f t="shared" ca="1" si="2"/>
        <v>NH</v>
      </c>
      <c r="AA16" s="683"/>
      <c r="AB16" s="683"/>
      <c r="AC16" s="683"/>
      <c r="AD16" s="664">
        <f t="shared" si="3"/>
        <v>0</v>
      </c>
      <c r="AE16" s="666">
        <f t="shared" ca="1" si="4"/>
        <v>0</v>
      </c>
      <c r="AF16" s="645"/>
      <c r="AG16" s="665" t="s">
        <v>99</v>
      </c>
      <c r="AH16" s="667">
        <f t="shared" si="5"/>
        <v>116</v>
      </c>
      <c r="AI16" s="698"/>
      <c r="AJ16" s="683"/>
      <c r="AK16" s="683"/>
    </row>
    <row r="17" spans="1:37" s="22" customFormat="1" ht="24.95" customHeight="1">
      <c r="A17" s="669"/>
      <c r="B17" s="685"/>
      <c r="C17" s="686"/>
      <c r="D17" s="711"/>
      <c r="E17" s="686"/>
      <c r="F17" s="686"/>
      <c r="G17" s="715"/>
      <c r="H17" s="689"/>
      <c r="I17" s="716"/>
      <c r="J17" s="676"/>
      <c r="K17" s="691"/>
      <c r="L17" s="692"/>
      <c r="M17" s="717"/>
      <c r="N17" s="693"/>
      <c r="O17" s="693"/>
      <c r="P17" s="694"/>
      <c r="Q17" s="718"/>
      <c r="R17" s="718"/>
      <c r="S17" s="696"/>
      <c r="T17" s="697"/>
      <c r="U17" s="683"/>
      <c r="V17" s="683"/>
      <c r="W17" s="663">
        <v>6</v>
      </c>
      <c r="X17" s="664">
        <f t="shared" ref="X17:X26" si="6">IFERROR(VLOOKUP(W17,LISTA_OFERENTES,2,FALSE)," ")</f>
        <v>0</v>
      </c>
      <c r="Y17" s="664">
        <f t="shared" ref="Y17:Y26" ca="1" si="7">VLOOKUP(X17,BANDERA,2,FALSE)</f>
        <v>0</v>
      </c>
      <c r="Z17" s="665" t="str">
        <f t="shared" ca="1" si="2"/>
        <v>NH</v>
      </c>
      <c r="AA17" s="683"/>
      <c r="AB17" s="683"/>
      <c r="AC17" s="683"/>
      <c r="AD17" s="664">
        <f t="shared" si="3"/>
        <v>0</v>
      </c>
      <c r="AE17" s="666">
        <f t="shared" ca="1" si="4"/>
        <v>0</v>
      </c>
      <c r="AF17" s="645"/>
      <c r="AG17" s="665" t="s">
        <v>99</v>
      </c>
      <c r="AH17" s="667">
        <f t="shared" si="5"/>
        <v>138</v>
      </c>
      <c r="AI17" s="698"/>
      <c r="AJ17" s="683"/>
      <c r="AK17" s="683"/>
    </row>
    <row r="18" spans="1:37" s="22" customFormat="1" ht="24.95" customHeight="1">
      <c r="A18" s="669"/>
      <c r="B18" s="699"/>
      <c r="C18" s="700"/>
      <c r="D18" s="711"/>
      <c r="E18" s="700"/>
      <c r="F18" s="700"/>
      <c r="G18" s="719"/>
      <c r="H18" s="703"/>
      <c r="I18" s="720"/>
      <c r="J18" s="676"/>
      <c r="K18" s="691"/>
      <c r="L18" s="705"/>
      <c r="M18" s="721"/>
      <c r="N18" s="707"/>
      <c r="O18" s="707"/>
      <c r="P18" s="708"/>
      <c r="Q18" s="722"/>
      <c r="R18" s="722"/>
      <c r="S18" s="710"/>
      <c r="T18" s="697"/>
      <c r="U18" s="683"/>
      <c r="V18" s="683"/>
      <c r="W18" s="663">
        <v>7</v>
      </c>
      <c r="X18" s="664">
        <f t="shared" si="6"/>
        <v>0</v>
      </c>
      <c r="Y18" s="664">
        <f t="shared" ca="1" si="7"/>
        <v>0</v>
      </c>
      <c r="Z18" s="665" t="str">
        <f t="shared" ca="1" si="2"/>
        <v>NH</v>
      </c>
      <c r="AA18" s="683"/>
      <c r="AB18" s="683"/>
      <c r="AC18" s="683"/>
      <c r="AD18" s="723">
        <f t="shared" si="3"/>
        <v>0</v>
      </c>
      <c r="AE18" s="724">
        <f t="shared" ca="1" si="4"/>
        <v>0</v>
      </c>
      <c r="AF18" s="725"/>
      <c r="AG18" s="726" t="s">
        <v>99</v>
      </c>
      <c r="AH18" s="727">
        <f t="shared" si="5"/>
        <v>160</v>
      </c>
      <c r="AI18" s="698"/>
      <c r="AJ18" s="683"/>
      <c r="AK18" s="683"/>
    </row>
    <row r="19" spans="1:37" s="22" customFormat="1" ht="24.95" customHeight="1">
      <c r="A19" s="669"/>
      <c r="B19" s="670">
        <v>3</v>
      </c>
      <c r="C19" s="672">
        <v>4</v>
      </c>
      <c r="D19" s="672" t="s">
        <v>249</v>
      </c>
      <c r="E19" s="672" t="s">
        <v>258</v>
      </c>
      <c r="F19" s="672" t="s">
        <v>256</v>
      </c>
      <c r="G19" s="673">
        <v>358.18</v>
      </c>
      <c r="H19" s="674"/>
      <c r="I19" s="675">
        <v>0.05</v>
      </c>
      <c r="J19" s="676" t="s">
        <v>255</v>
      </c>
      <c r="K19" s="677">
        <v>721021</v>
      </c>
      <c r="L19" s="676"/>
      <c r="M19" s="677"/>
      <c r="N19" s="678" t="s">
        <v>111</v>
      </c>
      <c r="O19" s="678" t="s">
        <v>282</v>
      </c>
      <c r="P19" s="679" t="s">
        <v>259</v>
      </c>
      <c r="Q19" s="680" t="s">
        <v>113</v>
      </c>
      <c r="R19" s="680" t="s">
        <v>260</v>
      </c>
      <c r="S19" s="681">
        <f>IF(COUNTIF(J19:M21,"CUMPLE")&gt;=1,(G19*I19),0)* (IF(N19="PRESENTÓ CERTIFICADO",1,0))* (IF(O19="ACORDE A ITEM 5.2.1 (T.R.)",1,0) )* ( IF(OR(Q19="SIN OBSERVACIÓN", Q19="REQUERIMIENTOS SUBSANADOS"),1,0)) *(IF(OR(R19="NINGUNO", R19="CUMPLEN CON LO SOLICITADO"),1,0))</f>
        <v>0</v>
      </c>
      <c r="T19" s="697"/>
      <c r="U19" s="683"/>
      <c r="V19" s="683"/>
      <c r="W19" s="663">
        <v>8</v>
      </c>
      <c r="X19" s="664">
        <f t="shared" si="6"/>
        <v>0</v>
      </c>
      <c r="Y19" s="664">
        <f t="shared" ca="1" si="7"/>
        <v>0</v>
      </c>
      <c r="Z19" s="665" t="str">
        <f t="shared" ca="1" si="2"/>
        <v>NH</v>
      </c>
      <c r="AA19" s="683"/>
      <c r="AB19" s="683"/>
      <c r="AC19" s="683"/>
      <c r="AD19" s="723">
        <f t="shared" si="3"/>
        <v>0</v>
      </c>
      <c r="AE19" s="724">
        <f t="shared" ca="1" si="4"/>
        <v>0</v>
      </c>
      <c r="AF19" s="725"/>
      <c r="AG19" s="726" t="s">
        <v>99</v>
      </c>
      <c r="AH19" s="727">
        <f t="shared" si="5"/>
        <v>182</v>
      </c>
      <c r="AI19" s="698"/>
      <c r="AJ19" s="683"/>
      <c r="AK19" s="683"/>
    </row>
    <row r="20" spans="1:37" s="22" customFormat="1" ht="24.95" customHeight="1">
      <c r="A20" s="669"/>
      <c r="B20" s="685"/>
      <c r="C20" s="687"/>
      <c r="D20" s="687"/>
      <c r="E20" s="687"/>
      <c r="F20" s="687"/>
      <c r="G20" s="688"/>
      <c r="H20" s="689"/>
      <c r="I20" s="690"/>
      <c r="J20" s="676"/>
      <c r="K20" s="691"/>
      <c r="L20" s="692"/>
      <c r="M20" s="684"/>
      <c r="N20" s="693"/>
      <c r="O20" s="693"/>
      <c r="P20" s="694"/>
      <c r="Q20" s="695"/>
      <c r="R20" s="695"/>
      <c r="S20" s="696"/>
      <c r="T20" s="697"/>
      <c r="U20" s="683"/>
      <c r="V20" s="683"/>
      <c r="W20" s="663">
        <v>9</v>
      </c>
      <c r="X20" s="664">
        <f t="shared" si="6"/>
        <v>0</v>
      </c>
      <c r="Y20" s="664">
        <f t="shared" ca="1" si="7"/>
        <v>0</v>
      </c>
      <c r="Z20" s="665" t="str">
        <f t="shared" ca="1" si="2"/>
        <v>NH</v>
      </c>
      <c r="AA20" s="683"/>
      <c r="AB20" s="683"/>
      <c r="AC20" s="683"/>
      <c r="AD20" s="723">
        <f t="shared" si="3"/>
        <v>0</v>
      </c>
      <c r="AE20" s="724">
        <f t="shared" ca="1" si="4"/>
        <v>0</v>
      </c>
      <c r="AF20" s="725"/>
      <c r="AG20" s="726" t="s">
        <v>99</v>
      </c>
      <c r="AH20" s="727">
        <f t="shared" si="5"/>
        <v>204</v>
      </c>
      <c r="AI20" s="698"/>
      <c r="AJ20" s="683"/>
      <c r="AK20" s="683"/>
    </row>
    <row r="21" spans="1:37" s="22" customFormat="1" ht="24.95" customHeight="1">
      <c r="A21" s="669"/>
      <c r="B21" s="699"/>
      <c r="C21" s="701"/>
      <c r="D21" s="701"/>
      <c r="E21" s="701"/>
      <c r="F21" s="701"/>
      <c r="G21" s="702"/>
      <c r="H21" s="703"/>
      <c r="I21" s="704"/>
      <c r="J21" s="676"/>
      <c r="K21" s="691"/>
      <c r="L21" s="705"/>
      <c r="M21" s="706"/>
      <c r="N21" s="707"/>
      <c r="O21" s="707"/>
      <c r="P21" s="708"/>
      <c r="Q21" s="709"/>
      <c r="R21" s="709"/>
      <c r="S21" s="710"/>
      <c r="T21" s="697"/>
      <c r="U21" s="683"/>
      <c r="V21" s="683"/>
      <c r="W21" s="663">
        <v>10</v>
      </c>
      <c r="X21" s="664">
        <f t="shared" si="6"/>
        <v>0</v>
      </c>
      <c r="Y21" s="664">
        <f t="shared" ca="1" si="7"/>
        <v>0</v>
      </c>
      <c r="Z21" s="665" t="str">
        <f t="shared" ca="1" si="2"/>
        <v>NH</v>
      </c>
      <c r="AA21" s="683"/>
      <c r="AB21" s="683"/>
      <c r="AC21" s="683"/>
      <c r="AD21" s="723">
        <f t="shared" si="3"/>
        <v>0</v>
      </c>
      <c r="AE21" s="724">
        <f t="shared" ca="1" si="4"/>
        <v>0</v>
      </c>
      <c r="AF21" s="725"/>
      <c r="AG21" s="726" t="s">
        <v>99</v>
      </c>
      <c r="AH21" s="727">
        <f t="shared" si="5"/>
        <v>226</v>
      </c>
      <c r="AI21" s="698"/>
      <c r="AJ21" s="683"/>
      <c r="AK21" s="683"/>
    </row>
    <row r="22" spans="1:37" s="22" customFormat="1" ht="24.95" customHeight="1">
      <c r="A22" s="669"/>
      <c r="B22" s="670">
        <v>4</v>
      </c>
      <c r="C22" s="671">
        <v>7</v>
      </c>
      <c r="D22" s="671" t="s">
        <v>250</v>
      </c>
      <c r="E22" s="671"/>
      <c r="F22" s="671" t="s">
        <v>252</v>
      </c>
      <c r="G22" s="712">
        <v>147.27000000000001</v>
      </c>
      <c r="H22" s="674"/>
      <c r="I22" s="713">
        <v>0.02</v>
      </c>
      <c r="J22" s="676" t="s">
        <v>255</v>
      </c>
      <c r="K22" s="677">
        <v>721021</v>
      </c>
      <c r="L22" s="676"/>
      <c r="M22" s="691"/>
      <c r="N22" s="728" t="s">
        <v>111</v>
      </c>
      <c r="O22" s="728" t="s">
        <v>112</v>
      </c>
      <c r="P22" s="729"/>
      <c r="Q22" s="730" t="s">
        <v>113</v>
      </c>
      <c r="R22" s="730" t="s">
        <v>114</v>
      </c>
      <c r="S22" s="681">
        <f>IF(COUNTIF(J22:M24,"CUMPLE")&gt;=1,(G22*I22),0)* (IF(N22="PRESENTÓ CERTIFICADO",1,0))* (IF(O22="ACORDE A ITEM 5.2.1 (T.R.)",1,0) )* ( IF(OR(Q22="SIN OBSERVACIÓN", Q22="REQUERIMIENTOS SUBSANADOS"),1,0)) *(IF(OR(R22="NINGUNO", R22="CUMPLEN CON LO SOLICITADO"),1,0))</f>
        <v>2.9454000000000002</v>
      </c>
      <c r="T22" s="697"/>
      <c r="U22" s="683"/>
      <c r="V22" s="683"/>
      <c r="W22" s="663">
        <v>11</v>
      </c>
      <c r="X22" s="664">
        <f t="shared" si="6"/>
        <v>0</v>
      </c>
      <c r="Y22" s="664">
        <f t="shared" ca="1" si="7"/>
        <v>0</v>
      </c>
      <c r="Z22" s="665" t="str">
        <f t="shared" ca="1" si="2"/>
        <v>NH</v>
      </c>
      <c r="AA22" s="683"/>
      <c r="AB22" s="683"/>
      <c r="AC22" s="683"/>
      <c r="AD22" s="723">
        <f t="shared" si="3"/>
        <v>0</v>
      </c>
      <c r="AE22" s="724">
        <f t="shared" ca="1" si="4"/>
        <v>0</v>
      </c>
      <c r="AF22" s="725"/>
      <c r="AG22" s="726" t="s">
        <v>99</v>
      </c>
      <c r="AH22" s="727">
        <f t="shared" si="5"/>
        <v>248</v>
      </c>
      <c r="AI22" s="698"/>
      <c r="AJ22" s="683"/>
      <c r="AK22" s="683"/>
    </row>
    <row r="23" spans="1:37" s="22" customFormat="1" ht="24.95" customHeight="1">
      <c r="A23" s="669"/>
      <c r="B23" s="685"/>
      <c r="C23" s="686"/>
      <c r="D23" s="686"/>
      <c r="E23" s="686"/>
      <c r="F23" s="686"/>
      <c r="G23" s="715"/>
      <c r="H23" s="689"/>
      <c r="I23" s="716"/>
      <c r="J23" s="676"/>
      <c r="K23" s="691"/>
      <c r="L23" s="692"/>
      <c r="M23" s="717"/>
      <c r="N23" s="731"/>
      <c r="O23" s="731"/>
      <c r="P23" s="732"/>
      <c r="Q23" s="733"/>
      <c r="R23" s="733"/>
      <c r="S23" s="696"/>
      <c r="T23" s="697"/>
      <c r="U23" s="683"/>
      <c r="V23" s="683"/>
      <c r="W23" s="663">
        <v>12</v>
      </c>
      <c r="X23" s="664">
        <f t="shared" si="6"/>
        <v>0</v>
      </c>
      <c r="Y23" s="664">
        <f t="shared" ca="1" si="7"/>
        <v>0</v>
      </c>
      <c r="Z23" s="665" t="str">
        <f t="shared" ca="1" si="2"/>
        <v>NH</v>
      </c>
      <c r="AA23" s="683"/>
      <c r="AB23" s="683"/>
      <c r="AC23" s="683"/>
      <c r="AD23" s="723">
        <f t="shared" si="3"/>
        <v>0</v>
      </c>
      <c r="AE23" s="724">
        <f t="shared" ca="1" si="4"/>
        <v>0</v>
      </c>
      <c r="AF23" s="725"/>
      <c r="AG23" s="726" t="s">
        <v>99</v>
      </c>
      <c r="AH23" s="727">
        <f t="shared" si="5"/>
        <v>270</v>
      </c>
      <c r="AI23" s="698"/>
      <c r="AJ23" s="683"/>
      <c r="AK23" s="683"/>
    </row>
    <row r="24" spans="1:37" s="22" customFormat="1" ht="24.95" customHeight="1">
      <c r="A24" s="669"/>
      <c r="B24" s="699"/>
      <c r="C24" s="700"/>
      <c r="D24" s="700"/>
      <c r="E24" s="700"/>
      <c r="F24" s="700"/>
      <c r="G24" s="719"/>
      <c r="H24" s="703"/>
      <c r="I24" s="720"/>
      <c r="J24" s="676"/>
      <c r="K24" s="691"/>
      <c r="L24" s="705"/>
      <c r="M24" s="721"/>
      <c r="N24" s="734"/>
      <c r="O24" s="734"/>
      <c r="P24" s="735"/>
      <c r="Q24" s="736"/>
      <c r="R24" s="736"/>
      <c r="S24" s="710"/>
      <c r="T24" s="697"/>
      <c r="U24" s="683"/>
      <c r="V24" s="683"/>
      <c r="W24" s="663">
        <v>13</v>
      </c>
      <c r="X24" s="664">
        <f t="shared" si="6"/>
        <v>0</v>
      </c>
      <c r="Y24" s="664">
        <f t="shared" ca="1" si="7"/>
        <v>0</v>
      </c>
      <c r="Z24" s="665" t="str">
        <f t="shared" ca="1" si="2"/>
        <v>NH</v>
      </c>
      <c r="AA24" s="683"/>
      <c r="AB24" s="683"/>
      <c r="AC24" s="683"/>
      <c r="AD24" s="723">
        <f t="shared" si="3"/>
        <v>0</v>
      </c>
      <c r="AE24" s="724">
        <f t="shared" ca="1" si="4"/>
        <v>0</v>
      </c>
      <c r="AF24" s="725"/>
      <c r="AG24" s="726" t="s">
        <v>99</v>
      </c>
      <c r="AH24" s="727">
        <f t="shared" si="5"/>
        <v>292</v>
      </c>
      <c r="AI24" s="698"/>
      <c r="AJ24" s="683"/>
      <c r="AK24" s="683"/>
    </row>
    <row r="25" spans="1:37" s="22" customFormat="1" ht="24.95" customHeight="1">
      <c r="A25" s="669"/>
      <c r="B25" s="670">
        <v>5</v>
      </c>
      <c r="C25" s="672">
        <v>6</v>
      </c>
      <c r="D25" s="672" t="s">
        <v>250</v>
      </c>
      <c r="E25" s="672"/>
      <c r="F25" s="672" t="s">
        <v>253</v>
      </c>
      <c r="G25" s="673">
        <v>53.35</v>
      </c>
      <c r="H25" s="674"/>
      <c r="I25" s="675">
        <v>0.01</v>
      </c>
      <c r="J25" s="676" t="s">
        <v>255</v>
      </c>
      <c r="K25" s="677">
        <v>721021</v>
      </c>
      <c r="L25" s="676"/>
      <c r="M25" s="677"/>
      <c r="N25" s="728" t="s">
        <v>111</v>
      </c>
      <c r="O25" s="728" t="s">
        <v>281</v>
      </c>
      <c r="P25" s="737" t="s">
        <v>280</v>
      </c>
      <c r="Q25" s="738"/>
      <c r="R25" s="738"/>
      <c r="S25" s="681">
        <f>IF(COUNTIF(J25:M27,"CUMPLE")&gt;=1,(G25*I25),0)* (IF(N25="PRESENTÓ CERTIFICADO",1,0))* (IF(O25="ACORDE A ITEM 5.2.1 (T.R.)",1,0) )* ( IF(OR(Q25="SIN OBSERVACIÓN", Q25="REQUERIMIENTOS SUBSANADOS"),1,0)) *(IF(OR(R25="NINGUNO", R25="CUMPLEN CON LO SOLICITADO"),1,0))</f>
        <v>0</v>
      </c>
      <c r="T25" s="697"/>
      <c r="U25" s="683"/>
      <c r="V25" s="683"/>
      <c r="W25" s="663">
        <v>14</v>
      </c>
      <c r="X25" s="664">
        <f t="shared" si="6"/>
        <v>0</v>
      </c>
      <c r="Y25" s="664">
        <f t="shared" ca="1" si="7"/>
        <v>0</v>
      </c>
      <c r="Z25" s="665" t="str">
        <f t="shared" ca="1" si="2"/>
        <v>NH</v>
      </c>
      <c r="AA25" s="683"/>
      <c r="AB25" s="683"/>
      <c r="AC25" s="683"/>
      <c r="AD25" s="723">
        <f t="shared" si="3"/>
        <v>0</v>
      </c>
      <c r="AE25" s="724">
        <f t="shared" ca="1" si="4"/>
        <v>0</v>
      </c>
      <c r="AF25" s="725"/>
      <c r="AG25" s="726" t="s">
        <v>99</v>
      </c>
      <c r="AH25" s="727">
        <f t="shared" si="5"/>
        <v>314</v>
      </c>
      <c r="AI25" s="698"/>
      <c r="AJ25" s="683"/>
      <c r="AK25" s="683"/>
    </row>
    <row r="26" spans="1:37" s="22" customFormat="1" ht="24.95" customHeight="1">
      <c r="A26" s="669"/>
      <c r="B26" s="685"/>
      <c r="C26" s="687"/>
      <c r="D26" s="687"/>
      <c r="E26" s="687"/>
      <c r="F26" s="687"/>
      <c r="G26" s="688"/>
      <c r="H26" s="689"/>
      <c r="I26" s="690"/>
      <c r="J26" s="676"/>
      <c r="K26" s="691"/>
      <c r="L26" s="692"/>
      <c r="M26" s="684"/>
      <c r="N26" s="731"/>
      <c r="O26" s="731"/>
      <c r="P26" s="739"/>
      <c r="Q26" s="740"/>
      <c r="R26" s="740"/>
      <c r="S26" s="696"/>
      <c r="T26" s="697"/>
      <c r="U26" s="683"/>
      <c r="V26" s="683"/>
      <c r="W26" s="663">
        <v>15</v>
      </c>
      <c r="X26" s="664">
        <f t="shared" si="6"/>
        <v>0</v>
      </c>
      <c r="Y26" s="664">
        <f t="shared" ca="1" si="7"/>
        <v>0</v>
      </c>
      <c r="Z26" s="665" t="str">
        <f t="shared" ca="1" si="2"/>
        <v>NH</v>
      </c>
      <c r="AA26" s="683"/>
      <c r="AB26" s="683"/>
      <c r="AC26" s="683"/>
      <c r="AD26" s="723">
        <f t="shared" si="3"/>
        <v>0</v>
      </c>
      <c r="AE26" s="724">
        <f t="shared" ca="1" si="4"/>
        <v>0</v>
      </c>
      <c r="AF26" s="725"/>
      <c r="AG26" s="726" t="s">
        <v>99</v>
      </c>
      <c r="AH26" s="727">
        <f t="shared" si="5"/>
        <v>336</v>
      </c>
      <c r="AI26" s="706"/>
      <c r="AJ26" s="683"/>
      <c r="AK26" s="683"/>
    </row>
    <row r="27" spans="1:37" s="22" customFormat="1" ht="24.95" customHeight="1">
      <c r="A27" s="669"/>
      <c r="B27" s="699"/>
      <c r="C27" s="701"/>
      <c r="D27" s="701"/>
      <c r="E27" s="701"/>
      <c r="F27" s="701"/>
      <c r="G27" s="702"/>
      <c r="H27" s="703"/>
      <c r="I27" s="704"/>
      <c r="J27" s="676"/>
      <c r="K27" s="691"/>
      <c r="L27" s="705"/>
      <c r="M27" s="706"/>
      <c r="N27" s="734"/>
      <c r="O27" s="734"/>
      <c r="P27" s="741"/>
      <c r="Q27" s="742"/>
      <c r="R27" s="742"/>
      <c r="S27" s="710"/>
      <c r="T27" s="743"/>
      <c r="U27" s="683"/>
      <c r="V27" s="683"/>
      <c r="W27" s="644"/>
      <c r="X27" s="644"/>
      <c r="Y27" s="644"/>
      <c r="Z27" s="644"/>
      <c r="AA27" s="683"/>
      <c r="AB27" s="683"/>
      <c r="AC27" s="683"/>
      <c r="AD27" s="683"/>
      <c r="AE27" s="683"/>
      <c r="AF27" s="683"/>
      <c r="AG27" s="683"/>
      <c r="AH27" s="683"/>
      <c r="AI27" s="683"/>
      <c r="AJ27" s="683"/>
      <c r="AK27" s="683"/>
    </row>
    <row r="28" spans="1:37" s="21" customFormat="1" ht="24.95" customHeight="1">
      <c r="A28" s="643"/>
      <c r="B28" s="744" t="str">
        <f>IF(S29=" "," ",IF(S29&gt;=$H$6,"CUMPLE CON LA EXPERIENCIA REQUERIDA","NO CUMPLE CON LA EXPERIENCIA REQUERIDA"))</f>
        <v>NO CUMPLE CON LA EXPERIENCIA REQUERIDA</v>
      </c>
      <c r="C28" s="745"/>
      <c r="D28" s="745"/>
      <c r="E28" s="745"/>
      <c r="F28" s="745"/>
      <c r="G28" s="745"/>
      <c r="H28" s="745"/>
      <c r="I28" s="745"/>
      <c r="J28" s="745"/>
      <c r="K28" s="745"/>
      <c r="L28" s="745"/>
      <c r="M28" s="745"/>
      <c r="N28" s="745"/>
      <c r="O28" s="746"/>
      <c r="P28" s="747" t="s">
        <v>21</v>
      </c>
      <c r="Q28" s="748"/>
      <c r="R28" s="749"/>
      <c r="S28" s="750">
        <f>IF(T13="SI",SUM(S13:S27),0)</f>
        <v>2.9454000000000002</v>
      </c>
      <c r="T28" s="751" t="str">
        <f>IF(S29=" "," ",IF(S29&gt;=$H$6,"CUMPLE","NO CUMPLE"))</f>
        <v>NO CUMPLE</v>
      </c>
      <c r="U28" s="643"/>
      <c r="V28" s="643"/>
      <c r="W28" s="644"/>
      <c r="X28" s="644"/>
      <c r="Y28" s="644"/>
      <c r="Z28" s="644"/>
      <c r="AA28" s="643"/>
      <c r="AB28" s="643"/>
      <c r="AC28" s="643"/>
      <c r="AD28" s="643"/>
      <c r="AE28" s="643"/>
      <c r="AF28" s="643"/>
      <c r="AG28" s="643"/>
      <c r="AH28" s="643"/>
      <c r="AI28" s="643"/>
      <c r="AJ28" s="643"/>
      <c r="AK28" s="643"/>
    </row>
    <row r="29" spans="1:37" s="22" customFormat="1" ht="24.95" customHeight="1">
      <c r="A29" s="683"/>
      <c r="B29" s="752"/>
      <c r="C29" s="753"/>
      <c r="D29" s="753"/>
      <c r="E29" s="753"/>
      <c r="F29" s="753"/>
      <c r="G29" s="753"/>
      <c r="H29" s="753"/>
      <c r="I29" s="753"/>
      <c r="J29" s="753"/>
      <c r="K29" s="753"/>
      <c r="L29" s="753"/>
      <c r="M29" s="753"/>
      <c r="N29" s="753"/>
      <c r="O29" s="754"/>
      <c r="P29" s="747" t="s">
        <v>23</v>
      </c>
      <c r="Q29" s="748"/>
      <c r="R29" s="749"/>
      <c r="S29" s="755">
        <f>IFERROR((S28/$P$6)," ")</f>
        <v>1.4951269035532996E-2</v>
      </c>
      <c r="T29" s="756"/>
      <c r="U29" s="683"/>
      <c r="V29" s="683"/>
      <c r="W29" s="644"/>
      <c r="X29" s="644"/>
      <c r="Y29" s="644"/>
      <c r="Z29" s="644"/>
      <c r="AA29" s="683"/>
      <c r="AB29" s="683"/>
      <c r="AC29" s="683"/>
      <c r="AD29" s="683"/>
      <c r="AE29" s="683"/>
      <c r="AF29" s="683"/>
      <c r="AG29" s="683"/>
      <c r="AH29" s="683"/>
      <c r="AI29" s="683"/>
      <c r="AJ29" s="683"/>
      <c r="AK29" s="683"/>
    </row>
    <row r="30" spans="1:37" s="22" customFormat="1" ht="30" customHeight="1">
      <c r="A30" s="683"/>
      <c r="B30" s="683"/>
      <c r="C30" s="683"/>
      <c r="D30" s="683"/>
      <c r="E30" s="683"/>
      <c r="F30" s="683"/>
      <c r="G30" s="683"/>
      <c r="H30" s="683"/>
      <c r="I30" s="683"/>
      <c r="J30" s="683"/>
      <c r="K30" s="683"/>
      <c r="L30" s="683"/>
      <c r="M30" s="683"/>
      <c r="N30" s="683"/>
      <c r="O30" s="683"/>
      <c r="P30" s="683"/>
      <c r="Q30" s="683"/>
      <c r="R30" s="683"/>
      <c r="S30" s="683"/>
      <c r="T30" s="683"/>
      <c r="U30" s="683"/>
      <c r="V30" s="683"/>
      <c r="W30" s="644"/>
      <c r="X30" s="644"/>
      <c r="Y30" s="644"/>
      <c r="Z30" s="644"/>
      <c r="AA30" s="683"/>
      <c r="AB30" s="683"/>
      <c r="AC30" s="683"/>
      <c r="AD30" s="683"/>
      <c r="AE30" s="683"/>
      <c r="AF30" s="683"/>
      <c r="AG30" s="683"/>
      <c r="AH30" s="683"/>
      <c r="AI30" s="683"/>
      <c r="AJ30" s="683"/>
      <c r="AK30" s="683"/>
    </row>
    <row r="31" spans="1:37" ht="30" customHeight="1">
      <c r="A31" s="602"/>
      <c r="B31" s="602"/>
      <c r="C31" s="606"/>
      <c r="D31" s="606"/>
      <c r="E31" s="630"/>
      <c r="F31" s="631"/>
      <c r="G31" s="631"/>
      <c r="H31" s="606"/>
      <c r="I31" s="606"/>
      <c r="J31" s="606"/>
      <c r="K31" s="606"/>
      <c r="L31" s="606"/>
      <c r="M31" s="606"/>
      <c r="N31" s="606"/>
      <c r="O31" s="606"/>
      <c r="P31" s="606"/>
      <c r="Q31" s="606"/>
      <c r="R31" s="606"/>
      <c r="S31" s="606"/>
      <c r="T31" s="606"/>
      <c r="U31" s="606"/>
      <c r="V31" s="606"/>
      <c r="W31" s="644"/>
      <c r="X31" s="644"/>
      <c r="Y31" s="644"/>
      <c r="Z31" s="644"/>
      <c r="AA31" s="606"/>
      <c r="AB31" s="606"/>
      <c r="AC31" s="606"/>
      <c r="AD31" s="606"/>
      <c r="AE31" s="606"/>
      <c r="AF31" s="606"/>
      <c r="AG31" s="606"/>
      <c r="AH31" s="606"/>
      <c r="AI31" s="606"/>
      <c r="AJ31" s="606"/>
      <c r="AK31" s="606"/>
    </row>
    <row r="32" spans="1:37" ht="36" customHeight="1">
      <c r="A32" s="602"/>
      <c r="B32" s="632">
        <v>2</v>
      </c>
      <c r="C32" s="633" t="s">
        <v>63</v>
      </c>
      <c r="D32" s="634"/>
      <c r="E32" s="635"/>
      <c r="F32" s="636" t="str">
        <f>IFERROR(VLOOKUP(B32,LISTA_OFERENTES,2,FALSE)," ")</f>
        <v>Truly Nolen Soluciones S.A.</v>
      </c>
      <c r="G32" s="637"/>
      <c r="H32" s="637"/>
      <c r="I32" s="637"/>
      <c r="J32" s="637"/>
      <c r="K32" s="637"/>
      <c r="L32" s="637"/>
      <c r="M32" s="637"/>
      <c r="N32" s="637"/>
      <c r="O32" s="638"/>
      <c r="P32" s="639" t="s">
        <v>91</v>
      </c>
      <c r="Q32" s="640"/>
      <c r="R32" s="641"/>
      <c r="S32" s="642">
        <f>5-(INT(COUNTBLANK(C35:C49))-10)</f>
        <v>3</v>
      </c>
      <c r="T32" s="643"/>
      <c r="U32" s="606"/>
      <c r="V32" s="606"/>
      <c r="W32" s="644"/>
      <c r="X32" s="644"/>
      <c r="Y32" s="644"/>
      <c r="Z32" s="644"/>
      <c r="AA32" s="606"/>
      <c r="AB32" s="606"/>
      <c r="AC32" s="606"/>
      <c r="AD32" s="606"/>
      <c r="AE32" s="606"/>
      <c r="AF32" s="606"/>
      <c r="AG32" s="606"/>
      <c r="AH32" s="606"/>
      <c r="AI32" s="606"/>
      <c r="AJ32" s="606"/>
      <c r="AK32" s="606"/>
    </row>
    <row r="33" spans="1:37" s="23" customFormat="1" ht="30" customHeight="1">
      <c r="A33" s="645"/>
      <c r="B33" s="646" t="s">
        <v>44</v>
      </c>
      <c r="C33" s="647" t="s">
        <v>14</v>
      </c>
      <c r="D33" s="647" t="s">
        <v>15</v>
      </c>
      <c r="E33" s="647" t="s">
        <v>16</v>
      </c>
      <c r="F33" s="647" t="s">
        <v>17</v>
      </c>
      <c r="G33" s="647" t="s">
        <v>18</v>
      </c>
      <c r="H33" s="647" t="s">
        <v>19</v>
      </c>
      <c r="I33" s="647" t="s">
        <v>20</v>
      </c>
      <c r="J33" s="648" t="s">
        <v>49</v>
      </c>
      <c r="K33" s="649"/>
      <c r="L33" s="649"/>
      <c r="M33" s="650"/>
      <c r="N33" s="647" t="s">
        <v>64</v>
      </c>
      <c r="O33" s="647" t="s">
        <v>65</v>
      </c>
      <c r="P33" s="651" t="s">
        <v>66</v>
      </c>
      <c r="Q33" s="651"/>
      <c r="R33" s="647" t="s">
        <v>67</v>
      </c>
      <c r="S33" s="647" t="s">
        <v>68</v>
      </c>
      <c r="T33" s="647" t="str">
        <f>T11</f>
        <v>CUMPLE CON EL REQUERIMIENTO DE OBLIGATORIEDAD DE ESTAR INSCRITO EN EL CÓDIGO 721021 DE LA UNSPSC?</v>
      </c>
      <c r="U33" s="652"/>
      <c r="V33" s="652"/>
      <c r="W33" s="644"/>
      <c r="X33" s="644"/>
      <c r="Y33" s="644"/>
      <c r="Z33" s="644"/>
      <c r="AA33" s="644"/>
      <c r="AB33" s="644"/>
      <c r="AC33" s="644"/>
      <c r="AD33" s="645"/>
      <c r="AE33" s="645"/>
      <c r="AF33" s="645"/>
      <c r="AG33" s="645"/>
      <c r="AH33" s="645"/>
      <c r="AI33" s="645"/>
      <c r="AJ33" s="645"/>
      <c r="AK33" s="645"/>
    </row>
    <row r="34" spans="1:37" s="23" customFormat="1" ht="57.75" customHeight="1">
      <c r="A34" s="645"/>
      <c r="B34" s="657"/>
      <c r="C34" s="658"/>
      <c r="D34" s="658"/>
      <c r="E34" s="658"/>
      <c r="F34" s="658"/>
      <c r="G34" s="658"/>
      <c r="H34" s="658"/>
      <c r="I34" s="658"/>
      <c r="J34" s="659" t="s">
        <v>70</v>
      </c>
      <c r="K34" s="660"/>
      <c r="L34" s="660"/>
      <c r="M34" s="661"/>
      <c r="N34" s="658"/>
      <c r="O34" s="658"/>
      <c r="P34" s="662" t="s">
        <v>13</v>
      </c>
      <c r="Q34" s="662" t="s">
        <v>69</v>
      </c>
      <c r="R34" s="658"/>
      <c r="S34" s="658"/>
      <c r="T34" s="658"/>
      <c r="U34" s="652"/>
      <c r="V34" s="652"/>
      <c r="W34" s="644"/>
      <c r="X34" s="644"/>
      <c r="Y34" s="644"/>
      <c r="Z34" s="644"/>
      <c r="AA34" s="644"/>
      <c r="AB34" s="644"/>
      <c r="AC34" s="644"/>
      <c r="AD34" s="645"/>
      <c r="AE34" s="645"/>
      <c r="AF34" s="645"/>
      <c r="AG34" s="645"/>
      <c r="AH34" s="645"/>
      <c r="AI34" s="645"/>
      <c r="AJ34" s="645"/>
      <c r="AK34" s="645"/>
    </row>
    <row r="35" spans="1:37" s="22" customFormat="1" ht="24.95" customHeight="1">
      <c r="A35" s="669"/>
      <c r="B35" s="670">
        <v>1</v>
      </c>
      <c r="C35" s="672">
        <v>8</v>
      </c>
      <c r="D35" s="672" t="s">
        <v>262</v>
      </c>
      <c r="E35" s="672" t="s">
        <v>263</v>
      </c>
      <c r="F35" s="672" t="s">
        <v>261</v>
      </c>
      <c r="G35" s="673">
        <v>1348.97</v>
      </c>
      <c r="H35" s="674" t="s">
        <v>264</v>
      </c>
      <c r="I35" s="675">
        <v>1</v>
      </c>
      <c r="J35" s="676" t="s">
        <v>255</v>
      </c>
      <c r="K35" s="677">
        <v>721021</v>
      </c>
      <c r="L35" s="676"/>
      <c r="M35" s="677"/>
      <c r="N35" s="728" t="s">
        <v>111</v>
      </c>
      <c r="O35" s="728" t="s">
        <v>112</v>
      </c>
      <c r="P35" s="737"/>
      <c r="Q35" s="738" t="s">
        <v>113</v>
      </c>
      <c r="R35" s="738" t="s">
        <v>124</v>
      </c>
      <c r="S35" s="681">
        <f>IF(COUNTIF(J35:M37,"CUMPLE")&gt;=1,(G35*I35),0)* (IF(N35="PRESENTÓ CERTIFICADO",1,0))* (IF(O35="ACORDE A ITEM 5.2.1 (T.R.)",1,0) )* ( IF(OR(Q35="SIN OBSERVACIÓN", Q35="REQUERIMIENTOS SUBSANADOS"),1,0)) *(IF(OR(R35="NINGUNO", R35="CUMPLEN CON LO SOLICITADO"),1,0))</f>
        <v>1348.97</v>
      </c>
      <c r="T35" s="682" t="s">
        <v>115</v>
      </c>
      <c r="U35" s="683"/>
      <c r="V35" s="683"/>
      <c r="W35" s="644"/>
      <c r="X35" s="644"/>
      <c r="Y35" s="644"/>
      <c r="Z35" s="644"/>
      <c r="AA35" s="644"/>
      <c r="AB35" s="644"/>
      <c r="AC35" s="644"/>
      <c r="AD35" s="683"/>
      <c r="AE35" s="683"/>
      <c r="AF35" s="683"/>
      <c r="AG35" s="683"/>
      <c r="AH35" s="683"/>
      <c r="AI35" s="683"/>
      <c r="AJ35" s="683"/>
      <c r="AK35" s="683"/>
    </row>
    <row r="36" spans="1:37" s="22" customFormat="1" ht="24.95" customHeight="1">
      <c r="A36" s="669"/>
      <c r="B36" s="685"/>
      <c r="C36" s="687"/>
      <c r="D36" s="687"/>
      <c r="E36" s="687"/>
      <c r="F36" s="687"/>
      <c r="G36" s="688"/>
      <c r="H36" s="689"/>
      <c r="I36" s="690"/>
      <c r="J36" s="676"/>
      <c r="K36" s="691"/>
      <c r="L36" s="692"/>
      <c r="M36" s="684"/>
      <c r="N36" s="731"/>
      <c r="O36" s="731"/>
      <c r="P36" s="739"/>
      <c r="Q36" s="740"/>
      <c r="R36" s="740"/>
      <c r="S36" s="696"/>
      <c r="T36" s="697"/>
      <c r="U36" s="683"/>
      <c r="V36" s="683"/>
      <c r="W36" s="644"/>
      <c r="X36" s="644"/>
      <c r="Y36" s="644"/>
      <c r="Z36" s="644"/>
      <c r="AA36" s="644"/>
      <c r="AB36" s="644"/>
      <c r="AC36" s="644"/>
      <c r="AD36" s="683"/>
      <c r="AE36" s="683"/>
      <c r="AF36" s="683"/>
      <c r="AG36" s="683"/>
      <c r="AH36" s="683"/>
      <c r="AI36" s="683"/>
      <c r="AJ36" s="683"/>
      <c r="AK36" s="683"/>
    </row>
    <row r="37" spans="1:37" s="22" customFormat="1" ht="24.95" customHeight="1">
      <c r="A37" s="669"/>
      <c r="B37" s="699"/>
      <c r="C37" s="701"/>
      <c r="D37" s="701"/>
      <c r="E37" s="701"/>
      <c r="F37" s="701"/>
      <c r="G37" s="702"/>
      <c r="H37" s="703"/>
      <c r="I37" s="704"/>
      <c r="J37" s="676"/>
      <c r="K37" s="691"/>
      <c r="L37" s="705"/>
      <c r="M37" s="706"/>
      <c r="N37" s="734"/>
      <c r="O37" s="734"/>
      <c r="P37" s="741"/>
      <c r="Q37" s="742"/>
      <c r="R37" s="742"/>
      <c r="S37" s="710"/>
      <c r="T37" s="697"/>
      <c r="U37" s="683"/>
      <c r="V37" s="683"/>
      <c r="W37" s="644"/>
      <c r="X37" s="644"/>
      <c r="Y37" s="644"/>
      <c r="Z37" s="644"/>
      <c r="AA37" s="644"/>
      <c r="AB37" s="644"/>
      <c r="AC37" s="644"/>
      <c r="AD37" s="683"/>
      <c r="AE37" s="683"/>
      <c r="AF37" s="683"/>
      <c r="AG37" s="683"/>
      <c r="AH37" s="683"/>
      <c r="AI37" s="683"/>
      <c r="AJ37" s="683"/>
      <c r="AK37" s="683"/>
    </row>
    <row r="38" spans="1:37" s="22" customFormat="1" ht="24.95" customHeight="1">
      <c r="A38" s="669"/>
      <c r="B38" s="670">
        <v>2</v>
      </c>
      <c r="C38" s="671">
        <v>2</v>
      </c>
      <c r="D38" s="671">
        <v>5</v>
      </c>
      <c r="E38" s="671">
        <v>167</v>
      </c>
      <c r="F38" s="672" t="s">
        <v>265</v>
      </c>
      <c r="G38" s="712">
        <v>409.78</v>
      </c>
      <c r="H38" s="674" t="s">
        <v>264</v>
      </c>
      <c r="I38" s="713">
        <v>1</v>
      </c>
      <c r="J38" s="676" t="s">
        <v>255</v>
      </c>
      <c r="K38" s="677">
        <v>721021</v>
      </c>
      <c r="L38" s="676"/>
      <c r="M38" s="691"/>
      <c r="N38" s="728" t="s">
        <v>111</v>
      </c>
      <c r="O38" s="728" t="s">
        <v>112</v>
      </c>
      <c r="P38" s="729"/>
      <c r="Q38" s="730" t="s">
        <v>113</v>
      </c>
      <c r="R38" s="730" t="s">
        <v>124</v>
      </c>
      <c r="S38" s="681">
        <f>IF(COUNTIF(J38:M40,"CUMPLE")&gt;=1,(G38*I38),0)* (IF(N38="PRESENTÓ CERTIFICADO",1,0))* (IF(O38="ACORDE A ITEM 5.2.1 (T.R.)",1,0) )* ( IF(OR(Q38="SIN OBSERVACIÓN", Q38="REQUERIMIENTOS SUBSANADOS"),1,0)) *(IF(OR(R38="NINGUNO", R38="CUMPLEN CON LO SOLICITADO"),1,0))</f>
        <v>409.78</v>
      </c>
      <c r="T38" s="697"/>
      <c r="U38" s="683"/>
      <c r="V38" s="683"/>
      <c r="W38" s="644"/>
      <c r="X38" s="644"/>
      <c r="Y38" s="644"/>
      <c r="Z38" s="644"/>
      <c r="AA38" s="644"/>
      <c r="AB38" s="644"/>
      <c r="AC38" s="644"/>
      <c r="AD38" s="683"/>
      <c r="AE38" s="683"/>
      <c r="AF38" s="683"/>
      <c r="AG38" s="683"/>
      <c r="AH38" s="683"/>
      <c r="AI38" s="683"/>
      <c r="AJ38" s="683"/>
      <c r="AK38" s="683"/>
    </row>
    <row r="39" spans="1:37" s="22" customFormat="1" ht="24.95" customHeight="1">
      <c r="A39" s="669"/>
      <c r="B39" s="685"/>
      <c r="C39" s="686"/>
      <c r="D39" s="686"/>
      <c r="E39" s="686"/>
      <c r="F39" s="687"/>
      <c r="G39" s="715"/>
      <c r="H39" s="689"/>
      <c r="I39" s="716"/>
      <c r="J39" s="676"/>
      <c r="K39" s="691"/>
      <c r="L39" s="692"/>
      <c r="M39" s="717"/>
      <c r="N39" s="731"/>
      <c r="O39" s="731"/>
      <c r="P39" s="732"/>
      <c r="Q39" s="733"/>
      <c r="R39" s="733"/>
      <c r="S39" s="696"/>
      <c r="T39" s="697"/>
      <c r="U39" s="683"/>
      <c r="V39" s="683"/>
      <c r="W39" s="644"/>
      <c r="X39" s="644"/>
      <c r="Y39" s="644"/>
      <c r="Z39" s="644"/>
      <c r="AA39" s="644"/>
      <c r="AB39" s="644"/>
      <c r="AC39" s="644"/>
      <c r="AD39" s="683"/>
      <c r="AE39" s="683"/>
      <c r="AF39" s="683"/>
      <c r="AG39" s="683"/>
      <c r="AH39" s="683"/>
      <c r="AI39" s="683"/>
      <c r="AJ39" s="683"/>
      <c r="AK39" s="683"/>
    </row>
    <row r="40" spans="1:37" s="22" customFormat="1" ht="24.95" customHeight="1">
      <c r="A40" s="669"/>
      <c r="B40" s="699"/>
      <c r="C40" s="700"/>
      <c r="D40" s="700"/>
      <c r="E40" s="700"/>
      <c r="F40" s="701"/>
      <c r="G40" s="719"/>
      <c r="H40" s="703"/>
      <c r="I40" s="720"/>
      <c r="J40" s="676"/>
      <c r="K40" s="691"/>
      <c r="L40" s="705"/>
      <c r="M40" s="721"/>
      <c r="N40" s="734"/>
      <c r="O40" s="734"/>
      <c r="P40" s="735"/>
      <c r="Q40" s="736"/>
      <c r="R40" s="736"/>
      <c r="S40" s="710"/>
      <c r="T40" s="697"/>
      <c r="U40" s="683"/>
      <c r="V40" s="683"/>
      <c r="W40" s="644"/>
      <c r="X40" s="644"/>
      <c r="Y40" s="644"/>
      <c r="Z40" s="644"/>
      <c r="AA40" s="644"/>
      <c r="AB40" s="644"/>
      <c r="AC40" s="644"/>
      <c r="AD40" s="683"/>
      <c r="AE40" s="683"/>
      <c r="AF40" s="683"/>
      <c r="AG40" s="683"/>
      <c r="AH40" s="683"/>
      <c r="AI40" s="683"/>
      <c r="AJ40" s="683"/>
      <c r="AK40" s="683"/>
    </row>
    <row r="41" spans="1:37" s="22" customFormat="1" ht="24.95" customHeight="1">
      <c r="A41" s="669"/>
      <c r="B41" s="670">
        <v>3</v>
      </c>
      <c r="C41" s="672">
        <v>6</v>
      </c>
      <c r="D41" s="672">
        <v>6</v>
      </c>
      <c r="E41" s="672">
        <v>17675</v>
      </c>
      <c r="F41" s="672" t="s">
        <v>266</v>
      </c>
      <c r="G41" s="673">
        <v>298.20999999999998</v>
      </c>
      <c r="H41" s="674" t="s">
        <v>264</v>
      </c>
      <c r="I41" s="675">
        <v>1</v>
      </c>
      <c r="J41" s="676" t="s">
        <v>255</v>
      </c>
      <c r="K41" s="677">
        <v>721021</v>
      </c>
      <c r="L41" s="676"/>
      <c r="M41" s="677"/>
      <c r="N41" s="728" t="s">
        <v>111</v>
      </c>
      <c r="O41" s="728" t="s">
        <v>112</v>
      </c>
      <c r="P41" s="737"/>
      <c r="Q41" s="738" t="s">
        <v>113</v>
      </c>
      <c r="R41" s="738" t="s">
        <v>124</v>
      </c>
      <c r="S41" s="681">
        <f>IF(COUNTIF(J41:M43,"CUMPLE")&gt;=1,(G41*I41),0)* (IF(N41="PRESENTÓ CERTIFICADO",1,0))* (IF(O41="ACORDE A ITEM 5.2.1 (T.R.)",1,0) )* ( IF(OR(Q41="SIN OBSERVACIÓN", Q41="REQUERIMIENTOS SUBSANADOS"),1,0)) *(IF(OR(R41="NINGUNO", R41="CUMPLEN CON LO SOLICITADO"),1,0))</f>
        <v>298.20999999999998</v>
      </c>
      <c r="T41" s="697"/>
      <c r="U41" s="683"/>
      <c r="V41" s="683"/>
      <c r="W41" s="644"/>
      <c r="X41" s="644"/>
      <c r="Y41" s="644"/>
      <c r="Z41" s="644"/>
      <c r="AA41" s="644"/>
      <c r="AB41" s="644"/>
      <c r="AC41" s="644"/>
      <c r="AD41" s="683"/>
      <c r="AE41" s="683"/>
      <c r="AF41" s="683"/>
      <c r="AG41" s="683"/>
      <c r="AH41" s="683"/>
      <c r="AI41" s="683"/>
      <c r="AJ41" s="683"/>
      <c r="AK41" s="683"/>
    </row>
    <row r="42" spans="1:37" s="22" customFormat="1" ht="24.95" customHeight="1">
      <c r="A42" s="669"/>
      <c r="B42" s="685"/>
      <c r="C42" s="687"/>
      <c r="D42" s="687"/>
      <c r="E42" s="687"/>
      <c r="F42" s="687"/>
      <c r="G42" s="688"/>
      <c r="H42" s="689"/>
      <c r="I42" s="690"/>
      <c r="J42" s="676"/>
      <c r="K42" s="677"/>
      <c r="L42" s="692"/>
      <c r="M42" s="684"/>
      <c r="N42" s="731"/>
      <c r="O42" s="731"/>
      <c r="P42" s="739"/>
      <c r="Q42" s="740"/>
      <c r="R42" s="740"/>
      <c r="S42" s="696"/>
      <c r="T42" s="697"/>
      <c r="U42" s="683"/>
      <c r="V42" s="683"/>
      <c r="W42" s="644"/>
      <c r="X42" s="644"/>
      <c r="Y42" s="644"/>
      <c r="Z42" s="644"/>
      <c r="AA42" s="644"/>
      <c r="AB42" s="644"/>
      <c r="AC42" s="644"/>
      <c r="AD42" s="683"/>
      <c r="AE42" s="683"/>
      <c r="AF42" s="683"/>
      <c r="AG42" s="683"/>
      <c r="AH42" s="683"/>
      <c r="AI42" s="683"/>
      <c r="AJ42" s="683"/>
      <c r="AK42" s="683"/>
    </row>
    <row r="43" spans="1:37" s="22" customFormat="1" ht="24.95" customHeight="1">
      <c r="A43" s="669"/>
      <c r="B43" s="699"/>
      <c r="C43" s="701"/>
      <c r="D43" s="701"/>
      <c r="E43" s="701"/>
      <c r="F43" s="701"/>
      <c r="G43" s="702"/>
      <c r="H43" s="703"/>
      <c r="I43" s="704"/>
      <c r="J43" s="676"/>
      <c r="K43" s="677"/>
      <c r="L43" s="705"/>
      <c r="M43" s="706"/>
      <c r="N43" s="734"/>
      <c r="O43" s="734"/>
      <c r="P43" s="741"/>
      <c r="Q43" s="742"/>
      <c r="R43" s="742"/>
      <c r="S43" s="710"/>
      <c r="T43" s="697"/>
      <c r="U43" s="683"/>
      <c r="V43" s="683"/>
      <c r="W43" s="644"/>
      <c r="X43" s="644"/>
      <c r="Y43" s="644"/>
      <c r="Z43" s="644"/>
      <c r="AA43" s="644"/>
      <c r="AB43" s="644"/>
      <c r="AC43" s="644"/>
      <c r="AD43" s="683"/>
      <c r="AE43" s="683"/>
      <c r="AF43" s="683"/>
      <c r="AG43" s="683"/>
      <c r="AH43" s="683"/>
      <c r="AI43" s="683"/>
      <c r="AJ43" s="683"/>
      <c r="AK43" s="683"/>
    </row>
    <row r="44" spans="1:37" s="22" customFormat="1" ht="24.95" customHeight="1">
      <c r="A44" s="669"/>
      <c r="B44" s="670">
        <v>4</v>
      </c>
      <c r="C44" s="671"/>
      <c r="D44" s="671"/>
      <c r="E44" s="671"/>
      <c r="F44" s="671"/>
      <c r="G44" s="712"/>
      <c r="H44" s="674"/>
      <c r="I44" s="713"/>
      <c r="J44" s="676"/>
      <c r="K44" s="691"/>
      <c r="L44" s="676"/>
      <c r="M44" s="691"/>
      <c r="N44" s="728"/>
      <c r="O44" s="728"/>
      <c r="P44" s="729"/>
      <c r="Q44" s="730"/>
      <c r="R44" s="730"/>
      <c r="S44" s="681">
        <f>IF(COUNTIF(J44:M46,"CUMPLE")&gt;=1,(G44*I44),0)* (IF(N44="PRESENTÓ CERTIFICADO",1,0))* (IF(O44="ACORDE A ITEM 5.2.1 (T.R.)",1,0) )* ( IF(OR(Q44="SIN OBSERVACIÓN", Q44="REQUERIMIENTOS SUBSANADOS"),1,0)) *(IF(OR(R44="NINGUNO", R44="CUMPLEN CON LO SOLICITADO"),1,0))</f>
        <v>0</v>
      </c>
      <c r="T44" s="697"/>
      <c r="U44" s="683"/>
      <c r="V44" s="683"/>
      <c r="W44" s="644"/>
      <c r="X44" s="644"/>
      <c r="Y44" s="644"/>
      <c r="Z44" s="644"/>
      <c r="AA44" s="644"/>
      <c r="AB44" s="644"/>
      <c r="AC44" s="644"/>
      <c r="AD44" s="683"/>
      <c r="AE44" s="683"/>
      <c r="AF44" s="683"/>
      <c r="AG44" s="683"/>
      <c r="AH44" s="683"/>
      <c r="AI44" s="683"/>
      <c r="AJ44" s="683"/>
      <c r="AK44" s="683"/>
    </row>
    <row r="45" spans="1:37" s="22" customFormat="1" ht="24.95" customHeight="1">
      <c r="A45" s="669"/>
      <c r="B45" s="685"/>
      <c r="C45" s="686"/>
      <c r="D45" s="686"/>
      <c r="E45" s="686"/>
      <c r="F45" s="686"/>
      <c r="G45" s="715"/>
      <c r="H45" s="689"/>
      <c r="I45" s="716"/>
      <c r="J45" s="676"/>
      <c r="K45" s="691"/>
      <c r="L45" s="692"/>
      <c r="M45" s="717"/>
      <c r="N45" s="731"/>
      <c r="O45" s="731"/>
      <c r="P45" s="732"/>
      <c r="Q45" s="733"/>
      <c r="R45" s="733"/>
      <c r="S45" s="696"/>
      <c r="T45" s="697"/>
      <c r="U45" s="683"/>
      <c r="V45" s="683"/>
      <c r="W45" s="644"/>
      <c r="X45" s="644"/>
      <c r="Y45" s="644"/>
      <c r="Z45" s="644"/>
      <c r="AA45" s="644"/>
      <c r="AB45" s="644"/>
      <c r="AC45" s="644"/>
      <c r="AD45" s="683"/>
      <c r="AE45" s="683"/>
      <c r="AF45" s="683"/>
      <c r="AG45" s="683"/>
      <c r="AH45" s="683"/>
      <c r="AI45" s="683"/>
      <c r="AJ45" s="683"/>
      <c r="AK45" s="683"/>
    </row>
    <row r="46" spans="1:37" s="22" customFormat="1" ht="24.95" customHeight="1">
      <c r="A46" s="669"/>
      <c r="B46" s="699"/>
      <c r="C46" s="700"/>
      <c r="D46" s="700"/>
      <c r="E46" s="700"/>
      <c r="F46" s="700"/>
      <c r="G46" s="719"/>
      <c r="H46" s="703"/>
      <c r="I46" s="720"/>
      <c r="J46" s="676"/>
      <c r="K46" s="691"/>
      <c r="L46" s="705"/>
      <c r="M46" s="721"/>
      <c r="N46" s="734"/>
      <c r="O46" s="734"/>
      <c r="P46" s="735"/>
      <c r="Q46" s="736"/>
      <c r="R46" s="736"/>
      <c r="S46" s="710"/>
      <c r="T46" s="697"/>
      <c r="U46" s="683"/>
      <c r="V46" s="683"/>
      <c r="W46" s="644"/>
      <c r="X46" s="644"/>
      <c r="Y46" s="644"/>
      <c r="Z46" s="644"/>
      <c r="AA46" s="644"/>
      <c r="AB46" s="644"/>
      <c r="AC46" s="644"/>
      <c r="AD46" s="683"/>
      <c r="AE46" s="683"/>
      <c r="AF46" s="683"/>
      <c r="AG46" s="683"/>
      <c r="AH46" s="683"/>
      <c r="AI46" s="683"/>
      <c r="AJ46" s="683"/>
      <c r="AK46" s="683"/>
    </row>
    <row r="47" spans="1:37" s="22" customFormat="1" ht="24.95" customHeight="1">
      <c r="A47" s="669"/>
      <c r="B47" s="670">
        <v>5</v>
      </c>
      <c r="C47" s="672"/>
      <c r="D47" s="672"/>
      <c r="E47" s="672"/>
      <c r="F47" s="672"/>
      <c r="G47" s="673"/>
      <c r="H47" s="674"/>
      <c r="I47" s="675"/>
      <c r="J47" s="676"/>
      <c r="K47" s="677"/>
      <c r="L47" s="676"/>
      <c r="M47" s="677"/>
      <c r="N47" s="728"/>
      <c r="O47" s="728"/>
      <c r="P47" s="737"/>
      <c r="Q47" s="738"/>
      <c r="R47" s="738"/>
      <c r="S47" s="681">
        <f>IF(COUNTIF(J47:M49,"CUMPLE")&gt;=1,(G47*I47),0)* (IF(N47="PRESENTÓ CERTIFICADO",1,0))* (IF(O47="ACORDE A ITEM 5.2.1 (T.R.)",1,0) )* ( IF(OR(Q47="SIN OBSERVACIÓN", Q47="REQUERIMIENTOS SUBSANADOS"),1,0)) *(IF(OR(R47="NINGUNO", R47="CUMPLEN CON LO SOLICITADO"),1,0))</f>
        <v>0</v>
      </c>
      <c r="T47" s="697"/>
      <c r="U47" s="683"/>
      <c r="V47" s="683"/>
      <c r="W47" s="644"/>
      <c r="X47" s="644"/>
      <c r="Y47" s="644"/>
      <c r="Z47" s="644"/>
      <c r="AA47" s="644"/>
      <c r="AB47" s="644"/>
      <c r="AC47" s="644"/>
      <c r="AD47" s="683"/>
      <c r="AE47" s="683"/>
      <c r="AF47" s="683"/>
      <c r="AG47" s="683"/>
      <c r="AH47" s="683"/>
      <c r="AI47" s="683"/>
      <c r="AJ47" s="683"/>
      <c r="AK47" s="683"/>
    </row>
    <row r="48" spans="1:37" s="22" customFormat="1" ht="24.95" customHeight="1">
      <c r="A48" s="669"/>
      <c r="B48" s="685"/>
      <c r="C48" s="687"/>
      <c r="D48" s="687"/>
      <c r="E48" s="687"/>
      <c r="F48" s="687"/>
      <c r="G48" s="688"/>
      <c r="H48" s="689"/>
      <c r="I48" s="690"/>
      <c r="J48" s="676"/>
      <c r="K48" s="677"/>
      <c r="L48" s="692"/>
      <c r="M48" s="684"/>
      <c r="N48" s="731"/>
      <c r="O48" s="731"/>
      <c r="P48" s="739"/>
      <c r="Q48" s="740"/>
      <c r="R48" s="740"/>
      <c r="S48" s="696"/>
      <c r="T48" s="697"/>
      <c r="U48" s="683"/>
      <c r="V48" s="683"/>
      <c r="W48" s="644"/>
      <c r="X48" s="644"/>
      <c r="Y48" s="644"/>
      <c r="Z48" s="644"/>
      <c r="AA48" s="644"/>
      <c r="AB48" s="644"/>
      <c r="AC48" s="644"/>
      <c r="AD48" s="683"/>
      <c r="AE48" s="683"/>
      <c r="AF48" s="683"/>
      <c r="AG48" s="683"/>
      <c r="AH48" s="683"/>
      <c r="AI48" s="683"/>
      <c r="AJ48" s="683"/>
      <c r="AK48" s="683"/>
    </row>
    <row r="49" spans="1:37" s="22" customFormat="1" ht="24.95" customHeight="1">
      <c r="A49" s="669"/>
      <c r="B49" s="699"/>
      <c r="C49" s="701"/>
      <c r="D49" s="701"/>
      <c r="E49" s="701"/>
      <c r="F49" s="701"/>
      <c r="G49" s="702"/>
      <c r="H49" s="703"/>
      <c r="I49" s="704"/>
      <c r="J49" s="676"/>
      <c r="K49" s="677"/>
      <c r="L49" s="705"/>
      <c r="M49" s="706"/>
      <c r="N49" s="734"/>
      <c r="O49" s="734"/>
      <c r="P49" s="741"/>
      <c r="Q49" s="742"/>
      <c r="R49" s="742"/>
      <c r="S49" s="710"/>
      <c r="T49" s="743"/>
      <c r="U49" s="683"/>
      <c r="V49" s="683"/>
      <c r="W49" s="644"/>
      <c r="X49" s="644"/>
      <c r="Y49" s="644"/>
      <c r="Z49" s="644"/>
      <c r="AA49" s="683"/>
      <c r="AB49" s="683"/>
      <c r="AC49" s="683"/>
      <c r="AD49" s="683"/>
      <c r="AE49" s="683"/>
      <c r="AF49" s="683"/>
      <c r="AG49" s="683"/>
      <c r="AH49" s="683"/>
      <c r="AI49" s="683"/>
      <c r="AJ49" s="683"/>
      <c r="AK49" s="683"/>
    </row>
    <row r="50" spans="1:37" s="21" customFormat="1" ht="24.95" customHeight="1">
      <c r="A50" s="643"/>
      <c r="B50" s="744" t="str">
        <f>IF(S51=" "," ",IF(S51&gt;=$H$6,"CUMPLE CON LA EXPERIENCIA REQUERIDA","NO CUMPLE CON LA EXPERIENCIA REQUERIDA"))</f>
        <v>CUMPLE CON LA EXPERIENCIA REQUERIDA</v>
      </c>
      <c r="C50" s="745"/>
      <c r="D50" s="745"/>
      <c r="E50" s="745"/>
      <c r="F50" s="745"/>
      <c r="G50" s="745"/>
      <c r="H50" s="745"/>
      <c r="I50" s="745"/>
      <c r="J50" s="745"/>
      <c r="K50" s="745"/>
      <c r="L50" s="745"/>
      <c r="M50" s="745"/>
      <c r="N50" s="745"/>
      <c r="O50" s="746"/>
      <c r="P50" s="747" t="s">
        <v>21</v>
      </c>
      <c r="Q50" s="748"/>
      <c r="R50" s="749"/>
      <c r="S50" s="750">
        <f>IF(T35="SI",SUM(S35:S49),0)</f>
        <v>2056.96</v>
      </c>
      <c r="T50" s="751" t="str">
        <f>IF(S51=" "," ",IF(S51&gt;=$H$6,"CUMPLE","NO CUMPLE"))</f>
        <v>CUMPLE</v>
      </c>
      <c r="U50" s="643"/>
      <c r="V50" s="643"/>
      <c r="W50" s="644"/>
      <c r="X50" s="644"/>
      <c r="Y50" s="644"/>
      <c r="Z50" s="644"/>
      <c r="AA50" s="643"/>
      <c r="AB50" s="643"/>
      <c r="AC50" s="643"/>
      <c r="AD50" s="643"/>
      <c r="AE50" s="643"/>
      <c r="AF50" s="643"/>
      <c r="AG50" s="643"/>
      <c r="AH50" s="643"/>
      <c r="AI50" s="643"/>
      <c r="AJ50" s="643"/>
      <c r="AK50" s="643"/>
    </row>
    <row r="51" spans="1:37" s="22" customFormat="1" ht="24.95" customHeight="1">
      <c r="A51" s="683"/>
      <c r="B51" s="752"/>
      <c r="C51" s="753"/>
      <c r="D51" s="753"/>
      <c r="E51" s="753"/>
      <c r="F51" s="753"/>
      <c r="G51" s="753"/>
      <c r="H51" s="753"/>
      <c r="I51" s="753"/>
      <c r="J51" s="753"/>
      <c r="K51" s="753"/>
      <c r="L51" s="753"/>
      <c r="M51" s="753"/>
      <c r="N51" s="753"/>
      <c r="O51" s="754"/>
      <c r="P51" s="747" t="s">
        <v>23</v>
      </c>
      <c r="Q51" s="748"/>
      <c r="R51" s="749"/>
      <c r="S51" s="755">
        <f>IFERROR((S50/$P$6)," ")</f>
        <v>10.441421319796955</v>
      </c>
      <c r="T51" s="756"/>
      <c r="U51" s="683"/>
      <c r="V51" s="683"/>
      <c r="W51" s="644"/>
      <c r="X51" s="644"/>
      <c r="Y51" s="644"/>
      <c r="Z51" s="644"/>
      <c r="AA51" s="683"/>
      <c r="AB51" s="683"/>
      <c r="AC51" s="683"/>
      <c r="AD51" s="683"/>
      <c r="AE51" s="683"/>
      <c r="AF51" s="683"/>
      <c r="AG51" s="683"/>
      <c r="AH51" s="683"/>
      <c r="AI51" s="683"/>
      <c r="AJ51" s="683"/>
      <c r="AK51" s="683"/>
    </row>
    <row r="52" spans="1:37" ht="30" customHeight="1">
      <c r="A52" s="602"/>
      <c r="B52" s="602"/>
      <c r="C52" s="606"/>
      <c r="D52" s="606"/>
      <c r="E52" s="630"/>
      <c r="F52" s="631"/>
      <c r="G52" s="631"/>
      <c r="H52" s="606"/>
      <c r="I52" s="606"/>
      <c r="J52" s="606"/>
      <c r="K52" s="606"/>
      <c r="L52" s="606"/>
      <c r="M52" s="606"/>
      <c r="N52" s="606"/>
      <c r="O52" s="606"/>
      <c r="P52" s="606"/>
      <c r="Q52" s="606"/>
      <c r="R52" s="606"/>
      <c r="S52" s="606"/>
      <c r="T52" s="606"/>
      <c r="U52" s="606"/>
      <c r="V52" s="606"/>
      <c r="W52" s="644"/>
      <c r="X52" s="644"/>
      <c r="Y52" s="644"/>
      <c r="Z52" s="644"/>
      <c r="AA52" s="606"/>
      <c r="AB52" s="606"/>
      <c r="AC52" s="606"/>
      <c r="AD52" s="606"/>
      <c r="AE52" s="606"/>
      <c r="AF52" s="606"/>
      <c r="AG52" s="606"/>
      <c r="AH52" s="606"/>
      <c r="AI52" s="606"/>
      <c r="AJ52" s="606"/>
      <c r="AK52" s="606"/>
    </row>
    <row r="53" spans="1:37" ht="30" customHeight="1">
      <c r="A53" s="602"/>
      <c r="B53" s="602"/>
      <c r="C53" s="606"/>
      <c r="D53" s="606"/>
      <c r="E53" s="630"/>
      <c r="F53" s="631"/>
      <c r="G53" s="631"/>
      <c r="H53" s="606"/>
      <c r="I53" s="606"/>
      <c r="J53" s="606"/>
      <c r="K53" s="606"/>
      <c r="L53" s="606"/>
      <c r="M53" s="606"/>
      <c r="N53" s="606"/>
      <c r="O53" s="606"/>
      <c r="P53" s="606"/>
      <c r="Q53" s="606"/>
      <c r="R53" s="606"/>
      <c r="S53" s="606"/>
      <c r="T53" s="606"/>
      <c r="U53" s="606"/>
      <c r="V53" s="606"/>
      <c r="W53" s="644"/>
      <c r="X53" s="644"/>
      <c r="Y53" s="644"/>
      <c r="Z53" s="644"/>
      <c r="AA53" s="606"/>
      <c r="AB53" s="606"/>
      <c r="AC53" s="606"/>
      <c r="AD53" s="606"/>
      <c r="AE53" s="606"/>
      <c r="AF53" s="606"/>
      <c r="AG53" s="606"/>
      <c r="AH53" s="606"/>
      <c r="AI53" s="606"/>
      <c r="AJ53" s="606"/>
      <c r="AK53" s="606"/>
    </row>
    <row r="54" spans="1:37" ht="36" customHeight="1">
      <c r="A54" s="602"/>
      <c r="B54" s="632">
        <v>3</v>
      </c>
      <c r="C54" s="633" t="s">
        <v>63</v>
      </c>
      <c r="D54" s="634"/>
      <c r="E54" s="635"/>
      <c r="F54" s="636" t="str">
        <f>IFERROR(VLOOKUP(B54,LISTA_OFERENTES,2,FALSE)," ")</f>
        <v>Alfa Control S.A.S.</v>
      </c>
      <c r="G54" s="637"/>
      <c r="H54" s="637"/>
      <c r="I54" s="637"/>
      <c r="J54" s="637"/>
      <c r="K54" s="637"/>
      <c r="L54" s="637"/>
      <c r="M54" s="637"/>
      <c r="N54" s="637"/>
      <c r="O54" s="638"/>
      <c r="P54" s="639" t="s">
        <v>91</v>
      </c>
      <c r="Q54" s="640"/>
      <c r="R54" s="641"/>
      <c r="S54" s="642">
        <f>5-(INT(COUNTBLANK(C57:C71))-10)</f>
        <v>1</v>
      </c>
      <c r="T54" s="643"/>
      <c r="U54" s="606"/>
      <c r="V54" s="606"/>
      <c r="W54" s="644"/>
      <c r="X54" s="644"/>
      <c r="Y54" s="644"/>
      <c r="Z54" s="644"/>
      <c r="AA54" s="606"/>
      <c r="AB54" s="606"/>
      <c r="AC54" s="606"/>
      <c r="AD54" s="606"/>
      <c r="AE54" s="606"/>
      <c r="AF54" s="606"/>
      <c r="AG54" s="606"/>
      <c r="AH54" s="606"/>
      <c r="AI54" s="606"/>
      <c r="AJ54" s="606"/>
      <c r="AK54" s="606"/>
    </row>
    <row r="55" spans="1:37" s="23" customFormat="1" ht="30" customHeight="1">
      <c r="A55" s="645"/>
      <c r="B55" s="646" t="s">
        <v>44</v>
      </c>
      <c r="C55" s="647" t="s">
        <v>14</v>
      </c>
      <c r="D55" s="647" t="s">
        <v>15</v>
      </c>
      <c r="E55" s="647" t="s">
        <v>16</v>
      </c>
      <c r="F55" s="647" t="s">
        <v>17</v>
      </c>
      <c r="G55" s="647" t="s">
        <v>18</v>
      </c>
      <c r="H55" s="647" t="s">
        <v>19</v>
      </c>
      <c r="I55" s="647" t="s">
        <v>20</v>
      </c>
      <c r="J55" s="648" t="s">
        <v>49</v>
      </c>
      <c r="K55" s="649"/>
      <c r="L55" s="649"/>
      <c r="M55" s="650"/>
      <c r="N55" s="647" t="s">
        <v>64</v>
      </c>
      <c r="O55" s="647" t="s">
        <v>65</v>
      </c>
      <c r="P55" s="651" t="s">
        <v>66</v>
      </c>
      <c r="Q55" s="651"/>
      <c r="R55" s="647" t="s">
        <v>67</v>
      </c>
      <c r="S55" s="647" t="s">
        <v>68</v>
      </c>
      <c r="T55" s="647" t="str">
        <f>T11</f>
        <v>CUMPLE CON EL REQUERIMIENTO DE OBLIGATORIEDAD DE ESTAR INSCRITO EN EL CÓDIGO 721021 DE LA UNSPSC?</v>
      </c>
      <c r="U55" s="652"/>
      <c r="V55" s="652"/>
      <c r="W55" s="644"/>
      <c r="X55" s="644"/>
      <c r="Y55" s="644"/>
      <c r="Z55" s="644"/>
      <c r="AA55" s="644"/>
      <c r="AB55" s="644"/>
      <c r="AC55" s="644"/>
      <c r="AD55" s="645"/>
      <c r="AE55" s="645"/>
      <c r="AF55" s="645"/>
      <c r="AG55" s="645"/>
      <c r="AH55" s="645"/>
      <c r="AI55" s="645"/>
      <c r="AJ55" s="645"/>
      <c r="AK55" s="645"/>
    </row>
    <row r="56" spans="1:37" s="23" customFormat="1" ht="51" customHeight="1">
      <c r="A56" s="645"/>
      <c r="B56" s="657"/>
      <c r="C56" s="658"/>
      <c r="D56" s="658"/>
      <c r="E56" s="658"/>
      <c r="F56" s="658"/>
      <c r="G56" s="658"/>
      <c r="H56" s="658"/>
      <c r="I56" s="658"/>
      <c r="J56" s="659" t="s">
        <v>70</v>
      </c>
      <c r="K56" s="660"/>
      <c r="L56" s="660"/>
      <c r="M56" s="661"/>
      <c r="N56" s="658"/>
      <c r="O56" s="658"/>
      <c r="P56" s="662" t="s">
        <v>13</v>
      </c>
      <c r="Q56" s="662" t="s">
        <v>69</v>
      </c>
      <c r="R56" s="658"/>
      <c r="S56" s="658"/>
      <c r="T56" s="658"/>
      <c r="U56" s="652"/>
      <c r="V56" s="652"/>
      <c r="W56" s="644"/>
      <c r="X56" s="644"/>
      <c r="Y56" s="644"/>
      <c r="Z56" s="644"/>
      <c r="AA56" s="644"/>
      <c r="AB56" s="644"/>
      <c r="AC56" s="644"/>
      <c r="AD56" s="645"/>
      <c r="AE56" s="645"/>
      <c r="AF56" s="645"/>
      <c r="AG56" s="645"/>
      <c r="AH56" s="645"/>
      <c r="AI56" s="645"/>
      <c r="AJ56" s="645"/>
      <c r="AK56" s="645"/>
    </row>
    <row r="57" spans="1:37" s="22" customFormat="1" ht="24.95" customHeight="1">
      <c r="A57" s="669"/>
      <c r="B57" s="670">
        <v>1</v>
      </c>
      <c r="C57" s="672"/>
      <c r="D57" s="672"/>
      <c r="E57" s="757">
        <v>4131</v>
      </c>
      <c r="F57" s="672" t="s">
        <v>267</v>
      </c>
      <c r="G57" s="673">
        <v>110.41</v>
      </c>
      <c r="H57" s="674" t="s">
        <v>264</v>
      </c>
      <c r="I57" s="675">
        <v>1</v>
      </c>
      <c r="J57" s="676" t="s">
        <v>254</v>
      </c>
      <c r="K57" s="677"/>
      <c r="L57" s="676"/>
      <c r="M57" s="677"/>
      <c r="N57" s="728" t="s">
        <v>111</v>
      </c>
      <c r="O57" s="728" t="s">
        <v>112</v>
      </c>
      <c r="P57" s="737" t="s">
        <v>274</v>
      </c>
      <c r="Q57" s="738" t="s">
        <v>275</v>
      </c>
      <c r="R57" s="738" t="s">
        <v>124</v>
      </c>
      <c r="S57" s="681">
        <f>IF(COUNTIF(J57:M59,"CUMPLE")&gt;=1,(G57*I57),0)* (IF(N57="PRESENTÓ CERTIFICADO",1,0))* (IF(O57="ACORDE A ITEM 5.2.1 (T.R.)",1,0) )* ( IF(OR(Q57="SIN OBSERVACIÓN", Q57="REQUERIMIENTOS SUBSANADOS"),1,0)) *(IF(OR(R57="NINGUNO", R57="CUMPLEN CON LO SOLICITADO"),1,0))</f>
        <v>0</v>
      </c>
      <c r="T57" s="682" t="s">
        <v>144</v>
      </c>
      <c r="U57" s="683"/>
      <c r="V57" s="683"/>
      <c r="W57" s="644"/>
      <c r="X57" s="644"/>
      <c r="Y57" s="644"/>
      <c r="Z57" s="644"/>
      <c r="AA57" s="644"/>
      <c r="AB57" s="644"/>
      <c r="AC57" s="644"/>
      <c r="AD57" s="683"/>
      <c r="AE57" s="683"/>
      <c r="AF57" s="683"/>
      <c r="AG57" s="683"/>
      <c r="AH57" s="683"/>
      <c r="AI57" s="683"/>
      <c r="AJ57" s="683"/>
      <c r="AK57" s="683"/>
    </row>
    <row r="58" spans="1:37" s="22" customFormat="1" ht="24.95" customHeight="1">
      <c r="A58" s="669"/>
      <c r="B58" s="685"/>
      <c r="C58" s="687"/>
      <c r="D58" s="687"/>
      <c r="E58" s="687"/>
      <c r="F58" s="687"/>
      <c r="G58" s="688"/>
      <c r="H58" s="689"/>
      <c r="I58" s="690"/>
      <c r="J58" s="676"/>
      <c r="K58" s="691"/>
      <c r="L58" s="692"/>
      <c r="M58" s="684"/>
      <c r="N58" s="731"/>
      <c r="O58" s="731"/>
      <c r="P58" s="739"/>
      <c r="Q58" s="740"/>
      <c r="R58" s="740"/>
      <c r="S58" s="696"/>
      <c r="T58" s="697"/>
      <c r="U58" s="683"/>
      <c r="V58" s="683"/>
      <c r="W58" s="644"/>
      <c r="X58" s="644"/>
      <c r="Y58" s="644"/>
      <c r="Z58" s="644"/>
      <c r="AA58" s="644"/>
      <c r="AB58" s="644"/>
      <c r="AC58" s="644"/>
      <c r="AD58" s="683"/>
      <c r="AE58" s="683"/>
      <c r="AF58" s="683"/>
      <c r="AG58" s="683"/>
      <c r="AH58" s="683"/>
      <c r="AI58" s="683"/>
      <c r="AJ58" s="683"/>
      <c r="AK58" s="683"/>
    </row>
    <row r="59" spans="1:37" s="22" customFormat="1" ht="24.95" customHeight="1">
      <c r="A59" s="669"/>
      <c r="B59" s="699"/>
      <c r="C59" s="701"/>
      <c r="D59" s="701"/>
      <c r="E59" s="701"/>
      <c r="F59" s="701"/>
      <c r="G59" s="702"/>
      <c r="H59" s="703"/>
      <c r="I59" s="704"/>
      <c r="J59" s="676"/>
      <c r="K59" s="691"/>
      <c r="L59" s="705"/>
      <c r="M59" s="706"/>
      <c r="N59" s="734"/>
      <c r="O59" s="734"/>
      <c r="P59" s="741"/>
      <c r="Q59" s="742"/>
      <c r="R59" s="742"/>
      <c r="S59" s="710"/>
      <c r="T59" s="697"/>
      <c r="U59" s="683"/>
      <c r="V59" s="683"/>
      <c r="W59" s="644"/>
      <c r="X59" s="644"/>
      <c r="Y59" s="644"/>
      <c r="Z59" s="644"/>
      <c r="AA59" s="644"/>
      <c r="AB59" s="644"/>
      <c r="AC59" s="644"/>
      <c r="AD59" s="683"/>
      <c r="AE59" s="683"/>
      <c r="AF59" s="683"/>
      <c r="AG59" s="683"/>
      <c r="AH59" s="683"/>
      <c r="AI59" s="683"/>
      <c r="AJ59" s="683"/>
      <c r="AK59" s="683"/>
    </row>
    <row r="60" spans="1:37" s="22" customFormat="1" ht="24.95" customHeight="1">
      <c r="A60" s="669"/>
      <c r="B60" s="670">
        <v>2</v>
      </c>
      <c r="C60" s="671"/>
      <c r="D60" s="671"/>
      <c r="E60" s="671" t="s">
        <v>268</v>
      </c>
      <c r="F60" s="672" t="s">
        <v>269</v>
      </c>
      <c r="G60" s="712">
        <v>164.73</v>
      </c>
      <c r="H60" s="674" t="s">
        <v>264</v>
      </c>
      <c r="I60" s="713">
        <v>1</v>
      </c>
      <c r="J60" s="676" t="s">
        <v>254</v>
      </c>
      <c r="K60" s="677"/>
      <c r="L60" s="676"/>
      <c r="M60" s="691"/>
      <c r="N60" s="728" t="s">
        <v>111</v>
      </c>
      <c r="O60" s="728" t="s">
        <v>112</v>
      </c>
      <c r="P60" s="737" t="s">
        <v>274</v>
      </c>
      <c r="Q60" s="730" t="s">
        <v>275</v>
      </c>
      <c r="R60" s="730" t="s">
        <v>124</v>
      </c>
      <c r="S60" s="681">
        <f>IF(COUNTIF(J60:M62,"CUMPLE")&gt;=1,(G60*I60),0)* (IF(N60="PRESENTÓ CERTIFICADO",1,0))* (IF(O60="ACORDE A ITEM 5.2.1 (T.R.)",1,0) )* ( IF(OR(Q60="SIN OBSERVACIÓN", Q60="REQUERIMIENTOS SUBSANADOS"),1,0)) *(IF(OR(R60="NINGUNO", R60="CUMPLEN CON LO SOLICITADO"),1,0))</f>
        <v>0</v>
      </c>
      <c r="T60" s="697"/>
      <c r="U60" s="683"/>
      <c r="V60" s="683"/>
      <c r="W60" s="644"/>
      <c r="X60" s="644"/>
      <c r="Y60" s="644"/>
      <c r="Z60" s="644"/>
      <c r="AA60" s="644"/>
      <c r="AB60" s="644"/>
      <c r="AC60" s="644"/>
      <c r="AD60" s="683"/>
      <c r="AE60" s="683"/>
      <c r="AF60" s="683"/>
      <c r="AG60" s="683"/>
      <c r="AH60" s="683"/>
      <c r="AI60" s="683"/>
      <c r="AJ60" s="683"/>
      <c r="AK60" s="683"/>
    </row>
    <row r="61" spans="1:37" s="22" customFormat="1" ht="24.95" customHeight="1">
      <c r="A61" s="669"/>
      <c r="B61" s="685"/>
      <c r="C61" s="686"/>
      <c r="D61" s="686"/>
      <c r="E61" s="686"/>
      <c r="F61" s="687"/>
      <c r="G61" s="715"/>
      <c r="H61" s="689"/>
      <c r="I61" s="716"/>
      <c r="J61" s="676"/>
      <c r="K61" s="691"/>
      <c r="L61" s="692"/>
      <c r="M61" s="717"/>
      <c r="N61" s="731"/>
      <c r="O61" s="731"/>
      <c r="P61" s="739"/>
      <c r="Q61" s="733"/>
      <c r="R61" s="733"/>
      <c r="S61" s="696"/>
      <c r="T61" s="697"/>
      <c r="U61" s="683"/>
      <c r="V61" s="683"/>
      <c r="W61" s="644"/>
      <c r="X61" s="644"/>
      <c r="Y61" s="644"/>
      <c r="Z61" s="644"/>
      <c r="AA61" s="644"/>
      <c r="AB61" s="644"/>
      <c r="AC61" s="644"/>
      <c r="AD61" s="683"/>
      <c r="AE61" s="683"/>
      <c r="AF61" s="683"/>
      <c r="AG61" s="683"/>
      <c r="AH61" s="683"/>
      <c r="AI61" s="683"/>
      <c r="AJ61" s="683"/>
      <c r="AK61" s="683"/>
    </row>
    <row r="62" spans="1:37" s="22" customFormat="1" ht="24.95" customHeight="1">
      <c r="A62" s="669"/>
      <c r="B62" s="699"/>
      <c r="C62" s="700"/>
      <c r="D62" s="700"/>
      <c r="E62" s="700"/>
      <c r="F62" s="701"/>
      <c r="G62" s="719"/>
      <c r="H62" s="703"/>
      <c r="I62" s="720"/>
      <c r="J62" s="676"/>
      <c r="K62" s="691"/>
      <c r="L62" s="705"/>
      <c r="M62" s="721"/>
      <c r="N62" s="734"/>
      <c r="O62" s="734"/>
      <c r="P62" s="741"/>
      <c r="Q62" s="736"/>
      <c r="R62" s="736"/>
      <c r="S62" s="710"/>
      <c r="T62" s="697"/>
      <c r="U62" s="683"/>
      <c r="V62" s="683"/>
      <c r="W62" s="644"/>
      <c r="X62" s="644"/>
      <c r="Y62" s="644"/>
      <c r="Z62" s="644"/>
      <c r="AA62" s="644"/>
      <c r="AB62" s="644"/>
      <c r="AC62" s="644"/>
      <c r="AD62" s="683"/>
      <c r="AE62" s="683"/>
      <c r="AF62" s="683"/>
      <c r="AG62" s="683"/>
      <c r="AH62" s="683"/>
      <c r="AI62" s="683"/>
      <c r="AJ62" s="683"/>
      <c r="AK62" s="683"/>
    </row>
    <row r="63" spans="1:37" s="22" customFormat="1" ht="24.95" customHeight="1">
      <c r="A63" s="669"/>
      <c r="B63" s="670">
        <v>3</v>
      </c>
      <c r="C63" s="672">
        <v>9</v>
      </c>
      <c r="D63" s="672">
        <v>6</v>
      </c>
      <c r="E63" s="672" t="s">
        <v>270</v>
      </c>
      <c r="F63" s="672" t="s">
        <v>271</v>
      </c>
      <c r="G63" s="673">
        <v>173.62</v>
      </c>
      <c r="H63" s="674" t="s">
        <v>264</v>
      </c>
      <c r="I63" s="675">
        <v>1</v>
      </c>
      <c r="J63" s="676" t="s">
        <v>255</v>
      </c>
      <c r="K63" s="677">
        <v>721021</v>
      </c>
      <c r="L63" s="676"/>
      <c r="M63" s="677"/>
      <c r="N63" s="728" t="s">
        <v>111</v>
      </c>
      <c r="O63" s="728" t="s">
        <v>112</v>
      </c>
      <c r="P63" s="737"/>
      <c r="Q63" s="738" t="s">
        <v>113</v>
      </c>
      <c r="R63" s="738" t="s">
        <v>124</v>
      </c>
      <c r="S63" s="681">
        <f>IF(COUNTIF(J63:M65,"CUMPLE")&gt;=1,(G63*I63),0)* (IF(N63="PRESENTÓ CERTIFICADO",1,0))* (IF(O63="ACORDE A ITEM 5.2.1 (T.R.)",1,0) )* ( IF(OR(Q63="SIN OBSERVACIÓN", Q63="REQUERIMIENTOS SUBSANADOS"),1,0)) *(IF(OR(R63="NINGUNO", R63="CUMPLEN CON LO SOLICITADO"),1,0))</f>
        <v>173.62</v>
      </c>
      <c r="T63" s="697"/>
      <c r="U63" s="683"/>
      <c r="V63" s="683"/>
      <c r="W63" s="644"/>
      <c r="X63" s="644"/>
      <c r="Y63" s="644"/>
      <c r="Z63" s="644"/>
      <c r="AA63" s="644"/>
      <c r="AB63" s="644"/>
      <c r="AC63" s="644"/>
      <c r="AD63" s="683"/>
      <c r="AE63" s="683"/>
      <c r="AF63" s="683"/>
      <c r="AG63" s="683"/>
      <c r="AH63" s="683"/>
      <c r="AI63" s="683"/>
      <c r="AJ63" s="683"/>
      <c r="AK63" s="683"/>
    </row>
    <row r="64" spans="1:37" s="22" customFormat="1" ht="24.95" customHeight="1">
      <c r="A64" s="669"/>
      <c r="B64" s="685"/>
      <c r="C64" s="687"/>
      <c r="D64" s="687"/>
      <c r="E64" s="687"/>
      <c r="F64" s="687"/>
      <c r="G64" s="688"/>
      <c r="H64" s="689"/>
      <c r="I64" s="690"/>
      <c r="J64" s="676"/>
      <c r="K64" s="691"/>
      <c r="L64" s="692"/>
      <c r="M64" s="684"/>
      <c r="N64" s="731"/>
      <c r="O64" s="731"/>
      <c r="P64" s="739"/>
      <c r="Q64" s="740"/>
      <c r="R64" s="740"/>
      <c r="S64" s="696"/>
      <c r="T64" s="697"/>
      <c r="U64" s="683"/>
      <c r="V64" s="683"/>
      <c r="W64" s="644"/>
      <c r="X64" s="644"/>
      <c r="Y64" s="644"/>
      <c r="Z64" s="644"/>
      <c r="AA64" s="644"/>
      <c r="AB64" s="644"/>
      <c r="AC64" s="644"/>
      <c r="AD64" s="683"/>
      <c r="AE64" s="683"/>
      <c r="AF64" s="683"/>
      <c r="AG64" s="683"/>
      <c r="AH64" s="683"/>
      <c r="AI64" s="683"/>
      <c r="AJ64" s="683"/>
      <c r="AK64" s="683"/>
    </row>
    <row r="65" spans="1:37" s="22" customFormat="1" ht="24.95" customHeight="1">
      <c r="A65" s="669"/>
      <c r="B65" s="699"/>
      <c r="C65" s="701"/>
      <c r="D65" s="701"/>
      <c r="E65" s="701"/>
      <c r="F65" s="701"/>
      <c r="G65" s="702"/>
      <c r="H65" s="703"/>
      <c r="I65" s="704"/>
      <c r="J65" s="676"/>
      <c r="K65" s="691"/>
      <c r="L65" s="705"/>
      <c r="M65" s="706"/>
      <c r="N65" s="734"/>
      <c r="O65" s="734"/>
      <c r="P65" s="741"/>
      <c r="Q65" s="742"/>
      <c r="R65" s="742"/>
      <c r="S65" s="710"/>
      <c r="T65" s="697"/>
      <c r="U65" s="683"/>
      <c r="V65" s="683"/>
      <c r="W65" s="644"/>
      <c r="X65" s="644"/>
      <c r="Y65" s="644"/>
      <c r="Z65" s="644"/>
      <c r="AA65" s="644"/>
      <c r="AB65" s="644"/>
      <c r="AC65" s="644"/>
      <c r="AD65" s="683"/>
      <c r="AE65" s="683"/>
      <c r="AF65" s="683"/>
      <c r="AG65" s="683"/>
      <c r="AH65" s="683"/>
      <c r="AI65" s="683"/>
      <c r="AJ65" s="683"/>
      <c r="AK65" s="683"/>
    </row>
    <row r="66" spans="1:37" s="22" customFormat="1" ht="24.95" customHeight="1">
      <c r="A66" s="669"/>
      <c r="B66" s="670">
        <v>4</v>
      </c>
      <c r="C66" s="671"/>
      <c r="D66" s="671"/>
      <c r="E66" s="671"/>
      <c r="F66" s="671"/>
      <c r="G66" s="712"/>
      <c r="H66" s="674"/>
      <c r="I66" s="713"/>
      <c r="J66" s="676"/>
      <c r="K66" s="691"/>
      <c r="L66" s="676"/>
      <c r="M66" s="691"/>
      <c r="N66" s="728"/>
      <c r="O66" s="728"/>
      <c r="P66" s="729"/>
      <c r="Q66" s="730"/>
      <c r="R66" s="730"/>
      <c r="S66" s="681">
        <f>IF(COUNTIF(J66:M68,"CUMPLE")&gt;=1,(G66*I66),0)* (IF(N66="PRESENTÓ CERTIFICADO",1,0))* (IF(O66="ACORDE A ITEM 5.2.1 (T.R.)",1,0) )* ( IF(OR(Q66="SIN OBSERVACIÓN", Q66="REQUERIMIENTOS SUBSANADOS"),1,0)) *(IF(OR(R66="NINGUNO", R66="CUMPLEN CON LO SOLICITADO"),1,0))</f>
        <v>0</v>
      </c>
      <c r="T66" s="697"/>
      <c r="U66" s="683"/>
      <c r="V66" s="683"/>
      <c r="W66" s="644"/>
      <c r="X66" s="644"/>
      <c r="Y66" s="644"/>
      <c r="Z66" s="644"/>
      <c r="AA66" s="644"/>
      <c r="AB66" s="644"/>
      <c r="AC66" s="644"/>
      <c r="AD66" s="683"/>
      <c r="AE66" s="683"/>
      <c r="AF66" s="683"/>
      <c r="AG66" s="683"/>
      <c r="AH66" s="683"/>
      <c r="AI66" s="683"/>
      <c r="AJ66" s="683"/>
      <c r="AK66" s="683"/>
    </row>
    <row r="67" spans="1:37" s="22" customFormat="1" ht="24.95" customHeight="1">
      <c r="A67" s="669"/>
      <c r="B67" s="685"/>
      <c r="C67" s="686"/>
      <c r="D67" s="686"/>
      <c r="E67" s="686"/>
      <c r="F67" s="686"/>
      <c r="G67" s="715"/>
      <c r="H67" s="689"/>
      <c r="I67" s="716"/>
      <c r="J67" s="676"/>
      <c r="K67" s="691"/>
      <c r="L67" s="692"/>
      <c r="M67" s="717"/>
      <c r="N67" s="731"/>
      <c r="O67" s="731"/>
      <c r="P67" s="732"/>
      <c r="Q67" s="733"/>
      <c r="R67" s="733"/>
      <c r="S67" s="696"/>
      <c r="T67" s="697"/>
      <c r="U67" s="683"/>
      <c r="V67" s="683"/>
      <c r="W67" s="644"/>
      <c r="X67" s="644"/>
      <c r="Y67" s="644"/>
      <c r="Z67" s="644"/>
      <c r="AA67" s="644"/>
      <c r="AB67" s="644"/>
      <c r="AC67" s="644"/>
      <c r="AD67" s="683"/>
      <c r="AE67" s="683"/>
      <c r="AF67" s="683"/>
      <c r="AG67" s="683"/>
      <c r="AH67" s="683"/>
      <c r="AI67" s="683"/>
      <c r="AJ67" s="683"/>
      <c r="AK67" s="683"/>
    </row>
    <row r="68" spans="1:37" s="22" customFormat="1" ht="24.95" customHeight="1">
      <c r="A68" s="669"/>
      <c r="B68" s="699"/>
      <c r="C68" s="700"/>
      <c r="D68" s="700"/>
      <c r="E68" s="700"/>
      <c r="F68" s="700"/>
      <c r="G68" s="719"/>
      <c r="H68" s="703"/>
      <c r="I68" s="720"/>
      <c r="J68" s="676"/>
      <c r="K68" s="691"/>
      <c r="L68" s="705"/>
      <c r="M68" s="721"/>
      <c r="N68" s="734"/>
      <c r="O68" s="734"/>
      <c r="P68" s="735"/>
      <c r="Q68" s="736"/>
      <c r="R68" s="736"/>
      <c r="S68" s="710"/>
      <c r="T68" s="697"/>
      <c r="U68" s="683"/>
      <c r="V68" s="683"/>
      <c r="W68" s="644"/>
      <c r="X68" s="644"/>
      <c r="Y68" s="644"/>
      <c r="Z68" s="644"/>
      <c r="AA68" s="644"/>
      <c r="AB68" s="644"/>
      <c r="AC68" s="644"/>
      <c r="AD68" s="683"/>
      <c r="AE68" s="683"/>
      <c r="AF68" s="683"/>
      <c r="AG68" s="683"/>
      <c r="AH68" s="683"/>
      <c r="AI68" s="683"/>
      <c r="AJ68" s="683"/>
      <c r="AK68" s="683"/>
    </row>
    <row r="69" spans="1:37" s="22" customFormat="1" ht="24.95" customHeight="1">
      <c r="A69" s="669"/>
      <c r="B69" s="670">
        <v>5</v>
      </c>
      <c r="C69" s="672"/>
      <c r="D69" s="672"/>
      <c r="E69" s="672"/>
      <c r="F69" s="672"/>
      <c r="G69" s="673"/>
      <c r="H69" s="674"/>
      <c r="I69" s="675"/>
      <c r="J69" s="676"/>
      <c r="K69" s="677"/>
      <c r="L69" s="676"/>
      <c r="M69" s="677"/>
      <c r="N69" s="728"/>
      <c r="O69" s="728"/>
      <c r="P69" s="737"/>
      <c r="Q69" s="738"/>
      <c r="R69" s="738"/>
      <c r="S69" s="681">
        <f>IF(COUNTIF(J69:M71,"CUMPLE")&gt;=1,(G69*I69),0)* (IF(N69="PRESENTÓ CERTIFICADO",1,0))* (IF(O69="ACORDE A ITEM 5.2.1 (T.R.)",1,0) )* ( IF(OR(Q69="SIN OBSERVACIÓN", Q69="REQUERIMIENTOS SUBSANADOS"),1,0)) *(IF(OR(R69="NINGUNO", R69="CUMPLEN CON LO SOLICITADO"),1,0))</f>
        <v>0</v>
      </c>
      <c r="T69" s="697"/>
      <c r="U69" s="683"/>
      <c r="V69" s="683"/>
      <c r="W69" s="644"/>
      <c r="X69" s="644"/>
      <c r="Y69" s="644"/>
      <c r="Z69" s="644"/>
      <c r="AA69" s="644"/>
      <c r="AB69" s="644"/>
      <c r="AC69" s="644"/>
      <c r="AD69" s="683"/>
      <c r="AE69" s="683"/>
      <c r="AF69" s="683"/>
      <c r="AG69" s="683"/>
      <c r="AH69" s="683"/>
      <c r="AI69" s="683"/>
      <c r="AJ69" s="683"/>
      <c r="AK69" s="683"/>
    </row>
    <row r="70" spans="1:37" s="22" customFormat="1" ht="24.95" customHeight="1">
      <c r="A70" s="669"/>
      <c r="B70" s="685"/>
      <c r="C70" s="687"/>
      <c r="D70" s="687"/>
      <c r="E70" s="687"/>
      <c r="F70" s="687"/>
      <c r="G70" s="688"/>
      <c r="H70" s="689"/>
      <c r="I70" s="690"/>
      <c r="J70" s="676"/>
      <c r="K70" s="677"/>
      <c r="L70" s="692"/>
      <c r="M70" s="684"/>
      <c r="N70" s="731"/>
      <c r="O70" s="731"/>
      <c r="P70" s="739"/>
      <c r="Q70" s="740"/>
      <c r="R70" s="740"/>
      <c r="S70" s="696"/>
      <c r="T70" s="697"/>
      <c r="U70" s="683"/>
      <c r="V70" s="683"/>
      <c r="W70" s="644"/>
      <c r="X70" s="644"/>
      <c r="Y70" s="644"/>
      <c r="Z70" s="644"/>
      <c r="AA70" s="644"/>
      <c r="AB70" s="644"/>
      <c r="AC70" s="644"/>
      <c r="AD70" s="683"/>
      <c r="AE70" s="683"/>
      <c r="AF70" s="683"/>
      <c r="AG70" s="683"/>
      <c r="AH70" s="683"/>
      <c r="AI70" s="683"/>
      <c r="AJ70" s="683"/>
      <c r="AK70" s="683"/>
    </row>
    <row r="71" spans="1:37" s="22" customFormat="1" ht="24.95" customHeight="1">
      <c r="A71" s="669"/>
      <c r="B71" s="699"/>
      <c r="C71" s="701"/>
      <c r="D71" s="701"/>
      <c r="E71" s="701"/>
      <c r="F71" s="701"/>
      <c r="G71" s="702"/>
      <c r="H71" s="703"/>
      <c r="I71" s="704"/>
      <c r="J71" s="676"/>
      <c r="K71" s="677"/>
      <c r="L71" s="705"/>
      <c r="M71" s="706"/>
      <c r="N71" s="734"/>
      <c r="O71" s="734"/>
      <c r="P71" s="741"/>
      <c r="Q71" s="742"/>
      <c r="R71" s="742"/>
      <c r="S71" s="710"/>
      <c r="T71" s="743"/>
      <c r="U71" s="683"/>
      <c r="V71" s="683"/>
      <c r="W71" s="644"/>
      <c r="X71" s="644"/>
      <c r="Y71" s="644"/>
      <c r="Z71" s="644"/>
      <c r="AA71" s="683"/>
      <c r="AB71" s="683"/>
      <c r="AC71" s="683"/>
      <c r="AD71" s="683"/>
      <c r="AE71" s="683"/>
      <c r="AF71" s="683"/>
      <c r="AG71" s="683"/>
      <c r="AH71" s="683"/>
      <c r="AI71" s="683"/>
      <c r="AJ71" s="683"/>
      <c r="AK71" s="683"/>
    </row>
    <row r="72" spans="1:37" s="21" customFormat="1" ht="24.95" customHeight="1">
      <c r="A72" s="643"/>
      <c r="B72" s="744" t="str">
        <f>IF(S73=" "," ",IF(S73&gt;=$H$6,"CUMPLE CON LA EXPERIENCIA REQUERIDA","NO CUMPLE CON LA EXPERIENCIA REQUERIDA"))</f>
        <v>NO CUMPLE CON LA EXPERIENCIA REQUERIDA</v>
      </c>
      <c r="C72" s="745"/>
      <c r="D72" s="745"/>
      <c r="E72" s="745"/>
      <c r="F72" s="745"/>
      <c r="G72" s="745"/>
      <c r="H72" s="745"/>
      <c r="I72" s="745"/>
      <c r="J72" s="745"/>
      <c r="K72" s="745"/>
      <c r="L72" s="745"/>
      <c r="M72" s="745"/>
      <c r="N72" s="745"/>
      <c r="O72" s="746"/>
      <c r="P72" s="747" t="s">
        <v>21</v>
      </c>
      <c r="Q72" s="748"/>
      <c r="R72" s="749"/>
      <c r="S72" s="750">
        <f>IF(T57="SI",SUM(S57:S71),0)</f>
        <v>0</v>
      </c>
      <c r="T72" s="751" t="str">
        <f>IF(S73=" "," ",IF(S73&gt;=$H$6,"CUMPLE","NO CUMPLE"))</f>
        <v>NO CUMPLE</v>
      </c>
      <c r="U72" s="643"/>
      <c r="V72" s="643"/>
      <c r="W72" s="644"/>
      <c r="X72" s="644"/>
      <c r="Y72" s="644"/>
      <c r="Z72" s="644"/>
      <c r="AA72" s="643"/>
      <c r="AB72" s="643"/>
      <c r="AC72" s="643"/>
      <c r="AD72" s="643"/>
      <c r="AE72" s="643"/>
      <c r="AF72" s="643"/>
      <c r="AG72" s="643"/>
      <c r="AH72" s="643"/>
      <c r="AI72" s="643"/>
      <c r="AJ72" s="643"/>
      <c r="AK72" s="643"/>
    </row>
    <row r="73" spans="1:37" s="22" customFormat="1" ht="24.95" customHeight="1">
      <c r="A73" s="683"/>
      <c r="B73" s="752"/>
      <c r="C73" s="753"/>
      <c r="D73" s="753"/>
      <c r="E73" s="753"/>
      <c r="F73" s="753"/>
      <c r="G73" s="753"/>
      <c r="H73" s="753"/>
      <c r="I73" s="753"/>
      <c r="J73" s="753"/>
      <c r="K73" s="753"/>
      <c r="L73" s="753"/>
      <c r="M73" s="753"/>
      <c r="N73" s="753"/>
      <c r="O73" s="754"/>
      <c r="P73" s="747" t="s">
        <v>23</v>
      </c>
      <c r="Q73" s="748"/>
      <c r="R73" s="749"/>
      <c r="S73" s="755">
        <f>IFERROR((S72/$P$6)," ")</f>
        <v>0</v>
      </c>
      <c r="T73" s="756"/>
      <c r="U73" s="683"/>
      <c r="V73" s="683"/>
      <c r="W73" s="644"/>
      <c r="X73" s="644"/>
      <c r="Y73" s="644"/>
      <c r="Z73" s="644"/>
      <c r="AA73" s="683"/>
      <c r="AB73" s="683"/>
      <c r="AC73" s="683"/>
      <c r="AD73" s="683"/>
      <c r="AE73" s="683"/>
      <c r="AF73" s="683"/>
      <c r="AG73" s="683"/>
      <c r="AH73" s="683"/>
      <c r="AI73" s="683"/>
      <c r="AJ73" s="683"/>
      <c r="AK73" s="683"/>
    </row>
    <row r="74" spans="1:37" ht="30" customHeight="1">
      <c r="A74" s="602"/>
      <c r="B74" s="602"/>
      <c r="C74" s="606"/>
      <c r="D74" s="606"/>
      <c r="E74" s="630"/>
      <c r="F74" s="631"/>
      <c r="G74" s="631"/>
      <c r="H74" s="606"/>
      <c r="I74" s="606"/>
      <c r="J74" s="606"/>
      <c r="K74" s="606"/>
      <c r="L74" s="606"/>
      <c r="M74" s="606"/>
      <c r="N74" s="606"/>
      <c r="O74" s="606"/>
      <c r="P74" s="606"/>
      <c r="Q74" s="606"/>
      <c r="R74" s="606"/>
      <c r="S74" s="606"/>
      <c r="T74" s="606"/>
      <c r="U74" s="606"/>
      <c r="V74" s="606"/>
      <c r="W74" s="644"/>
      <c r="X74" s="644"/>
      <c r="Y74" s="644"/>
      <c r="Z74" s="644"/>
      <c r="AA74" s="606"/>
      <c r="AB74" s="606"/>
      <c r="AC74" s="606"/>
      <c r="AD74" s="606"/>
      <c r="AE74" s="606"/>
      <c r="AF74" s="606"/>
      <c r="AG74" s="606"/>
      <c r="AH74" s="606"/>
      <c r="AI74" s="606"/>
      <c r="AJ74" s="606"/>
      <c r="AK74" s="606"/>
    </row>
    <row r="75" spans="1:37" ht="30" customHeight="1">
      <c r="A75" s="602"/>
      <c r="B75" s="602"/>
      <c r="C75" s="606"/>
      <c r="D75" s="606"/>
      <c r="E75" s="630"/>
      <c r="F75" s="631"/>
      <c r="G75" s="631"/>
      <c r="H75" s="606"/>
      <c r="I75" s="606"/>
      <c r="J75" s="606"/>
      <c r="K75" s="606"/>
      <c r="L75" s="606"/>
      <c r="M75" s="606"/>
      <c r="N75" s="606"/>
      <c r="O75" s="606"/>
      <c r="P75" s="606"/>
      <c r="Q75" s="606"/>
      <c r="R75" s="606"/>
      <c r="S75" s="606"/>
      <c r="T75" s="606"/>
      <c r="U75" s="606"/>
      <c r="V75" s="606"/>
      <c r="W75" s="644"/>
      <c r="X75" s="644"/>
      <c r="Y75" s="644"/>
      <c r="Z75" s="644"/>
      <c r="AA75" s="606"/>
      <c r="AB75" s="606"/>
      <c r="AC75" s="606"/>
      <c r="AD75" s="606"/>
      <c r="AE75" s="606"/>
      <c r="AF75" s="606"/>
      <c r="AG75" s="606"/>
      <c r="AH75" s="606"/>
      <c r="AI75" s="606"/>
      <c r="AJ75" s="606"/>
      <c r="AK75" s="606"/>
    </row>
  </sheetData>
  <sheetProtection algorithmName="SHA-512" hashValue="ZIEG1khGv1X98/9j0ihMe7rATAhcOcW49cq9nr7kfNVy2zT2MfpzrjHfw0nhklCSHEKxlF6WhNY6ZCMFtVpM0Q==" saltValue="maIHO69gZjcekHDO2gPogw==" spinCount="100000" sheet="1" selectLockedCells="1" selectUnlockedCells="1"/>
  <mergeCells count="319">
    <mergeCell ref="R69:R71"/>
    <mergeCell ref="I66:I68"/>
    <mergeCell ref="B72:O73"/>
    <mergeCell ref="P72:Q72"/>
    <mergeCell ref="T72:T73"/>
    <mergeCell ref="P73:Q73"/>
    <mergeCell ref="C13:C15"/>
    <mergeCell ref="AI13:AI26"/>
    <mergeCell ref="R55:R56"/>
    <mergeCell ref="S55:S56"/>
    <mergeCell ref="T55:T56"/>
    <mergeCell ref="J56:M56"/>
    <mergeCell ref="T57:T71"/>
    <mergeCell ref="L58:L59"/>
    <mergeCell ref="M58:M59"/>
    <mergeCell ref="L61:L62"/>
    <mergeCell ref="M61:M62"/>
    <mergeCell ref="L64:L65"/>
    <mergeCell ref="M64:M65"/>
    <mergeCell ref="N66:N68"/>
    <mergeCell ref="O66:O68"/>
    <mergeCell ref="P66:P68"/>
    <mergeCell ref="Q66:Q68"/>
    <mergeCell ref="P69:P71"/>
    <mergeCell ref="Q69:Q71"/>
    <mergeCell ref="P51:Q51"/>
    <mergeCell ref="C55:C56"/>
    <mergeCell ref="D55:D56"/>
    <mergeCell ref="E55:E56"/>
    <mergeCell ref="F55:F56"/>
    <mergeCell ref="G55:G56"/>
    <mergeCell ref="H55:H56"/>
    <mergeCell ref="I55:I56"/>
    <mergeCell ref="J55:M55"/>
    <mergeCell ref="N55:N56"/>
    <mergeCell ref="O55:O56"/>
    <mergeCell ref="B47:B49"/>
    <mergeCell ref="C47:C49"/>
    <mergeCell ref="D47:D49"/>
    <mergeCell ref="E47:E49"/>
    <mergeCell ref="F47:F49"/>
    <mergeCell ref="G47:G49"/>
    <mergeCell ref="H47:H49"/>
    <mergeCell ref="I47:I49"/>
    <mergeCell ref="N47:N49"/>
    <mergeCell ref="L48:L49"/>
    <mergeCell ref="M48:M49"/>
    <mergeCell ref="D38:D40"/>
    <mergeCell ref="E38:E40"/>
    <mergeCell ref="F38:F40"/>
    <mergeCell ref="G38:G40"/>
    <mergeCell ref="H38:H40"/>
    <mergeCell ref="I38:I40"/>
    <mergeCell ref="L39:L40"/>
    <mergeCell ref="B41:B43"/>
    <mergeCell ref="C41:C43"/>
    <mergeCell ref="D41:D43"/>
    <mergeCell ref="E41:E43"/>
    <mergeCell ref="F41:F43"/>
    <mergeCell ref="G41:G43"/>
    <mergeCell ref="H41:H43"/>
    <mergeCell ref="I41:I43"/>
    <mergeCell ref="L42:L43"/>
    <mergeCell ref="T33:T34"/>
    <mergeCell ref="N35:N37"/>
    <mergeCell ref="O35:O37"/>
    <mergeCell ref="P35:P37"/>
    <mergeCell ref="Q35:Q37"/>
    <mergeCell ref="R35:R37"/>
    <mergeCell ref="S35:S37"/>
    <mergeCell ref="T35:T49"/>
    <mergeCell ref="L36:L37"/>
    <mergeCell ref="M36:M37"/>
    <mergeCell ref="M39:M40"/>
    <mergeCell ref="O41:O43"/>
    <mergeCell ref="P41:P43"/>
    <mergeCell ref="O47:O49"/>
    <mergeCell ref="P47:P49"/>
    <mergeCell ref="Q47:Q49"/>
    <mergeCell ref="R47:R49"/>
    <mergeCell ref="S47:S49"/>
    <mergeCell ref="M45:M46"/>
    <mergeCell ref="P38:P40"/>
    <mergeCell ref="Q38:Q40"/>
    <mergeCell ref="R38:R40"/>
    <mergeCell ref="S38:S40"/>
    <mergeCell ref="N41:N43"/>
    <mergeCell ref="N33:N34"/>
    <mergeCell ref="O33:O34"/>
    <mergeCell ref="R33:R34"/>
    <mergeCell ref="S33:S34"/>
    <mergeCell ref="R41:R43"/>
    <mergeCell ref="S41:S43"/>
    <mergeCell ref="I44:I46"/>
    <mergeCell ref="N44:N46"/>
    <mergeCell ref="O44:O46"/>
    <mergeCell ref="P44:P46"/>
    <mergeCell ref="Q44:Q46"/>
    <mergeCell ref="R44:R46"/>
    <mergeCell ref="S44:S46"/>
    <mergeCell ref="L45:L46"/>
    <mergeCell ref="I33:I34"/>
    <mergeCell ref="J33:M33"/>
    <mergeCell ref="M42:M43"/>
    <mergeCell ref="I35:I37"/>
    <mergeCell ref="Q41:Q43"/>
    <mergeCell ref="N25:N27"/>
    <mergeCell ref="O25:O27"/>
    <mergeCell ref="P25:P27"/>
    <mergeCell ref="Q25:Q27"/>
    <mergeCell ref="R25:R27"/>
    <mergeCell ref="S25:S27"/>
    <mergeCell ref="C32:E32"/>
    <mergeCell ref="F32:O32"/>
    <mergeCell ref="P32:R32"/>
    <mergeCell ref="L26:L27"/>
    <mergeCell ref="W11:Y11"/>
    <mergeCell ref="T28:T29"/>
    <mergeCell ref="R16:R18"/>
    <mergeCell ref="S16:S18"/>
    <mergeCell ref="P28:Q28"/>
    <mergeCell ref="P29:Q29"/>
    <mergeCell ref="B28:O29"/>
    <mergeCell ref="H16:H18"/>
    <mergeCell ref="I16:I18"/>
    <mergeCell ref="N16:N18"/>
    <mergeCell ref="O16:O18"/>
    <mergeCell ref="P16:P18"/>
    <mergeCell ref="Q16:Q18"/>
    <mergeCell ref="P19:P21"/>
    <mergeCell ref="Q19:Q21"/>
    <mergeCell ref="B19:B21"/>
    <mergeCell ref="C19:C21"/>
    <mergeCell ref="D19:D21"/>
    <mergeCell ref="E19:E21"/>
    <mergeCell ref="F19:F21"/>
    <mergeCell ref="G19:G21"/>
    <mergeCell ref="H19:H21"/>
    <mergeCell ref="I19:I21"/>
    <mergeCell ref="B16:B18"/>
    <mergeCell ref="B3:S3"/>
    <mergeCell ref="B1:S1"/>
    <mergeCell ref="I11:I12"/>
    <mergeCell ref="J12:M12"/>
    <mergeCell ref="S11:S12"/>
    <mergeCell ref="R11:R12"/>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F6:G6"/>
    <mergeCell ref="N6:O6"/>
    <mergeCell ref="P13:P15"/>
    <mergeCell ref="O11:O12"/>
    <mergeCell ref="C44:C46"/>
    <mergeCell ref="B11:B12"/>
    <mergeCell ref="C11:C12"/>
    <mergeCell ref="D11:D12"/>
    <mergeCell ref="E11:E12"/>
    <mergeCell ref="F11:F12"/>
    <mergeCell ref="G11:G12"/>
    <mergeCell ref="H11:H12"/>
    <mergeCell ref="D44:D46"/>
    <mergeCell ref="D35:D37"/>
    <mergeCell ref="E35:E37"/>
    <mergeCell ref="F35:F37"/>
    <mergeCell ref="G35:G37"/>
    <mergeCell ref="H35:H37"/>
    <mergeCell ref="E44:E46"/>
    <mergeCell ref="B33:B34"/>
    <mergeCell ref="C33:C34"/>
    <mergeCell ref="D33:D34"/>
    <mergeCell ref="E33:E34"/>
    <mergeCell ref="F33:F34"/>
    <mergeCell ref="G33:G34"/>
    <mergeCell ref="H33:H34"/>
    <mergeCell ref="B38:B40"/>
    <mergeCell ref="C38:C40"/>
    <mergeCell ref="R13:R15"/>
    <mergeCell ref="O13:O15"/>
    <mergeCell ref="D22:D24"/>
    <mergeCell ref="E22:E24"/>
    <mergeCell ref="N22:N24"/>
    <mergeCell ref="O22:O24"/>
    <mergeCell ref="P22:P24"/>
    <mergeCell ref="Q22:Q24"/>
    <mergeCell ref="R22:R24"/>
    <mergeCell ref="O19:O21"/>
    <mergeCell ref="R19:R21"/>
    <mergeCell ref="B13:B15"/>
    <mergeCell ref="B57:B59"/>
    <mergeCell ref="C57:C59"/>
    <mergeCell ref="D57:D59"/>
    <mergeCell ref="E57:E59"/>
    <mergeCell ref="F57:F59"/>
    <mergeCell ref="G57:G59"/>
    <mergeCell ref="H57:H59"/>
    <mergeCell ref="I57:I59"/>
    <mergeCell ref="C54:E54"/>
    <mergeCell ref="F54:O54"/>
    <mergeCell ref="B55:B56"/>
    <mergeCell ref="N38:N40"/>
    <mergeCell ref="O38:O40"/>
    <mergeCell ref="F44:F46"/>
    <mergeCell ref="G44:G46"/>
    <mergeCell ref="H44:H46"/>
    <mergeCell ref="C16:C18"/>
    <mergeCell ref="D16:D18"/>
    <mergeCell ref="E16:E18"/>
    <mergeCell ref="F16:F18"/>
    <mergeCell ref="L23:L24"/>
    <mergeCell ref="N19:N21"/>
    <mergeCell ref="B44:B46"/>
    <mergeCell ref="S13:S15"/>
    <mergeCell ref="C10:E10"/>
    <mergeCell ref="F10:O10"/>
    <mergeCell ref="P10:R10"/>
    <mergeCell ref="B63:B65"/>
    <mergeCell ref="C63:C65"/>
    <mergeCell ref="D63:D65"/>
    <mergeCell ref="E63:E65"/>
    <mergeCell ref="F63:F65"/>
    <mergeCell ref="J34:M34"/>
    <mergeCell ref="B35:B37"/>
    <mergeCell ref="C35:C37"/>
    <mergeCell ref="B60:B62"/>
    <mergeCell ref="C60:C62"/>
    <mergeCell ref="D60:D62"/>
    <mergeCell ref="E60:E62"/>
    <mergeCell ref="F60:F62"/>
    <mergeCell ref="G60:G62"/>
    <mergeCell ref="H60:H62"/>
    <mergeCell ref="I60:I62"/>
    <mergeCell ref="N60:N62"/>
    <mergeCell ref="M23:M24"/>
    <mergeCell ref="P54:R54"/>
    <mergeCell ref="B50:O51"/>
    <mergeCell ref="T11:T12"/>
    <mergeCell ref="G16:G18"/>
    <mergeCell ref="F22:F24"/>
    <mergeCell ref="G22:G24"/>
    <mergeCell ref="H22:H24"/>
    <mergeCell ref="I22:I24"/>
    <mergeCell ref="B25:B27"/>
    <mergeCell ref="C25:C27"/>
    <mergeCell ref="D25:D27"/>
    <mergeCell ref="E25:E27"/>
    <mergeCell ref="F25:F27"/>
    <mergeCell ref="G25:G27"/>
    <mergeCell ref="H25:H27"/>
    <mergeCell ref="I25:I27"/>
    <mergeCell ref="B22:B24"/>
    <mergeCell ref="C22:C24"/>
    <mergeCell ref="T13:T27"/>
    <mergeCell ref="M14:M15"/>
    <mergeCell ref="L14:L15"/>
    <mergeCell ref="L17:L18"/>
    <mergeCell ref="M17:M18"/>
    <mergeCell ref="L20:L21"/>
    <mergeCell ref="M20:M21"/>
    <mergeCell ref="M26:M27"/>
    <mergeCell ref="B66:B68"/>
    <mergeCell ref="R66:R68"/>
    <mergeCell ref="S66:S68"/>
    <mergeCell ref="L67:L68"/>
    <mergeCell ref="M67:M68"/>
    <mergeCell ref="B69:B71"/>
    <mergeCell ref="C69:C71"/>
    <mergeCell ref="D69:D71"/>
    <mergeCell ref="E69:E71"/>
    <mergeCell ref="F69:F71"/>
    <mergeCell ref="G69:G71"/>
    <mergeCell ref="H69:H71"/>
    <mergeCell ref="I69:I71"/>
    <mergeCell ref="N69:N71"/>
    <mergeCell ref="O69:O71"/>
    <mergeCell ref="C66:C68"/>
    <mergeCell ref="D66:D68"/>
    <mergeCell ref="E66:E68"/>
    <mergeCell ref="F66:F68"/>
    <mergeCell ref="G66:G68"/>
    <mergeCell ref="H66:H68"/>
    <mergeCell ref="S69:S71"/>
    <mergeCell ref="L70:L71"/>
    <mergeCell ref="M70:M71"/>
    <mergeCell ref="S19:S21"/>
    <mergeCell ref="T50:T51"/>
    <mergeCell ref="G63:G65"/>
    <mergeCell ref="H63:H65"/>
    <mergeCell ref="I63:I65"/>
    <mergeCell ref="N63:N65"/>
    <mergeCell ref="O63:O65"/>
    <mergeCell ref="P63:P65"/>
    <mergeCell ref="Q63:Q65"/>
    <mergeCell ref="R63:R65"/>
    <mergeCell ref="S63:S65"/>
    <mergeCell ref="O60:O62"/>
    <mergeCell ref="P60:P62"/>
    <mergeCell ref="Q60:Q62"/>
    <mergeCell ref="R60:R62"/>
    <mergeCell ref="S60:S62"/>
    <mergeCell ref="N57:N59"/>
    <mergeCell ref="O57:O59"/>
    <mergeCell ref="P57:P59"/>
    <mergeCell ref="Q57:Q59"/>
    <mergeCell ref="R57:R59"/>
    <mergeCell ref="S57:S59"/>
    <mergeCell ref="P50:Q50"/>
    <mergeCell ref="S22:S24"/>
  </mergeCells>
  <conditionalFormatting sqref="K13">
    <cfRule type="expression" dxfId="744" priority="16886">
      <formula>J13="NO CUMPLE"</formula>
    </cfRule>
    <cfRule type="expression" dxfId="743" priority="16887">
      <formula>J13="CUMPLE"</formula>
    </cfRule>
  </conditionalFormatting>
  <conditionalFormatting sqref="M13">
    <cfRule type="expression" dxfId="742" priority="16884">
      <formula>L13="NO CUMPLE"</formula>
    </cfRule>
    <cfRule type="expression" dxfId="741" priority="16885">
      <formula>L13="CUMPLE"</formula>
    </cfRule>
  </conditionalFormatting>
  <conditionalFormatting sqref="N13">
    <cfRule type="expression" dxfId="740" priority="16881">
      <formula>N13=" "</formula>
    </cfRule>
    <cfRule type="expression" dxfId="739" priority="16882">
      <formula>N13="NO PRESENTÓ CERTIFICADO"</formula>
    </cfRule>
    <cfRule type="expression" dxfId="738" priority="16883">
      <formula>N13="PRESENTÓ CERTIFICADO"</formula>
    </cfRule>
  </conditionalFormatting>
  <conditionalFormatting sqref="J13">
    <cfRule type="cellIs" dxfId="737" priority="16879" operator="equal">
      <formula>"NO CUMPLE"</formula>
    </cfRule>
    <cfRule type="cellIs" dxfId="736" priority="16880" operator="equal">
      <formula>"CUMPLE"</formula>
    </cfRule>
  </conditionalFormatting>
  <conditionalFormatting sqref="L13">
    <cfRule type="cellIs" dxfId="735" priority="16877" operator="equal">
      <formula>"NO CUMPLE"</formula>
    </cfRule>
    <cfRule type="cellIs" dxfId="734" priority="16878" operator="equal">
      <formula>"CUMPLE"</formula>
    </cfRule>
  </conditionalFormatting>
  <conditionalFormatting sqref="S13">
    <cfRule type="cellIs" dxfId="733" priority="16875" operator="greaterThan">
      <formula>0</formula>
    </cfRule>
    <cfRule type="cellIs" dxfId="732" priority="16876" operator="equal">
      <formula>0</formula>
    </cfRule>
  </conditionalFormatting>
  <conditionalFormatting sqref="P13 P16">
    <cfRule type="expression" dxfId="731" priority="16854">
      <formula>Q13="NO SUBSANABLE"</formula>
    </cfRule>
    <cfRule type="expression" dxfId="730" priority="16864">
      <formula>Q13="REQUERIMIENTOS SUBSANADOS"</formula>
    </cfRule>
    <cfRule type="expression" dxfId="729" priority="16865">
      <formula>Q13="PENDIENTES POR SUBSANAR"</formula>
    </cfRule>
    <cfRule type="expression" dxfId="728" priority="16870">
      <formula>Q13="SIN OBSERVACIÓN"</formula>
    </cfRule>
    <cfRule type="containsBlanks" dxfId="727" priority="16871">
      <formula>LEN(TRIM(P13))=0</formula>
    </cfRule>
  </conditionalFormatting>
  <conditionalFormatting sqref="O13">
    <cfRule type="cellIs" dxfId="726" priority="16863" operator="equal">
      <formula>"PENDIENTE POR DESCRIPCIÓN"</formula>
    </cfRule>
    <cfRule type="cellIs" dxfId="725" priority="16867" operator="equal">
      <formula>"DESCRIPCIÓN INSUFICIENTE"</formula>
    </cfRule>
    <cfRule type="cellIs" dxfId="724" priority="16868" operator="equal">
      <formula>"NO ESTÁ ACORDE A ITEM 5.2.1 (T.R.)"</formula>
    </cfRule>
    <cfRule type="cellIs" dxfId="723" priority="16869" operator="equal">
      <formula>"ACORDE A ITEM 5.2.1 (T.R.)"</formula>
    </cfRule>
  </conditionalFormatting>
  <conditionalFormatting sqref="Q13">
    <cfRule type="containsBlanks" dxfId="722" priority="16849">
      <formula>LEN(TRIM(Q13))=0</formula>
    </cfRule>
    <cfRule type="cellIs" dxfId="721" priority="16866" operator="equal">
      <formula>"REQUERIMIENTOS SUBSANADOS"</formula>
    </cfRule>
    <cfRule type="containsText" dxfId="720" priority="16872" operator="containsText" text="NO SUBSANABLE">
      <formula>NOT(ISERROR(SEARCH("NO SUBSANABLE",Q13)))</formula>
    </cfRule>
    <cfRule type="containsText" dxfId="719" priority="16873" operator="containsText" text="PENDIENTES POR SUBSANAR">
      <formula>NOT(ISERROR(SEARCH("PENDIENTES POR SUBSANAR",Q13)))</formula>
    </cfRule>
    <cfRule type="containsText" dxfId="718" priority="16874" operator="containsText" text="SIN OBSERVACIÓN">
      <formula>NOT(ISERROR(SEARCH("SIN OBSERVACIÓN",Q13)))</formula>
    </cfRule>
  </conditionalFormatting>
  <conditionalFormatting sqref="R13">
    <cfRule type="containsBlanks" dxfId="717" priority="16848">
      <formula>LEN(TRIM(R13))=0</formula>
    </cfRule>
    <cfRule type="cellIs" dxfId="716" priority="16850" operator="equal">
      <formula>"NO CUMPLEN CON LO SOLICITADO"</formula>
    </cfRule>
    <cfRule type="cellIs" dxfId="715" priority="16851" operator="equal">
      <formula>"CUMPLEN CON LO SOLICITADO"</formula>
    </cfRule>
    <cfRule type="cellIs" dxfId="714" priority="16852" operator="equal">
      <formula>"PENDIENTES"</formula>
    </cfRule>
    <cfRule type="cellIs" dxfId="713" priority="16853" operator="equal">
      <formula>"NINGUNO"</formula>
    </cfRule>
  </conditionalFormatting>
  <conditionalFormatting sqref="T28">
    <cfRule type="cellIs" dxfId="712" priority="16686" operator="equal">
      <formula>"NO CUMPLE"</formula>
    </cfRule>
    <cfRule type="cellIs" dxfId="711" priority="16687" operator="equal">
      <formula>"CUMPLE"</formula>
    </cfRule>
  </conditionalFormatting>
  <conditionalFormatting sqref="B28">
    <cfRule type="cellIs" dxfId="710" priority="16684" operator="equal">
      <formula>"NO CUMPLE CON LA EXPERIENCIA REQUERIDA"</formula>
    </cfRule>
    <cfRule type="cellIs" dxfId="709" priority="16685" operator="equal">
      <formula>"CUMPLE CON LA EXPERIENCIA REQUERIDA"</formula>
    </cfRule>
  </conditionalFormatting>
  <conditionalFormatting sqref="H13">
    <cfRule type="notContainsBlanks" dxfId="708" priority="16683">
      <formula>LEN(TRIM(H13))&gt;0</formula>
    </cfRule>
  </conditionalFormatting>
  <conditionalFormatting sqref="G13">
    <cfRule type="notContainsBlanks" dxfId="707" priority="16682">
      <formula>LEN(TRIM(G13))&gt;0</formula>
    </cfRule>
  </conditionalFormatting>
  <conditionalFormatting sqref="F13">
    <cfRule type="notContainsBlanks" dxfId="706" priority="16681">
      <formula>LEN(TRIM(F13))&gt;0</formula>
    </cfRule>
  </conditionalFormatting>
  <conditionalFormatting sqref="E13">
    <cfRule type="notContainsBlanks" dxfId="705" priority="16680">
      <formula>LEN(TRIM(E13))&gt;0</formula>
    </cfRule>
  </conditionalFormatting>
  <conditionalFormatting sqref="D13">
    <cfRule type="notContainsBlanks" dxfId="704" priority="16678">
      <formula>LEN(TRIM(D13))&gt;0</formula>
    </cfRule>
  </conditionalFormatting>
  <conditionalFormatting sqref="I13">
    <cfRule type="notContainsBlanks" dxfId="703" priority="16677">
      <formula>LEN(TRIM(I13))&gt;0</formula>
    </cfRule>
  </conditionalFormatting>
  <conditionalFormatting sqref="N16 N19">
    <cfRule type="expression" dxfId="702" priority="9242">
      <formula>N16=" "</formula>
    </cfRule>
    <cfRule type="expression" dxfId="701" priority="9243">
      <formula>N16="NO PRESENTÓ CERTIFICADO"</formula>
    </cfRule>
    <cfRule type="expression" dxfId="700" priority="9244">
      <formula>N16="PRESENTÓ CERTIFICADO"</formula>
    </cfRule>
  </conditionalFormatting>
  <conditionalFormatting sqref="P19">
    <cfRule type="expression" dxfId="699" priority="9219">
      <formula>Q19="NO SUBSANABLE"</formula>
    </cfRule>
    <cfRule type="expression" dxfId="698" priority="9225">
      <formula>Q19="REQUERIMIENTOS SUBSANADOS"</formula>
    </cfRule>
    <cfRule type="expression" dxfId="697" priority="9226">
      <formula>Q19="PENDIENTES POR SUBSANAR"</formula>
    </cfRule>
    <cfRule type="expression" dxfId="696" priority="9231">
      <formula>Q19="SIN OBSERVACIÓN"</formula>
    </cfRule>
    <cfRule type="containsBlanks" dxfId="695" priority="9232">
      <formula>LEN(TRIM(P19))=0</formula>
    </cfRule>
  </conditionalFormatting>
  <conditionalFormatting sqref="O16 O19">
    <cfRule type="cellIs" dxfId="694" priority="9224" operator="equal">
      <formula>"PENDIENTE POR DESCRIPCIÓN"</formula>
    </cfRule>
    <cfRule type="cellIs" dxfId="693" priority="9228" operator="equal">
      <formula>"DESCRIPCIÓN INSUFICIENTE"</formula>
    </cfRule>
    <cfRule type="cellIs" dxfId="692" priority="9229" operator="equal">
      <formula>"NO ESTÁ ACORDE A ITEM 5.2.1 (T.R.)"</formula>
    </cfRule>
    <cfRule type="cellIs" dxfId="691" priority="9230" operator="equal">
      <formula>"ACORDE A ITEM 5.2.1 (T.R.)"</formula>
    </cfRule>
  </conditionalFormatting>
  <conditionalFormatting sqref="Q16 Q19">
    <cfRule type="containsBlanks" dxfId="690" priority="9214">
      <formula>LEN(TRIM(Q16))=0</formula>
    </cfRule>
    <cfRule type="cellIs" dxfId="689" priority="9227" operator="equal">
      <formula>"REQUERIMIENTOS SUBSANADOS"</formula>
    </cfRule>
    <cfRule type="containsText" dxfId="688" priority="9233" operator="containsText" text="NO SUBSANABLE">
      <formula>NOT(ISERROR(SEARCH("NO SUBSANABLE",Q16)))</formula>
    </cfRule>
    <cfRule type="containsText" dxfId="687" priority="9234" operator="containsText" text="PENDIENTES POR SUBSANAR">
      <formula>NOT(ISERROR(SEARCH("PENDIENTES POR SUBSANAR",Q16)))</formula>
    </cfRule>
    <cfRule type="containsText" dxfId="686" priority="9235" operator="containsText" text="SIN OBSERVACIÓN">
      <formula>NOT(ISERROR(SEARCH("SIN OBSERVACIÓN",Q16)))</formula>
    </cfRule>
  </conditionalFormatting>
  <conditionalFormatting sqref="R16 R19">
    <cfRule type="containsBlanks" dxfId="685" priority="9213">
      <formula>LEN(TRIM(R16))=0</formula>
    </cfRule>
    <cfRule type="cellIs" dxfId="684" priority="9215" operator="equal">
      <formula>"NO CUMPLEN CON LO SOLICITADO"</formula>
    </cfRule>
    <cfRule type="cellIs" dxfId="683" priority="9216" operator="equal">
      <formula>"CUMPLEN CON LO SOLICITADO"</formula>
    </cfRule>
    <cfRule type="cellIs" dxfId="682" priority="9217" operator="equal">
      <formula>"PENDIENTES"</formula>
    </cfRule>
    <cfRule type="cellIs" dxfId="681" priority="9218" operator="equal">
      <formula>"NINGUNO"</formula>
    </cfRule>
  </conditionalFormatting>
  <conditionalFormatting sqref="H16 H19">
    <cfRule type="notContainsBlanks" dxfId="680" priority="9212">
      <formula>LEN(TRIM(H16))&gt;0</formula>
    </cfRule>
  </conditionalFormatting>
  <conditionalFormatting sqref="G16 G19">
    <cfRule type="notContainsBlanks" dxfId="679" priority="9211">
      <formula>LEN(TRIM(G16))&gt;0</formula>
    </cfRule>
  </conditionalFormatting>
  <conditionalFormatting sqref="F16 F19">
    <cfRule type="notContainsBlanks" dxfId="678" priority="9210">
      <formula>LEN(TRIM(F16))&gt;0</formula>
    </cfRule>
  </conditionalFormatting>
  <conditionalFormatting sqref="E16 E19">
    <cfRule type="notContainsBlanks" dxfId="677" priority="9209">
      <formula>LEN(TRIM(E16))&gt;0</formula>
    </cfRule>
  </conditionalFormatting>
  <conditionalFormatting sqref="D19">
    <cfRule type="notContainsBlanks" dxfId="676" priority="9208">
      <formula>LEN(TRIM(D19))&gt;0</formula>
    </cfRule>
  </conditionalFormatting>
  <conditionalFormatting sqref="C16 C19">
    <cfRule type="notContainsBlanks" dxfId="675" priority="9207">
      <formula>LEN(TRIM(C16))&gt;0</formula>
    </cfRule>
  </conditionalFormatting>
  <conditionalFormatting sqref="I16 I19">
    <cfRule type="notContainsBlanks" dxfId="674" priority="9206">
      <formula>LEN(TRIM(I16))&gt;0</formula>
    </cfRule>
  </conditionalFormatting>
  <conditionalFormatting sqref="N22">
    <cfRule type="expression" dxfId="673" priority="7579">
      <formula>N22=" "</formula>
    </cfRule>
    <cfRule type="expression" dxfId="672" priority="7580">
      <formula>N22="NO PRESENTÓ CERTIFICADO"</formula>
    </cfRule>
    <cfRule type="expression" dxfId="671" priority="7581">
      <formula>N22="PRESENTÓ CERTIFICADO"</formula>
    </cfRule>
  </conditionalFormatting>
  <conditionalFormatting sqref="P22">
    <cfRule type="expression" dxfId="670" priority="7556">
      <formula>Q22="NO SUBSANABLE"</formula>
    </cfRule>
    <cfRule type="expression" dxfId="669" priority="7562">
      <formula>Q22="REQUERIMIENTOS SUBSANADOS"</formula>
    </cfRule>
    <cfRule type="expression" dxfId="668" priority="7563">
      <formula>Q22="PENDIENTES POR SUBSANAR"</formula>
    </cfRule>
    <cfRule type="expression" dxfId="667" priority="7568">
      <formula>Q22="SIN OBSERVACIÓN"</formula>
    </cfRule>
    <cfRule type="containsBlanks" dxfId="666" priority="7569">
      <formula>LEN(TRIM(P22))=0</formula>
    </cfRule>
  </conditionalFormatting>
  <conditionalFormatting sqref="O22">
    <cfRule type="cellIs" dxfId="665" priority="7561" operator="equal">
      <formula>"PENDIENTE POR DESCRIPCIÓN"</formula>
    </cfRule>
    <cfRule type="cellIs" dxfId="664" priority="7565" operator="equal">
      <formula>"DESCRIPCIÓN INSUFICIENTE"</formula>
    </cfRule>
    <cfRule type="cellIs" dxfId="663" priority="7566" operator="equal">
      <formula>"NO ESTÁ ACORDE A ITEM 5.2.1 (T.R.)"</formula>
    </cfRule>
    <cfRule type="cellIs" dxfId="662" priority="7567" operator="equal">
      <formula>"ACORDE A ITEM 5.2.1 (T.R.)"</formula>
    </cfRule>
  </conditionalFormatting>
  <conditionalFormatting sqref="Q22">
    <cfRule type="containsBlanks" dxfId="661" priority="7551">
      <formula>LEN(TRIM(Q22))=0</formula>
    </cfRule>
    <cfRule type="cellIs" dxfId="660" priority="7564" operator="equal">
      <formula>"REQUERIMIENTOS SUBSANADOS"</formula>
    </cfRule>
    <cfRule type="containsText" dxfId="659" priority="7570" operator="containsText" text="NO SUBSANABLE">
      <formula>NOT(ISERROR(SEARCH("NO SUBSANABLE",Q22)))</formula>
    </cfRule>
    <cfRule type="containsText" dxfId="658" priority="7571" operator="containsText" text="PENDIENTES POR SUBSANAR">
      <formula>NOT(ISERROR(SEARCH("PENDIENTES POR SUBSANAR",Q22)))</formula>
    </cfRule>
    <cfRule type="containsText" dxfId="657" priority="7572" operator="containsText" text="SIN OBSERVACIÓN">
      <formula>NOT(ISERROR(SEARCH("SIN OBSERVACIÓN",Q22)))</formula>
    </cfRule>
  </conditionalFormatting>
  <conditionalFormatting sqref="R22">
    <cfRule type="containsBlanks" dxfId="656" priority="7550">
      <formula>LEN(TRIM(R22))=0</formula>
    </cfRule>
    <cfRule type="cellIs" dxfId="655" priority="7552" operator="equal">
      <formula>"NO CUMPLEN CON LO SOLICITADO"</formula>
    </cfRule>
    <cfRule type="cellIs" dxfId="654" priority="7553" operator="equal">
      <formula>"CUMPLEN CON LO SOLICITADO"</formula>
    </cfRule>
    <cfRule type="cellIs" dxfId="653" priority="7554" operator="equal">
      <formula>"PENDIENTES"</formula>
    </cfRule>
    <cfRule type="cellIs" dxfId="652" priority="7555" operator="equal">
      <formula>"NINGUNO"</formula>
    </cfRule>
  </conditionalFormatting>
  <conditionalFormatting sqref="H22">
    <cfRule type="notContainsBlanks" dxfId="651" priority="7549">
      <formula>LEN(TRIM(H22))&gt;0</formula>
    </cfRule>
  </conditionalFormatting>
  <conditionalFormatting sqref="G22">
    <cfRule type="notContainsBlanks" dxfId="650" priority="7548">
      <formula>LEN(TRIM(G22))&gt;0</formula>
    </cfRule>
  </conditionalFormatting>
  <conditionalFormatting sqref="E22">
    <cfRule type="notContainsBlanks" dxfId="649" priority="7546">
      <formula>LEN(TRIM(E22))&gt;0</formula>
    </cfRule>
  </conditionalFormatting>
  <conditionalFormatting sqref="D22">
    <cfRule type="notContainsBlanks" dxfId="648" priority="7545">
      <formula>LEN(TRIM(D22))&gt;0</formula>
    </cfRule>
  </conditionalFormatting>
  <conditionalFormatting sqref="C22">
    <cfRule type="notContainsBlanks" dxfId="647" priority="7544">
      <formula>LEN(TRIM(C22))&gt;0</formula>
    </cfRule>
  </conditionalFormatting>
  <conditionalFormatting sqref="I22">
    <cfRule type="notContainsBlanks" dxfId="646" priority="7543">
      <formula>LEN(TRIM(I22))&gt;0</formula>
    </cfRule>
  </conditionalFormatting>
  <conditionalFormatting sqref="T13">
    <cfRule type="cellIs" dxfId="645" priority="7541" operator="equal">
      <formula>"NO"</formula>
    </cfRule>
    <cfRule type="cellIs" dxfId="644" priority="7542" operator="equal">
      <formula>"SI"</formula>
    </cfRule>
  </conditionalFormatting>
  <conditionalFormatting sqref="S16 S19 S22">
    <cfRule type="cellIs" dxfId="643" priority="7539" operator="greaterThan">
      <formula>0</formula>
    </cfRule>
    <cfRule type="cellIs" dxfId="642" priority="7540" operator="equal">
      <formula>0</formula>
    </cfRule>
  </conditionalFormatting>
  <conditionalFormatting sqref="N25">
    <cfRule type="expression" dxfId="641" priority="4144">
      <formula>N25=" "</formula>
    </cfRule>
    <cfRule type="expression" dxfId="640" priority="4145">
      <formula>N25="NO PRESENTÓ CERTIFICADO"</formula>
    </cfRule>
    <cfRule type="expression" dxfId="639" priority="4146">
      <formula>N25="PRESENTÓ CERTIFICADO"</formula>
    </cfRule>
  </conditionalFormatting>
  <conditionalFormatting sqref="P25">
    <cfRule type="expression" dxfId="638" priority="4127">
      <formula>Q25="NO SUBSANABLE"</formula>
    </cfRule>
    <cfRule type="expression" dxfId="637" priority="4129">
      <formula>Q25="REQUERIMIENTOS SUBSANADOS"</formula>
    </cfRule>
    <cfRule type="expression" dxfId="636" priority="4130">
      <formula>Q25="PENDIENTES POR SUBSANAR"</formula>
    </cfRule>
    <cfRule type="expression" dxfId="635" priority="4135">
      <formula>Q25="SIN OBSERVACIÓN"</formula>
    </cfRule>
    <cfRule type="containsBlanks" dxfId="634" priority="4136">
      <formula>LEN(TRIM(P25))=0</formula>
    </cfRule>
  </conditionalFormatting>
  <conditionalFormatting sqref="O25">
    <cfRule type="cellIs" dxfId="633" priority="4128" operator="equal">
      <formula>"PENDIENTE POR DESCRIPCIÓN"</formula>
    </cfRule>
    <cfRule type="cellIs" dxfId="632" priority="4132" operator="equal">
      <formula>"DESCRIPCIÓN INSUFICIENTE"</formula>
    </cfRule>
    <cfRule type="cellIs" dxfId="631" priority="4133" operator="equal">
      <formula>"NO ESTÁ ACORDE A ITEM 5.2.1 (T.R.)"</formula>
    </cfRule>
    <cfRule type="cellIs" dxfId="630" priority="4134" operator="equal">
      <formula>"ACORDE A ITEM 5.2.1 (T.R.)"</formula>
    </cfRule>
  </conditionalFormatting>
  <conditionalFormatting sqref="Q25">
    <cfRule type="containsBlanks" dxfId="629" priority="4122">
      <formula>LEN(TRIM(Q25))=0</formula>
    </cfRule>
    <cfRule type="cellIs" dxfId="628" priority="4131" operator="equal">
      <formula>"REQUERIMIENTOS SUBSANADOS"</formula>
    </cfRule>
    <cfRule type="containsText" dxfId="627" priority="4137" operator="containsText" text="NO SUBSANABLE">
      <formula>NOT(ISERROR(SEARCH("NO SUBSANABLE",Q25)))</formula>
    </cfRule>
    <cfRule type="containsText" dxfId="626" priority="4138" operator="containsText" text="PENDIENTES POR SUBSANAR">
      <formula>NOT(ISERROR(SEARCH("PENDIENTES POR SUBSANAR",Q25)))</formula>
    </cfRule>
    <cfRule type="containsText" dxfId="625" priority="4139" operator="containsText" text="SIN OBSERVACIÓN">
      <formula>NOT(ISERROR(SEARCH("SIN OBSERVACIÓN",Q25)))</formula>
    </cfRule>
  </conditionalFormatting>
  <conditionalFormatting sqref="R25">
    <cfRule type="containsBlanks" dxfId="624" priority="4121">
      <formula>LEN(TRIM(R25))=0</formula>
    </cfRule>
    <cfRule type="cellIs" dxfId="623" priority="4123" operator="equal">
      <formula>"NO CUMPLEN CON LO SOLICITADO"</formula>
    </cfRule>
    <cfRule type="cellIs" dxfId="622" priority="4124" operator="equal">
      <formula>"CUMPLEN CON LO SOLICITADO"</formula>
    </cfRule>
    <cfRule type="cellIs" dxfId="621" priority="4125" operator="equal">
      <formula>"PENDIENTES"</formula>
    </cfRule>
    <cfRule type="cellIs" dxfId="620" priority="4126" operator="equal">
      <formula>"NINGUNO"</formula>
    </cfRule>
  </conditionalFormatting>
  <conditionalFormatting sqref="H25">
    <cfRule type="notContainsBlanks" dxfId="619" priority="4120">
      <formula>LEN(TRIM(H25))&gt;0</formula>
    </cfRule>
  </conditionalFormatting>
  <conditionalFormatting sqref="G25">
    <cfRule type="notContainsBlanks" dxfId="618" priority="4119">
      <formula>LEN(TRIM(G25))&gt;0</formula>
    </cfRule>
  </conditionalFormatting>
  <conditionalFormatting sqref="F25">
    <cfRule type="notContainsBlanks" dxfId="617" priority="4118">
      <formula>LEN(TRIM(F25))&gt;0</formula>
    </cfRule>
  </conditionalFormatting>
  <conditionalFormatting sqref="E25">
    <cfRule type="notContainsBlanks" dxfId="616" priority="4117">
      <formula>LEN(TRIM(E25))&gt;0</formula>
    </cfRule>
  </conditionalFormatting>
  <conditionalFormatting sqref="D25">
    <cfRule type="notContainsBlanks" dxfId="615" priority="4116">
      <formula>LEN(TRIM(D25))&gt;0</formula>
    </cfRule>
  </conditionalFormatting>
  <conditionalFormatting sqref="C25">
    <cfRule type="notContainsBlanks" dxfId="614" priority="4115">
      <formula>LEN(TRIM(C25))&gt;0</formula>
    </cfRule>
  </conditionalFormatting>
  <conditionalFormatting sqref="I25">
    <cfRule type="notContainsBlanks" dxfId="613" priority="4114">
      <formula>LEN(TRIM(I25))&gt;0</formula>
    </cfRule>
  </conditionalFormatting>
  <conditionalFormatting sqref="S25">
    <cfRule type="cellIs" dxfId="612" priority="4110" operator="greaterThan">
      <formula>0</formula>
    </cfRule>
    <cfRule type="cellIs" dxfId="611" priority="4111" operator="equal">
      <formula>0</formula>
    </cfRule>
  </conditionalFormatting>
  <conditionalFormatting sqref="J14:J15">
    <cfRule type="cellIs" dxfId="610" priority="4106" operator="equal">
      <formula>"NO CUMPLE"</formula>
    </cfRule>
    <cfRule type="cellIs" dxfId="609" priority="4107" operator="equal">
      <formula>"CUMPLE"</formula>
    </cfRule>
  </conditionalFormatting>
  <conditionalFormatting sqref="M14">
    <cfRule type="expression" dxfId="608" priority="4104">
      <formula>L14="NO CUMPLE"</formula>
    </cfRule>
    <cfRule type="expression" dxfId="607" priority="4105">
      <formula>L14="CUMPLE"</formula>
    </cfRule>
  </conditionalFormatting>
  <conditionalFormatting sqref="L14">
    <cfRule type="cellIs" dxfId="606" priority="4102" operator="equal">
      <formula>"NO CUMPLE"</formula>
    </cfRule>
    <cfRule type="cellIs" dxfId="605" priority="4103" operator="equal">
      <formula>"CUMPLE"</formula>
    </cfRule>
  </conditionalFormatting>
  <conditionalFormatting sqref="M16">
    <cfRule type="expression" dxfId="604" priority="4098">
      <formula>L16="NO CUMPLE"</formula>
    </cfRule>
    <cfRule type="expression" dxfId="603" priority="4099">
      <formula>L16="CUMPLE"</formula>
    </cfRule>
  </conditionalFormatting>
  <conditionalFormatting sqref="J16">
    <cfRule type="cellIs" dxfId="602" priority="4096" operator="equal">
      <formula>"NO CUMPLE"</formula>
    </cfRule>
    <cfRule type="cellIs" dxfId="601" priority="4097" operator="equal">
      <formula>"CUMPLE"</formula>
    </cfRule>
  </conditionalFormatting>
  <conditionalFormatting sqref="L16">
    <cfRule type="cellIs" dxfId="600" priority="4094" operator="equal">
      <formula>"NO CUMPLE"</formula>
    </cfRule>
    <cfRule type="cellIs" dxfId="599" priority="4095" operator="equal">
      <formula>"CUMPLE"</formula>
    </cfRule>
  </conditionalFormatting>
  <conditionalFormatting sqref="J17:J18">
    <cfRule type="cellIs" dxfId="598" priority="4090" operator="equal">
      <formula>"NO CUMPLE"</formula>
    </cfRule>
    <cfRule type="cellIs" dxfId="597" priority="4091" operator="equal">
      <formula>"CUMPLE"</formula>
    </cfRule>
  </conditionalFormatting>
  <conditionalFormatting sqref="M17">
    <cfRule type="expression" dxfId="596" priority="4088">
      <formula>L17="NO CUMPLE"</formula>
    </cfRule>
    <cfRule type="expression" dxfId="595" priority="4089">
      <formula>L17="CUMPLE"</formula>
    </cfRule>
  </conditionalFormatting>
  <conditionalFormatting sqref="L17">
    <cfRule type="cellIs" dxfId="594" priority="4086" operator="equal">
      <formula>"NO CUMPLE"</formula>
    </cfRule>
    <cfRule type="cellIs" dxfId="593" priority="4087" operator="equal">
      <formula>"CUMPLE"</formula>
    </cfRule>
  </conditionalFormatting>
  <conditionalFormatting sqref="M19">
    <cfRule type="expression" dxfId="592" priority="4082">
      <formula>L19="NO CUMPLE"</formula>
    </cfRule>
    <cfRule type="expression" dxfId="591" priority="4083">
      <formula>L19="CUMPLE"</formula>
    </cfRule>
  </conditionalFormatting>
  <conditionalFormatting sqref="J19">
    <cfRule type="cellIs" dxfId="590" priority="4080" operator="equal">
      <formula>"NO CUMPLE"</formula>
    </cfRule>
    <cfRule type="cellIs" dxfId="589" priority="4081" operator="equal">
      <formula>"CUMPLE"</formula>
    </cfRule>
  </conditionalFormatting>
  <conditionalFormatting sqref="L19">
    <cfRule type="cellIs" dxfId="588" priority="4078" operator="equal">
      <formula>"NO CUMPLE"</formula>
    </cfRule>
    <cfRule type="cellIs" dxfId="587" priority="4079" operator="equal">
      <formula>"CUMPLE"</formula>
    </cfRule>
  </conditionalFormatting>
  <conditionalFormatting sqref="J20:J21">
    <cfRule type="cellIs" dxfId="586" priority="4074" operator="equal">
      <formula>"NO CUMPLE"</formula>
    </cfRule>
    <cfRule type="cellIs" dxfId="585" priority="4075" operator="equal">
      <formula>"CUMPLE"</formula>
    </cfRule>
  </conditionalFormatting>
  <conditionalFormatting sqref="M20">
    <cfRule type="expression" dxfId="584" priority="4072">
      <formula>L20="NO CUMPLE"</formula>
    </cfRule>
    <cfRule type="expression" dxfId="583" priority="4073">
      <formula>L20="CUMPLE"</formula>
    </cfRule>
  </conditionalFormatting>
  <conditionalFormatting sqref="L20">
    <cfRule type="cellIs" dxfId="582" priority="4070" operator="equal">
      <formula>"NO CUMPLE"</formula>
    </cfRule>
    <cfRule type="cellIs" dxfId="581" priority="4071" operator="equal">
      <formula>"CUMPLE"</formula>
    </cfRule>
  </conditionalFormatting>
  <conditionalFormatting sqref="M22">
    <cfRule type="expression" dxfId="580" priority="4066">
      <formula>L22="NO CUMPLE"</formula>
    </cfRule>
    <cfRule type="expression" dxfId="579" priority="4067">
      <formula>L22="CUMPLE"</formula>
    </cfRule>
  </conditionalFormatting>
  <conditionalFormatting sqref="J22">
    <cfRule type="cellIs" dxfId="578" priority="4064" operator="equal">
      <formula>"NO CUMPLE"</formula>
    </cfRule>
    <cfRule type="cellIs" dxfId="577" priority="4065" operator="equal">
      <formula>"CUMPLE"</formula>
    </cfRule>
  </conditionalFormatting>
  <conditionalFormatting sqref="L22">
    <cfRule type="cellIs" dxfId="576" priority="4062" operator="equal">
      <formula>"NO CUMPLE"</formula>
    </cfRule>
    <cfRule type="cellIs" dxfId="575" priority="4063" operator="equal">
      <formula>"CUMPLE"</formula>
    </cfRule>
  </conditionalFormatting>
  <conditionalFormatting sqref="J23:J24">
    <cfRule type="cellIs" dxfId="574" priority="4058" operator="equal">
      <formula>"NO CUMPLE"</formula>
    </cfRule>
    <cfRule type="cellIs" dxfId="573" priority="4059" operator="equal">
      <formula>"CUMPLE"</formula>
    </cfRule>
  </conditionalFormatting>
  <conditionalFormatting sqref="M23">
    <cfRule type="expression" dxfId="572" priority="4056">
      <formula>L23="NO CUMPLE"</formula>
    </cfRule>
    <cfRule type="expression" dxfId="571" priority="4057">
      <formula>L23="CUMPLE"</formula>
    </cfRule>
  </conditionalFormatting>
  <conditionalFormatting sqref="L23">
    <cfRule type="cellIs" dxfId="570" priority="4054" operator="equal">
      <formula>"NO CUMPLE"</formula>
    </cfRule>
    <cfRule type="cellIs" dxfId="569" priority="4055" operator="equal">
      <formula>"CUMPLE"</formula>
    </cfRule>
  </conditionalFormatting>
  <conditionalFormatting sqref="M25">
    <cfRule type="expression" dxfId="568" priority="4050">
      <formula>L25="NO CUMPLE"</formula>
    </cfRule>
    <cfRule type="expression" dxfId="567" priority="4051">
      <formula>L25="CUMPLE"</formula>
    </cfRule>
  </conditionalFormatting>
  <conditionalFormatting sqref="J25">
    <cfRule type="cellIs" dxfId="566" priority="4048" operator="equal">
      <formula>"NO CUMPLE"</formula>
    </cfRule>
    <cfRule type="cellIs" dxfId="565" priority="4049" operator="equal">
      <formula>"CUMPLE"</formula>
    </cfRule>
  </conditionalFormatting>
  <conditionalFormatting sqref="L25">
    <cfRule type="cellIs" dxfId="564" priority="4046" operator="equal">
      <formula>"NO CUMPLE"</formula>
    </cfRule>
    <cfRule type="cellIs" dxfId="563" priority="4047" operator="equal">
      <formula>"CUMPLE"</formula>
    </cfRule>
  </conditionalFormatting>
  <conditionalFormatting sqref="J26:J27">
    <cfRule type="cellIs" dxfId="562" priority="4042" operator="equal">
      <formula>"NO CUMPLE"</formula>
    </cfRule>
    <cfRule type="cellIs" dxfId="561" priority="4043" operator="equal">
      <formula>"CUMPLE"</formula>
    </cfRule>
  </conditionalFormatting>
  <conditionalFormatting sqref="M26">
    <cfRule type="expression" dxfId="560" priority="4040">
      <formula>L26="NO CUMPLE"</formula>
    </cfRule>
    <cfRule type="expression" dxfId="559" priority="4041">
      <formula>L26="CUMPLE"</formula>
    </cfRule>
  </conditionalFormatting>
  <conditionalFormatting sqref="L26">
    <cfRule type="cellIs" dxfId="558" priority="4038" operator="equal">
      <formula>"NO CUMPLE"</formula>
    </cfRule>
    <cfRule type="cellIs" dxfId="557" priority="4039" operator="equal">
      <formula>"CUMPLE"</formula>
    </cfRule>
  </conditionalFormatting>
  <conditionalFormatting sqref="T50">
    <cfRule type="cellIs" dxfId="556" priority="4004" operator="equal">
      <formula>"NO CUMPLE"</formula>
    </cfRule>
    <cfRule type="cellIs" dxfId="555" priority="4005" operator="equal">
      <formula>"CUMPLE"</formula>
    </cfRule>
  </conditionalFormatting>
  <conditionalFormatting sqref="B50">
    <cfRule type="cellIs" dxfId="554" priority="4002" operator="equal">
      <formula>"NO CUMPLE CON LA EXPERIENCIA REQUERIDA"</formula>
    </cfRule>
    <cfRule type="cellIs" dxfId="553" priority="4003" operator="equal">
      <formula>"CUMPLE CON LA EXPERIENCIA REQUERIDA"</formula>
    </cfRule>
  </conditionalFormatting>
  <conditionalFormatting sqref="T72">
    <cfRule type="cellIs" dxfId="552" priority="3796" operator="equal">
      <formula>"NO CUMPLE"</formula>
    </cfRule>
    <cfRule type="cellIs" dxfId="551" priority="3797" operator="equal">
      <formula>"CUMPLE"</formula>
    </cfRule>
  </conditionalFormatting>
  <conditionalFormatting sqref="B72">
    <cfRule type="cellIs" dxfId="550" priority="3794" operator="equal">
      <formula>"NO CUMPLE CON LA EXPERIENCIA REQUERIDA"</formula>
    </cfRule>
    <cfRule type="cellIs" dxfId="549" priority="3795" operator="equal">
      <formula>"CUMPLE CON LA EXPERIENCIA REQUERIDA"</formula>
    </cfRule>
  </conditionalFormatting>
  <conditionalFormatting sqref="Z12">
    <cfRule type="cellIs" dxfId="548" priority="1124" operator="equal">
      <formula>"NH"</formula>
    </cfRule>
    <cfRule type="cellIs" dxfId="547" priority="1125" operator="equal">
      <formula>"H"</formula>
    </cfRule>
  </conditionalFormatting>
  <conditionalFormatting sqref="Z13:Z26">
    <cfRule type="cellIs" dxfId="546" priority="1122" operator="equal">
      <formula>"NH"</formula>
    </cfRule>
    <cfRule type="cellIs" dxfId="545" priority="1123" operator="equal">
      <formula>"H"</formula>
    </cfRule>
  </conditionalFormatting>
  <conditionalFormatting sqref="M35">
    <cfRule type="expression" dxfId="544" priority="1117">
      <formula>L35="NO CUMPLE"</formula>
    </cfRule>
    <cfRule type="expression" dxfId="543" priority="1118">
      <formula>L35="CUMPLE"</formula>
    </cfRule>
  </conditionalFormatting>
  <conditionalFormatting sqref="N35">
    <cfRule type="expression" dxfId="542" priority="1114">
      <formula>N35=" "</formula>
    </cfRule>
    <cfRule type="expression" dxfId="541" priority="1115">
      <formula>N35="NO PRESENTÓ CERTIFICADO"</formula>
    </cfRule>
    <cfRule type="expression" dxfId="540" priority="1116">
      <formula>N35="PRESENTÓ CERTIFICADO"</formula>
    </cfRule>
  </conditionalFormatting>
  <conditionalFormatting sqref="J35">
    <cfRule type="cellIs" dxfId="539" priority="1112" operator="equal">
      <formula>"NO CUMPLE"</formula>
    </cfRule>
    <cfRule type="cellIs" dxfId="538" priority="1113" operator="equal">
      <formula>"CUMPLE"</formula>
    </cfRule>
  </conditionalFormatting>
  <conditionalFormatting sqref="L35">
    <cfRule type="cellIs" dxfId="537" priority="1110" operator="equal">
      <formula>"NO CUMPLE"</formula>
    </cfRule>
    <cfRule type="cellIs" dxfId="536" priority="1111" operator="equal">
      <formula>"CUMPLE"</formula>
    </cfRule>
  </conditionalFormatting>
  <conditionalFormatting sqref="S35">
    <cfRule type="cellIs" dxfId="535" priority="1108" operator="greaterThan">
      <formula>0</formula>
    </cfRule>
    <cfRule type="cellIs" dxfId="534" priority="1109" operator="equal">
      <formula>0</formula>
    </cfRule>
  </conditionalFormatting>
  <conditionalFormatting sqref="P35">
    <cfRule type="expression" dxfId="533" priority="1095">
      <formula>Q35="NO SUBSANABLE"</formula>
    </cfRule>
    <cfRule type="expression" dxfId="532" priority="1097">
      <formula>Q35="REQUERIMIENTOS SUBSANADOS"</formula>
    </cfRule>
    <cfRule type="expression" dxfId="531" priority="1098">
      <formula>Q35="PENDIENTES POR SUBSANAR"</formula>
    </cfRule>
    <cfRule type="expression" dxfId="530" priority="1103">
      <formula>Q35="SIN OBSERVACIÓN"</formula>
    </cfRule>
    <cfRule type="containsBlanks" dxfId="529" priority="1104">
      <formula>LEN(TRIM(P35))=0</formula>
    </cfRule>
  </conditionalFormatting>
  <conditionalFormatting sqref="O35">
    <cfRule type="cellIs" dxfId="528" priority="1096" operator="equal">
      <formula>"PENDIENTE POR DESCRIPCIÓN"</formula>
    </cfRule>
    <cfRule type="cellIs" dxfId="527" priority="1100" operator="equal">
      <formula>"DESCRIPCIÓN INSUFICIENTE"</formula>
    </cfRule>
    <cfRule type="cellIs" dxfId="526" priority="1101" operator="equal">
      <formula>"NO ESTÁ ACORDE A ITEM 5.2.1 (T.R.)"</formula>
    </cfRule>
    <cfRule type="cellIs" dxfId="525" priority="1102" operator="equal">
      <formula>"ACORDE A ITEM 5.2.1 (T.R.)"</formula>
    </cfRule>
  </conditionalFormatting>
  <conditionalFormatting sqref="Q35">
    <cfRule type="containsBlanks" dxfId="524" priority="1090">
      <formula>LEN(TRIM(Q35))=0</formula>
    </cfRule>
    <cfRule type="cellIs" dxfId="523" priority="1099" operator="equal">
      <formula>"REQUERIMIENTOS SUBSANADOS"</formula>
    </cfRule>
    <cfRule type="containsText" dxfId="522" priority="1105" operator="containsText" text="NO SUBSANABLE">
      <formula>NOT(ISERROR(SEARCH("NO SUBSANABLE",Q35)))</formula>
    </cfRule>
    <cfRule type="containsText" dxfId="521" priority="1106" operator="containsText" text="PENDIENTES POR SUBSANAR">
      <formula>NOT(ISERROR(SEARCH("PENDIENTES POR SUBSANAR",Q35)))</formula>
    </cfRule>
    <cfRule type="containsText" dxfId="520" priority="1107" operator="containsText" text="SIN OBSERVACIÓN">
      <formula>NOT(ISERROR(SEARCH("SIN OBSERVACIÓN",Q35)))</formula>
    </cfRule>
  </conditionalFormatting>
  <conditionalFormatting sqref="R35">
    <cfRule type="containsBlanks" dxfId="519" priority="1089">
      <formula>LEN(TRIM(R35))=0</formula>
    </cfRule>
    <cfRule type="cellIs" dxfId="518" priority="1091" operator="equal">
      <formula>"NO CUMPLEN CON LO SOLICITADO"</formula>
    </cfRule>
    <cfRule type="cellIs" dxfId="517" priority="1092" operator="equal">
      <formula>"CUMPLEN CON LO SOLICITADO"</formula>
    </cfRule>
    <cfRule type="cellIs" dxfId="516" priority="1093" operator="equal">
      <formula>"PENDIENTES"</formula>
    </cfRule>
    <cfRule type="cellIs" dxfId="515" priority="1094" operator="equal">
      <formula>"NINGUNO"</formula>
    </cfRule>
  </conditionalFormatting>
  <conditionalFormatting sqref="H35">
    <cfRule type="notContainsBlanks" dxfId="514" priority="1088">
      <formula>LEN(TRIM(H35))&gt;0</formula>
    </cfRule>
  </conditionalFormatting>
  <conditionalFormatting sqref="G35">
    <cfRule type="notContainsBlanks" dxfId="513" priority="1087">
      <formula>LEN(TRIM(G35))&gt;0</formula>
    </cfRule>
  </conditionalFormatting>
  <conditionalFormatting sqref="F35 F38 F41">
    <cfRule type="notContainsBlanks" dxfId="512" priority="1086">
      <formula>LEN(TRIM(F35))&gt;0</formula>
    </cfRule>
  </conditionalFormatting>
  <conditionalFormatting sqref="E35">
    <cfRule type="notContainsBlanks" dxfId="511" priority="1085">
      <formula>LEN(TRIM(E35))&gt;0</formula>
    </cfRule>
  </conditionalFormatting>
  <conditionalFormatting sqref="D35">
    <cfRule type="notContainsBlanks" dxfId="510" priority="1084">
      <formula>LEN(TRIM(D35))&gt;0</formula>
    </cfRule>
  </conditionalFormatting>
  <conditionalFormatting sqref="C35">
    <cfRule type="notContainsBlanks" dxfId="509" priority="1083">
      <formula>LEN(TRIM(C35))&gt;0</formula>
    </cfRule>
  </conditionalFormatting>
  <conditionalFormatting sqref="I35">
    <cfRule type="notContainsBlanks" dxfId="508" priority="1082">
      <formula>LEN(TRIM(I35))&gt;0</formula>
    </cfRule>
  </conditionalFormatting>
  <conditionalFormatting sqref="N38 N41">
    <cfRule type="expression" dxfId="507" priority="1079">
      <formula>N38=" "</formula>
    </cfRule>
    <cfRule type="expression" dxfId="506" priority="1080">
      <formula>N38="NO PRESENTÓ CERTIFICADO"</formula>
    </cfRule>
    <cfRule type="expression" dxfId="505" priority="1081">
      <formula>N38="PRESENTÓ CERTIFICADO"</formula>
    </cfRule>
  </conditionalFormatting>
  <conditionalFormatting sqref="P38 P41">
    <cfRule type="expression" dxfId="504" priority="1066">
      <formula>Q38="NO SUBSANABLE"</formula>
    </cfRule>
    <cfRule type="expression" dxfId="503" priority="1068">
      <formula>Q38="REQUERIMIENTOS SUBSANADOS"</formula>
    </cfRule>
    <cfRule type="expression" dxfId="502" priority="1069">
      <formula>Q38="PENDIENTES POR SUBSANAR"</formula>
    </cfRule>
    <cfRule type="expression" dxfId="501" priority="1074">
      <formula>Q38="SIN OBSERVACIÓN"</formula>
    </cfRule>
    <cfRule type="containsBlanks" dxfId="500" priority="1075">
      <formula>LEN(TRIM(P38))=0</formula>
    </cfRule>
  </conditionalFormatting>
  <conditionalFormatting sqref="O38 O41">
    <cfRule type="cellIs" dxfId="499" priority="1067" operator="equal">
      <formula>"PENDIENTE POR DESCRIPCIÓN"</formula>
    </cfRule>
    <cfRule type="cellIs" dxfId="498" priority="1071" operator="equal">
      <formula>"DESCRIPCIÓN INSUFICIENTE"</formula>
    </cfRule>
    <cfRule type="cellIs" dxfId="497" priority="1072" operator="equal">
      <formula>"NO ESTÁ ACORDE A ITEM 5.2.1 (T.R.)"</formula>
    </cfRule>
    <cfRule type="cellIs" dxfId="496" priority="1073" operator="equal">
      <formula>"ACORDE A ITEM 5.2.1 (T.R.)"</formula>
    </cfRule>
  </conditionalFormatting>
  <conditionalFormatting sqref="Q38 Q41">
    <cfRule type="containsBlanks" dxfId="495" priority="1061">
      <formula>LEN(TRIM(Q38))=0</formula>
    </cfRule>
    <cfRule type="cellIs" dxfId="494" priority="1070" operator="equal">
      <formula>"REQUERIMIENTOS SUBSANADOS"</formula>
    </cfRule>
    <cfRule type="containsText" dxfId="493" priority="1076" operator="containsText" text="NO SUBSANABLE">
      <formula>NOT(ISERROR(SEARCH("NO SUBSANABLE",Q38)))</formula>
    </cfRule>
    <cfRule type="containsText" dxfId="492" priority="1077" operator="containsText" text="PENDIENTES POR SUBSANAR">
      <formula>NOT(ISERROR(SEARCH("PENDIENTES POR SUBSANAR",Q38)))</formula>
    </cfRule>
    <cfRule type="containsText" dxfId="491" priority="1078" operator="containsText" text="SIN OBSERVACIÓN">
      <formula>NOT(ISERROR(SEARCH("SIN OBSERVACIÓN",Q38)))</formula>
    </cfRule>
  </conditionalFormatting>
  <conditionalFormatting sqref="R38 R41">
    <cfRule type="containsBlanks" dxfId="490" priority="1060">
      <formula>LEN(TRIM(R38))=0</formula>
    </cfRule>
    <cfRule type="cellIs" dxfId="489" priority="1062" operator="equal">
      <formula>"NO CUMPLEN CON LO SOLICITADO"</formula>
    </cfRule>
    <cfRule type="cellIs" dxfId="488" priority="1063" operator="equal">
      <formula>"CUMPLEN CON LO SOLICITADO"</formula>
    </cfRule>
    <cfRule type="cellIs" dxfId="487" priority="1064" operator="equal">
      <formula>"PENDIENTES"</formula>
    </cfRule>
    <cfRule type="cellIs" dxfId="486" priority="1065" operator="equal">
      <formula>"NINGUNO"</formula>
    </cfRule>
  </conditionalFormatting>
  <conditionalFormatting sqref="H38 H41">
    <cfRule type="notContainsBlanks" dxfId="485" priority="1059">
      <formula>LEN(TRIM(H38))&gt;0</formula>
    </cfRule>
  </conditionalFormatting>
  <conditionalFormatting sqref="G38 G41">
    <cfRule type="notContainsBlanks" dxfId="484" priority="1058">
      <formula>LEN(TRIM(G38))&gt;0</formula>
    </cfRule>
  </conditionalFormatting>
  <conditionalFormatting sqref="E38 E41">
    <cfRule type="notContainsBlanks" dxfId="483" priority="1056">
      <formula>LEN(TRIM(E38))&gt;0</formula>
    </cfRule>
  </conditionalFormatting>
  <conditionalFormatting sqref="D38 D41">
    <cfRule type="notContainsBlanks" dxfId="482" priority="1055">
      <formula>LEN(TRIM(D38))&gt;0</formula>
    </cfRule>
  </conditionalFormatting>
  <conditionalFormatting sqref="C38 C41">
    <cfRule type="notContainsBlanks" dxfId="481" priority="1054">
      <formula>LEN(TRIM(C38))&gt;0</formula>
    </cfRule>
  </conditionalFormatting>
  <conditionalFormatting sqref="I38 I41">
    <cfRule type="notContainsBlanks" dxfId="480" priority="1053">
      <formula>LEN(TRIM(I38))&gt;0</formula>
    </cfRule>
  </conditionalFormatting>
  <conditionalFormatting sqref="N44">
    <cfRule type="expression" dxfId="479" priority="1050">
      <formula>N44=" "</formula>
    </cfRule>
    <cfRule type="expression" dxfId="478" priority="1051">
      <formula>N44="NO PRESENTÓ CERTIFICADO"</formula>
    </cfRule>
    <cfRule type="expression" dxfId="477" priority="1052">
      <formula>N44="PRESENTÓ CERTIFICADO"</formula>
    </cfRule>
  </conditionalFormatting>
  <conditionalFormatting sqref="P44">
    <cfRule type="expression" dxfId="476" priority="1037">
      <formula>Q44="NO SUBSANABLE"</formula>
    </cfRule>
    <cfRule type="expression" dxfId="475" priority="1039">
      <formula>Q44="REQUERIMIENTOS SUBSANADOS"</formula>
    </cfRule>
    <cfRule type="expression" dxfId="474" priority="1040">
      <formula>Q44="PENDIENTES POR SUBSANAR"</formula>
    </cfRule>
    <cfRule type="expression" dxfId="473" priority="1045">
      <formula>Q44="SIN OBSERVACIÓN"</formula>
    </cfRule>
    <cfRule type="containsBlanks" dxfId="472" priority="1046">
      <formula>LEN(TRIM(P44))=0</formula>
    </cfRule>
  </conditionalFormatting>
  <conditionalFormatting sqref="O44">
    <cfRule type="cellIs" dxfId="471" priority="1038" operator="equal">
      <formula>"PENDIENTE POR DESCRIPCIÓN"</formula>
    </cfRule>
    <cfRule type="cellIs" dxfId="470" priority="1042" operator="equal">
      <formula>"DESCRIPCIÓN INSUFICIENTE"</formula>
    </cfRule>
    <cfRule type="cellIs" dxfId="469" priority="1043" operator="equal">
      <formula>"NO ESTÁ ACORDE A ITEM 5.2.1 (T.R.)"</formula>
    </cfRule>
    <cfRule type="cellIs" dxfId="468" priority="1044" operator="equal">
      <formula>"ACORDE A ITEM 5.2.1 (T.R.)"</formula>
    </cfRule>
  </conditionalFormatting>
  <conditionalFormatting sqref="Q44">
    <cfRule type="containsBlanks" dxfId="467" priority="1032">
      <formula>LEN(TRIM(Q44))=0</formula>
    </cfRule>
    <cfRule type="cellIs" dxfId="466" priority="1041" operator="equal">
      <formula>"REQUERIMIENTOS SUBSANADOS"</formula>
    </cfRule>
    <cfRule type="containsText" dxfId="465" priority="1047" operator="containsText" text="NO SUBSANABLE">
      <formula>NOT(ISERROR(SEARCH("NO SUBSANABLE",Q44)))</formula>
    </cfRule>
    <cfRule type="containsText" dxfId="464" priority="1048" operator="containsText" text="PENDIENTES POR SUBSANAR">
      <formula>NOT(ISERROR(SEARCH("PENDIENTES POR SUBSANAR",Q44)))</formula>
    </cfRule>
    <cfRule type="containsText" dxfId="463" priority="1049" operator="containsText" text="SIN OBSERVACIÓN">
      <formula>NOT(ISERROR(SEARCH("SIN OBSERVACIÓN",Q44)))</formula>
    </cfRule>
  </conditionalFormatting>
  <conditionalFormatting sqref="R44">
    <cfRule type="containsBlanks" dxfId="462" priority="1031">
      <formula>LEN(TRIM(R44))=0</formula>
    </cfRule>
    <cfRule type="cellIs" dxfId="461" priority="1033" operator="equal">
      <formula>"NO CUMPLEN CON LO SOLICITADO"</formula>
    </cfRule>
    <cfRule type="cellIs" dxfId="460" priority="1034" operator="equal">
      <formula>"CUMPLEN CON LO SOLICITADO"</formula>
    </cfRule>
    <cfRule type="cellIs" dxfId="459" priority="1035" operator="equal">
      <formula>"PENDIENTES"</formula>
    </cfRule>
    <cfRule type="cellIs" dxfId="458" priority="1036" operator="equal">
      <formula>"NINGUNO"</formula>
    </cfRule>
  </conditionalFormatting>
  <conditionalFormatting sqref="H44">
    <cfRule type="notContainsBlanks" dxfId="457" priority="1030">
      <formula>LEN(TRIM(H44))&gt;0</formula>
    </cfRule>
  </conditionalFormatting>
  <conditionalFormatting sqref="G44">
    <cfRule type="notContainsBlanks" dxfId="456" priority="1029">
      <formula>LEN(TRIM(G44))&gt;0</formula>
    </cfRule>
  </conditionalFormatting>
  <conditionalFormatting sqref="F44">
    <cfRule type="notContainsBlanks" dxfId="455" priority="1028">
      <formula>LEN(TRIM(F44))&gt;0</formula>
    </cfRule>
  </conditionalFormatting>
  <conditionalFormatting sqref="E44">
    <cfRule type="notContainsBlanks" dxfId="454" priority="1027">
      <formula>LEN(TRIM(E44))&gt;0</formula>
    </cfRule>
  </conditionalFormatting>
  <conditionalFormatting sqref="D44">
    <cfRule type="notContainsBlanks" dxfId="453" priority="1026">
      <formula>LEN(TRIM(D44))&gt;0</formula>
    </cfRule>
  </conditionalFormatting>
  <conditionalFormatting sqref="C44">
    <cfRule type="notContainsBlanks" dxfId="452" priority="1025">
      <formula>LEN(TRIM(C44))&gt;0</formula>
    </cfRule>
  </conditionalFormatting>
  <conditionalFormatting sqref="I44">
    <cfRule type="notContainsBlanks" dxfId="451" priority="1024">
      <formula>LEN(TRIM(I44))&gt;0</formula>
    </cfRule>
  </conditionalFormatting>
  <conditionalFormatting sqref="T35">
    <cfRule type="cellIs" dxfId="450" priority="1022" operator="equal">
      <formula>"NO"</formula>
    </cfRule>
    <cfRule type="cellIs" dxfId="449" priority="1023" operator="equal">
      <formula>"SI"</formula>
    </cfRule>
  </conditionalFormatting>
  <conditionalFormatting sqref="S38 S41 S44">
    <cfRule type="cellIs" dxfId="448" priority="1020" operator="greaterThan">
      <formula>0</formula>
    </cfRule>
    <cfRule type="cellIs" dxfId="447" priority="1021" operator="equal">
      <formula>0</formula>
    </cfRule>
  </conditionalFormatting>
  <conditionalFormatting sqref="N47">
    <cfRule type="expression" dxfId="446" priority="1017">
      <formula>N47=" "</formula>
    </cfRule>
    <cfRule type="expression" dxfId="445" priority="1018">
      <formula>N47="NO PRESENTÓ CERTIFICADO"</formula>
    </cfRule>
    <cfRule type="expression" dxfId="444" priority="1019">
      <formula>N47="PRESENTÓ CERTIFICADO"</formula>
    </cfRule>
  </conditionalFormatting>
  <conditionalFormatting sqref="P47">
    <cfRule type="expression" dxfId="443" priority="1004">
      <formula>Q47="NO SUBSANABLE"</formula>
    </cfRule>
    <cfRule type="expression" dxfId="442" priority="1006">
      <formula>Q47="REQUERIMIENTOS SUBSANADOS"</formula>
    </cfRule>
    <cfRule type="expression" dxfId="441" priority="1007">
      <formula>Q47="PENDIENTES POR SUBSANAR"</formula>
    </cfRule>
    <cfRule type="expression" dxfId="440" priority="1012">
      <formula>Q47="SIN OBSERVACIÓN"</formula>
    </cfRule>
    <cfRule type="containsBlanks" dxfId="439" priority="1013">
      <formula>LEN(TRIM(P47))=0</formula>
    </cfRule>
  </conditionalFormatting>
  <conditionalFormatting sqref="O47">
    <cfRule type="cellIs" dxfId="438" priority="1005" operator="equal">
      <formula>"PENDIENTE POR DESCRIPCIÓN"</formula>
    </cfRule>
    <cfRule type="cellIs" dxfId="437" priority="1009" operator="equal">
      <formula>"DESCRIPCIÓN INSUFICIENTE"</formula>
    </cfRule>
    <cfRule type="cellIs" dxfId="436" priority="1010" operator="equal">
      <formula>"NO ESTÁ ACORDE A ITEM 5.2.1 (T.R.)"</formula>
    </cfRule>
    <cfRule type="cellIs" dxfId="435" priority="1011" operator="equal">
      <formula>"ACORDE A ITEM 5.2.1 (T.R.)"</formula>
    </cfRule>
  </conditionalFormatting>
  <conditionalFormatting sqref="Q47">
    <cfRule type="containsBlanks" dxfId="434" priority="999">
      <formula>LEN(TRIM(Q47))=0</formula>
    </cfRule>
    <cfRule type="cellIs" dxfId="433" priority="1008" operator="equal">
      <formula>"REQUERIMIENTOS SUBSANADOS"</formula>
    </cfRule>
    <cfRule type="containsText" dxfId="432" priority="1014" operator="containsText" text="NO SUBSANABLE">
      <formula>NOT(ISERROR(SEARCH("NO SUBSANABLE",Q47)))</formula>
    </cfRule>
    <cfRule type="containsText" dxfId="431" priority="1015" operator="containsText" text="PENDIENTES POR SUBSANAR">
      <formula>NOT(ISERROR(SEARCH("PENDIENTES POR SUBSANAR",Q47)))</formula>
    </cfRule>
    <cfRule type="containsText" dxfId="430" priority="1016" operator="containsText" text="SIN OBSERVACIÓN">
      <formula>NOT(ISERROR(SEARCH("SIN OBSERVACIÓN",Q47)))</formula>
    </cfRule>
  </conditionalFormatting>
  <conditionalFormatting sqref="R47">
    <cfRule type="containsBlanks" dxfId="429" priority="998">
      <formula>LEN(TRIM(R47))=0</formula>
    </cfRule>
    <cfRule type="cellIs" dxfId="428" priority="1000" operator="equal">
      <formula>"NO CUMPLEN CON LO SOLICITADO"</formula>
    </cfRule>
    <cfRule type="cellIs" dxfId="427" priority="1001" operator="equal">
      <formula>"CUMPLEN CON LO SOLICITADO"</formula>
    </cfRule>
    <cfRule type="cellIs" dxfId="426" priority="1002" operator="equal">
      <formula>"PENDIENTES"</formula>
    </cfRule>
    <cfRule type="cellIs" dxfId="425" priority="1003" operator="equal">
      <formula>"NINGUNO"</formula>
    </cfRule>
  </conditionalFormatting>
  <conditionalFormatting sqref="H47">
    <cfRule type="notContainsBlanks" dxfId="424" priority="997">
      <formula>LEN(TRIM(H47))&gt;0</formula>
    </cfRule>
  </conditionalFormatting>
  <conditionalFormatting sqref="G47">
    <cfRule type="notContainsBlanks" dxfId="423" priority="996">
      <formula>LEN(TRIM(G47))&gt;0</formula>
    </cfRule>
  </conditionalFormatting>
  <conditionalFormatting sqref="F47">
    <cfRule type="notContainsBlanks" dxfId="422" priority="995">
      <formula>LEN(TRIM(F47))&gt;0</formula>
    </cfRule>
  </conditionalFormatting>
  <conditionalFormatting sqref="E47">
    <cfRule type="notContainsBlanks" dxfId="421" priority="994">
      <formula>LEN(TRIM(E47))&gt;0</formula>
    </cfRule>
  </conditionalFormatting>
  <conditionalFormatting sqref="D47">
    <cfRule type="notContainsBlanks" dxfId="420" priority="993">
      <formula>LEN(TRIM(D47))&gt;0</formula>
    </cfRule>
  </conditionalFormatting>
  <conditionalFormatting sqref="C47">
    <cfRule type="notContainsBlanks" dxfId="419" priority="992">
      <formula>LEN(TRIM(C47))&gt;0</formula>
    </cfRule>
  </conditionalFormatting>
  <conditionalFormatting sqref="I47">
    <cfRule type="notContainsBlanks" dxfId="418" priority="991">
      <formula>LEN(TRIM(I47))&gt;0</formula>
    </cfRule>
  </conditionalFormatting>
  <conditionalFormatting sqref="S47">
    <cfRule type="cellIs" dxfId="417" priority="989" operator="greaterThan">
      <formula>0</formula>
    </cfRule>
    <cfRule type="cellIs" dxfId="416" priority="990" operator="equal">
      <formula>0</formula>
    </cfRule>
  </conditionalFormatting>
  <conditionalFormatting sqref="J36:J37">
    <cfRule type="cellIs" dxfId="415" priority="985" operator="equal">
      <formula>"NO CUMPLE"</formula>
    </cfRule>
    <cfRule type="cellIs" dxfId="414" priority="986" operator="equal">
      <formula>"CUMPLE"</formula>
    </cfRule>
  </conditionalFormatting>
  <conditionalFormatting sqref="M36">
    <cfRule type="expression" dxfId="413" priority="983">
      <formula>L36="NO CUMPLE"</formula>
    </cfRule>
    <cfRule type="expression" dxfId="412" priority="984">
      <formula>L36="CUMPLE"</formula>
    </cfRule>
  </conditionalFormatting>
  <conditionalFormatting sqref="L36">
    <cfRule type="cellIs" dxfId="411" priority="981" operator="equal">
      <formula>"NO CUMPLE"</formula>
    </cfRule>
    <cfRule type="cellIs" dxfId="410" priority="982" operator="equal">
      <formula>"CUMPLE"</formula>
    </cfRule>
  </conditionalFormatting>
  <conditionalFormatting sqref="M39">
    <cfRule type="expression" dxfId="409" priority="967">
      <formula>L39="NO CUMPLE"</formula>
    </cfRule>
    <cfRule type="expression" dxfId="408" priority="968">
      <formula>L39="CUMPLE"</formula>
    </cfRule>
  </conditionalFormatting>
  <conditionalFormatting sqref="M38">
    <cfRule type="expression" dxfId="407" priority="977">
      <formula>L38="NO CUMPLE"</formula>
    </cfRule>
    <cfRule type="expression" dxfId="406" priority="978">
      <formula>L38="CUMPLE"</formula>
    </cfRule>
  </conditionalFormatting>
  <conditionalFormatting sqref="J38">
    <cfRule type="cellIs" dxfId="405" priority="975" operator="equal">
      <formula>"NO CUMPLE"</formula>
    </cfRule>
    <cfRule type="cellIs" dxfId="404" priority="976" operator="equal">
      <formula>"CUMPLE"</formula>
    </cfRule>
  </conditionalFormatting>
  <conditionalFormatting sqref="L38">
    <cfRule type="cellIs" dxfId="403" priority="973" operator="equal">
      <formula>"NO CUMPLE"</formula>
    </cfRule>
    <cfRule type="cellIs" dxfId="402" priority="974" operator="equal">
      <formula>"CUMPLE"</formula>
    </cfRule>
  </conditionalFormatting>
  <conditionalFormatting sqref="J39:J40">
    <cfRule type="cellIs" dxfId="401" priority="969" operator="equal">
      <formula>"NO CUMPLE"</formula>
    </cfRule>
    <cfRule type="cellIs" dxfId="400" priority="970" operator="equal">
      <formula>"CUMPLE"</formula>
    </cfRule>
  </conditionalFormatting>
  <conditionalFormatting sqref="L39">
    <cfRule type="cellIs" dxfId="399" priority="965" operator="equal">
      <formula>"NO CUMPLE"</formula>
    </cfRule>
    <cfRule type="cellIs" dxfId="398" priority="966" operator="equal">
      <formula>"CUMPLE"</formula>
    </cfRule>
  </conditionalFormatting>
  <conditionalFormatting sqref="K41">
    <cfRule type="expression" dxfId="397" priority="963">
      <formula>J41="NO CUMPLE"</formula>
    </cfRule>
    <cfRule type="expression" dxfId="396" priority="964">
      <formula>J41="CUMPLE"</formula>
    </cfRule>
  </conditionalFormatting>
  <conditionalFormatting sqref="M41">
    <cfRule type="expression" dxfId="395" priority="961">
      <formula>L41="NO CUMPLE"</formula>
    </cfRule>
    <cfRule type="expression" dxfId="394" priority="962">
      <formula>L41="CUMPLE"</formula>
    </cfRule>
  </conditionalFormatting>
  <conditionalFormatting sqref="J41">
    <cfRule type="cellIs" dxfId="393" priority="959" operator="equal">
      <formula>"NO CUMPLE"</formula>
    </cfRule>
    <cfRule type="cellIs" dxfId="392" priority="960" operator="equal">
      <formula>"CUMPLE"</formula>
    </cfRule>
  </conditionalFormatting>
  <conditionalFormatting sqref="L41">
    <cfRule type="cellIs" dxfId="391" priority="957" operator="equal">
      <formula>"NO CUMPLE"</formula>
    </cfRule>
    <cfRule type="cellIs" dxfId="390" priority="958" operator="equal">
      <formula>"CUMPLE"</formula>
    </cfRule>
  </conditionalFormatting>
  <conditionalFormatting sqref="K42:K43">
    <cfRule type="expression" dxfId="389" priority="955">
      <formula>J42="NO CUMPLE"</formula>
    </cfRule>
    <cfRule type="expression" dxfId="388" priority="956">
      <formula>J42="CUMPLE"</formula>
    </cfRule>
  </conditionalFormatting>
  <conditionalFormatting sqref="J42:J43">
    <cfRule type="cellIs" dxfId="387" priority="953" operator="equal">
      <formula>"NO CUMPLE"</formula>
    </cfRule>
    <cfRule type="cellIs" dxfId="386" priority="954" operator="equal">
      <formula>"CUMPLE"</formula>
    </cfRule>
  </conditionalFormatting>
  <conditionalFormatting sqref="M42">
    <cfRule type="expression" dxfId="385" priority="951">
      <formula>L42="NO CUMPLE"</formula>
    </cfRule>
    <cfRule type="expression" dxfId="384" priority="952">
      <formula>L42="CUMPLE"</formula>
    </cfRule>
  </conditionalFormatting>
  <conditionalFormatting sqref="L42">
    <cfRule type="cellIs" dxfId="383" priority="949" operator="equal">
      <formula>"NO CUMPLE"</formula>
    </cfRule>
    <cfRule type="cellIs" dxfId="382" priority="950" operator="equal">
      <formula>"CUMPLE"</formula>
    </cfRule>
  </conditionalFormatting>
  <conditionalFormatting sqref="K44">
    <cfRule type="expression" dxfId="381" priority="947">
      <formula>J44="NO CUMPLE"</formula>
    </cfRule>
    <cfRule type="expression" dxfId="380" priority="948">
      <formula>J44="CUMPLE"</formula>
    </cfRule>
  </conditionalFormatting>
  <conditionalFormatting sqref="M44">
    <cfRule type="expression" dxfId="379" priority="945">
      <formula>L44="NO CUMPLE"</formula>
    </cfRule>
    <cfRule type="expression" dxfId="378" priority="946">
      <formula>L44="CUMPLE"</formula>
    </cfRule>
  </conditionalFormatting>
  <conditionalFormatting sqref="J44">
    <cfRule type="cellIs" dxfId="377" priority="943" operator="equal">
      <formula>"NO CUMPLE"</formula>
    </cfRule>
    <cfRule type="cellIs" dxfId="376" priority="944" operator="equal">
      <formula>"CUMPLE"</formula>
    </cfRule>
  </conditionalFormatting>
  <conditionalFormatting sqref="L44">
    <cfRule type="cellIs" dxfId="375" priority="941" operator="equal">
      <formula>"NO CUMPLE"</formula>
    </cfRule>
    <cfRule type="cellIs" dxfId="374" priority="942" operator="equal">
      <formula>"CUMPLE"</formula>
    </cfRule>
  </conditionalFormatting>
  <conditionalFormatting sqref="K45:K46">
    <cfRule type="expression" dxfId="373" priority="939">
      <formula>J45="NO CUMPLE"</formula>
    </cfRule>
    <cfRule type="expression" dxfId="372" priority="940">
      <formula>J45="CUMPLE"</formula>
    </cfRule>
  </conditionalFormatting>
  <conditionalFormatting sqref="J45:J46">
    <cfRule type="cellIs" dxfId="371" priority="937" operator="equal">
      <formula>"NO CUMPLE"</formula>
    </cfRule>
    <cfRule type="cellIs" dxfId="370" priority="938" operator="equal">
      <formula>"CUMPLE"</formula>
    </cfRule>
  </conditionalFormatting>
  <conditionalFormatting sqref="M45">
    <cfRule type="expression" dxfId="369" priority="935">
      <formula>L45="NO CUMPLE"</formula>
    </cfRule>
    <cfRule type="expression" dxfId="368" priority="936">
      <formula>L45="CUMPLE"</formula>
    </cfRule>
  </conditionalFormatting>
  <conditionalFormatting sqref="L45">
    <cfRule type="cellIs" dxfId="367" priority="933" operator="equal">
      <formula>"NO CUMPLE"</formula>
    </cfRule>
    <cfRule type="cellIs" dxfId="366" priority="934" operator="equal">
      <formula>"CUMPLE"</formula>
    </cfRule>
  </conditionalFormatting>
  <conditionalFormatting sqref="K47">
    <cfRule type="expression" dxfId="365" priority="931">
      <formula>J47="NO CUMPLE"</formula>
    </cfRule>
    <cfRule type="expression" dxfId="364" priority="932">
      <formula>J47="CUMPLE"</formula>
    </cfRule>
  </conditionalFormatting>
  <conditionalFormatting sqref="M47">
    <cfRule type="expression" dxfId="363" priority="929">
      <formula>L47="NO CUMPLE"</formula>
    </cfRule>
    <cfRule type="expression" dxfId="362" priority="930">
      <formula>L47="CUMPLE"</formula>
    </cfRule>
  </conditionalFormatting>
  <conditionalFormatting sqref="J47">
    <cfRule type="cellIs" dxfId="361" priority="927" operator="equal">
      <formula>"NO CUMPLE"</formula>
    </cfRule>
    <cfRule type="cellIs" dxfId="360" priority="928" operator="equal">
      <formula>"CUMPLE"</formula>
    </cfRule>
  </conditionalFormatting>
  <conditionalFormatting sqref="L47">
    <cfRule type="cellIs" dxfId="359" priority="925" operator="equal">
      <formula>"NO CUMPLE"</formula>
    </cfRule>
    <cfRule type="cellIs" dxfId="358" priority="926" operator="equal">
      <formula>"CUMPLE"</formula>
    </cfRule>
  </conditionalFormatting>
  <conditionalFormatting sqref="K48:K49">
    <cfRule type="expression" dxfId="357" priority="923">
      <formula>J48="NO CUMPLE"</formula>
    </cfRule>
    <cfRule type="expression" dxfId="356" priority="924">
      <formula>J48="CUMPLE"</formula>
    </cfRule>
  </conditionalFormatting>
  <conditionalFormatting sqref="J48:J49">
    <cfRule type="cellIs" dxfId="355" priority="921" operator="equal">
      <formula>"NO CUMPLE"</formula>
    </cfRule>
    <cfRule type="cellIs" dxfId="354" priority="922" operator="equal">
      <formula>"CUMPLE"</formula>
    </cfRule>
  </conditionalFormatting>
  <conditionalFormatting sqref="M48">
    <cfRule type="expression" dxfId="353" priority="919">
      <formula>L48="NO CUMPLE"</formula>
    </cfRule>
    <cfRule type="expression" dxfId="352" priority="920">
      <formula>L48="CUMPLE"</formula>
    </cfRule>
  </conditionalFormatting>
  <conditionalFormatting sqref="L48">
    <cfRule type="cellIs" dxfId="351" priority="917" operator="equal">
      <formula>"NO CUMPLE"</formula>
    </cfRule>
    <cfRule type="cellIs" dxfId="350" priority="918" operator="equal">
      <formula>"CUMPLE"</formula>
    </cfRule>
  </conditionalFormatting>
  <conditionalFormatting sqref="M57">
    <cfRule type="expression" dxfId="349" priority="913">
      <formula>L57="NO CUMPLE"</formula>
    </cfRule>
    <cfRule type="expression" dxfId="348" priority="914">
      <formula>L57="CUMPLE"</formula>
    </cfRule>
  </conditionalFormatting>
  <conditionalFormatting sqref="N57">
    <cfRule type="expression" dxfId="347" priority="910">
      <formula>N57=" "</formula>
    </cfRule>
    <cfRule type="expression" dxfId="346" priority="911">
      <formula>N57="NO PRESENTÓ CERTIFICADO"</formula>
    </cfRule>
    <cfRule type="expression" dxfId="345" priority="912">
      <formula>N57="PRESENTÓ CERTIFICADO"</formula>
    </cfRule>
  </conditionalFormatting>
  <conditionalFormatting sqref="J57">
    <cfRule type="cellIs" dxfId="344" priority="908" operator="equal">
      <formula>"NO CUMPLE"</formula>
    </cfRule>
    <cfRule type="cellIs" dxfId="343" priority="909" operator="equal">
      <formula>"CUMPLE"</formula>
    </cfRule>
  </conditionalFormatting>
  <conditionalFormatting sqref="L57">
    <cfRule type="cellIs" dxfId="342" priority="906" operator="equal">
      <formula>"NO CUMPLE"</formula>
    </cfRule>
    <cfRule type="cellIs" dxfId="341" priority="907" operator="equal">
      <formula>"CUMPLE"</formula>
    </cfRule>
  </conditionalFormatting>
  <conditionalFormatting sqref="S57">
    <cfRule type="cellIs" dxfId="340" priority="904" operator="greaterThan">
      <formula>0</formula>
    </cfRule>
    <cfRule type="cellIs" dxfId="339" priority="905" operator="equal">
      <formula>0</formula>
    </cfRule>
  </conditionalFormatting>
  <conditionalFormatting sqref="P57">
    <cfRule type="expression" dxfId="338" priority="891">
      <formula>Q57="NO SUBSANABLE"</formula>
    </cfRule>
    <cfRule type="expression" dxfId="337" priority="893">
      <formula>Q57="REQUERIMIENTOS SUBSANADOS"</formula>
    </cfRule>
    <cfRule type="expression" dxfId="336" priority="894">
      <formula>Q57="PENDIENTES POR SUBSANAR"</formula>
    </cfRule>
    <cfRule type="expression" dxfId="335" priority="899">
      <formula>Q57="SIN OBSERVACIÓN"</formula>
    </cfRule>
    <cfRule type="containsBlanks" dxfId="334" priority="900">
      <formula>LEN(TRIM(P57))=0</formula>
    </cfRule>
  </conditionalFormatting>
  <conditionalFormatting sqref="O57">
    <cfRule type="cellIs" dxfId="333" priority="892" operator="equal">
      <formula>"PENDIENTE POR DESCRIPCIÓN"</formula>
    </cfRule>
    <cfRule type="cellIs" dxfId="332" priority="896" operator="equal">
      <formula>"DESCRIPCIÓN INSUFICIENTE"</formula>
    </cfRule>
    <cfRule type="cellIs" dxfId="331" priority="897" operator="equal">
      <formula>"NO ESTÁ ACORDE A ITEM 5.2.1 (T.R.)"</formula>
    </cfRule>
    <cfRule type="cellIs" dxfId="330" priority="898" operator="equal">
      <formula>"ACORDE A ITEM 5.2.1 (T.R.)"</formula>
    </cfRule>
  </conditionalFormatting>
  <conditionalFormatting sqref="Q57">
    <cfRule type="containsBlanks" dxfId="329" priority="886">
      <formula>LEN(TRIM(Q57))=0</formula>
    </cfRule>
    <cfRule type="cellIs" dxfId="328" priority="895" operator="equal">
      <formula>"REQUERIMIENTOS SUBSANADOS"</formula>
    </cfRule>
    <cfRule type="containsText" dxfId="327" priority="901" operator="containsText" text="NO SUBSANABLE">
      <formula>NOT(ISERROR(SEARCH("NO SUBSANABLE",Q57)))</formula>
    </cfRule>
    <cfRule type="containsText" dxfId="326" priority="902" operator="containsText" text="PENDIENTES POR SUBSANAR">
      <formula>NOT(ISERROR(SEARCH("PENDIENTES POR SUBSANAR",Q57)))</formula>
    </cfRule>
    <cfRule type="containsText" dxfId="325" priority="903" operator="containsText" text="SIN OBSERVACIÓN">
      <formula>NOT(ISERROR(SEARCH("SIN OBSERVACIÓN",Q57)))</formula>
    </cfRule>
  </conditionalFormatting>
  <conditionalFormatting sqref="R57">
    <cfRule type="containsBlanks" dxfId="324" priority="885">
      <formula>LEN(TRIM(R57))=0</formula>
    </cfRule>
    <cfRule type="cellIs" dxfId="323" priority="887" operator="equal">
      <formula>"NO CUMPLEN CON LO SOLICITADO"</formula>
    </cfRule>
    <cfRule type="cellIs" dxfId="322" priority="888" operator="equal">
      <formula>"CUMPLEN CON LO SOLICITADO"</formula>
    </cfRule>
    <cfRule type="cellIs" dxfId="321" priority="889" operator="equal">
      <formula>"PENDIENTES"</formula>
    </cfRule>
    <cfRule type="cellIs" dxfId="320" priority="890" operator="equal">
      <formula>"NINGUNO"</formula>
    </cfRule>
  </conditionalFormatting>
  <conditionalFormatting sqref="H57">
    <cfRule type="notContainsBlanks" dxfId="319" priority="884">
      <formula>LEN(TRIM(H57))&gt;0</formula>
    </cfRule>
  </conditionalFormatting>
  <conditionalFormatting sqref="G57">
    <cfRule type="notContainsBlanks" dxfId="318" priority="883">
      <formula>LEN(TRIM(G57))&gt;0</formula>
    </cfRule>
  </conditionalFormatting>
  <conditionalFormatting sqref="F57 F60 F63">
    <cfRule type="notContainsBlanks" dxfId="317" priority="882">
      <formula>LEN(TRIM(F57))&gt;0</formula>
    </cfRule>
  </conditionalFormatting>
  <conditionalFormatting sqref="E57">
    <cfRule type="notContainsBlanks" dxfId="316" priority="881">
      <formula>LEN(TRIM(E57))&gt;0</formula>
    </cfRule>
  </conditionalFormatting>
  <conditionalFormatting sqref="D57">
    <cfRule type="notContainsBlanks" dxfId="315" priority="880">
      <formula>LEN(TRIM(D57))&gt;0</formula>
    </cfRule>
  </conditionalFormatting>
  <conditionalFormatting sqref="C57">
    <cfRule type="notContainsBlanks" dxfId="314" priority="879">
      <formula>LEN(TRIM(C57))&gt;0</formula>
    </cfRule>
  </conditionalFormatting>
  <conditionalFormatting sqref="I57">
    <cfRule type="notContainsBlanks" dxfId="313" priority="878">
      <formula>LEN(TRIM(I57))&gt;0</formula>
    </cfRule>
  </conditionalFormatting>
  <conditionalFormatting sqref="N60 N63">
    <cfRule type="expression" dxfId="312" priority="875">
      <formula>N60=" "</formula>
    </cfRule>
    <cfRule type="expression" dxfId="311" priority="876">
      <formula>N60="NO PRESENTÓ CERTIFICADO"</formula>
    </cfRule>
    <cfRule type="expression" dxfId="310" priority="877">
      <formula>N60="PRESENTÓ CERTIFICADO"</formula>
    </cfRule>
  </conditionalFormatting>
  <conditionalFormatting sqref="P63">
    <cfRule type="expression" dxfId="309" priority="862">
      <formula>Q63="NO SUBSANABLE"</formula>
    </cfRule>
    <cfRule type="expression" dxfId="308" priority="864">
      <formula>Q63="REQUERIMIENTOS SUBSANADOS"</formula>
    </cfRule>
    <cfRule type="expression" dxfId="307" priority="865">
      <formula>Q63="PENDIENTES POR SUBSANAR"</formula>
    </cfRule>
    <cfRule type="expression" dxfId="306" priority="870">
      <formula>Q63="SIN OBSERVACIÓN"</formula>
    </cfRule>
    <cfRule type="containsBlanks" dxfId="305" priority="871">
      <formula>LEN(TRIM(P63))=0</formula>
    </cfRule>
  </conditionalFormatting>
  <conditionalFormatting sqref="O60 O63">
    <cfRule type="cellIs" dxfId="304" priority="863" operator="equal">
      <formula>"PENDIENTE POR DESCRIPCIÓN"</formula>
    </cfRule>
    <cfRule type="cellIs" dxfId="303" priority="867" operator="equal">
      <formula>"DESCRIPCIÓN INSUFICIENTE"</formula>
    </cfRule>
    <cfRule type="cellIs" dxfId="302" priority="868" operator="equal">
      <formula>"NO ESTÁ ACORDE A ITEM 5.2.1 (T.R.)"</formula>
    </cfRule>
    <cfRule type="cellIs" dxfId="301" priority="869" operator="equal">
      <formula>"ACORDE A ITEM 5.2.1 (T.R.)"</formula>
    </cfRule>
  </conditionalFormatting>
  <conditionalFormatting sqref="Q60 Q63">
    <cfRule type="containsBlanks" dxfId="300" priority="857">
      <formula>LEN(TRIM(Q60))=0</formula>
    </cfRule>
    <cfRule type="cellIs" dxfId="299" priority="866" operator="equal">
      <formula>"REQUERIMIENTOS SUBSANADOS"</formula>
    </cfRule>
    <cfRule type="containsText" dxfId="298" priority="872" operator="containsText" text="NO SUBSANABLE">
      <formula>NOT(ISERROR(SEARCH("NO SUBSANABLE",Q60)))</formula>
    </cfRule>
    <cfRule type="containsText" dxfId="297" priority="873" operator="containsText" text="PENDIENTES POR SUBSANAR">
      <formula>NOT(ISERROR(SEARCH("PENDIENTES POR SUBSANAR",Q60)))</formula>
    </cfRule>
    <cfRule type="containsText" dxfId="296" priority="874" operator="containsText" text="SIN OBSERVACIÓN">
      <formula>NOT(ISERROR(SEARCH("SIN OBSERVACIÓN",Q60)))</formula>
    </cfRule>
  </conditionalFormatting>
  <conditionalFormatting sqref="R60 R63">
    <cfRule type="containsBlanks" dxfId="295" priority="856">
      <formula>LEN(TRIM(R60))=0</formula>
    </cfRule>
    <cfRule type="cellIs" dxfId="294" priority="858" operator="equal">
      <formula>"NO CUMPLEN CON LO SOLICITADO"</formula>
    </cfRule>
    <cfRule type="cellIs" dxfId="293" priority="859" operator="equal">
      <formula>"CUMPLEN CON LO SOLICITADO"</formula>
    </cfRule>
    <cfRule type="cellIs" dxfId="292" priority="860" operator="equal">
      <formula>"PENDIENTES"</formula>
    </cfRule>
    <cfRule type="cellIs" dxfId="291" priority="861" operator="equal">
      <formula>"NINGUNO"</formula>
    </cfRule>
  </conditionalFormatting>
  <conditionalFormatting sqref="H60 H63">
    <cfRule type="notContainsBlanks" dxfId="290" priority="855">
      <formula>LEN(TRIM(H60))&gt;0</formula>
    </cfRule>
  </conditionalFormatting>
  <conditionalFormatting sqref="G60 G63">
    <cfRule type="notContainsBlanks" dxfId="289" priority="854">
      <formula>LEN(TRIM(G60))&gt;0</formula>
    </cfRule>
  </conditionalFormatting>
  <conditionalFormatting sqref="E60 E63">
    <cfRule type="notContainsBlanks" dxfId="288" priority="852">
      <formula>LEN(TRIM(E60))&gt;0</formula>
    </cfRule>
  </conditionalFormatting>
  <conditionalFormatting sqref="D60 D63">
    <cfRule type="notContainsBlanks" dxfId="287" priority="851">
      <formula>LEN(TRIM(D60))&gt;0</formula>
    </cfRule>
  </conditionalFormatting>
  <conditionalFormatting sqref="C60 C63">
    <cfRule type="notContainsBlanks" dxfId="286" priority="850">
      <formula>LEN(TRIM(C60))&gt;0</formula>
    </cfRule>
  </conditionalFormatting>
  <conditionalFormatting sqref="I60 I63">
    <cfRule type="notContainsBlanks" dxfId="285" priority="849">
      <formula>LEN(TRIM(I60))&gt;0</formula>
    </cfRule>
  </conditionalFormatting>
  <conditionalFormatting sqref="N66">
    <cfRule type="expression" dxfId="284" priority="846">
      <formula>N66=" "</formula>
    </cfRule>
    <cfRule type="expression" dxfId="283" priority="847">
      <formula>N66="NO PRESENTÓ CERTIFICADO"</formula>
    </cfRule>
    <cfRule type="expression" dxfId="282" priority="848">
      <formula>N66="PRESENTÓ CERTIFICADO"</formula>
    </cfRule>
  </conditionalFormatting>
  <conditionalFormatting sqref="P66">
    <cfRule type="expression" dxfId="281" priority="833">
      <formula>Q66="NO SUBSANABLE"</formula>
    </cfRule>
    <cfRule type="expression" dxfId="280" priority="835">
      <formula>Q66="REQUERIMIENTOS SUBSANADOS"</formula>
    </cfRule>
    <cfRule type="expression" dxfId="279" priority="836">
      <formula>Q66="PENDIENTES POR SUBSANAR"</formula>
    </cfRule>
    <cfRule type="expression" dxfId="278" priority="841">
      <formula>Q66="SIN OBSERVACIÓN"</formula>
    </cfRule>
    <cfRule type="containsBlanks" dxfId="277" priority="842">
      <formula>LEN(TRIM(P66))=0</formula>
    </cfRule>
  </conditionalFormatting>
  <conditionalFormatting sqref="O66">
    <cfRule type="cellIs" dxfId="276" priority="834" operator="equal">
      <formula>"PENDIENTE POR DESCRIPCIÓN"</formula>
    </cfRule>
    <cfRule type="cellIs" dxfId="275" priority="838" operator="equal">
      <formula>"DESCRIPCIÓN INSUFICIENTE"</formula>
    </cfRule>
    <cfRule type="cellIs" dxfId="274" priority="839" operator="equal">
      <formula>"NO ESTÁ ACORDE A ITEM 5.2.1 (T.R.)"</formula>
    </cfRule>
    <cfRule type="cellIs" dxfId="273" priority="840" operator="equal">
      <formula>"ACORDE A ITEM 5.2.1 (T.R.)"</formula>
    </cfRule>
  </conditionalFormatting>
  <conditionalFormatting sqref="Q66">
    <cfRule type="containsBlanks" dxfId="272" priority="828">
      <formula>LEN(TRIM(Q66))=0</formula>
    </cfRule>
    <cfRule type="cellIs" dxfId="271" priority="837" operator="equal">
      <formula>"REQUERIMIENTOS SUBSANADOS"</formula>
    </cfRule>
    <cfRule type="containsText" dxfId="270" priority="843" operator="containsText" text="NO SUBSANABLE">
      <formula>NOT(ISERROR(SEARCH("NO SUBSANABLE",Q66)))</formula>
    </cfRule>
    <cfRule type="containsText" dxfId="269" priority="844" operator="containsText" text="PENDIENTES POR SUBSANAR">
      <formula>NOT(ISERROR(SEARCH("PENDIENTES POR SUBSANAR",Q66)))</formula>
    </cfRule>
    <cfRule type="containsText" dxfId="268" priority="845" operator="containsText" text="SIN OBSERVACIÓN">
      <formula>NOT(ISERROR(SEARCH("SIN OBSERVACIÓN",Q66)))</formula>
    </cfRule>
  </conditionalFormatting>
  <conditionalFormatting sqref="R66">
    <cfRule type="containsBlanks" dxfId="267" priority="827">
      <formula>LEN(TRIM(R66))=0</formula>
    </cfRule>
    <cfRule type="cellIs" dxfId="266" priority="829" operator="equal">
      <formula>"NO CUMPLEN CON LO SOLICITADO"</formula>
    </cfRule>
    <cfRule type="cellIs" dxfId="265" priority="830" operator="equal">
      <formula>"CUMPLEN CON LO SOLICITADO"</formula>
    </cfRule>
    <cfRule type="cellIs" dxfId="264" priority="831" operator="equal">
      <formula>"PENDIENTES"</formula>
    </cfRule>
    <cfRule type="cellIs" dxfId="263" priority="832" operator="equal">
      <formula>"NINGUNO"</formula>
    </cfRule>
  </conditionalFormatting>
  <conditionalFormatting sqref="H66">
    <cfRule type="notContainsBlanks" dxfId="262" priority="826">
      <formula>LEN(TRIM(H66))&gt;0</formula>
    </cfRule>
  </conditionalFormatting>
  <conditionalFormatting sqref="G66">
    <cfRule type="notContainsBlanks" dxfId="261" priority="825">
      <formula>LEN(TRIM(G66))&gt;0</formula>
    </cfRule>
  </conditionalFormatting>
  <conditionalFormatting sqref="F66">
    <cfRule type="notContainsBlanks" dxfId="260" priority="824">
      <formula>LEN(TRIM(F66))&gt;0</formula>
    </cfRule>
  </conditionalFormatting>
  <conditionalFormatting sqref="E66">
    <cfRule type="notContainsBlanks" dxfId="259" priority="823">
      <formula>LEN(TRIM(E66))&gt;0</formula>
    </cfRule>
  </conditionalFormatting>
  <conditionalFormatting sqref="D66">
    <cfRule type="notContainsBlanks" dxfId="258" priority="822">
      <formula>LEN(TRIM(D66))&gt;0</formula>
    </cfRule>
  </conditionalFormatting>
  <conditionalFormatting sqref="C66">
    <cfRule type="notContainsBlanks" dxfId="257" priority="821">
      <formula>LEN(TRIM(C66))&gt;0</formula>
    </cfRule>
  </conditionalFormatting>
  <conditionalFormatting sqref="I66">
    <cfRule type="notContainsBlanks" dxfId="256" priority="820">
      <formula>LEN(TRIM(I66))&gt;0</formula>
    </cfRule>
  </conditionalFormatting>
  <conditionalFormatting sqref="T57">
    <cfRule type="cellIs" dxfId="255" priority="818" operator="equal">
      <formula>"NO"</formula>
    </cfRule>
    <cfRule type="cellIs" dxfId="254" priority="819" operator="equal">
      <formula>"SI"</formula>
    </cfRule>
  </conditionalFormatting>
  <conditionalFormatting sqref="S60 S63 S66">
    <cfRule type="cellIs" dxfId="253" priority="816" operator="greaterThan">
      <formula>0</formula>
    </cfRule>
    <cfRule type="cellIs" dxfId="252" priority="817" operator="equal">
      <formula>0</formula>
    </cfRule>
  </conditionalFormatting>
  <conditionalFormatting sqref="N69">
    <cfRule type="expression" dxfId="251" priority="813">
      <formula>N69=" "</formula>
    </cfRule>
    <cfRule type="expression" dxfId="250" priority="814">
      <formula>N69="NO PRESENTÓ CERTIFICADO"</formula>
    </cfRule>
    <cfRule type="expression" dxfId="249" priority="815">
      <formula>N69="PRESENTÓ CERTIFICADO"</formula>
    </cfRule>
  </conditionalFormatting>
  <conditionalFormatting sqref="P69">
    <cfRule type="expression" dxfId="248" priority="800">
      <formula>Q69="NO SUBSANABLE"</formula>
    </cfRule>
    <cfRule type="expression" dxfId="247" priority="802">
      <formula>Q69="REQUERIMIENTOS SUBSANADOS"</formula>
    </cfRule>
    <cfRule type="expression" dxfId="246" priority="803">
      <formula>Q69="PENDIENTES POR SUBSANAR"</formula>
    </cfRule>
    <cfRule type="expression" dxfId="245" priority="808">
      <formula>Q69="SIN OBSERVACIÓN"</formula>
    </cfRule>
    <cfRule type="containsBlanks" dxfId="244" priority="809">
      <formula>LEN(TRIM(P69))=0</formula>
    </cfRule>
  </conditionalFormatting>
  <conditionalFormatting sqref="O69">
    <cfRule type="cellIs" dxfId="243" priority="801" operator="equal">
      <formula>"PENDIENTE POR DESCRIPCIÓN"</formula>
    </cfRule>
    <cfRule type="cellIs" dxfId="242" priority="805" operator="equal">
      <formula>"DESCRIPCIÓN INSUFICIENTE"</formula>
    </cfRule>
    <cfRule type="cellIs" dxfId="241" priority="806" operator="equal">
      <formula>"NO ESTÁ ACORDE A ITEM 5.2.1 (T.R.)"</formula>
    </cfRule>
    <cfRule type="cellIs" dxfId="240" priority="807" operator="equal">
      <formula>"ACORDE A ITEM 5.2.1 (T.R.)"</formula>
    </cfRule>
  </conditionalFormatting>
  <conditionalFormatting sqref="Q69">
    <cfRule type="containsBlanks" dxfId="239" priority="795">
      <formula>LEN(TRIM(Q69))=0</formula>
    </cfRule>
    <cfRule type="cellIs" dxfId="238" priority="804" operator="equal">
      <formula>"REQUERIMIENTOS SUBSANADOS"</formula>
    </cfRule>
    <cfRule type="containsText" dxfId="237" priority="810" operator="containsText" text="NO SUBSANABLE">
      <formula>NOT(ISERROR(SEARCH("NO SUBSANABLE",Q69)))</formula>
    </cfRule>
    <cfRule type="containsText" dxfId="236" priority="811" operator="containsText" text="PENDIENTES POR SUBSANAR">
      <formula>NOT(ISERROR(SEARCH("PENDIENTES POR SUBSANAR",Q69)))</formula>
    </cfRule>
    <cfRule type="containsText" dxfId="235" priority="812" operator="containsText" text="SIN OBSERVACIÓN">
      <formula>NOT(ISERROR(SEARCH("SIN OBSERVACIÓN",Q69)))</formula>
    </cfRule>
  </conditionalFormatting>
  <conditionalFormatting sqref="R69">
    <cfRule type="containsBlanks" dxfId="234" priority="794">
      <formula>LEN(TRIM(R69))=0</formula>
    </cfRule>
    <cfRule type="cellIs" dxfId="233" priority="796" operator="equal">
      <formula>"NO CUMPLEN CON LO SOLICITADO"</formula>
    </cfRule>
    <cfRule type="cellIs" dxfId="232" priority="797" operator="equal">
      <formula>"CUMPLEN CON LO SOLICITADO"</formula>
    </cfRule>
    <cfRule type="cellIs" dxfId="231" priority="798" operator="equal">
      <formula>"PENDIENTES"</formula>
    </cfRule>
    <cfRule type="cellIs" dxfId="230" priority="799" operator="equal">
      <formula>"NINGUNO"</formula>
    </cfRule>
  </conditionalFormatting>
  <conditionalFormatting sqref="H69">
    <cfRule type="notContainsBlanks" dxfId="229" priority="793">
      <formula>LEN(TRIM(H69))&gt;0</formula>
    </cfRule>
  </conditionalFormatting>
  <conditionalFormatting sqref="G69">
    <cfRule type="notContainsBlanks" dxfId="228" priority="792">
      <formula>LEN(TRIM(G69))&gt;0</formula>
    </cfRule>
  </conditionalFormatting>
  <conditionalFormatting sqref="F69">
    <cfRule type="notContainsBlanks" dxfId="227" priority="791">
      <formula>LEN(TRIM(F69))&gt;0</formula>
    </cfRule>
  </conditionalFormatting>
  <conditionalFormatting sqref="E69">
    <cfRule type="notContainsBlanks" dxfId="226" priority="790">
      <formula>LEN(TRIM(E69))&gt;0</formula>
    </cfRule>
  </conditionalFormatting>
  <conditionalFormatting sqref="D69">
    <cfRule type="notContainsBlanks" dxfId="225" priority="789">
      <formula>LEN(TRIM(D69))&gt;0</formula>
    </cfRule>
  </conditionalFormatting>
  <conditionalFormatting sqref="C69">
    <cfRule type="notContainsBlanks" dxfId="224" priority="788">
      <formula>LEN(TRIM(C69))&gt;0</formula>
    </cfRule>
  </conditionalFormatting>
  <conditionalFormatting sqref="I69">
    <cfRule type="notContainsBlanks" dxfId="223" priority="787">
      <formula>LEN(TRIM(I69))&gt;0</formula>
    </cfRule>
  </conditionalFormatting>
  <conditionalFormatting sqref="S69">
    <cfRule type="cellIs" dxfId="222" priority="785" operator="greaterThan">
      <formula>0</formula>
    </cfRule>
    <cfRule type="cellIs" dxfId="221" priority="786" operator="equal">
      <formula>0</formula>
    </cfRule>
  </conditionalFormatting>
  <conditionalFormatting sqref="J58:J59">
    <cfRule type="cellIs" dxfId="220" priority="781" operator="equal">
      <formula>"NO CUMPLE"</formula>
    </cfRule>
    <cfRule type="cellIs" dxfId="219" priority="782" operator="equal">
      <formula>"CUMPLE"</formula>
    </cfRule>
  </conditionalFormatting>
  <conditionalFormatting sqref="M58">
    <cfRule type="expression" dxfId="218" priority="779">
      <formula>L58="NO CUMPLE"</formula>
    </cfRule>
    <cfRule type="expression" dxfId="217" priority="780">
      <formula>L58="CUMPLE"</formula>
    </cfRule>
  </conditionalFormatting>
  <conditionalFormatting sqref="L58">
    <cfRule type="cellIs" dxfId="216" priority="777" operator="equal">
      <formula>"NO CUMPLE"</formula>
    </cfRule>
    <cfRule type="cellIs" dxfId="215" priority="778" operator="equal">
      <formula>"CUMPLE"</formula>
    </cfRule>
  </conditionalFormatting>
  <conditionalFormatting sqref="M60">
    <cfRule type="expression" dxfId="214" priority="773">
      <formula>L60="NO CUMPLE"</formula>
    </cfRule>
    <cfRule type="expression" dxfId="213" priority="774">
      <formula>L60="CUMPLE"</formula>
    </cfRule>
  </conditionalFormatting>
  <conditionalFormatting sqref="J60">
    <cfRule type="cellIs" dxfId="212" priority="771" operator="equal">
      <formula>"NO CUMPLE"</formula>
    </cfRule>
    <cfRule type="cellIs" dxfId="211" priority="772" operator="equal">
      <formula>"CUMPLE"</formula>
    </cfRule>
  </conditionalFormatting>
  <conditionalFormatting sqref="L60">
    <cfRule type="cellIs" dxfId="210" priority="769" operator="equal">
      <formula>"NO CUMPLE"</formula>
    </cfRule>
    <cfRule type="cellIs" dxfId="209" priority="770" operator="equal">
      <formula>"CUMPLE"</formula>
    </cfRule>
  </conditionalFormatting>
  <conditionalFormatting sqref="J61:J62">
    <cfRule type="cellIs" dxfId="208" priority="765" operator="equal">
      <formula>"NO CUMPLE"</formula>
    </cfRule>
    <cfRule type="cellIs" dxfId="207" priority="766" operator="equal">
      <formula>"CUMPLE"</formula>
    </cfRule>
  </conditionalFormatting>
  <conditionalFormatting sqref="M61">
    <cfRule type="expression" dxfId="206" priority="763">
      <formula>L61="NO CUMPLE"</formula>
    </cfRule>
    <cfRule type="expression" dxfId="205" priority="764">
      <formula>L61="CUMPLE"</formula>
    </cfRule>
  </conditionalFormatting>
  <conditionalFormatting sqref="L61">
    <cfRule type="cellIs" dxfId="204" priority="761" operator="equal">
      <formula>"NO CUMPLE"</formula>
    </cfRule>
    <cfRule type="cellIs" dxfId="203" priority="762" operator="equal">
      <formula>"CUMPLE"</formula>
    </cfRule>
  </conditionalFormatting>
  <conditionalFormatting sqref="M63">
    <cfRule type="expression" dxfId="202" priority="757">
      <formula>L63="NO CUMPLE"</formula>
    </cfRule>
    <cfRule type="expression" dxfId="201" priority="758">
      <formula>L63="CUMPLE"</formula>
    </cfRule>
  </conditionalFormatting>
  <conditionalFormatting sqref="J63">
    <cfRule type="cellIs" dxfId="200" priority="755" operator="equal">
      <formula>"NO CUMPLE"</formula>
    </cfRule>
    <cfRule type="cellIs" dxfId="199" priority="756" operator="equal">
      <formula>"CUMPLE"</formula>
    </cfRule>
  </conditionalFormatting>
  <conditionalFormatting sqref="L63">
    <cfRule type="cellIs" dxfId="198" priority="753" operator="equal">
      <formula>"NO CUMPLE"</formula>
    </cfRule>
    <cfRule type="cellIs" dxfId="197" priority="754" operator="equal">
      <formula>"CUMPLE"</formula>
    </cfRule>
  </conditionalFormatting>
  <conditionalFormatting sqref="J64:J65">
    <cfRule type="cellIs" dxfId="196" priority="749" operator="equal">
      <formula>"NO CUMPLE"</formula>
    </cfRule>
    <cfRule type="cellIs" dxfId="195" priority="750" operator="equal">
      <formula>"CUMPLE"</formula>
    </cfRule>
  </conditionalFormatting>
  <conditionalFormatting sqref="M64">
    <cfRule type="expression" dxfId="194" priority="747">
      <formula>L64="NO CUMPLE"</formula>
    </cfRule>
    <cfRule type="expression" dxfId="193" priority="748">
      <formula>L64="CUMPLE"</formula>
    </cfRule>
  </conditionalFormatting>
  <conditionalFormatting sqref="L64">
    <cfRule type="cellIs" dxfId="192" priority="745" operator="equal">
      <formula>"NO CUMPLE"</formula>
    </cfRule>
    <cfRule type="cellIs" dxfId="191" priority="746" operator="equal">
      <formula>"CUMPLE"</formula>
    </cfRule>
  </conditionalFormatting>
  <conditionalFormatting sqref="K66">
    <cfRule type="expression" dxfId="190" priority="743">
      <formula>J66="NO CUMPLE"</formula>
    </cfRule>
    <cfRule type="expression" dxfId="189" priority="744">
      <formula>J66="CUMPLE"</formula>
    </cfRule>
  </conditionalFormatting>
  <conditionalFormatting sqref="M66">
    <cfRule type="expression" dxfId="188" priority="741">
      <formula>L66="NO CUMPLE"</formula>
    </cfRule>
    <cfRule type="expression" dxfId="187" priority="742">
      <formula>L66="CUMPLE"</formula>
    </cfRule>
  </conditionalFormatting>
  <conditionalFormatting sqref="J66">
    <cfRule type="cellIs" dxfId="186" priority="739" operator="equal">
      <formula>"NO CUMPLE"</formula>
    </cfRule>
    <cfRule type="cellIs" dxfId="185" priority="740" operator="equal">
      <formula>"CUMPLE"</formula>
    </cfRule>
  </conditionalFormatting>
  <conditionalFormatting sqref="L66">
    <cfRule type="cellIs" dxfId="184" priority="737" operator="equal">
      <formula>"NO CUMPLE"</formula>
    </cfRule>
    <cfRule type="cellIs" dxfId="183" priority="738" operator="equal">
      <formula>"CUMPLE"</formula>
    </cfRule>
  </conditionalFormatting>
  <conditionalFormatting sqref="K67:K68">
    <cfRule type="expression" dxfId="182" priority="735">
      <formula>J67="NO CUMPLE"</formula>
    </cfRule>
    <cfRule type="expression" dxfId="181" priority="736">
      <formula>J67="CUMPLE"</formula>
    </cfRule>
  </conditionalFormatting>
  <conditionalFormatting sqref="J67:J68">
    <cfRule type="cellIs" dxfId="180" priority="733" operator="equal">
      <formula>"NO CUMPLE"</formula>
    </cfRule>
    <cfRule type="cellIs" dxfId="179" priority="734" operator="equal">
      <formula>"CUMPLE"</formula>
    </cfRule>
  </conditionalFormatting>
  <conditionalFormatting sqref="M67">
    <cfRule type="expression" dxfId="178" priority="731">
      <formula>L67="NO CUMPLE"</formula>
    </cfRule>
    <cfRule type="expression" dxfId="177" priority="732">
      <formula>L67="CUMPLE"</formula>
    </cfRule>
  </conditionalFormatting>
  <conditionalFormatting sqref="L67">
    <cfRule type="cellIs" dxfId="176" priority="729" operator="equal">
      <formula>"NO CUMPLE"</formula>
    </cfRule>
    <cfRule type="cellIs" dxfId="175" priority="730" operator="equal">
      <formula>"CUMPLE"</formula>
    </cfRule>
  </conditionalFormatting>
  <conditionalFormatting sqref="K69">
    <cfRule type="expression" dxfId="174" priority="727">
      <formula>J69="NO CUMPLE"</formula>
    </cfRule>
    <cfRule type="expression" dxfId="173" priority="728">
      <formula>J69="CUMPLE"</formula>
    </cfRule>
  </conditionalFormatting>
  <conditionalFormatting sqref="M69">
    <cfRule type="expression" dxfId="172" priority="725">
      <formula>L69="NO CUMPLE"</formula>
    </cfRule>
    <cfRule type="expression" dxfId="171" priority="726">
      <formula>L69="CUMPLE"</formula>
    </cfRule>
  </conditionalFormatting>
  <conditionalFormatting sqref="J69">
    <cfRule type="cellIs" dxfId="170" priority="723" operator="equal">
      <formula>"NO CUMPLE"</formula>
    </cfRule>
    <cfRule type="cellIs" dxfId="169" priority="724" operator="equal">
      <formula>"CUMPLE"</formula>
    </cfRule>
  </conditionalFormatting>
  <conditionalFormatting sqref="L69">
    <cfRule type="cellIs" dxfId="168" priority="721" operator="equal">
      <formula>"NO CUMPLE"</formula>
    </cfRule>
    <cfRule type="cellIs" dxfId="167" priority="722" operator="equal">
      <formula>"CUMPLE"</formula>
    </cfRule>
  </conditionalFormatting>
  <conditionalFormatting sqref="K70:K71">
    <cfRule type="expression" dxfId="166" priority="719">
      <formula>J70="NO CUMPLE"</formula>
    </cfRule>
    <cfRule type="expression" dxfId="165" priority="720">
      <formula>J70="CUMPLE"</formula>
    </cfRule>
  </conditionalFormatting>
  <conditionalFormatting sqref="J70:J71">
    <cfRule type="cellIs" dxfId="164" priority="717" operator="equal">
      <formula>"NO CUMPLE"</formula>
    </cfRule>
    <cfRule type="cellIs" dxfId="163" priority="718" operator="equal">
      <formula>"CUMPLE"</formula>
    </cfRule>
  </conditionalFormatting>
  <conditionalFormatting sqref="M70">
    <cfRule type="expression" dxfId="162" priority="715">
      <formula>L70="NO CUMPLE"</formula>
    </cfRule>
    <cfRule type="expression" dxfId="161" priority="716">
      <formula>L70="CUMPLE"</formula>
    </cfRule>
  </conditionalFormatting>
  <conditionalFormatting sqref="L70">
    <cfRule type="cellIs" dxfId="160" priority="713" operator="equal">
      <formula>"NO CUMPLE"</formula>
    </cfRule>
    <cfRule type="cellIs" dxfId="159" priority="714" operator="equal">
      <formula>"CUMPLE"</formula>
    </cfRule>
  </conditionalFormatting>
  <conditionalFormatting sqref="K14">
    <cfRule type="expression" dxfId="158" priority="99">
      <formula>J14="NO CUMPLE"</formula>
    </cfRule>
    <cfRule type="expression" dxfId="157" priority="100">
      <formula>J14="CUMPLE"</formula>
    </cfRule>
  </conditionalFormatting>
  <conditionalFormatting sqref="K15">
    <cfRule type="expression" dxfId="156" priority="97">
      <formula>J15="NO CUMPLE"</formula>
    </cfRule>
    <cfRule type="expression" dxfId="155" priority="98">
      <formula>J15="CUMPLE"</formula>
    </cfRule>
  </conditionalFormatting>
  <conditionalFormatting sqref="K17">
    <cfRule type="expression" dxfId="154" priority="93">
      <formula>J17="NO CUMPLE"</formula>
    </cfRule>
    <cfRule type="expression" dxfId="153" priority="94">
      <formula>J17="CUMPLE"</formula>
    </cfRule>
  </conditionalFormatting>
  <conditionalFormatting sqref="K18">
    <cfRule type="expression" dxfId="152" priority="91">
      <formula>J18="NO CUMPLE"</formula>
    </cfRule>
    <cfRule type="expression" dxfId="151" priority="92">
      <formula>J18="CUMPLE"</formula>
    </cfRule>
  </conditionalFormatting>
  <conditionalFormatting sqref="K20">
    <cfRule type="expression" dxfId="150" priority="87">
      <formula>J20="NO CUMPLE"</formula>
    </cfRule>
    <cfRule type="expression" dxfId="149" priority="88">
      <formula>J20="CUMPLE"</formula>
    </cfRule>
  </conditionalFormatting>
  <conditionalFormatting sqref="K21">
    <cfRule type="expression" dxfId="148" priority="85">
      <formula>J21="NO CUMPLE"</formula>
    </cfRule>
    <cfRule type="expression" dxfId="147" priority="86">
      <formula>J21="CUMPLE"</formula>
    </cfRule>
  </conditionalFormatting>
  <conditionalFormatting sqref="K23">
    <cfRule type="expression" dxfId="146" priority="81">
      <formula>J23="NO CUMPLE"</formula>
    </cfRule>
    <cfRule type="expression" dxfId="145" priority="82">
      <formula>J23="CUMPLE"</formula>
    </cfRule>
  </conditionalFormatting>
  <conditionalFormatting sqref="K24">
    <cfRule type="expression" dxfId="144" priority="79">
      <formula>J24="NO CUMPLE"</formula>
    </cfRule>
    <cfRule type="expression" dxfId="143" priority="80">
      <formula>J24="CUMPLE"</formula>
    </cfRule>
  </conditionalFormatting>
  <conditionalFormatting sqref="K26">
    <cfRule type="expression" dxfId="142" priority="75">
      <formula>J26="NO CUMPLE"</formula>
    </cfRule>
    <cfRule type="expression" dxfId="141" priority="76">
      <formula>J26="CUMPLE"</formula>
    </cfRule>
  </conditionalFormatting>
  <conditionalFormatting sqref="K27">
    <cfRule type="expression" dxfId="140" priority="73">
      <formula>J27="NO CUMPLE"</formula>
    </cfRule>
    <cfRule type="expression" dxfId="139" priority="74">
      <formula>J27="CUMPLE"</formula>
    </cfRule>
  </conditionalFormatting>
  <conditionalFormatting sqref="K35">
    <cfRule type="expression" dxfId="138" priority="71">
      <formula>J35="NO CUMPLE"</formula>
    </cfRule>
    <cfRule type="expression" dxfId="137" priority="72">
      <formula>J35="CUMPLE"</formula>
    </cfRule>
  </conditionalFormatting>
  <conditionalFormatting sqref="K36">
    <cfRule type="expression" dxfId="136" priority="69">
      <formula>J36="NO CUMPLE"</formula>
    </cfRule>
    <cfRule type="expression" dxfId="135" priority="70">
      <formula>J36="CUMPLE"</formula>
    </cfRule>
  </conditionalFormatting>
  <conditionalFormatting sqref="K37">
    <cfRule type="expression" dxfId="134" priority="67">
      <formula>J37="NO CUMPLE"</formula>
    </cfRule>
    <cfRule type="expression" dxfId="133" priority="68">
      <formula>J37="CUMPLE"</formula>
    </cfRule>
  </conditionalFormatting>
  <conditionalFormatting sqref="K38">
    <cfRule type="expression" dxfId="132" priority="65">
      <formula>J38="NO CUMPLE"</formula>
    </cfRule>
    <cfRule type="expression" dxfId="131" priority="66">
      <formula>J38="CUMPLE"</formula>
    </cfRule>
  </conditionalFormatting>
  <conditionalFormatting sqref="K39">
    <cfRule type="expression" dxfId="130" priority="63">
      <formula>J39="NO CUMPLE"</formula>
    </cfRule>
    <cfRule type="expression" dxfId="129" priority="64">
      <formula>J39="CUMPLE"</formula>
    </cfRule>
  </conditionalFormatting>
  <conditionalFormatting sqref="K40">
    <cfRule type="expression" dxfId="128" priority="61">
      <formula>J40="NO CUMPLE"</formula>
    </cfRule>
    <cfRule type="expression" dxfId="127" priority="62">
      <formula>J40="CUMPLE"</formula>
    </cfRule>
  </conditionalFormatting>
  <conditionalFormatting sqref="K57">
    <cfRule type="expression" dxfId="126" priority="59">
      <formula>J57="NO CUMPLE"</formula>
    </cfRule>
    <cfRule type="expression" dxfId="125" priority="60">
      <formula>J57="CUMPLE"</formula>
    </cfRule>
  </conditionalFormatting>
  <conditionalFormatting sqref="K58">
    <cfRule type="expression" dxfId="124" priority="57">
      <formula>J58="NO CUMPLE"</formula>
    </cfRule>
    <cfRule type="expression" dxfId="123" priority="58">
      <formula>J58="CUMPLE"</formula>
    </cfRule>
  </conditionalFormatting>
  <conditionalFormatting sqref="K59">
    <cfRule type="expression" dxfId="122" priority="55">
      <formula>J59="NO CUMPLE"</formula>
    </cfRule>
    <cfRule type="expression" dxfId="121" priority="56">
      <formula>J59="CUMPLE"</formula>
    </cfRule>
  </conditionalFormatting>
  <conditionalFormatting sqref="K60">
    <cfRule type="expression" dxfId="120" priority="53">
      <formula>J60="NO CUMPLE"</formula>
    </cfRule>
    <cfRule type="expression" dxfId="119" priority="54">
      <formula>J60="CUMPLE"</formula>
    </cfRule>
  </conditionalFormatting>
  <conditionalFormatting sqref="K61">
    <cfRule type="expression" dxfId="118" priority="51">
      <formula>J61="NO CUMPLE"</formula>
    </cfRule>
    <cfRule type="expression" dxfId="117" priority="52">
      <formula>J61="CUMPLE"</formula>
    </cfRule>
  </conditionalFormatting>
  <conditionalFormatting sqref="K62">
    <cfRule type="expression" dxfId="116" priority="49">
      <formula>J62="NO CUMPLE"</formula>
    </cfRule>
    <cfRule type="expression" dxfId="115" priority="50">
      <formula>J62="CUMPLE"</formula>
    </cfRule>
  </conditionalFormatting>
  <conditionalFormatting sqref="K63">
    <cfRule type="expression" dxfId="114" priority="47">
      <formula>J63="NO CUMPLE"</formula>
    </cfRule>
    <cfRule type="expression" dxfId="113" priority="48">
      <formula>J63="CUMPLE"</formula>
    </cfRule>
  </conditionalFormatting>
  <conditionalFormatting sqref="K64">
    <cfRule type="expression" dxfId="112" priority="45">
      <formula>J64="NO CUMPLE"</formula>
    </cfRule>
    <cfRule type="expression" dxfId="111" priority="46">
      <formula>J64="CUMPLE"</formula>
    </cfRule>
  </conditionalFormatting>
  <conditionalFormatting sqref="K65">
    <cfRule type="expression" dxfId="110" priority="43">
      <formula>J65="NO CUMPLE"</formula>
    </cfRule>
    <cfRule type="expression" dxfId="109" priority="44">
      <formula>J65="CUMPLE"</formula>
    </cfRule>
  </conditionalFormatting>
  <conditionalFormatting sqref="K16">
    <cfRule type="expression" dxfId="108" priority="15">
      <formula>J16="NO CUMPLE"</formula>
    </cfRule>
    <cfRule type="expression" dxfId="107" priority="16">
      <formula>J16="CUMPLE"</formula>
    </cfRule>
  </conditionalFormatting>
  <conditionalFormatting sqref="K19">
    <cfRule type="expression" dxfId="106" priority="13">
      <formula>J19="NO CUMPLE"</formula>
    </cfRule>
    <cfRule type="expression" dxfId="105" priority="14">
      <formula>J19="CUMPLE"</formula>
    </cfRule>
  </conditionalFormatting>
  <conditionalFormatting sqref="F22">
    <cfRule type="notContainsBlanks" dxfId="104" priority="12">
      <formula>LEN(TRIM(F22))&gt;0</formula>
    </cfRule>
  </conditionalFormatting>
  <conditionalFormatting sqref="C13">
    <cfRule type="notContainsBlanks" dxfId="103" priority="11">
      <formula>LEN(TRIM(C13))&gt;0</formula>
    </cfRule>
  </conditionalFormatting>
  <conditionalFormatting sqref="D16">
    <cfRule type="notContainsBlanks" dxfId="102" priority="10">
      <formula>LEN(TRIM(D16))&gt;0</formula>
    </cfRule>
  </conditionalFormatting>
  <conditionalFormatting sqref="K22">
    <cfRule type="expression" dxfId="101" priority="8">
      <formula>J22="NO CUMPLE"</formula>
    </cfRule>
    <cfRule type="expression" dxfId="100" priority="9">
      <formula>J22="CUMPLE"</formula>
    </cfRule>
  </conditionalFormatting>
  <conditionalFormatting sqref="P60">
    <cfRule type="expression" dxfId="99" priority="3">
      <formula>Q60="NO SUBSANABLE"</formula>
    </cfRule>
    <cfRule type="expression" dxfId="98" priority="4">
      <formula>Q60="REQUERIMIENTOS SUBSANADOS"</formula>
    </cfRule>
    <cfRule type="expression" dxfId="97" priority="5">
      <formula>Q60="PENDIENTES POR SUBSANAR"</formula>
    </cfRule>
    <cfRule type="expression" dxfId="96" priority="6">
      <formula>Q60="SIN OBSERVACIÓN"</formula>
    </cfRule>
    <cfRule type="containsBlanks" dxfId="95" priority="7">
      <formula>LEN(TRIM(P60))=0</formula>
    </cfRule>
  </conditionalFormatting>
  <conditionalFormatting sqref="K25">
    <cfRule type="expression" dxfId="94" priority="1">
      <formula>J25="NO CUMPLE"</formula>
    </cfRule>
    <cfRule type="expression" dxfId="93" priority="2">
      <formula>J25="CUMPLE"</formula>
    </cfRule>
  </conditionalFormatting>
  <dataValidations count="8">
    <dataValidation type="list" allowBlank="1" showInputMessage="1" showErrorMessage="1" sqref="R13 R19 R16 R22 R25 R35 R41 R38 R44 R47 R57 R63 R60 R66 R69">
      <formula1>"NINGUNO, PENDIENTES, CUMPLEN CON LO SOLICITADO, NO CUMPLEN CON LO SOLICITADO"</formula1>
    </dataValidation>
    <dataValidation type="list" allowBlank="1" showInputMessage="1" showErrorMessage="1" sqref="Q13 Q19 Q16 Q22 Q25 Q35 Q41 Q38 Q44 Q47 Q57 Q63 Q60 Q66 Q69">
      <formula1>"SIN OBSERVACIÓN, PENDIENTES POR SUBSANAR, REQUERIMIENTOS SUBSANADOS, NO SUBSANABLE"</formula1>
    </dataValidation>
    <dataValidation type="list" allowBlank="1" showInputMessage="1" showErrorMessage="1" sqref="N13 N19 N16 N22 N25 N35 N41 N38 N44 N47 N57 N63 N60 N66 N69">
      <formula1>"PRESENTÓ CERTIFICADO,NO PRESENTÓ CERTIFICADO"</formula1>
    </dataValidation>
    <dataValidation type="list" allowBlank="1" showInputMessage="1" showErrorMessage="1" sqref="H13 H19 H16 H22 H25 H35 H41 H38 H44 H47 H57 H63 H60 H66 H69">
      <formula1>"I,C,UT"</formula1>
    </dataValidation>
    <dataValidation type="list" allowBlank="1" showInputMessage="1" showErrorMessage="1" sqref="J13:J27 L16:L17 L13:L14 L19:L20 L22:L23 L25:L26 J35:J49 L38:L39 L35:L36 L41:L42 L44:L45 L47:L48 J57:J71 L60:L61 L57:L58 L63:L64 L66:L67 L69:L70">
      <formula1>",CUMPLE,NO CUMPLE"</formula1>
    </dataValidation>
    <dataValidation type="list" allowBlank="1" showInputMessage="1" showErrorMessage="1" sqref="O13 O19 O16 O22 O25 O35 O41 O38 O44 O47 O57 O63 O60 O66 O69">
      <formula1>"ACORDE A ITEM 5.2.1 (T.R.),NO ESTÁ ACORDE A ITEM 5.2.1 (T.R.),DESCRIPCIÓN INSUFICIENTE,PENDIENTE POR DESCRIPCIÓN"</formula1>
    </dataValidation>
    <dataValidation type="list" allowBlank="1" showInputMessage="1" showErrorMessage="1" sqref="B10 B32 B54">
      <formula1>"1,2,3,4,5,6,7,8,9,10,11,12,13,14,15"</formula1>
    </dataValidation>
    <dataValidation type="list" allowBlank="1" showInputMessage="1" showErrorMessage="1" sqref="T13:T27 T35:T49 T57:T71">
      <formula1>"SI,NO"</formula1>
    </dataValidation>
  </dataValidations>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21"/>
  <sheetViews>
    <sheetView workbookViewId="0">
      <selection sqref="A1:M21"/>
    </sheetView>
  </sheetViews>
  <sheetFormatPr baseColWidth="10" defaultColWidth="11.42578125" defaultRowHeight="15"/>
  <cols>
    <col min="1" max="1" width="6.42578125" style="27" bestFit="1" customWidth="1"/>
    <col min="2" max="2" width="29.28515625" style="27" customWidth="1"/>
    <col min="3" max="3" width="16.42578125" style="27" bestFit="1" customWidth="1"/>
    <col min="4" max="4" width="17.42578125" style="27" bestFit="1" customWidth="1"/>
    <col min="5" max="5" width="6.28515625" style="42" bestFit="1" customWidth="1"/>
    <col min="6" max="6" width="14" style="42" bestFit="1" customWidth="1"/>
    <col min="7" max="7" width="18" style="42" bestFit="1" customWidth="1"/>
    <col min="8" max="8" width="16.42578125" style="42" bestFit="1" customWidth="1"/>
    <col min="9" max="9" width="16.42578125" style="42" customWidth="1"/>
    <col min="10" max="10" width="14" style="42" bestFit="1" customWidth="1"/>
    <col min="11" max="16" width="16" style="27" customWidth="1"/>
    <col min="17" max="17" width="11.42578125" style="27"/>
    <col min="18" max="18" width="11.42578125" style="33"/>
    <col min="19" max="19" width="50.5703125" style="27" customWidth="1"/>
    <col min="20" max="20" width="14.85546875" style="34" customWidth="1"/>
    <col min="21" max="16384" width="11.42578125" style="27"/>
  </cols>
  <sheetData>
    <row r="1" spans="1:20" ht="24" customHeight="1">
      <c r="A1" s="758" t="s">
        <v>40</v>
      </c>
      <c r="B1" s="759"/>
      <c r="C1" s="759"/>
      <c r="D1" s="759"/>
      <c r="E1" s="759"/>
      <c r="F1" s="759"/>
      <c r="G1" s="759"/>
      <c r="H1" s="759"/>
      <c r="I1" s="759"/>
      <c r="J1" s="759"/>
      <c r="K1" s="606"/>
      <c r="L1" s="606"/>
      <c r="M1" s="606"/>
    </row>
    <row r="2" spans="1:20" s="35" customFormat="1" ht="15.75" customHeight="1">
      <c r="A2" s="760"/>
      <c r="B2" s="760"/>
      <c r="C2" s="760"/>
      <c r="D2" s="760"/>
      <c r="E2" s="760"/>
      <c r="F2" s="760"/>
      <c r="G2" s="760"/>
      <c r="H2" s="760"/>
      <c r="I2" s="760"/>
      <c r="J2" s="760"/>
      <c r="K2" s="761"/>
      <c r="L2" s="761"/>
      <c r="M2" s="761"/>
      <c r="R2" s="36"/>
      <c r="T2" s="37"/>
    </row>
    <row r="3" spans="1:20" ht="15.75" customHeight="1">
      <c r="A3" s="762" t="s">
        <v>24</v>
      </c>
      <c r="B3" s="762" t="s">
        <v>11</v>
      </c>
      <c r="C3" s="763" t="s">
        <v>7</v>
      </c>
      <c r="D3" s="763"/>
      <c r="E3" s="763"/>
      <c r="F3" s="763"/>
      <c r="G3" s="764" t="s">
        <v>8</v>
      </c>
      <c r="H3" s="764"/>
      <c r="I3" s="764"/>
      <c r="J3" s="764"/>
      <c r="K3" s="606"/>
      <c r="L3" s="606"/>
      <c r="M3" s="606"/>
    </row>
    <row r="4" spans="1:20" ht="35.25" customHeight="1">
      <c r="A4" s="762"/>
      <c r="B4" s="762"/>
      <c r="C4" s="765" t="s">
        <v>38</v>
      </c>
      <c r="D4" s="766" t="s">
        <v>57</v>
      </c>
      <c r="E4" s="767"/>
      <c r="F4" s="768">
        <v>0.7</v>
      </c>
      <c r="G4" s="769" t="s">
        <v>43</v>
      </c>
      <c r="H4" s="770" t="s">
        <v>58</v>
      </c>
      <c r="I4" s="771"/>
      <c r="J4" s="772">
        <v>2</v>
      </c>
      <c r="K4" s="606"/>
      <c r="L4" s="606"/>
      <c r="M4" s="606"/>
    </row>
    <row r="5" spans="1:20" s="28" customFormat="1" ht="31.5">
      <c r="A5" s="762"/>
      <c r="B5" s="762"/>
      <c r="C5" s="765" t="s">
        <v>9</v>
      </c>
      <c r="D5" s="765" t="s">
        <v>10</v>
      </c>
      <c r="E5" s="765" t="s">
        <v>2</v>
      </c>
      <c r="F5" s="765" t="s">
        <v>56</v>
      </c>
      <c r="G5" s="773" t="s">
        <v>5</v>
      </c>
      <c r="H5" s="773" t="s">
        <v>6</v>
      </c>
      <c r="I5" s="773" t="s">
        <v>2</v>
      </c>
      <c r="J5" s="773" t="s">
        <v>56</v>
      </c>
      <c r="K5" s="609" t="s">
        <v>272</v>
      </c>
      <c r="L5" s="609"/>
      <c r="M5" s="609"/>
      <c r="R5" s="419" t="s">
        <v>85</v>
      </c>
      <c r="S5" s="419"/>
      <c r="T5" s="38" t="s">
        <v>84</v>
      </c>
    </row>
    <row r="6" spans="1:20" s="28" customFormat="1" ht="15.75">
      <c r="A6" s="774">
        <f>IF('1_ENTREGA'!A7="","",'1_ENTREGA'!A7)</f>
        <v>1</v>
      </c>
      <c r="B6" s="775" t="str">
        <f t="shared" ref="B6:B20" si="0">IF(A6="","",VLOOKUP(A6,LISTA_OFERENTES,2,FALSE))</f>
        <v>FUMIGAX S.A.S.</v>
      </c>
      <c r="C6" s="776">
        <v>1991035923</v>
      </c>
      <c r="D6" s="776">
        <v>4519600193</v>
      </c>
      <c r="E6" s="777">
        <f>IF(B6="","",IF(D6="","",C6/D6))</f>
        <v>0.44053363969754128</v>
      </c>
      <c r="F6" s="778" t="str">
        <f>IF(B6="","",IF(E6&lt;=$F$4,"CUMPLE","NO CUMPLE"))</f>
        <v>CUMPLE</v>
      </c>
      <c r="G6" s="779">
        <v>1806286236</v>
      </c>
      <c r="H6" s="779">
        <v>991891328</v>
      </c>
      <c r="I6" s="777">
        <f>IF(B6="","",IF(G6="","",G6-H6))</f>
        <v>814394908</v>
      </c>
      <c r="J6" s="778" t="str">
        <f>IF(B6="","",IF(I6="","NO CUMPLE",IF(I6&gt;=$J$4*'5.2.1 EXPERIENCIA GRAL'!$N$6,"CUMPLE","NO CUMPLE")))</f>
        <v>CUMPLE</v>
      </c>
      <c r="K6" s="780">
        <v>43465</v>
      </c>
      <c r="L6" s="609"/>
      <c r="M6" s="609"/>
      <c r="R6" s="39">
        <v>1</v>
      </c>
      <c r="S6" s="40" t="str">
        <f t="shared" ref="S6:S20" si="1">VLOOKUP(R6,LISTA_OFERENTES,2,FALSE)</f>
        <v>FUMIGAX S.A.S.</v>
      </c>
      <c r="T6" s="41" t="str">
        <f t="shared" ref="T6:T20" si="2">IF(OR(F6="NO CUMPLE",J6="NO CUMPLE"),"NH","H")</f>
        <v>H</v>
      </c>
    </row>
    <row r="7" spans="1:20" s="28" customFormat="1" ht="15.75">
      <c r="A7" s="774">
        <f>IF('1_ENTREGA'!A8="","",'1_ENTREGA'!A8)</f>
        <v>2</v>
      </c>
      <c r="B7" s="775" t="str">
        <f t="shared" si="0"/>
        <v>Truly Nolen Soluciones S.A.</v>
      </c>
      <c r="C7" s="776">
        <v>1536904000</v>
      </c>
      <c r="D7" s="776">
        <v>2228586000</v>
      </c>
      <c r="E7" s="777">
        <f t="shared" ref="E7:E20" si="3">IF(B7="","",IF(D7="","",C7/D7))</f>
        <v>0.68963190112474904</v>
      </c>
      <c r="F7" s="778" t="str">
        <f t="shared" ref="F7:F20" si="4">IF(B7="","",IF(E7&lt;=$F$4,"CUMPLE","NO CUMPLE"))</f>
        <v>CUMPLE</v>
      </c>
      <c r="G7" s="779">
        <v>1551204000</v>
      </c>
      <c r="H7" s="779">
        <v>1050968000</v>
      </c>
      <c r="I7" s="777">
        <f t="shared" ref="I7:I20" si="5">IF(B7="","",IF(G7="","",G7-H7))</f>
        <v>500236000</v>
      </c>
      <c r="J7" s="778" t="str">
        <f>IF(B7="","",IF(I7="","NO CUMPLE",IF(I7&gt;=$J$4*'5.2.1 EXPERIENCIA GRAL'!$N$6,"CUMPLE","NO CUMPLE")))</f>
        <v>CUMPLE</v>
      </c>
      <c r="K7" s="780">
        <v>43465</v>
      </c>
      <c r="L7" s="609"/>
      <c r="M7" s="609"/>
      <c r="R7" s="39">
        <v>2</v>
      </c>
      <c r="S7" s="40" t="str">
        <f t="shared" si="1"/>
        <v>Truly Nolen Soluciones S.A.</v>
      </c>
      <c r="T7" s="41" t="str">
        <f t="shared" si="2"/>
        <v>H</v>
      </c>
    </row>
    <row r="8" spans="1:20" s="28" customFormat="1" ht="15.75">
      <c r="A8" s="774">
        <f>IF('1_ENTREGA'!A9="","",'1_ENTREGA'!A9)</f>
        <v>3</v>
      </c>
      <c r="B8" s="775" t="str">
        <f t="shared" si="0"/>
        <v>Alfa Control S.A.S.</v>
      </c>
      <c r="C8" s="776">
        <v>102498000</v>
      </c>
      <c r="D8" s="776">
        <v>297099000</v>
      </c>
      <c r="E8" s="777">
        <f t="shared" si="3"/>
        <v>0.34499611240697547</v>
      </c>
      <c r="F8" s="778" t="str">
        <f t="shared" si="4"/>
        <v>CUMPLE</v>
      </c>
      <c r="G8" s="779">
        <v>167575000</v>
      </c>
      <c r="H8" s="779">
        <v>102498000</v>
      </c>
      <c r="I8" s="777">
        <f t="shared" si="5"/>
        <v>65077000</v>
      </c>
      <c r="J8" s="778" t="str">
        <f>IF(B8="","",IF(I8="","NO CUMPLE",IF(I8&gt;=$J$4*'5.2.1 EXPERIENCIA GRAL'!$N$6,"CUMPLE","NO CUMPLE")))</f>
        <v>NO CUMPLE</v>
      </c>
      <c r="K8" s="780">
        <v>43465</v>
      </c>
      <c r="L8" s="609"/>
      <c r="M8" s="609"/>
      <c r="R8" s="39">
        <v>3</v>
      </c>
      <c r="S8" s="40" t="str">
        <f t="shared" si="1"/>
        <v>Alfa Control S.A.S.</v>
      </c>
      <c r="T8" s="41" t="str">
        <f t="shared" si="2"/>
        <v>NH</v>
      </c>
    </row>
    <row r="9" spans="1:20" s="28" customFormat="1" ht="15.75" hidden="1">
      <c r="A9" s="774">
        <f>IF('1_ENTREGA'!A10="","",'1_ENTREGA'!A10)</f>
        <v>4</v>
      </c>
      <c r="B9" s="775">
        <f t="shared" si="0"/>
        <v>0</v>
      </c>
      <c r="C9" s="776"/>
      <c r="D9" s="776"/>
      <c r="E9" s="777" t="str">
        <f t="shared" si="3"/>
        <v/>
      </c>
      <c r="F9" s="778" t="str">
        <f t="shared" si="4"/>
        <v>NO CUMPLE</v>
      </c>
      <c r="G9" s="779"/>
      <c r="H9" s="779"/>
      <c r="I9" s="777" t="str">
        <f t="shared" si="5"/>
        <v/>
      </c>
      <c r="J9" s="778" t="str">
        <f>IF(B9="","",IF(I9="","NO CUMPLE",IF(I9&gt;=$J$4*'5.2.1 EXPERIENCIA GRAL'!$N$6,"CUMPLE","NO CUMPLE")))</f>
        <v>NO CUMPLE</v>
      </c>
      <c r="K9" s="609"/>
      <c r="L9" s="609"/>
      <c r="M9" s="609"/>
      <c r="R9" s="39">
        <v>4</v>
      </c>
      <c r="S9" s="40">
        <f t="shared" si="1"/>
        <v>0</v>
      </c>
      <c r="T9" s="41" t="str">
        <f t="shared" si="2"/>
        <v>NH</v>
      </c>
    </row>
    <row r="10" spans="1:20" s="28" customFormat="1" ht="15.75" hidden="1">
      <c r="A10" s="774">
        <f>IF('1_ENTREGA'!A11="","",'1_ENTREGA'!A11)</f>
        <v>5</v>
      </c>
      <c r="B10" s="775">
        <f t="shared" si="0"/>
        <v>0</v>
      </c>
      <c r="C10" s="776"/>
      <c r="D10" s="776"/>
      <c r="E10" s="777" t="str">
        <f t="shared" si="3"/>
        <v/>
      </c>
      <c r="F10" s="778" t="str">
        <f t="shared" si="4"/>
        <v>NO CUMPLE</v>
      </c>
      <c r="G10" s="779"/>
      <c r="H10" s="779"/>
      <c r="I10" s="777" t="str">
        <f t="shared" si="5"/>
        <v/>
      </c>
      <c r="J10" s="778" t="str">
        <f>IF(B10="","",IF(I10="","NO CUMPLE",IF(I10&gt;=$J$4*'5.2.1 EXPERIENCIA GRAL'!$N$6,"CUMPLE","NO CUMPLE")))</f>
        <v>NO CUMPLE</v>
      </c>
      <c r="K10" s="609"/>
      <c r="L10" s="609"/>
      <c r="M10" s="609"/>
      <c r="R10" s="39">
        <v>5</v>
      </c>
      <c r="S10" s="40">
        <f t="shared" si="1"/>
        <v>0</v>
      </c>
      <c r="T10" s="41" t="str">
        <f t="shared" si="2"/>
        <v>NH</v>
      </c>
    </row>
    <row r="11" spans="1:20" s="28" customFormat="1" ht="15.75" hidden="1">
      <c r="A11" s="774">
        <f>IF('1_ENTREGA'!A12="","",'1_ENTREGA'!A12)</f>
        <v>6</v>
      </c>
      <c r="B11" s="775">
        <f t="shared" si="0"/>
        <v>0</v>
      </c>
      <c r="C11" s="776"/>
      <c r="D11" s="776"/>
      <c r="E11" s="777" t="str">
        <f t="shared" si="3"/>
        <v/>
      </c>
      <c r="F11" s="778" t="str">
        <f t="shared" si="4"/>
        <v>NO CUMPLE</v>
      </c>
      <c r="G11" s="779"/>
      <c r="H11" s="779"/>
      <c r="I11" s="777" t="str">
        <f t="shared" si="5"/>
        <v/>
      </c>
      <c r="J11" s="778" t="str">
        <f>IF(B11="","",IF(I11="","NO CUMPLE",IF(I11&gt;=$J$4*'5.2.1 EXPERIENCIA GRAL'!$N$6,"CUMPLE","NO CUMPLE")))</f>
        <v>NO CUMPLE</v>
      </c>
      <c r="K11" s="609"/>
      <c r="L11" s="609"/>
      <c r="M11" s="609"/>
      <c r="R11" s="39">
        <v>6</v>
      </c>
      <c r="S11" s="40">
        <f t="shared" si="1"/>
        <v>0</v>
      </c>
      <c r="T11" s="41" t="str">
        <f t="shared" si="2"/>
        <v>NH</v>
      </c>
    </row>
    <row r="12" spans="1:20" s="28" customFormat="1" ht="15.75" hidden="1">
      <c r="A12" s="774">
        <f>IF('1_ENTREGA'!A13="","",'1_ENTREGA'!A13)</f>
        <v>7</v>
      </c>
      <c r="B12" s="775">
        <f t="shared" si="0"/>
        <v>0</v>
      </c>
      <c r="C12" s="776"/>
      <c r="D12" s="776"/>
      <c r="E12" s="777" t="str">
        <f t="shared" si="3"/>
        <v/>
      </c>
      <c r="F12" s="778" t="str">
        <f t="shared" si="4"/>
        <v>NO CUMPLE</v>
      </c>
      <c r="G12" s="779"/>
      <c r="H12" s="779"/>
      <c r="I12" s="777" t="str">
        <f t="shared" si="5"/>
        <v/>
      </c>
      <c r="J12" s="778" t="str">
        <f>IF(B12="","",IF(I12="","NO CUMPLE",IF(I12&gt;=$J$4*'5.2.1 EXPERIENCIA GRAL'!$N$6,"CUMPLE","NO CUMPLE")))</f>
        <v>NO CUMPLE</v>
      </c>
      <c r="K12" s="609"/>
      <c r="L12" s="609"/>
      <c r="M12" s="609"/>
      <c r="R12" s="39">
        <v>7</v>
      </c>
      <c r="S12" s="40">
        <f t="shared" si="1"/>
        <v>0</v>
      </c>
      <c r="T12" s="41" t="str">
        <f t="shared" si="2"/>
        <v>NH</v>
      </c>
    </row>
    <row r="13" spans="1:20" s="28" customFormat="1" ht="15.75" hidden="1">
      <c r="A13" s="774">
        <f>IF('1_ENTREGA'!A14="","",'1_ENTREGA'!A14)</f>
        <v>8</v>
      </c>
      <c r="B13" s="775">
        <f t="shared" si="0"/>
        <v>0</v>
      </c>
      <c r="C13" s="776"/>
      <c r="D13" s="776"/>
      <c r="E13" s="777" t="str">
        <f t="shared" si="3"/>
        <v/>
      </c>
      <c r="F13" s="778" t="str">
        <f t="shared" si="4"/>
        <v>NO CUMPLE</v>
      </c>
      <c r="G13" s="779"/>
      <c r="H13" s="779"/>
      <c r="I13" s="777" t="str">
        <f t="shared" si="5"/>
        <v/>
      </c>
      <c r="J13" s="778" t="str">
        <f>IF(B13="","",IF(I13="","NO CUMPLE",IF(I13&gt;=$J$4*'5.2.1 EXPERIENCIA GRAL'!$N$6,"CUMPLE","NO CUMPLE")))</f>
        <v>NO CUMPLE</v>
      </c>
      <c r="K13" s="609"/>
      <c r="L13" s="609"/>
      <c r="M13" s="609"/>
      <c r="R13" s="39">
        <v>8</v>
      </c>
      <c r="S13" s="40">
        <f t="shared" si="1"/>
        <v>0</v>
      </c>
      <c r="T13" s="41" t="str">
        <f t="shared" si="2"/>
        <v>NH</v>
      </c>
    </row>
    <row r="14" spans="1:20" s="28" customFormat="1" ht="15.75" hidden="1">
      <c r="A14" s="774">
        <f>IF('1_ENTREGA'!A15="","",'1_ENTREGA'!A15)</f>
        <v>9</v>
      </c>
      <c r="B14" s="775">
        <f t="shared" si="0"/>
        <v>0</v>
      </c>
      <c r="C14" s="776"/>
      <c r="D14" s="776"/>
      <c r="E14" s="777" t="str">
        <f t="shared" si="3"/>
        <v/>
      </c>
      <c r="F14" s="778" t="str">
        <f t="shared" si="4"/>
        <v>NO CUMPLE</v>
      </c>
      <c r="G14" s="779"/>
      <c r="H14" s="779"/>
      <c r="I14" s="777" t="str">
        <f t="shared" si="5"/>
        <v/>
      </c>
      <c r="J14" s="778" t="str">
        <f>IF(B14="","",IF(I14="","NO CUMPLE",IF(I14&gt;=$J$4*'5.2.1 EXPERIENCIA GRAL'!$N$6,"CUMPLE","NO CUMPLE")))</f>
        <v>NO CUMPLE</v>
      </c>
      <c r="K14" s="609"/>
      <c r="L14" s="609"/>
      <c r="M14" s="609"/>
      <c r="R14" s="39">
        <v>9</v>
      </c>
      <c r="S14" s="40">
        <f t="shared" si="1"/>
        <v>0</v>
      </c>
      <c r="T14" s="41" t="str">
        <f t="shared" si="2"/>
        <v>NH</v>
      </c>
    </row>
    <row r="15" spans="1:20" s="28" customFormat="1" ht="15.75" hidden="1">
      <c r="A15" s="774">
        <f>IF('1_ENTREGA'!A16="","",'1_ENTREGA'!A16)</f>
        <v>10</v>
      </c>
      <c r="B15" s="775">
        <f t="shared" si="0"/>
        <v>0</v>
      </c>
      <c r="C15" s="776"/>
      <c r="D15" s="776"/>
      <c r="E15" s="777" t="str">
        <f t="shared" si="3"/>
        <v/>
      </c>
      <c r="F15" s="778" t="str">
        <f t="shared" si="4"/>
        <v>NO CUMPLE</v>
      </c>
      <c r="G15" s="779"/>
      <c r="H15" s="779"/>
      <c r="I15" s="777" t="str">
        <f t="shared" si="5"/>
        <v/>
      </c>
      <c r="J15" s="778" t="str">
        <f>IF(B15="","",IF(I15="","NO CUMPLE",IF(I15&gt;=$J$4*'5.2.1 EXPERIENCIA GRAL'!$N$6,"CUMPLE","NO CUMPLE")))</f>
        <v>NO CUMPLE</v>
      </c>
      <c r="K15" s="609"/>
      <c r="L15" s="609"/>
      <c r="M15" s="609"/>
      <c r="R15" s="39">
        <v>10</v>
      </c>
      <c r="S15" s="40">
        <f t="shared" si="1"/>
        <v>0</v>
      </c>
      <c r="T15" s="41" t="str">
        <f t="shared" si="2"/>
        <v>NH</v>
      </c>
    </row>
    <row r="16" spans="1:20" s="28" customFormat="1" ht="15.75" hidden="1">
      <c r="A16" s="774">
        <f>IF('1_ENTREGA'!A17="","",'1_ENTREGA'!A17)</f>
        <v>11</v>
      </c>
      <c r="B16" s="775">
        <f t="shared" si="0"/>
        <v>0</v>
      </c>
      <c r="C16" s="776"/>
      <c r="D16" s="776"/>
      <c r="E16" s="777" t="str">
        <f t="shared" si="3"/>
        <v/>
      </c>
      <c r="F16" s="778" t="str">
        <f t="shared" si="4"/>
        <v>NO CUMPLE</v>
      </c>
      <c r="G16" s="779"/>
      <c r="H16" s="779"/>
      <c r="I16" s="777" t="str">
        <f t="shared" si="5"/>
        <v/>
      </c>
      <c r="J16" s="778" t="str">
        <f>IF(B16="","",IF(I16="","NO CUMPLE",IF(I16&gt;=$J$4*'5.2.1 EXPERIENCIA GRAL'!$N$6,"CUMPLE","NO CUMPLE")))</f>
        <v>NO CUMPLE</v>
      </c>
      <c r="K16" s="609"/>
      <c r="L16" s="609"/>
      <c r="M16" s="609"/>
      <c r="R16" s="39">
        <v>11</v>
      </c>
      <c r="S16" s="40">
        <f t="shared" si="1"/>
        <v>0</v>
      </c>
      <c r="T16" s="41" t="str">
        <f t="shared" si="2"/>
        <v>NH</v>
      </c>
    </row>
    <row r="17" spans="1:20" s="28" customFormat="1" ht="15.75" hidden="1">
      <c r="A17" s="774">
        <f>IF('1_ENTREGA'!A18="","",'1_ENTREGA'!A18)</f>
        <v>12</v>
      </c>
      <c r="B17" s="775">
        <f t="shared" si="0"/>
        <v>0</v>
      </c>
      <c r="C17" s="776"/>
      <c r="D17" s="776"/>
      <c r="E17" s="777" t="str">
        <f t="shared" si="3"/>
        <v/>
      </c>
      <c r="F17" s="778" t="str">
        <f t="shared" si="4"/>
        <v>NO CUMPLE</v>
      </c>
      <c r="G17" s="779"/>
      <c r="H17" s="779"/>
      <c r="I17" s="777" t="str">
        <f t="shared" si="5"/>
        <v/>
      </c>
      <c r="J17" s="778" t="str">
        <f>IF(B17="","",IF(I17="","NO CUMPLE",IF(I17&gt;=$J$4*'5.2.1 EXPERIENCIA GRAL'!$N$6,"CUMPLE","NO CUMPLE")))</f>
        <v>NO CUMPLE</v>
      </c>
      <c r="K17" s="609"/>
      <c r="L17" s="609"/>
      <c r="M17" s="609"/>
      <c r="R17" s="39">
        <v>12</v>
      </c>
      <c r="S17" s="40">
        <f t="shared" si="1"/>
        <v>0</v>
      </c>
      <c r="T17" s="41" t="str">
        <f t="shared" si="2"/>
        <v>NH</v>
      </c>
    </row>
    <row r="18" spans="1:20" s="28" customFormat="1" ht="15.75" hidden="1">
      <c r="A18" s="774">
        <f>IF('1_ENTREGA'!A19="","",'1_ENTREGA'!A19)</f>
        <v>13</v>
      </c>
      <c r="B18" s="775">
        <f t="shared" si="0"/>
        <v>0</v>
      </c>
      <c r="C18" s="776"/>
      <c r="D18" s="776"/>
      <c r="E18" s="777" t="str">
        <f t="shared" si="3"/>
        <v/>
      </c>
      <c r="F18" s="778" t="str">
        <f t="shared" si="4"/>
        <v>NO CUMPLE</v>
      </c>
      <c r="G18" s="779"/>
      <c r="H18" s="779"/>
      <c r="I18" s="777" t="str">
        <f t="shared" si="5"/>
        <v/>
      </c>
      <c r="J18" s="778" t="str">
        <f>IF(B18="","",IF(I18="","NO CUMPLE",IF(I18&gt;=$J$4*'5.2.1 EXPERIENCIA GRAL'!$N$6,"CUMPLE","NO CUMPLE")))</f>
        <v>NO CUMPLE</v>
      </c>
      <c r="K18" s="609"/>
      <c r="L18" s="609"/>
      <c r="M18" s="609"/>
      <c r="R18" s="39">
        <v>13</v>
      </c>
      <c r="S18" s="40">
        <f t="shared" si="1"/>
        <v>0</v>
      </c>
      <c r="T18" s="41" t="str">
        <f t="shared" si="2"/>
        <v>NH</v>
      </c>
    </row>
    <row r="19" spans="1:20" s="28" customFormat="1" ht="15.75" hidden="1">
      <c r="A19" s="774">
        <f>IF('1_ENTREGA'!A20="","",'1_ENTREGA'!A20)</f>
        <v>14</v>
      </c>
      <c r="B19" s="775">
        <f t="shared" si="0"/>
        <v>0</v>
      </c>
      <c r="C19" s="776"/>
      <c r="D19" s="776"/>
      <c r="E19" s="777" t="str">
        <f t="shared" si="3"/>
        <v/>
      </c>
      <c r="F19" s="778" t="str">
        <f t="shared" si="4"/>
        <v>NO CUMPLE</v>
      </c>
      <c r="G19" s="779"/>
      <c r="H19" s="779"/>
      <c r="I19" s="777" t="str">
        <f t="shared" si="5"/>
        <v/>
      </c>
      <c r="J19" s="778" t="str">
        <f>IF(B19="","",IF(I19="","NO CUMPLE",IF(I19&gt;=$J$4*'5.2.1 EXPERIENCIA GRAL'!$N$6,"CUMPLE","NO CUMPLE")))</f>
        <v>NO CUMPLE</v>
      </c>
      <c r="K19" s="609"/>
      <c r="L19" s="609"/>
      <c r="M19" s="609"/>
      <c r="R19" s="39">
        <v>14</v>
      </c>
      <c r="S19" s="40">
        <f t="shared" si="1"/>
        <v>0</v>
      </c>
      <c r="T19" s="41" t="str">
        <f t="shared" si="2"/>
        <v>NH</v>
      </c>
    </row>
    <row r="20" spans="1:20" s="28" customFormat="1" ht="15.75" hidden="1">
      <c r="A20" s="774">
        <f>IF('1_ENTREGA'!A21="","",'1_ENTREGA'!A21)</f>
        <v>15</v>
      </c>
      <c r="B20" s="775">
        <f t="shared" si="0"/>
        <v>0</v>
      </c>
      <c r="C20" s="776"/>
      <c r="D20" s="776"/>
      <c r="E20" s="777" t="str">
        <f t="shared" si="3"/>
        <v/>
      </c>
      <c r="F20" s="778" t="str">
        <f t="shared" si="4"/>
        <v>NO CUMPLE</v>
      </c>
      <c r="G20" s="779"/>
      <c r="H20" s="779"/>
      <c r="I20" s="777" t="str">
        <f t="shared" si="5"/>
        <v/>
      </c>
      <c r="J20" s="778" t="str">
        <f>IF(B20="","",IF(I20="","NO CUMPLE",IF(I20&gt;=$J$4*'5.2.1 EXPERIENCIA GRAL'!$N$6,"CUMPLE","NO CUMPLE")))</f>
        <v>NO CUMPLE</v>
      </c>
      <c r="K20" s="609"/>
      <c r="L20" s="609"/>
      <c r="M20" s="609"/>
      <c r="R20" s="39">
        <v>15</v>
      </c>
      <c r="S20" s="40">
        <f t="shared" si="1"/>
        <v>0</v>
      </c>
      <c r="T20" s="41" t="str">
        <f t="shared" si="2"/>
        <v>NH</v>
      </c>
    </row>
    <row r="21" spans="1:20">
      <c r="A21" s="606"/>
      <c r="B21" s="606"/>
      <c r="C21" s="606"/>
      <c r="D21" s="606"/>
      <c r="E21" s="781"/>
      <c r="F21" s="781"/>
      <c r="G21" s="781"/>
      <c r="H21" s="781"/>
      <c r="I21" s="781"/>
      <c r="J21" s="781"/>
      <c r="K21" s="606"/>
      <c r="L21" s="606"/>
      <c r="M21" s="606"/>
    </row>
  </sheetData>
  <sheetProtection algorithmName="SHA-512" hashValue="RMFt2MecFhK/zfretqEXog+BnK0aGHVRzM65N0IbqXJi+42Ukl6fLSM2oRETgvWba9ud3Rp+o5zkrf/ZMJ5iFg==" saltValue="JZ0SYnXvBdc1znwlePXvQQ==" spinCount="100000" sheet="1" selectLockedCells="1" selectUnlockedCells="1"/>
  <mergeCells count="8">
    <mergeCell ref="A1:J1"/>
    <mergeCell ref="R5:S5"/>
    <mergeCell ref="A3:A5"/>
    <mergeCell ref="B3:B5"/>
    <mergeCell ref="C3:F3"/>
    <mergeCell ref="G3:J3"/>
    <mergeCell ref="D4:E4"/>
    <mergeCell ref="H4:I4"/>
  </mergeCells>
  <conditionalFormatting sqref="F6:F7">
    <cfRule type="cellIs" dxfId="92" priority="26" operator="equal">
      <formula>"NO CUMPLE"</formula>
    </cfRule>
  </conditionalFormatting>
  <conditionalFormatting sqref="J6:J7">
    <cfRule type="cellIs" dxfId="91" priority="24" operator="equal">
      <formula>"NO CUMPLE"</formula>
    </cfRule>
  </conditionalFormatting>
  <conditionalFormatting sqref="F20">
    <cfRule type="cellIs" dxfId="90" priority="23" operator="equal">
      <formula>"NO CUMPLE"</formula>
    </cfRule>
  </conditionalFormatting>
  <conditionalFormatting sqref="J20">
    <cfRule type="cellIs" dxfId="89" priority="22" operator="equal">
      <formula>"NO CUMPLE"</formula>
    </cfRule>
  </conditionalFormatting>
  <conditionalFormatting sqref="F19">
    <cfRule type="cellIs" dxfId="88" priority="21" operator="equal">
      <formula>"NO CUMPLE"</formula>
    </cfRule>
  </conditionalFormatting>
  <conditionalFormatting sqref="J19">
    <cfRule type="cellIs" dxfId="87" priority="20" operator="equal">
      <formula>"NO CUMPLE"</formula>
    </cfRule>
  </conditionalFormatting>
  <conditionalFormatting sqref="F18">
    <cfRule type="cellIs" dxfId="86" priority="19" operator="equal">
      <formula>"NO CUMPLE"</formula>
    </cfRule>
  </conditionalFormatting>
  <conditionalFormatting sqref="J18">
    <cfRule type="cellIs" dxfId="85" priority="18" operator="equal">
      <formula>"NO CUMPLE"</formula>
    </cfRule>
  </conditionalFormatting>
  <conditionalFormatting sqref="F16:F17">
    <cfRule type="cellIs" dxfId="84" priority="17" operator="equal">
      <formula>"NO CUMPLE"</formula>
    </cfRule>
  </conditionalFormatting>
  <conditionalFormatting sqref="J16:J17">
    <cfRule type="cellIs" dxfId="83" priority="16" operator="equal">
      <formula>"NO CUMPLE"</formula>
    </cfRule>
  </conditionalFormatting>
  <conditionalFormatting sqref="F15">
    <cfRule type="cellIs" dxfId="82" priority="15" operator="equal">
      <formula>"NO CUMPLE"</formula>
    </cfRule>
  </conditionalFormatting>
  <conditionalFormatting sqref="J15">
    <cfRule type="cellIs" dxfId="81" priority="14" operator="equal">
      <formula>"NO CUMPLE"</formula>
    </cfRule>
  </conditionalFormatting>
  <conditionalFormatting sqref="F14">
    <cfRule type="cellIs" dxfId="80" priority="13" operator="equal">
      <formula>"NO CUMPLE"</formula>
    </cfRule>
  </conditionalFormatting>
  <conditionalFormatting sqref="J14">
    <cfRule type="cellIs" dxfId="79" priority="12" operator="equal">
      <formula>"NO CUMPLE"</formula>
    </cfRule>
  </conditionalFormatting>
  <conditionalFormatting sqref="F8:F9">
    <cfRule type="cellIs" dxfId="78" priority="11" operator="equal">
      <formula>"NO CUMPLE"</formula>
    </cfRule>
  </conditionalFormatting>
  <conditionalFormatting sqref="J8:J9">
    <cfRule type="cellIs" dxfId="77" priority="10" operator="equal">
      <formula>"NO CUMPLE"</formula>
    </cfRule>
  </conditionalFormatting>
  <conditionalFormatting sqref="F12:F13">
    <cfRule type="cellIs" dxfId="76" priority="9" operator="equal">
      <formula>"NO CUMPLE"</formula>
    </cfRule>
  </conditionalFormatting>
  <conditionalFormatting sqref="J12:J13">
    <cfRule type="cellIs" dxfId="75" priority="8" operator="equal">
      <formula>"NO CUMPLE"</formula>
    </cfRule>
  </conditionalFormatting>
  <conditionalFormatting sqref="F11">
    <cfRule type="cellIs" dxfId="74" priority="7" operator="equal">
      <formula>"NO CUMPLE"</formula>
    </cfRule>
  </conditionalFormatting>
  <conditionalFormatting sqref="J11">
    <cfRule type="cellIs" dxfId="73" priority="6" operator="equal">
      <formula>"NO CUMPLE"</formula>
    </cfRule>
  </conditionalFormatting>
  <conditionalFormatting sqref="F10">
    <cfRule type="cellIs" dxfId="72" priority="5" operator="equal">
      <formula>"NO CUMPLE"</formula>
    </cfRule>
  </conditionalFormatting>
  <conditionalFormatting sqref="J10">
    <cfRule type="cellIs" dxfId="71" priority="4"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zoomScale="65" zoomScaleNormal="65" workbookViewId="0">
      <selection sqref="A1:CV53"/>
    </sheetView>
  </sheetViews>
  <sheetFormatPr baseColWidth="10" defaultRowHeight="12.75"/>
  <cols>
    <col min="1" max="1" width="3.7109375" style="49" customWidth="1"/>
    <col min="2" max="2" width="6.7109375" style="49" bestFit="1" customWidth="1"/>
    <col min="3" max="3" width="51.28515625" style="49" customWidth="1"/>
    <col min="4" max="4" width="59.140625" style="49" customWidth="1"/>
    <col min="5" max="5" width="9.42578125" style="49" bestFit="1" customWidth="1"/>
    <col min="6" max="6" width="10" style="49" bestFit="1" customWidth="1"/>
    <col min="7" max="7" width="19.140625" style="49" bestFit="1" customWidth="1"/>
    <col min="8" max="8" width="29.28515625" style="49" customWidth="1"/>
    <col min="9" max="9" width="21" style="49" bestFit="1" customWidth="1"/>
    <col min="10" max="10" width="13.5703125" style="49" customWidth="1"/>
    <col min="11" max="11" width="6.5703125" style="49" customWidth="1"/>
    <col min="12" max="12" width="6.7109375" style="49" bestFit="1" customWidth="1"/>
    <col min="13" max="14" width="60.5703125" style="49" customWidth="1"/>
    <col min="15" max="15" width="12.7109375" style="49" customWidth="1"/>
    <col min="16" max="16" width="10" style="49" bestFit="1" customWidth="1"/>
    <col min="17" max="17" width="16.28515625" style="49" bestFit="1" customWidth="1"/>
    <col min="18" max="18" width="19.42578125" style="49" bestFit="1" customWidth="1"/>
    <col min="19" max="19" width="25" style="49" customWidth="1"/>
    <col min="20" max="20" width="6.5703125" style="50" customWidth="1"/>
    <col min="21" max="21" width="6.7109375" style="50" customWidth="1"/>
    <col min="22" max="22" width="6.5703125" style="50" customWidth="1"/>
    <col min="23" max="23" width="6.7109375" style="50" customWidth="1"/>
    <col min="24" max="25" width="6.5703125" style="50" customWidth="1"/>
    <col min="26" max="26" width="13.85546875" style="50" customWidth="1"/>
    <col min="27" max="27" width="9.28515625" style="50" customWidth="1"/>
    <col min="28" max="28" width="18.28515625" style="49" customWidth="1"/>
    <col min="29" max="29" width="4.28515625" style="49" customWidth="1"/>
    <col min="30" max="30" width="6.7109375" style="49" bestFit="1" customWidth="1"/>
    <col min="31" max="32" width="61.85546875" style="49" customWidth="1"/>
    <col min="33" max="33" width="12.28515625" style="49" customWidth="1"/>
    <col min="34" max="34" width="10" style="49" bestFit="1" customWidth="1"/>
    <col min="35" max="35" width="15.28515625" style="49" bestFit="1" customWidth="1"/>
    <col min="36" max="36" width="18.5703125" style="49" bestFit="1" customWidth="1"/>
    <col min="37" max="37" width="18" style="49" bestFit="1" customWidth="1"/>
    <col min="38" max="38" width="6.5703125" style="50" customWidth="1"/>
    <col min="39" max="39" width="6.7109375" style="50" customWidth="1"/>
    <col min="40" max="40" width="6.5703125" style="50" customWidth="1"/>
    <col min="41" max="41" width="6.7109375" style="50" customWidth="1"/>
    <col min="42" max="43" width="6.5703125" style="50" customWidth="1"/>
    <col min="44" max="44" width="13.85546875" style="50" customWidth="1"/>
    <col min="45" max="45" width="12.28515625" style="50" customWidth="1"/>
    <col min="46" max="46" width="5.7109375" style="49" customWidth="1"/>
    <col min="47" max="47" width="4.5703125" style="49" customWidth="1"/>
    <col min="48" max="48" width="6.7109375" style="49" bestFit="1" customWidth="1"/>
    <col min="49" max="50" width="56.85546875" style="49" customWidth="1"/>
    <col min="51" max="51" width="11.7109375" style="49" customWidth="1"/>
    <col min="52" max="52" width="10" style="49" bestFit="1" customWidth="1"/>
    <col min="53" max="53" width="16.28515625" style="49" bestFit="1" customWidth="1"/>
    <col min="54" max="54" width="18.5703125" style="49" bestFit="1" customWidth="1"/>
    <col min="55" max="55" width="18" style="49" bestFit="1" customWidth="1"/>
    <col min="56" max="56" width="6.5703125" style="50" customWidth="1"/>
    <col min="57" max="57" width="6.7109375" style="50" customWidth="1"/>
    <col min="58" max="58" width="6.5703125" style="50" customWidth="1"/>
    <col min="59" max="59" width="6.7109375" style="50" customWidth="1"/>
    <col min="60" max="61" width="6.5703125" style="50" customWidth="1"/>
    <col min="62" max="62" width="13.85546875" style="50" customWidth="1"/>
    <col min="63" max="63" width="9.140625" style="50" customWidth="1"/>
    <col min="64" max="64" width="5.85546875" style="49" hidden="1" customWidth="1"/>
    <col min="65" max="65" width="4.85546875" style="49" hidden="1" customWidth="1"/>
    <col min="66" max="66" width="6.7109375" style="49" hidden="1" customWidth="1"/>
    <col min="67" max="68" width="56.7109375" style="49" hidden="1" customWidth="1"/>
    <col min="69" max="69" width="14.85546875" style="49" hidden="1" customWidth="1"/>
    <col min="70" max="70" width="10" style="49" hidden="1" customWidth="1"/>
    <col min="71" max="71" width="16.28515625" style="49" hidden="1" customWidth="1"/>
    <col min="72" max="72" width="18.5703125" style="49" hidden="1" customWidth="1"/>
    <col min="73" max="73" width="18" style="49" hidden="1" customWidth="1"/>
    <col min="74" max="74" width="6.5703125" style="50" hidden="1" customWidth="1"/>
    <col min="75" max="75" width="6.7109375" style="50" hidden="1" customWidth="1"/>
    <col min="76" max="76" width="6.5703125" style="50" hidden="1" customWidth="1"/>
    <col min="77" max="77" width="6.7109375" style="50" hidden="1" customWidth="1"/>
    <col min="78" max="79" width="6.5703125" style="50" hidden="1" customWidth="1"/>
    <col min="80" max="80" width="13.85546875" style="50" hidden="1" customWidth="1"/>
    <col min="81" max="81" width="9.28515625" style="50" hidden="1" customWidth="1"/>
    <col min="82" max="82" width="5.42578125" style="49" hidden="1" customWidth="1"/>
    <col min="83" max="83" width="4.42578125" style="49" hidden="1" customWidth="1"/>
    <col min="84" max="84" width="6.7109375" style="49" hidden="1" customWidth="1"/>
    <col min="85" max="86" width="48" style="49" hidden="1" customWidth="1"/>
    <col min="87" max="87" width="12.7109375" style="49" hidden="1" customWidth="1"/>
    <col min="88" max="88" width="10" style="49" hidden="1" customWidth="1"/>
    <col min="89" max="89" width="16.28515625" style="49" hidden="1" customWidth="1"/>
    <col min="90" max="90" width="18.140625" style="49" hidden="1" customWidth="1"/>
    <col min="91" max="91" width="17.85546875" style="49" hidden="1" customWidth="1"/>
    <col min="92" max="92" width="6.5703125" style="50" hidden="1" customWidth="1"/>
    <col min="93" max="93" width="6.7109375" style="50" hidden="1" customWidth="1"/>
    <col min="94" max="94" width="6.5703125" style="50" hidden="1" customWidth="1"/>
    <col min="95" max="95" width="6.7109375" style="50" hidden="1" customWidth="1"/>
    <col min="96" max="97" width="6.5703125" style="50" hidden="1" customWidth="1"/>
    <col min="98" max="98" width="13.85546875" style="50" hidden="1" customWidth="1"/>
    <col min="99" max="99" width="9.140625" style="50" hidden="1" customWidth="1"/>
    <col min="100" max="100" width="14.28515625" style="49" customWidth="1"/>
    <col min="101" max="16384" width="11.42578125" style="49"/>
  </cols>
  <sheetData>
    <row r="1" spans="2:99" ht="13.5" thickBot="1"/>
    <row r="2" spans="2:99" ht="18.75" customHeight="1" thickTop="1">
      <c r="L2" s="474">
        <v>1</v>
      </c>
      <c r="M2" s="385"/>
      <c r="N2" s="474" t="s">
        <v>3</v>
      </c>
      <c r="O2" s="462" t="str">
        <f>VLOOKUP(L2,LISTA_OFERENTES,2,FALSE)</f>
        <v>FUMIGAX S.A.S.</v>
      </c>
      <c r="P2" s="463"/>
      <c r="Q2" s="463"/>
      <c r="R2" s="463"/>
      <c r="S2" s="463"/>
      <c r="AD2" s="474">
        <v>2</v>
      </c>
      <c r="AE2" s="385"/>
      <c r="AF2" s="474" t="s">
        <v>3</v>
      </c>
      <c r="AG2" s="462" t="str">
        <f>VLOOKUP(AD2,LISTA_OFERENTES,2,FALSE)</f>
        <v>Truly Nolen Soluciones S.A.</v>
      </c>
      <c r="AH2" s="463"/>
      <c r="AI2" s="463"/>
      <c r="AJ2" s="463"/>
      <c r="AK2" s="463"/>
      <c r="AV2" s="474">
        <v>3</v>
      </c>
      <c r="AW2" s="385"/>
      <c r="AX2" s="474" t="s">
        <v>3</v>
      </c>
      <c r="AY2" s="462" t="str">
        <f>VLOOKUP(AV2,LISTA_OFERENTES,2,FALSE)</f>
        <v>Alfa Control S.A.S.</v>
      </c>
      <c r="AZ2" s="463"/>
      <c r="BA2" s="463"/>
      <c r="BB2" s="463"/>
      <c r="BC2" s="463"/>
      <c r="BN2" s="474">
        <v>4</v>
      </c>
      <c r="BO2" s="385"/>
      <c r="BP2" s="474" t="s">
        <v>3</v>
      </c>
      <c r="BQ2" s="462">
        <f>VLOOKUP(BN2,LISTA_OFERENTES,2,FALSE)</f>
        <v>0</v>
      </c>
      <c r="BR2" s="463"/>
      <c r="BS2" s="463"/>
      <c r="BT2" s="463"/>
      <c r="BU2" s="463"/>
      <c r="CF2" s="474">
        <v>5</v>
      </c>
      <c r="CG2" s="385"/>
      <c r="CH2" s="474" t="s">
        <v>3</v>
      </c>
      <c r="CI2" s="462">
        <f>VLOOKUP(CF2,LISTA_OFERENTES,2,FALSE)</f>
        <v>0</v>
      </c>
      <c r="CJ2" s="463"/>
      <c r="CK2" s="463"/>
      <c r="CL2" s="463"/>
      <c r="CM2" s="463"/>
    </row>
    <row r="3" spans="2:99" ht="18.75" customHeight="1" thickBot="1">
      <c r="L3" s="475"/>
      <c r="M3" s="386"/>
      <c r="N3" s="475"/>
      <c r="O3" s="464"/>
      <c r="P3" s="465"/>
      <c r="Q3" s="465"/>
      <c r="R3" s="465"/>
      <c r="S3" s="465"/>
      <c r="AD3" s="475"/>
      <c r="AE3" s="386"/>
      <c r="AF3" s="475"/>
      <c r="AG3" s="464"/>
      <c r="AH3" s="465"/>
      <c r="AI3" s="465"/>
      <c r="AJ3" s="465"/>
      <c r="AK3" s="465"/>
      <c r="AV3" s="475"/>
      <c r="AW3" s="386"/>
      <c r="AX3" s="475"/>
      <c r="AY3" s="464"/>
      <c r="AZ3" s="465"/>
      <c r="BA3" s="465"/>
      <c r="BB3" s="465"/>
      <c r="BC3" s="465"/>
      <c r="BN3" s="475"/>
      <c r="BO3" s="386"/>
      <c r="BP3" s="475"/>
      <c r="BQ3" s="464"/>
      <c r="BR3" s="465"/>
      <c r="BS3" s="465"/>
      <c r="BT3" s="465"/>
      <c r="BU3" s="465"/>
      <c r="CF3" s="475"/>
      <c r="CG3" s="386"/>
      <c r="CH3" s="475"/>
      <c r="CI3" s="464"/>
      <c r="CJ3" s="465"/>
      <c r="CK3" s="465"/>
      <c r="CL3" s="465"/>
      <c r="CM3" s="465"/>
    </row>
    <row r="4" spans="2:99" ht="19.5" customHeight="1" thickTop="1" thickBot="1">
      <c r="B4" s="488" t="s">
        <v>273</v>
      </c>
      <c r="C4" s="489"/>
      <c r="D4" s="490"/>
      <c r="E4" s="476" t="s">
        <v>4</v>
      </c>
      <c r="F4" s="477"/>
      <c r="G4" s="477"/>
      <c r="H4" s="477"/>
      <c r="I4" s="478"/>
      <c r="L4" s="511"/>
      <c r="M4" s="512"/>
      <c r="N4" s="513"/>
      <c r="O4" s="497" t="s">
        <v>4</v>
      </c>
      <c r="P4" s="498"/>
      <c r="Q4" s="498"/>
      <c r="R4" s="498"/>
      <c r="S4" s="499"/>
      <c r="T4" s="466" t="s">
        <v>92</v>
      </c>
      <c r="U4" s="466" t="s">
        <v>73</v>
      </c>
      <c r="V4" s="466" t="s">
        <v>74</v>
      </c>
      <c r="W4" s="469" t="s">
        <v>75</v>
      </c>
      <c r="X4" s="469" t="s">
        <v>76</v>
      </c>
      <c r="Y4" s="466" t="s">
        <v>77</v>
      </c>
      <c r="Z4" s="466" t="s">
        <v>78</v>
      </c>
      <c r="AA4" s="466" t="s">
        <v>79</v>
      </c>
      <c r="AD4" s="541"/>
      <c r="AE4" s="542"/>
      <c r="AF4" s="543"/>
      <c r="AG4" s="476" t="s">
        <v>4</v>
      </c>
      <c r="AH4" s="477"/>
      <c r="AI4" s="477"/>
      <c r="AJ4" s="477"/>
      <c r="AK4" s="478"/>
      <c r="AL4" s="466" t="s">
        <v>92</v>
      </c>
      <c r="AM4" s="466" t="s">
        <v>73</v>
      </c>
      <c r="AN4" s="466" t="s">
        <v>74</v>
      </c>
      <c r="AO4" s="469" t="s">
        <v>75</v>
      </c>
      <c r="AP4" s="469" t="s">
        <v>76</v>
      </c>
      <c r="AQ4" s="466" t="s">
        <v>77</v>
      </c>
      <c r="AR4" s="466" t="s">
        <v>78</v>
      </c>
      <c r="AS4" s="466" t="s">
        <v>79</v>
      </c>
      <c r="AV4" s="488"/>
      <c r="AW4" s="489"/>
      <c r="AX4" s="490"/>
      <c r="AY4" s="476" t="s">
        <v>4</v>
      </c>
      <c r="AZ4" s="477"/>
      <c r="BA4" s="477"/>
      <c r="BB4" s="477"/>
      <c r="BC4" s="478"/>
      <c r="BD4" s="466" t="s">
        <v>92</v>
      </c>
      <c r="BE4" s="466" t="s">
        <v>73</v>
      </c>
      <c r="BF4" s="466" t="s">
        <v>74</v>
      </c>
      <c r="BG4" s="469" t="s">
        <v>75</v>
      </c>
      <c r="BH4" s="469" t="s">
        <v>76</v>
      </c>
      <c r="BI4" s="466" t="s">
        <v>77</v>
      </c>
      <c r="BJ4" s="466" t="s">
        <v>78</v>
      </c>
      <c r="BK4" s="466" t="s">
        <v>79</v>
      </c>
      <c r="BN4" s="532"/>
      <c r="BO4" s="533"/>
      <c r="BP4" s="534"/>
      <c r="BQ4" s="476" t="s">
        <v>4</v>
      </c>
      <c r="BR4" s="477"/>
      <c r="BS4" s="477"/>
      <c r="BT4" s="477"/>
      <c r="BU4" s="478"/>
      <c r="BV4" s="466" t="s">
        <v>92</v>
      </c>
      <c r="BW4" s="466" t="s">
        <v>73</v>
      </c>
      <c r="BX4" s="466" t="s">
        <v>74</v>
      </c>
      <c r="BY4" s="469" t="s">
        <v>75</v>
      </c>
      <c r="BZ4" s="469" t="s">
        <v>76</v>
      </c>
      <c r="CA4" s="466" t="s">
        <v>77</v>
      </c>
      <c r="CB4" s="466" t="s">
        <v>78</v>
      </c>
      <c r="CC4" s="466" t="s">
        <v>79</v>
      </c>
      <c r="CF4" s="532"/>
      <c r="CG4" s="533"/>
      <c r="CH4" s="534"/>
      <c r="CI4" s="476" t="s">
        <v>4</v>
      </c>
      <c r="CJ4" s="477"/>
      <c r="CK4" s="477"/>
      <c r="CL4" s="477"/>
      <c r="CM4" s="478"/>
      <c r="CN4" s="466" t="s">
        <v>92</v>
      </c>
      <c r="CO4" s="466" t="s">
        <v>73</v>
      </c>
      <c r="CP4" s="466" t="s">
        <v>74</v>
      </c>
      <c r="CQ4" s="469" t="s">
        <v>75</v>
      </c>
      <c r="CR4" s="469" t="s">
        <v>76</v>
      </c>
      <c r="CS4" s="466" t="s">
        <v>77</v>
      </c>
      <c r="CT4" s="466" t="s">
        <v>78</v>
      </c>
      <c r="CU4" s="466" t="s">
        <v>79</v>
      </c>
    </row>
    <row r="5" spans="2:99" ht="13.5" customHeight="1" thickTop="1">
      <c r="B5" s="491"/>
      <c r="C5" s="492"/>
      <c r="D5" s="493"/>
      <c r="E5" s="479" t="s">
        <v>118</v>
      </c>
      <c r="F5" s="480"/>
      <c r="G5" s="480"/>
      <c r="H5" s="480"/>
      <c r="I5" s="481"/>
      <c r="L5" s="514"/>
      <c r="M5" s="515"/>
      <c r="N5" s="516"/>
      <c r="O5" s="500" t="s">
        <v>118</v>
      </c>
      <c r="P5" s="501"/>
      <c r="Q5" s="501"/>
      <c r="R5" s="501"/>
      <c r="S5" s="502"/>
      <c r="T5" s="467"/>
      <c r="U5" s="467"/>
      <c r="V5" s="467"/>
      <c r="W5" s="470"/>
      <c r="X5" s="470"/>
      <c r="Y5" s="467"/>
      <c r="Z5" s="467"/>
      <c r="AA5" s="467"/>
      <c r="AD5" s="544"/>
      <c r="AE5" s="545"/>
      <c r="AF5" s="546"/>
      <c r="AG5" s="479" t="s">
        <v>118</v>
      </c>
      <c r="AH5" s="480"/>
      <c r="AI5" s="480"/>
      <c r="AJ5" s="480"/>
      <c r="AK5" s="481"/>
      <c r="AL5" s="467"/>
      <c r="AM5" s="467"/>
      <c r="AN5" s="467"/>
      <c r="AO5" s="470"/>
      <c r="AP5" s="470"/>
      <c r="AQ5" s="467"/>
      <c r="AR5" s="467"/>
      <c r="AS5" s="467"/>
      <c r="AV5" s="491"/>
      <c r="AW5" s="492"/>
      <c r="AX5" s="493"/>
      <c r="AY5" s="479" t="s">
        <v>118</v>
      </c>
      <c r="AZ5" s="480"/>
      <c r="BA5" s="480"/>
      <c r="BB5" s="480"/>
      <c r="BC5" s="481"/>
      <c r="BD5" s="467"/>
      <c r="BE5" s="467"/>
      <c r="BF5" s="467"/>
      <c r="BG5" s="470"/>
      <c r="BH5" s="470"/>
      <c r="BI5" s="467"/>
      <c r="BJ5" s="467"/>
      <c r="BK5" s="467"/>
      <c r="BN5" s="535"/>
      <c r="BO5" s="536"/>
      <c r="BP5" s="537"/>
      <c r="BQ5" s="479" t="s">
        <v>118</v>
      </c>
      <c r="BR5" s="480"/>
      <c r="BS5" s="480"/>
      <c r="BT5" s="480"/>
      <c r="BU5" s="481"/>
      <c r="BV5" s="467"/>
      <c r="BW5" s="467"/>
      <c r="BX5" s="467"/>
      <c r="BY5" s="470"/>
      <c r="BZ5" s="470"/>
      <c r="CA5" s="467"/>
      <c r="CB5" s="467"/>
      <c r="CC5" s="467"/>
      <c r="CF5" s="535"/>
      <c r="CG5" s="536"/>
      <c r="CH5" s="537"/>
      <c r="CI5" s="479" t="s">
        <v>118</v>
      </c>
      <c r="CJ5" s="480"/>
      <c r="CK5" s="480"/>
      <c r="CL5" s="480"/>
      <c r="CM5" s="481"/>
      <c r="CN5" s="467"/>
      <c r="CO5" s="467"/>
      <c r="CP5" s="467"/>
      <c r="CQ5" s="470"/>
      <c r="CR5" s="470"/>
      <c r="CS5" s="467"/>
      <c r="CT5" s="467"/>
      <c r="CU5" s="467"/>
    </row>
    <row r="6" spans="2:99" ht="12.75" customHeight="1">
      <c r="B6" s="491"/>
      <c r="C6" s="492"/>
      <c r="D6" s="493"/>
      <c r="E6" s="482"/>
      <c r="F6" s="483"/>
      <c r="G6" s="483"/>
      <c r="H6" s="483"/>
      <c r="I6" s="484"/>
      <c r="L6" s="514"/>
      <c r="M6" s="515"/>
      <c r="N6" s="516"/>
      <c r="O6" s="503"/>
      <c r="P6" s="504"/>
      <c r="Q6" s="504"/>
      <c r="R6" s="504"/>
      <c r="S6" s="505"/>
      <c r="T6" s="467"/>
      <c r="U6" s="467"/>
      <c r="V6" s="467"/>
      <c r="W6" s="470"/>
      <c r="X6" s="470"/>
      <c r="Y6" s="467"/>
      <c r="Z6" s="467"/>
      <c r="AA6" s="467"/>
      <c r="AD6" s="544"/>
      <c r="AE6" s="545"/>
      <c r="AF6" s="546"/>
      <c r="AG6" s="482"/>
      <c r="AH6" s="483"/>
      <c r="AI6" s="483"/>
      <c r="AJ6" s="483"/>
      <c r="AK6" s="484"/>
      <c r="AL6" s="467"/>
      <c r="AM6" s="467"/>
      <c r="AN6" s="467"/>
      <c r="AO6" s="470"/>
      <c r="AP6" s="470"/>
      <c r="AQ6" s="467"/>
      <c r="AR6" s="467"/>
      <c r="AS6" s="467"/>
      <c r="AV6" s="491"/>
      <c r="AW6" s="492"/>
      <c r="AX6" s="493"/>
      <c r="AY6" s="482"/>
      <c r="AZ6" s="483"/>
      <c r="BA6" s="483"/>
      <c r="BB6" s="483"/>
      <c r="BC6" s="484"/>
      <c r="BD6" s="467"/>
      <c r="BE6" s="467"/>
      <c r="BF6" s="467"/>
      <c r="BG6" s="470"/>
      <c r="BH6" s="470"/>
      <c r="BI6" s="467"/>
      <c r="BJ6" s="467"/>
      <c r="BK6" s="467"/>
      <c r="BN6" s="535"/>
      <c r="BO6" s="536"/>
      <c r="BP6" s="537"/>
      <c r="BQ6" s="482"/>
      <c r="BR6" s="483"/>
      <c r="BS6" s="483"/>
      <c r="BT6" s="483"/>
      <c r="BU6" s="484"/>
      <c r="BV6" s="467"/>
      <c r="BW6" s="467"/>
      <c r="BX6" s="467"/>
      <c r="BY6" s="470"/>
      <c r="BZ6" s="470"/>
      <c r="CA6" s="467"/>
      <c r="CB6" s="467"/>
      <c r="CC6" s="467"/>
      <c r="CF6" s="535"/>
      <c r="CG6" s="536"/>
      <c r="CH6" s="537"/>
      <c r="CI6" s="482"/>
      <c r="CJ6" s="483"/>
      <c r="CK6" s="483"/>
      <c r="CL6" s="483"/>
      <c r="CM6" s="484"/>
      <c r="CN6" s="467"/>
      <c r="CO6" s="467"/>
      <c r="CP6" s="467"/>
      <c r="CQ6" s="470"/>
      <c r="CR6" s="470"/>
      <c r="CS6" s="467"/>
      <c r="CT6" s="467"/>
      <c r="CU6" s="467"/>
    </row>
    <row r="7" spans="2:99" ht="13.5" customHeight="1" thickBot="1">
      <c r="B7" s="491"/>
      <c r="C7" s="492"/>
      <c r="D7" s="493"/>
      <c r="E7" s="485"/>
      <c r="F7" s="486"/>
      <c r="G7" s="486"/>
      <c r="H7" s="486"/>
      <c r="I7" s="487"/>
      <c r="L7" s="514"/>
      <c r="M7" s="515"/>
      <c r="N7" s="516"/>
      <c r="O7" s="506"/>
      <c r="P7" s="507"/>
      <c r="Q7" s="507"/>
      <c r="R7" s="507"/>
      <c r="S7" s="508"/>
      <c r="T7" s="467"/>
      <c r="U7" s="467"/>
      <c r="V7" s="467"/>
      <c r="W7" s="470"/>
      <c r="X7" s="470"/>
      <c r="Y7" s="467"/>
      <c r="Z7" s="467"/>
      <c r="AA7" s="467"/>
      <c r="AD7" s="544"/>
      <c r="AE7" s="545"/>
      <c r="AF7" s="546"/>
      <c r="AG7" s="485"/>
      <c r="AH7" s="486"/>
      <c r="AI7" s="486"/>
      <c r="AJ7" s="486"/>
      <c r="AK7" s="487"/>
      <c r="AL7" s="467"/>
      <c r="AM7" s="467"/>
      <c r="AN7" s="467"/>
      <c r="AO7" s="470"/>
      <c r="AP7" s="470"/>
      <c r="AQ7" s="467"/>
      <c r="AR7" s="467"/>
      <c r="AS7" s="467"/>
      <c r="AV7" s="491"/>
      <c r="AW7" s="492"/>
      <c r="AX7" s="493"/>
      <c r="AY7" s="485"/>
      <c r="AZ7" s="486"/>
      <c r="BA7" s="486"/>
      <c r="BB7" s="486"/>
      <c r="BC7" s="487"/>
      <c r="BD7" s="467"/>
      <c r="BE7" s="467"/>
      <c r="BF7" s="467"/>
      <c r="BG7" s="470"/>
      <c r="BH7" s="470"/>
      <c r="BI7" s="467"/>
      <c r="BJ7" s="467"/>
      <c r="BK7" s="467"/>
      <c r="BN7" s="535"/>
      <c r="BO7" s="536"/>
      <c r="BP7" s="537"/>
      <c r="BQ7" s="485"/>
      <c r="BR7" s="486"/>
      <c r="BS7" s="486"/>
      <c r="BT7" s="486"/>
      <c r="BU7" s="487"/>
      <c r="BV7" s="467"/>
      <c r="BW7" s="467"/>
      <c r="BX7" s="467"/>
      <c r="BY7" s="470"/>
      <c r="BZ7" s="470"/>
      <c r="CA7" s="467"/>
      <c r="CB7" s="467"/>
      <c r="CC7" s="467"/>
      <c r="CF7" s="535"/>
      <c r="CG7" s="536"/>
      <c r="CH7" s="537"/>
      <c r="CI7" s="485"/>
      <c r="CJ7" s="486"/>
      <c r="CK7" s="486"/>
      <c r="CL7" s="486"/>
      <c r="CM7" s="487"/>
      <c r="CN7" s="467"/>
      <c r="CO7" s="467"/>
      <c r="CP7" s="467"/>
      <c r="CQ7" s="470"/>
      <c r="CR7" s="470"/>
      <c r="CS7" s="467"/>
      <c r="CT7" s="467"/>
      <c r="CU7" s="467"/>
    </row>
    <row r="8" spans="2:99" ht="73.5" customHeight="1" thickTop="1">
      <c r="B8" s="491"/>
      <c r="C8" s="492"/>
      <c r="D8" s="493"/>
      <c r="E8" s="520" t="str">
        <f>'1_ENTREGA'!A3</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F8" s="521"/>
      <c r="G8" s="521"/>
      <c r="H8" s="521"/>
      <c r="I8" s="522"/>
      <c r="L8" s="514"/>
      <c r="M8" s="515"/>
      <c r="N8" s="516"/>
      <c r="O8" s="509" t="s">
        <v>95</v>
      </c>
      <c r="P8" s="500" t="str">
        <f>E8</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Q8" s="501"/>
      <c r="R8" s="501"/>
      <c r="S8" s="502"/>
      <c r="T8" s="467"/>
      <c r="U8" s="467"/>
      <c r="V8" s="467"/>
      <c r="W8" s="470"/>
      <c r="X8" s="470"/>
      <c r="Y8" s="467"/>
      <c r="Z8" s="467"/>
      <c r="AA8" s="467"/>
      <c r="AD8" s="544"/>
      <c r="AE8" s="545"/>
      <c r="AF8" s="546"/>
      <c r="AG8" s="529" t="s">
        <v>95</v>
      </c>
      <c r="AH8" s="479" t="str">
        <f>E8</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AI8" s="480"/>
      <c r="AJ8" s="480"/>
      <c r="AK8" s="481"/>
      <c r="AL8" s="467"/>
      <c r="AM8" s="467"/>
      <c r="AN8" s="467"/>
      <c r="AO8" s="470"/>
      <c r="AP8" s="470"/>
      <c r="AQ8" s="467"/>
      <c r="AR8" s="467"/>
      <c r="AS8" s="467"/>
      <c r="AV8" s="491"/>
      <c r="AW8" s="492"/>
      <c r="AX8" s="493"/>
      <c r="AY8" s="529" t="s">
        <v>95</v>
      </c>
      <c r="AZ8" s="479" t="str">
        <f>E8</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BA8" s="480"/>
      <c r="BB8" s="480"/>
      <c r="BC8" s="481"/>
      <c r="BD8" s="467"/>
      <c r="BE8" s="467"/>
      <c r="BF8" s="467"/>
      <c r="BG8" s="470"/>
      <c r="BH8" s="470"/>
      <c r="BI8" s="467"/>
      <c r="BJ8" s="467"/>
      <c r="BK8" s="467"/>
      <c r="BN8" s="535"/>
      <c r="BO8" s="536"/>
      <c r="BP8" s="537"/>
      <c r="BQ8" s="529" t="s">
        <v>95</v>
      </c>
      <c r="BR8" s="479" t="str">
        <f>E8</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BS8" s="480"/>
      <c r="BT8" s="480"/>
      <c r="BU8" s="481"/>
      <c r="BV8" s="467"/>
      <c r="BW8" s="467"/>
      <c r="BX8" s="467"/>
      <c r="BY8" s="470"/>
      <c r="BZ8" s="470"/>
      <c r="CA8" s="467"/>
      <c r="CB8" s="467"/>
      <c r="CC8" s="467"/>
      <c r="CF8" s="535"/>
      <c r="CG8" s="536"/>
      <c r="CH8" s="537"/>
      <c r="CI8" s="529" t="s">
        <v>95</v>
      </c>
      <c r="CJ8" s="479" t="str">
        <f>E8</f>
        <v xml:space="preserve">OBJETO: “LA CONTRATISTA se obliga a prestar a LA CONTRATANTE bajo su exclusiva responsabilidad, con completa autonomía técnica, directiva, administrativa y financiera, el servicio de Fumigación y control de plagas y roedores en todas las sedes, regionales, casas, haciendas y edificaciones de la Universidad de Antioquia, ubicadas en el departamento de Antioquia, bajo la modalidad de precios fijos, no reajustables” </v>
      </c>
      <c r="CK8" s="480"/>
      <c r="CL8" s="480"/>
      <c r="CM8" s="481"/>
      <c r="CN8" s="467"/>
      <c r="CO8" s="467"/>
      <c r="CP8" s="467"/>
      <c r="CQ8" s="470"/>
      <c r="CR8" s="470"/>
      <c r="CS8" s="467"/>
      <c r="CT8" s="467"/>
      <c r="CU8" s="467"/>
    </row>
    <row r="9" spans="2:99" ht="73.5" customHeight="1" thickBot="1">
      <c r="B9" s="494"/>
      <c r="C9" s="495"/>
      <c r="D9" s="496"/>
      <c r="E9" s="523"/>
      <c r="F9" s="524"/>
      <c r="G9" s="524"/>
      <c r="H9" s="524"/>
      <c r="I9" s="525"/>
      <c r="L9" s="517"/>
      <c r="M9" s="518"/>
      <c r="N9" s="519"/>
      <c r="O9" s="510"/>
      <c r="P9" s="506"/>
      <c r="Q9" s="507"/>
      <c r="R9" s="507"/>
      <c r="S9" s="508"/>
      <c r="T9" s="467"/>
      <c r="U9" s="467"/>
      <c r="V9" s="467"/>
      <c r="W9" s="470"/>
      <c r="X9" s="470"/>
      <c r="Y9" s="467"/>
      <c r="Z9" s="467"/>
      <c r="AA9" s="467"/>
      <c r="AD9" s="547"/>
      <c r="AE9" s="548"/>
      <c r="AF9" s="549"/>
      <c r="AG9" s="530"/>
      <c r="AH9" s="485"/>
      <c r="AI9" s="486"/>
      <c r="AJ9" s="486"/>
      <c r="AK9" s="487"/>
      <c r="AL9" s="467"/>
      <c r="AM9" s="467"/>
      <c r="AN9" s="467"/>
      <c r="AO9" s="470"/>
      <c r="AP9" s="470"/>
      <c r="AQ9" s="467"/>
      <c r="AR9" s="467"/>
      <c r="AS9" s="467"/>
      <c r="AV9" s="494"/>
      <c r="AW9" s="495"/>
      <c r="AX9" s="496"/>
      <c r="AY9" s="530"/>
      <c r="AZ9" s="485"/>
      <c r="BA9" s="486"/>
      <c r="BB9" s="486"/>
      <c r="BC9" s="487"/>
      <c r="BD9" s="467"/>
      <c r="BE9" s="467"/>
      <c r="BF9" s="467"/>
      <c r="BG9" s="470"/>
      <c r="BH9" s="470"/>
      <c r="BI9" s="467"/>
      <c r="BJ9" s="467"/>
      <c r="BK9" s="467"/>
      <c r="BN9" s="538"/>
      <c r="BO9" s="539"/>
      <c r="BP9" s="540"/>
      <c r="BQ9" s="530"/>
      <c r="BR9" s="485"/>
      <c r="BS9" s="486"/>
      <c r="BT9" s="486"/>
      <c r="BU9" s="487"/>
      <c r="BV9" s="467"/>
      <c r="BW9" s="467"/>
      <c r="BX9" s="467"/>
      <c r="BY9" s="470"/>
      <c r="BZ9" s="470"/>
      <c r="CA9" s="467"/>
      <c r="CB9" s="467"/>
      <c r="CC9" s="467"/>
      <c r="CF9" s="538"/>
      <c r="CG9" s="539"/>
      <c r="CH9" s="540"/>
      <c r="CI9" s="530"/>
      <c r="CJ9" s="485"/>
      <c r="CK9" s="486"/>
      <c r="CL9" s="486"/>
      <c r="CM9" s="487"/>
      <c r="CN9" s="467"/>
      <c r="CO9" s="467"/>
      <c r="CP9" s="467"/>
      <c r="CQ9" s="470"/>
      <c r="CR9" s="470"/>
      <c r="CS9" s="467"/>
      <c r="CT9" s="467"/>
      <c r="CU9" s="467"/>
    </row>
    <row r="10" spans="2:99" ht="13.5" thickTop="1">
      <c r="B10" s="426" t="s">
        <v>150</v>
      </c>
      <c r="C10" s="427"/>
      <c r="D10" s="427"/>
      <c r="E10" s="427"/>
      <c r="F10" s="427"/>
      <c r="G10" s="427"/>
      <c r="H10" s="427"/>
      <c r="I10" s="260"/>
      <c r="L10" s="426" t="s">
        <v>150</v>
      </c>
      <c r="M10" s="427"/>
      <c r="N10" s="427"/>
      <c r="O10" s="427"/>
      <c r="P10" s="427"/>
      <c r="Q10" s="427"/>
      <c r="R10" s="427"/>
      <c r="S10" s="260"/>
      <c r="T10" s="467"/>
      <c r="U10" s="467"/>
      <c r="V10" s="467"/>
      <c r="W10" s="470"/>
      <c r="X10" s="470"/>
      <c r="Y10" s="467"/>
      <c r="Z10" s="467"/>
      <c r="AA10" s="467"/>
      <c r="AD10" s="426" t="s">
        <v>150</v>
      </c>
      <c r="AE10" s="427"/>
      <c r="AF10" s="427"/>
      <c r="AG10" s="427"/>
      <c r="AH10" s="427"/>
      <c r="AI10" s="427"/>
      <c r="AJ10" s="427"/>
      <c r="AK10" s="260"/>
      <c r="AL10" s="467"/>
      <c r="AM10" s="467"/>
      <c r="AN10" s="467"/>
      <c r="AO10" s="470"/>
      <c r="AP10" s="470"/>
      <c r="AQ10" s="467"/>
      <c r="AR10" s="467"/>
      <c r="AS10" s="467"/>
      <c r="AV10" s="426" t="s">
        <v>150</v>
      </c>
      <c r="AW10" s="427"/>
      <c r="AX10" s="427"/>
      <c r="AY10" s="427"/>
      <c r="AZ10" s="427"/>
      <c r="BA10" s="427"/>
      <c r="BB10" s="427"/>
      <c r="BC10" s="260"/>
      <c r="BD10" s="467"/>
      <c r="BE10" s="467"/>
      <c r="BF10" s="467"/>
      <c r="BG10" s="470"/>
      <c r="BH10" s="470"/>
      <c r="BI10" s="467"/>
      <c r="BJ10" s="467"/>
      <c r="BK10" s="467"/>
      <c r="BN10" s="426" t="s">
        <v>150</v>
      </c>
      <c r="BO10" s="427"/>
      <c r="BP10" s="427"/>
      <c r="BQ10" s="427"/>
      <c r="BR10" s="427"/>
      <c r="BS10" s="427"/>
      <c r="BT10" s="427"/>
      <c r="BU10" s="266"/>
      <c r="BV10" s="467"/>
      <c r="BW10" s="467"/>
      <c r="BX10" s="467"/>
      <c r="BY10" s="470"/>
      <c r="BZ10" s="470"/>
      <c r="CA10" s="467"/>
      <c r="CB10" s="467"/>
      <c r="CC10" s="467"/>
      <c r="CF10" s="426" t="s">
        <v>150</v>
      </c>
      <c r="CG10" s="427"/>
      <c r="CH10" s="427"/>
      <c r="CI10" s="427"/>
      <c r="CJ10" s="427"/>
      <c r="CK10" s="427"/>
      <c r="CL10" s="427"/>
      <c r="CM10" s="266"/>
      <c r="CN10" s="472"/>
      <c r="CO10" s="467"/>
      <c r="CP10" s="467"/>
      <c r="CQ10" s="470"/>
      <c r="CR10" s="470"/>
      <c r="CS10" s="467"/>
      <c r="CT10" s="467"/>
      <c r="CU10" s="467"/>
    </row>
    <row r="11" spans="2:99" ht="29.25" customHeight="1">
      <c r="B11" s="267" t="s">
        <v>44</v>
      </c>
      <c r="C11" s="428" t="s">
        <v>151</v>
      </c>
      <c r="D11" s="428"/>
      <c r="E11" s="384" t="s">
        <v>71</v>
      </c>
      <c r="F11" s="384" t="s">
        <v>152</v>
      </c>
      <c r="G11" s="244" t="s">
        <v>153</v>
      </c>
      <c r="H11" s="384" t="s">
        <v>154</v>
      </c>
      <c r="I11" s="105" t="s">
        <v>212</v>
      </c>
      <c r="L11" s="267" t="s">
        <v>44</v>
      </c>
      <c r="M11" s="428" t="s">
        <v>151</v>
      </c>
      <c r="N11" s="428"/>
      <c r="O11" s="384" t="s">
        <v>71</v>
      </c>
      <c r="P11" s="384" t="s">
        <v>152</v>
      </c>
      <c r="Q11" s="244" t="s">
        <v>153</v>
      </c>
      <c r="R11" s="384" t="s">
        <v>154</v>
      </c>
      <c r="S11" s="328" t="s">
        <v>212</v>
      </c>
      <c r="T11" s="467"/>
      <c r="U11" s="467"/>
      <c r="V11" s="467"/>
      <c r="W11" s="470"/>
      <c r="X11" s="470"/>
      <c r="Y11" s="467"/>
      <c r="Z11" s="467"/>
      <c r="AA11" s="467"/>
      <c r="AC11" s="106"/>
      <c r="AD11" s="267" t="s">
        <v>44</v>
      </c>
      <c r="AE11" s="428" t="s">
        <v>151</v>
      </c>
      <c r="AF11" s="428"/>
      <c r="AG11" s="384" t="s">
        <v>71</v>
      </c>
      <c r="AH11" s="384" t="s">
        <v>152</v>
      </c>
      <c r="AI11" s="244" t="s">
        <v>153</v>
      </c>
      <c r="AJ11" s="384" t="s">
        <v>154</v>
      </c>
      <c r="AK11" s="105" t="s">
        <v>212</v>
      </c>
      <c r="AL11" s="467"/>
      <c r="AM11" s="467"/>
      <c r="AN11" s="467"/>
      <c r="AO11" s="470"/>
      <c r="AP11" s="470"/>
      <c r="AQ11" s="467"/>
      <c r="AR11" s="467"/>
      <c r="AS11" s="467"/>
      <c r="AT11" s="107"/>
      <c r="AV11" s="267" t="s">
        <v>44</v>
      </c>
      <c r="AW11" s="428" t="s">
        <v>151</v>
      </c>
      <c r="AX11" s="428"/>
      <c r="AY11" s="384" t="s">
        <v>71</v>
      </c>
      <c r="AZ11" s="384" t="s">
        <v>152</v>
      </c>
      <c r="BA11" s="244" t="s">
        <v>153</v>
      </c>
      <c r="BB11" s="384" t="s">
        <v>154</v>
      </c>
      <c r="BC11" s="105" t="s">
        <v>212</v>
      </c>
      <c r="BD11" s="467"/>
      <c r="BE11" s="467"/>
      <c r="BF11" s="467"/>
      <c r="BG11" s="470"/>
      <c r="BH11" s="470"/>
      <c r="BI11" s="467"/>
      <c r="BJ11" s="467"/>
      <c r="BK11" s="467"/>
      <c r="BN11" s="267" t="s">
        <v>44</v>
      </c>
      <c r="BO11" s="428" t="s">
        <v>151</v>
      </c>
      <c r="BP11" s="428"/>
      <c r="BQ11" s="384" t="s">
        <v>71</v>
      </c>
      <c r="BR11" s="384" t="s">
        <v>152</v>
      </c>
      <c r="BS11" s="244" t="s">
        <v>153</v>
      </c>
      <c r="BT11" s="384" t="s">
        <v>154</v>
      </c>
      <c r="BU11" s="268" t="s">
        <v>212</v>
      </c>
      <c r="BV11" s="467"/>
      <c r="BW11" s="467"/>
      <c r="BX11" s="467"/>
      <c r="BY11" s="470"/>
      <c r="BZ11" s="470"/>
      <c r="CA11" s="467"/>
      <c r="CB11" s="467"/>
      <c r="CC11" s="467"/>
      <c r="CF11" s="267" t="s">
        <v>44</v>
      </c>
      <c r="CG11" s="428" t="s">
        <v>151</v>
      </c>
      <c r="CH11" s="428"/>
      <c r="CI11" s="384" t="s">
        <v>71</v>
      </c>
      <c r="CJ11" s="384" t="s">
        <v>152</v>
      </c>
      <c r="CK11" s="244" t="s">
        <v>153</v>
      </c>
      <c r="CL11" s="384" t="s">
        <v>154</v>
      </c>
      <c r="CM11" s="268" t="s">
        <v>212</v>
      </c>
      <c r="CN11" s="472"/>
      <c r="CO11" s="467"/>
      <c r="CP11" s="467"/>
      <c r="CQ11" s="470"/>
      <c r="CR11" s="470"/>
      <c r="CS11" s="467"/>
      <c r="CT11" s="467"/>
      <c r="CU11" s="467"/>
    </row>
    <row r="12" spans="2:99" ht="13.5" thickBot="1">
      <c r="B12" s="269" t="s">
        <v>155</v>
      </c>
      <c r="C12" s="429" t="s">
        <v>156</v>
      </c>
      <c r="D12" s="429"/>
      <c r="E12" s="429"/>
      <c r="F12" s="429"/>
      <c r="G12" s="429"/>
      <c r="H12" s="429"/>
      <c r="I12" s="108"/>
      <c r="L12" s="315" t="s">
        <v>155</v>
      </c>
      <c r="M12" s="550" t="s">
        <v>156</v>
      </c>
      <c r="N12" s="550"/>
      <c r="O12" s="550"/>
      <c r="P12" s="550"/>
      <c r="Q12" s="550"/>
      <c r="R12" s="550"/>
      <c r="S12" s="329"/>
      <c r="T12" s="468"/>
      <c r="U12" s="468"/>
      <c r="V12" s="468"/>
      <c r="W12" s="471"/>
      <c r="X12" s="471"/>
      <c r="Y12" s="468"/>
      <c r="Z12" s="468"/>
      <c r="AA12" s="468"/>
      <c r="AB12" s="109"/>
      <c r="AC12" s="107"/>
      <c r="AD12" s="336" t="s">
        <v>155</v>
      </c>
      <c r="AE12" s="551" t="s">
        <v>156</v>
      </c>
      <c r="AF12" s="551"/>
      <c r="AG12" s="551"/>
      <c r="AH12" s="551"/>
      <c r="AI12" s="551"/>
      <c r="AJ12" s="551"/>
      <c r="AK12" s="108"/>
      <c r="AL12" s="468"/>
      <c r="AM12" s="468"/>
      <c r="AN12" s="468"/>
      <c r="AO12" s="471"/>
      <c r="AP12" s="471"/>
      <c r="AQ12" s="468"/>
      <c r="AR12" s="468"/>
      <c r="AS12" s="468"/>
      <c r="AT12" s="107"/>
      <c r="AV12" s="359" t="s">
        <v>155</v>
      </c>
      <c r="AW12" s="531" t="s">
        <v>156</v>
      </c>
      <c r="AX12" s="531"/>
      <c r="AY12" s="531"/>
      <c r="AZ12" s="531"/>
      <c r="BA12" s="531"/>
      <c r="BB12" s="531"/>
      <c r="BC12" s="108"/>
      <c r="BD12" s="468"/>
      <c r="BE12" s="468"/>
      <c r="BF12" s="468"/>
      <c r="BG12" s="471"/>
      <c r="BH12" s="471"/>
      <c r="BI12" s="468"/>
      <c r="BJ12" s="468"/>
      <c r="BK12" s="468"/>
      <c r="BN12" s="269"/>
      <c r="BO12" s="429"/>
      <c r="BP12" s="429"/>
      <c r="BQ12" s="429"/>
      <c r="BR12" s="429"/>
      <c r="BS12" s="429"/>
      <c r="BT12" s="429"/>
      <c r="BU12" s="270"/>
      <c r="BV12" s="468"/>
      <c r="BW12" s="468"/>
      <c r="BX12" s="468"/>
      <c r="BY12" s="471"/>
      <c r="BZ12" s="471"/>
      <c r="CA12" s="468"/>
      <c r="CB12" s="468"/>
      <c r="CC12" s="468"/>
      <c r="CF12" s="269"/>
      <c r="CG12" s="429"/>
      <c r="CH12" s="429"/>
      <c r="CI12" s="429"/>
      <c r="CJ12" s="429"/>
      <c r="CK12" s="429"/>
      <c r="CL12" s="429"/>
      <c r="CM12" s="270"/>
      <c r="CN12" s="473"/>
      <c r="CO12" s="468"/>
      <c r="CP12" s="468"/>
      <c r="CQ12" s="471"/>
      <c r="CR12" s="471"/>
      <c r="CS12" s="468"/>
      <c r="CT12" s="468"/>
      <c r="CU12" s="468"/>
    </row>
    <row r="13" spans="2:99" ht="64.5" thickTop="1">
      <c r="B13" s="271" t="s">
        <v>157</v>
      </c>
      <c r="C13" s="245" t="s">
        <v>158</v>
      </c>
      <c r="D13" s="245" t="s">
        <v>159</v>
      </c>
      <c r="E13" s="246" t="s">
        <v>120</v>
      </c>
      <c r="F13" s="247">
        <v>150</v>
      </c>
      <c r="G13" s="284"/>
      <c r="H13" s="285"/>
      <c r="I13" s="420" t="e">
        <f>H18/H40</f>
        <v>#DIV/0!</v>
      </c>
      <c r="J13" s="107"/>
      <c r="L13" s="316" t="s">
        <v>157</v>
      </c>
      <c r="M13" s="388" t="s">
        <v>158</v>
      </c>
      <c r="N13" s="388" t="s">
        <v>159</v>
      </c>
      <c r="O13" s="388" t="s">
        <v>120</v>
      </c>
      <c r="P13" s="316">
        <v>4</v>
      </c>
      <c r="Q13" s="318">
        <v>8020000</v>
      </c>
      <c r="R13" s="319">
        <f>SUM(P13*Q13)</f>
        <v>32080000</v>
      </c>
      <c r="S13" s="528">
        <f>R18/R40</f>
        <v>0.62238857938718661</v>
      </c>
      <c r="T13" s="110">
        <f>IF(EXACT(VLOOKUP(L13,OFERTA_0,2,FALSE),M13),1,0)</f>
        <v>1</v>
      </c>
      <c r="U13" s="110">
        <f t="shared" ref="U13" si="0">IF(EXACT(VLOOKUP(L13,OFERTA_0,3,FALSE),O13),1,0)</f>
        <v>0</v>
      </c>
      <c r="V13" s="110">
        <f>IF(EXACT(VLOOKUP(L13,OFERTA_0,4,FALSE),P13),1,0)</f>
        <v>0</v>
      </c>
      <c r="W13" s="110">
        <f>IF(Q13=0,0,1)</f>
        <v>1</v>
      </c>
      <c r="X13" s="110">
        <f>IF(R13=0,0,1)</f>
        <v>1</v>
      </c>
      <c r="Y13" s="110">
        <f>PRODUCT(T13:X13)</f>
        <v>0</v>
      </c>
      <c r="Z13" s="330">
        <f>ROUND(R13,0)</f>
        <v>32080000</v>
      </c>
      <c r="AA13" s="123">
        <f>R13-Z13</f>
        <v>0</v>
      </c>
      <c r="AB13" s="107"/>
      <c r="AC13" s="107"/>
      <c r="AD13" s="337" t="s">
        <v>157</v>
      </c>
      <c r="AE13" s="338" t="s">
        <v>158</v>
      </c>
      <c r="AF13" s="338" t="s">
        <v>159</v>
      </c>
      <c r="AG13" s="339" t="s">
        <v>120</v>
      </c>
      <c r="AH13" s="340">
        <v>150</v>
      </c>
      <c r="AI13" s="341">
        <v>536000</v>
      </c>
      <c r="AJ13" s="342">
        <f>SUM(AH13*AI13)</f>
        <v>80400000</v>
      </c>
      <c r="AK13" s="420">
        <f>AJ18/AJ40</f>
        <v>0.78307147235136709</v>
      </c>
      <c r="AL13" s="110">
        <f>IF(EXACT(VLOOKUP(AD13,OFERTA_0,2,FALSE),AE13),1,0)</f>
        <v>1</v>
      </c>
      <c r="AM13" s="110">
        <f>IF(EXACT(VLOOKUP(AD13,OFERTA_0,4,FALSE),AG13),1,0)</f>
        <v>1</v>
      </c>
      <c r="AN13" s="111">
        <f>IF(EXACT(VLOOKUP(AD13,OFERTA_0,5,FALSE),AH13),1,0)</f>
        <v>1</v>
      </c>
      <c r="AO13" s="111">
        <f>IF(AI13=0,0,1)</f>
        <v>1</v>
      </c>
      <c r="AP13" s="111">
        <f>IF(AJ13=0,0,1)</f>
        <v>1</v>
      </c>
      <c r="AQ13" s="111">
        <f>PRODUCT(AL13:AP13)</f>
        <v>1</v>
      </c>
      <c r="AR13" s="112">
        <f>ROUND(AJ13,0)</f>
        <v>80400000</v>
      </c>
      <c r="AS13" s="113">
        <f>AJ13-AR13</f>
        <v>0</v>
      </c>
      <c r="AT13" s="107"/>
      <c r="AV13" s="360" t="s">
        <v>157</v>
      </c>
      <c r="AW13" s="361" t="s">
        <v>158</v>
      </c>
      <c r="AX13" s="361" t="s">
        <v>159</v>
      </c>
      <c r="AY13" s="362" t="s">
        <v>120</v>
      </c>
      <c r="AZ13" s="363">
        <v>150</v>
      </c>
      <c r="BA13" s="364">
        <v>400000</v>
      </c>
      <c r="BB13" s="365">
        <f>SUM(AZ13*BA13)</f>
        <v>60000000</v>
      </c>
      <c r="BC13" s="420">
        <f>BB18/BB40</f>
        <v>0.6644144144144144</v>
      </c>
      <c r="BD13" s="110">
        <f>IF(EXACT(VLOOKUP(AV13,OFERTA_0,2,FALSE),AW13),1,0)</f>
        <v>1</v>
      </c>
      <c r="BE13" s="110">
        <f>IF(EXACT(VLOOKUP(AV13,OFERTA_0,4,FALSE),AY13),1,0)</f>
        <v>1</v>
      </c>
      <c r="BF13" s="111">
        <f>IF(EXACT(VLOOKUP(AV13,OFERTA_0,5,FALSE),AZ13),1,0)</f>
        <v>1</v>
      </c>
      <c r="BG13" s="111">
        <f>IF(BA13=0,0,1)</f>
        <v>1</v>
      </c>
      <c r="BH13" s="111">
        <f>IF(BB13=0,0,1)</f>
        <v>1</v>
      </c>
      <c r="BI13" s="111">
        <f>PRODUCT(BD13:BH13)</f>
        <v>1</v>
      </c>
      <c r="BJ13" s="112">
        <f>ROUND(BB13,0)</f>
        <v>60000000</v>
      </c>
      <c r="BK13" s="113">
        <f>BB13-BJ13</f>
        <v>0</v>
      </c>
      <c r="BN13" s="290"/>
      <c r="BO13" s="291"/>
      <c r="BP13" s="291"/>
      <c r="BQ13" s="292"/>
      <c r="BR13" s="293"/>
      <c r="BS13" s="294"/>
      <c r="BT13" s="295"/>
      <c r="BU13" s="430" t="e">
        <f>BT18/BT40</f>
        <v>#DIV/0!</v>
      </c>
      <c r="BV13" s="110" t="e">
        <f>IF(EXACT(VLOOKUP(BN13,OFERTA_0,2,FALSE),BO13),1,0)</f>
        <v>#N/A</v>
      </c>
      <c r="BW13" s="110" t="e">
        <f t="shared" ref="BW13" si="1">IF(EXACT(VLOOKUP(BN13,OFERTA_0,3,FALSE),BQ13),1,0)</f>
        <v>#N/A</v>
      </c>
      <c r="BX13" s="111" t="e">
        <f t="shared" ref="BX13" si="2">IF(EXACT(VLOOKUP(BN13,OFERTA_0,4,FALSE),BR13),1,0)</f>
        <v>#N/A</v>
      </c>
      <c r="BY13" s="111">
        <f>IF(BS13=0,0,1)</f>
        <v>0</v>
      </c>
      <c r="BZ13" s="111">
        <f>IF(BT13=0,0,1)</f>
        <v>0</v>
      </c>
      <c r="CA13" s="111" t="e">
        <f>PRODUCT(BV13:BZ13)</f>
        <v>#N/A</v>
      </c>
      <c r="CB13" s="112">
        <f>ROUND(BT13,0)</f>
        <v>0</v>
      </c>
      <c r="CC13" s="113">
        <f>BT13-CB13</f>
        <v>0</v>
      </c>
      <c r="CF13" s="271"/>
      <c r="CG13" s="245"/>
      <c r="CH13" s="245"/>
      <c r="CI13" s="246"/>
      <c r="CJ13" s="247"/>
      <c r="CK13" s="248"/>
      <c r="CL13" s="249"/>
      <c r="CM13" s="430"/>
      <c r="CN13" s="265" t="e">
        <f>IF(EXACT(VLOOKUP(CF13,OFERTA_0,2,FALSE),CG13),1,0)</f>
        <v>#N/A</v>
      </c>
      <c r="CO13" s="110" t="e">
        <f t="shared" ref="CO13" si="3">IF(EXACT(VLOOKUP(CF13,OFERTA_0,3,FALSE),CI13),1,0)</f>
        <v>#N/A</v>
      </c>
      <c r="CP13" s="111" t="e">
        <f t="shared" ref="CP13" si="4">IF(EXACT(VLOOKUP(CF13,OFERTA_0,4,FALSE),CJ13),1,0)</f>
        <v>#N/A</v>
      </c>
      <c r="CQ13" s="111">
        <f>IF(CK13=0,0,1)</f>
        <v>0</v>
      </c>
      <c r="CR13" s="111">
        <f>IF(CL13=0,0,1)</f>
        <v>0</v>
      </c>
      <c r="CS13" s="111" t="e">
        <f>PRODUCT(CN13:CR13)</f>
        <v>#N/A</v>
      </c>
      <c r="CT13" s="112">
        <f>ROUND(CL13,0)</f>
        <v>0</v>
      </c>
      <c r="CU13" s="113">
        <f>CL13-CT13</f>
        <v>0</v>
      </c>
    </row>
    <row r="14" spans="2:99" ht="38.25">
      <c r="B14" s="271" t="s">
        <v>160</v>
      </c>
      <c r="C14" s="245" t="s">
        <v>161</v>
      </c>
      <c r="D14" s="245" t="s">
        <v>162</v>
      </c>
      <c r="E14" s="246" t="s">
        <v>120</v>
      </c>
      <c r="F14" s="247">
        <v>100</v>
      </c>
      <c r="G14" s="284"/>
      <c r="H14" s="285"/>
      <c r="I14" s="421"/>
      <c r="L14" s="316" t="s">
        <v>160</v>
      </c>
      <c r="M14" s="388" t="s">
        <v>161</v>
      </c>
      <c r="N14" s="388" t="s">
        <v>162</v>
      </c>
      <c r="O14" s="388" t="s">
        <v>120</v>
      </c>
      <c r="P14" s="316">
        <v>4</v>
      </c>
      <c r="Q14" s="318">
        <v>7100000</v>
      </c>
      <c r="R14" s="319">
        <f t="shared" ref="R14:R17" si="5">SUM(P14*Q14)</f>
        <v>28400000</v>
      </c>
      <c r="S14" s="421"/>
      <c r="T14" s="110">
        <f>IF(EXACT(VLOOKUP(L14,OFERTA_0,2,FALSE),M14),1,0)</f>
        <v>1</v>
      </c>
      <c r="U14" s="110">
        <f>IF(EXACT(VLOOKUP(L14,OFERTA_0,3,FALSE),O14),1,0)</f>
        <v>0</v>
      </c>
      <c r="V14" s="110">
        <f>IF(EXACT(VLOOKUP(L14,OFERTA_0,4,FALSE),P14),1,0)</f>
        <v>0</v>
      </c>
      <c r="W14" s="110">
        <f t="shared" ref="W14:X29" si="6">IF(Q14=0,0,1)</f>
        <v>1</v>
      </c>
      <c r="X14" s="110">
        <f t="shared" si="6"/>
        <v>1</v>
      </c>
      <c r="Y14" s="110">
        <f t="shared" ref="Y14:Y35" si="7">PRODUCT(T14:X14)</f>
        <v>0</v>
      </c>
      <c r="Z14" s="331">
        <f>ROUND(R14,0)</f>
        <v>28400000</v>
      </c>
      <c r="AA14" s="332">
        <f>R14-Z14</f>
        <v>0</v>
      </c>
      <c r="AB14" s="107"/>
      <c r="AC14" s="107"/>
      <c r="AD14" s="337" t="s">
        <v>160</v>
      </c>
      <c r="AE14" s="338" t="s">
        <v>161</v>
      </c>
      <c r="AF14" s="338" t="s">
        <v>162</v>
      </c>
      <c r="AG14" s="339" t="s">
        <v>120</v>
      </c>
      <c r="AH14" s="340">
        <v>100</v>
      </c>
      <c r="AI14" s="341">
        <v>171520</v>
      </c>
      <c r="AJ14" s="342">
        <f t="shared" ref="AJ14:AJ17" si="8">SUM(AH14*AI14)</f>
        <v>17152000</v>
      </c>
      <c r="AK14" s="421"/>
      <c r="AL14" s="110">
        <f>IF(EXACT(VLOOKUP(AD14,OFERTA_0,2,FALSE),AE14),1,0)</f>
        <v>1</v>
      </c>
      <c r="AM14" s="110">
        <f>IF(EXACT(VLOOKUP(AD14,OFERTA_0,4,FALSE),AG14),1,0)</f>
        <v>1</v>
      </c>
      <c r="AN14" s="111">
        <f>IF(EXACT(VLOOKUP(AD14,OFERTA_0,5,FALSE),AH14),1,0)</f>
        <v>1</v>
      </c>
      <c r="AO14" s="111">
        <f>IF(AI14=0,0,1)</f>
        <v>1</v>
      </c>
      <c r="AP14" s="111">
        <f>IF(AJ14=0,0,1)</f>
        <v>1</v>
      </c>
      <c r="AQ14" s="111">
        <f>PRODUCT(AL14:AP14)</f>
        <v>1</v>
      </c>
      <c r="AR14" s="112">
        <f>ROUND(AJ14,0)</f>
        <v>17152000</v>
      </c>
      <c r="AS14" s="113">
        <f>AJ14-AR14</f>
        <v>0</v>
      </c>
      <c r="AT14" s="107"/>
      <c r="AU14" s="107"/>
      <c r="AV14" s="360" t="s">
        <v>160</v>
      </c>
      <c r="AW14" s="361" t="s">
        <v>161</v>
      </c>
      <c r="AX14" s="361" t="s">
        <v>162</v>
      </c>
      <c r="AY14" s="362" t="s">
        <v>120</v>
      </c>
      <c r="AZ14" s="363">
        <v>100</v>
      </c>
      <c r="BA14" s="364">
        <v>20000</v>
      </c>
      <c r="BB14" s="365">
        <f t="shared" ref="BB14:BB17" si="9">SUM(AZ14*BA14)</f>
        <v>2000000</v>
      </c>
      <c r="BC14" s="421"/>
      <c r="BD14" s="110">
        <f>IF(EXACT(VLOOKUP(AV14,OFERTA_0,2,FALSE),AW14),1,0)</f>
        <v>1</v>
      </c>
      <c r="BE14" s="110">
        <f>IF(EXACT(VLOOKUP(AV14,OFERTA_0,4,FALSE),AY14),1,0)</f>
        <v>1</v>
      </c>
      <c r="BF14" s="111">
        <f>IF(EXACT(VLOOKUP(AV14,OFERTA_0,5,FALSE),AZ14),1,0)</f>
        <v>1</v>
      </c>
      <c r="BG14" s="111">
        <f>IF(BA14=0,0,1)</f>
        <v>1</v>
      </c>
      <c r="BH14" s="111">
        <f>IF(BB14=0,0,1)</f>
        <v>1</v>
      </c>
      <c r="BI14" s="111">
        <f>PRODUCT(BD14:BH14)</f>
        <v>1</v>
      </c>
      <c r="BJ14" s="112">
        <f>ROUND(BB14,0)</f>
        <v>2000000</v>
      </c>
      <c r="BK14" s="113">
        <f>BB14-BJ14</f>
        <v>0</v>
      </c>
      <c r="BN14" s="290"/>
      <c r="BO14" s="291"/>
      <c r="BP14" s="291"/>
      <c r="BQ14" s="292"/>
      <c r="BR14" s="293"/>
      <c r="BS14" s="294"/>
      <c r="BT14" s="295"/>
      <c r="BU14" s="431"/>
      <c r="BV14" s="110" t="e">
        <f>IF(EXACT(VLOOKUP(BN14,OFERTA_0,2,FALSE),BO14),1,0)</f>
        <v>#N/A</v>
      </c>
      <c r="BW14" s="110" t="e">
        <f>IF(EXACT(VLOOKUP(BN14,OFERTA_0,3,FALSE),BQ14),1,0)</f>
        <v>#N/A</v>
      </c>
      <c r="BX14" s="111" t="e">
        <f>IF(EXACT(VLOOKUP(BN14,OFERTA_0,4,FALSE),BR14),1,0)</f>
        <v>#N/A</v>
      </c>
      <c r="BY14" s="111">
        <f t="shared" ref="BY14" si="10">IF(BS14=0,0,1)</f>
        <v>0</v>
      </c>
      <c r="BZ14" s="111">
        <f t="shared" ref="BZ14" si="11">IF(BT14=0,0,1)</f>
        <v>0</v>
      </c>
      <c r="CA14" s="111" t="e">
        <f t="shared" ref="CA14" si="12">PRODUCT(BV14:BZ14)</f>
        <v>#N/A</v>
      </c>
      <c r="CB14" s="112">
        <f>ROUND(BT14,0)</f>
        <v>0</v>
      </c>
      <c r="CC14" s="113">
        <f>BT14-CB14</f>
        <v>0</v>
      </c>
      <c r="CF14" s="271"/>
      <c r="CG14" s="245"/>
      <c r="CH14" s="245"/>
      <c r="CI14" s="246"/>
      <c r="CJ14" s="247"/>
      <c r="CK14" s="248"/>
      <c r="CL14" s="249"/>
      <c r="CM14" s="431"/>
      <c r="CN14" s="265" t="e">
        <f>IF(EXACT(VLOOKUP(CF14,OFERTA_0,2,FALSE),CG14),1,0)</f>
        <v>#N/A</v>
      </c>
      <c r="CO14" s="110" t="e">
        <f>IF(EXACT(VLOOKUP(CF14,OFERTA_0,3,FALSE),CI14),1,0)</f>
        <v>#N/A</v>
      </c>
      <c r="CP14" s="111" t="e">
        <f>IF(EXACT(VLOOKUP(CF14,OFERTA_0,4,FALSE),CJ14),1,0)</f>
        <v>#N/A</v>
      </c>
      <c r="CQ14" s="111">
        <f t="shared" ref="CQ14" si="13">IF(CK14=0,0,1)</f>
        <v>0</v>
      </c>
      <c r="CR14" s="111">
        <f t="shared" ref="CR14" si="14">IF(CL14=0,0,1)</f>
        <v>0</v>
      </c>
      <c r="CS14" s="111" t="e">
        <f t="shared" ref="CS14" si="15">PRODUCT(CN14:CR14)</f>
        <v>#N/A</v>
      </c>
      <c r="CT14" s="112">
        <f>ROUND(CL14,0)</f>
        <v>0</v>
      </c>
      <c r="CU14" s="113">
        <f>CL14-CT14</f>
        <v>0</v>
      </c>
    </row>
    <row r="15" spans="2:99">
      <c r="B15" s="271" t="s">
        <v>163</v>
      </c>
      <c r="C15" s="245" t="s">
        <v>164</v>
      </c>
      <c r="D15" s="245" t="s">
        <v>165</v>
      </c>
      <c r="E15" s="246" t="s">
        <v>120</v>
      </c>
      <c r="F15" s="250">
        <v>100</v>
      </c>
      <c r="G15" s="284"/>
      <c r="H15" s="285"/>
      <c r="I15" s="421"/>
      <c r="J15" s="78"/>
      <c r="L15" s="316" t="s">
        <v>163</v>
      </c>
      <c r="M15" s="388" t="s">
        <v>164</v>
      </c>
      <c r="N15" s="388" t="s">
        <v>165</v>
      </c>
      <c r="O15" s="388" t="s">
        <v>120</v>
      </c>
      <c r="P15" s="316">
        <v>4</v>
      </c>
      <c r="Q15" s="318">
        <v>580000</v>
      </c>
      <c r="R15" s="319">
        <f t="shared" si="5"/>
        <v>2320000</v>
      </c>
      <c r="S15" s="421"/>
      <c r="T15" s="110">
        <f>IF(EXACT(VLOOKUP(L15,OFERTA_0,2,FALSE),M15),1,0)</f>
        <v>1</v>
      </c>
      <c r="U15" s="110">
        <f>IF(EXACT(VLOOKUP(L15,OFERTA_0,3,FALSE),O15),1,0)</f>
        <v>0</v>
      </c>
      <c r="V15" s="110">
        <f>IF(EXACT(VLOOKUP(L15,OFERTA_0,4,FALSE),P15),1,0)</f>
        <v>0</v>
      </c>
      <c r="W15" s="110">
        <f t="shared" si="6"/>
        <v>1</v>
      </c>
      <c r="X15" s="110">
        <f t="shared" si="6"/>
        <v>1</v>
      </c>
      <c r="Y15" s="110">
        <f t="shared" si="7"/>
        <v>0</v>
      </c>
      <c r="Z15" s="331">
        <f t="shared" ref="Z15:Z35" si="16">ROUND(R15,0)</f>
        <v>2320000</v>
      </c>
      <c r="AA15" s="332">
        <f t="shared" ref="AA15:AA35" si="17">R15-Z15</f>
        <v>0</v>
      </c>
      <c r="AB15" s="107"/>
      <c r="AC15" s="107"/>
      <c r="AD15" s="337" t="s">
        <v>163</v>
      </c>
      <c r="AE15" s="338" t="s">
        <v>164</v>
      </c>
      <c r="AF15" s="338" t="s">
        <v>165</v>
      </c>
      <c r="AG15" s="339" t="s">
        <v>120</v>
      </c>
      <c r="AH15" s="343">
        <v>100</v>
      </c>
      <c r="AI15" s="341">
        <v>24120</v>
      </c>
      <c r="AJ15" s="342">
        <f t="shared" si="8"/>
        <v>2412000</v>
      </c>
      <c r="AK15" s="421"/>
      <c r="AL15" s="110">
        <f>IF(EXACT(VLOOKUP(AD15,OFERTA_0,2,FALSE),AE15),1,0)</f>
        <v>1</v>
      </c>
      <c r="AM15" s="110">
        <f>IF(EXACT(VLOOKUP(AD15,OFERTA_0,4,FALSE),AG15),1,0)</f>
        <v>1</v>
      </c>
      <c r="AN15" s="111">
        <f>IF(EXACT(VLOOKUP(AD15,OFERTA_0,5,FALSE),AH15),1,0)</f>
        <v>1</v>
      </c>
      <c r="AO15" s="111">
        <f t="shared" ref="AO15:AO35" si="18">IF(AI15=0,0,1)</f>
        <v>1</v>
      </c>
      <c r="AP15" s="111">
        <f t="shared" ref="AP15:AP35" si="19">IF(AJ15=0,0,1)</f>
        <v>1</v>
      </c>
      <c r="AQ15" s="111">
        <f t="shared" ref="AQ15:AQ35" si="20">PRODUCT(AL15:AP15)</f>
        <v>1</v>
      </c>
      <c r="AR15" s="112">
        <f t="shared" ref="AR15:AR35" si="21">ROUND(AJ15,0)</f>
        <v>2412000</v>
      </c>
      <c r="AS15" s="113">
        <f t="shared" ref="AS15:AS35" si="22">AJ15-AR15</f>
        <v>0</v>
      </c>
      <c r="AT15" s="107"/>
      <c r="AU15" s="107"/>
      <c r="AV15" s="360" t="s">
        <v>163</v>
      </c>
      <c r="AW15" s="361" t="s">
        <v>164</v>
      </c>
      <c r="AX15" s="361" t="s">
        <v>165</v>
      </c>
      <c r="AY15" s="362" t="s">
        <v>120</v>
      </c>
      <c r="AZ15" s="366">
        <v>100</v>
      </c>
      <c r="BA15" s="364">
        <v>25000</v>
      </c>
      <c r="BB15" s="365">
        <f t="shared" si="9"/>
        <v>2500000</v>
      </c>
      <c r="BC15" s="421"/>
      <c r="BD15" s="110">
        <f>IF(EXACT(VLOOKUP(AV15,OFERTA_0,2,FALSE),AW15),1,0)</f>
        <v>1</v>
      </c>
      <c r="BE15" s="110">
        <f>IF(EXACT(VLOOKUP(AV15,OFERTA_0,4,FALSE),AY15),1,0)</f>
        <v>1</v>
      </c>
      <c r="BF15" s="111">
        <f>IF(EXACT(VLOOKUP(AV15,OFERTA_0,5,FALSE),AZ15),1,0)</f>
        <v>1</v>
      </c>
      <c r="BG15" s="111">
        <f t="shared" ref="BG15:BG35" si="23">IF(BA15=0,0,1)</f>
        <v>1</v>
      </c>
      <c r="BH15" s="111">
        <f t="shared" ref="BH15:BH35" si="24">IF(BB15=0,0,1)</f>
        <v>1</v>
      </c>
      <c r="BI15" s="111">
        <f t="shared" ref="BI15:BI35" si="25">PRODUCT(BD15:BH15)</f>
        <v>1</v>
      </c>
      <c r="BJ15" s="112">
        <f t="shared" ref="BJ15:BJ35" si="26">ROUND(BB15,0)</f>
        <v>2500000</v>
      </c>
      <c r="BK15" s="113">
        <f t="shared" ref="BK15:BK35" si="27">BB15-BJ15</f>
        <v>0</v>
      </c>
      <c r="BN15" s="290"/>
      <c r="BO15" s="291"/>
      <c r="BP15" s="291"/>
      <c r="BQ15" s="292"/>
      <c r="BR15" s="296"/>
      <c r="BS15" s="294"/>
      <c r="BT15" s="295"/>
      <c r="BU15" s="431"/>
      <c r="BV15" s="110" t="e">
        <f>IF(EXACT(VLOOKUP(BN15,OFERTA_0,2,FALSE),BO15),1,0)</f>
        <v>#N/A</v>
      </c>
      <c r="BW15" s="110" t="e">
        <f>IF(EXACT(VLOOKUP(BN15,OFERTA_0,3,FALSE),BQ15),1,0)</f>
        <v>#N/A</v>
      </c>
      <c r="BX15" s="111" t="e">
        <f>IF(EXACT(VLOOKUP(BN15,OFERTA_0,4,FALSE),BR15),1,0)</f>
        <v>#N/A</v>
      </c>
      <c r="BY15" s="111">
        <f t="shared" ref="BY15:BY35" si="28">IF(BS15=0,0,1)</f>
        <v>0</v>
      </c>
      <c r="BZ15" s="111">
        <f t="shared" ref="BZ15:BZ35" si="29">IF(BT15=0,0,1)</f>
        <v>0</v>
      </c>
      <c r="CA15" s="111" t="e">
        <f t="shared" ref="CA15:CA35" si="30">PRODUCT(BV15:BZ15)</f>
        <v>#N/A</v>
      </c>
      <c r="CB15" s="112">
        <f t="shared" ref="CB15:CB35" si="31">ROUND(BT15,0)</f>
        <v>0</v>
      </c>
      <c r="CC15" s="113">
        <f t="shared" ref="CC15:CC35" si="32">BT15-CB15</f>
        <v>0</v>
      </c>
      <c r="CF15" s="271"/>
      <c r="CG15" s="245"/>
      <c r="CH15" s="245"/>
      <c r="CI15" s="246"/>
      <c r="CJ15" s="250"/>
      <c r="CK15" s="248"/>
      <c r="CL15" s="249"/>
      <c r="CM15" s="431"/>
      <c r="CN15" s="265" t="e">
        <f>IF(EXACT(VLOOKUP(CF15,OFERTA_0,2,FALSE),CG15),1,0)</f>
        <v>#N/A</v>
      </c>
      <c r="CO15" s="110" t="e">
        <f t="shared" ref="CO15:CO17" si="33">IF(EXACT(VLOOKUP(CF15,OFERTA_0,3,FALSE),CI15),1,0)</f>
        <v>#N/A</v>
      </c>
      <c r="CP15" s="111" t="e">
        <f t="shared" ref="CP15:CP17" si="34">IF(EXACT(VLOOKUP(CF15,OFERTA_0,4,FALSE),CJ15),1,0)</f>
        <v>#N/A</v>
      </c>
      <c r="CQ15" s="111">
        <f t="shared" ref="CQ15:CQ17" si="35">IF(CK15=0,0,1)</f>
        <v>0</v>
      </c>
      <c r="CR15" s="111">
        <f t="shared" ref="CR15:CR17" si="36">IF(CL15=0,0,1)</f>
        <v>0</v>
      </c>
      <c r="CS15" s="111" t="e">
        <f t="shared" ref="CS15:CS17" si="37">PRODUCT(CN15:CR15)</f>
        <v>#N/A</v>
      </c>
      <c r="CT15" s="112">
        <f t="shared" ref="CT15:CT17" si="38">ROUND(CL15,0)</f>
        <v>0</v>
      </c>
      <c r="CU15" s="113">
        <f t="shared" ref="CU15:CU17" si="39">CL15-CT15</f>
        <v>0</v>
      </c>
    </row>
    <row r="16" spans="2:99" ht="38.25">
      <c r="B16" s="271" t="s">
        <v>166</v>
      </c>
      <c r="C16" s="245" t="s">
        <v>167</v>
      </c>
      <c r="D16" s="245" t="s">
        <v>168</v>
      </c>
      <c r="E16" s="246" t="s">
        <v>120</v>
      </c>
      <c r="F16" s="250">
        <v>10</v>
      </c>
      <c r="G16" s="284"/>
      <c r="H16" s="285"/>
      <c r="I16" s="421"/>
      <c r="J16" s="107"/>
      <c r="L16" s="316" t="s">
        <v>166</v>
      </c>
      <c r="M16" s="388" t="s">
        <v>167</v>
      </c>
      <c r="N16" s="388" t="s">
        <v>168</v>
      </c>
      <c r="O16" s="388" t="s">
        <v>120</v>
      </c>
      <c r="P16" s="316">
        <v>4</v>
      </c>
      <c r="Q16" s="318">
        <v>1800000</v>
      </c>
      <c r="R16" s="319">
        <f t="shared" si="5"/>
        <v>7200000</v>
      </c>
      <c r="S16" s="421"/>
      <c r="T16" s="110">
        <f>IF(EXACT(VLOOKUP(L16,OFERTA_0,2,FALSE),M16),1,0)</f>
        <v>1</v>
      </c>
      <c r="U16" s="110">
        <f>IF(EXACT(VLOOKUP(L16,OFERTA_0,3,FALSE),O16),1,0)</f>
        <v>0</v>
      </c>
      <c r="V16" s="110">
        <f>IF(EXACT(VLOOKUP(L16,OFERTA_0,4,FALSE),P16),1,0)</f>
        <v>0</v>
      </c>
      <c r="W16" s="110">
        <f t="shared" si="6"/>
        <v>1</v>
      </c>
      <c r="X16" s="110">
        <f t="shared" si="6"/>
        <v>1</v>
      </c>
      <c r="Y16" s="110">
        <f t="shared" si="7"/>
        <v>0</v>
      </c>
      <c r="Z16" s="331">
        <f t="shared" si="16"/>
        <v>7200000</v>
      </c>
      <c r="AA16" s="332">
        <f t="shared" si="17"/>
        <v>0</v>
      </c>
      <c r="AB16" s="107"/>
      <c r="AC16" s="107"/>
      <c r="AD16" s="337" t="s">
        <v>166</v>
      </c>
      <c r="AE16" s="338" t="s">
        <v>167</v>
      </c>
      <c r="AF16" s="338" t="s">
        <v>168</v>
      </c>
      <c r="AG16" s="339" t="s">
        <v>120</v>
      </c>
      <c r="AH16" s="343">
        <v>10</v>
      </c>
      <c r="AI16" s="341">
        <v>240000</v>
      </c>
      <c r="AJ16" s="342">
        <f t="shared" si="8"/>
        <v>2400000</v>
      </c>
      <c r="AK16" s="421"/>
      <c r="AL16" s="110">
        <f>IF(EXACT(VLOOKUP(AD16,OFERTA_0,2,FALSE),AE16),1,0)</f>
        <v>1</v>
      </c>
      <c r="AM16" s="110">
        <f>IF(EXACT(VLOOKUP(AD16,OFERTA_0,4,FALSE),AG16),1,0)</f>
        <v>1</v>
      </c>
      <c r="AN16" s="111">
        <f>IF(EXACT(VLOOKUP(AD16,OFERTA_0,5,FALSE),AH16),1,0)</f>
        <v>1</v>
      </c>
      <c r="AO16" s="111">
        <f t="shared" si="18"/>
        <v>1</v>
      </c>
      <c r="AP16" s="111">
        <f t="shared" si="19"/>
        <v>1</v>
      </c>
      <c r="AQ16" s="111">
        <f t="shared" si="20"/>
        <v>1</v>
      </c>
      <c r="AR16" s="112">
        <f t="shared" si="21"/>
        <v>2400000</v>
      </c>
      <c r="AS16" s="113">
        <f t="shared" si="22"/>
        <v>0</v>
      </c>
      <c r="AT16" s="107"/>
      <c r="AV16" s="360" t="s">
        <v>166</v>
      </c>
      <c r="AW16" s="361" t="s">
        <v>167</v>
      </c>
      <c r="AX16" s="361" t="s">
        <v>168</v>
      </c>
      <c r="AY16" s="362" t="s">
        <v>120</v>
      </c>
      <c r="AZ16" s="366">
        <v>10</v>
      </c>
      <c r="BA16" s="364">
        <v>400000</v>
      </c>
      <c r="BB16" s="365">
        <f t="shared" si="9"/>
        <v>4000000</v>
      </c>
      <c r="BC16" s="421"/>
      <c r="BD16" s="110">
        <f>IF(EXACT(VLOOKUP(AV16,OFERTA_0,2,FALSE),AW16),1,0)</f>
        <v>1</v>
      </c>
      <c r="BE16" s="110">
        <f>IF(EXACT(VLOOKUP(AV16,OFERTA_0,4,FALSE),AY16),1,0)</f>
        <v>1</v>
      </c>
      <c r="BF16" s="111">
        <f>IF(EXACT(VLOOKUP(AV16,OFERTA_0,5,FALSE),AZ16),1,0)</f>
        <v>1</v>
      </c>
      <c r="BG16" s="111">
        <f t="shared" si="23"/>
        <v>1</v>
      </c>
      <c r="BH16" s="111">
        <f t="shared" si="24"/>
        <v>1</v>
      </c>
      <c r="BI16" s="111">
        <f t="shared" si="25"/>
        <v>1</v>
      </c>
      <c r="BJ16" s="112">
        <f t="shared" si="26"/>
        <v>4000000</v>
      </c>
      <c r="BK16" s="113">
        <f t="shared" si="27"/>
        <v>0</v>
      </c>
      <c r="BN16" s="290"/>
      <c r="BO16" s="291"/>
      <c r="BP16" s="291"/>
      <c r="BQ16" s="292"/>
      <c r="BR16" s="296"/>
      <c r="BS16" s="294"/>
      <c r="BT16" s="295"/>
      <c r="BU16" s="431"/>
      <c r="BV16" s="110" t="e">
        <f>IF(EXACT(VLOOKUP(BN16,OFERTA_0,2,FALSE),BO16),1,0)</f>
        <v>#N/A</v>
      </c>
      <c r="BW16" s="110" t="e">
        <f>IF(EXACT(VLOOKUP(BN16,OFERTA_0,3,FALSE),BQ16),1,0)</f>
        <v>#N/A</v>
      </c>
      <c r="BX16" s="111" t="e">
        <f>IF(EXACT(VLOOKUP(BN16,OFERTA_0,4,FALSE),BR16),1,0)</f>
        <v>#N/A</v>
      </c>
      <c r="BY16" s="111">
        <f t="shared" si="28"/>
        <v>0</v>
      </c>
      <c r="BZ16" s="111">
        <f t="shared" si="29"/>
        <v>0</v>
      </c>
      <c r="CA16" s="111" t="e">
        <f t="shared" si="30"/>
        <v>#N/A</v>
      </c>
      <c r="CB16" s="112">
        <f t="shared" si="31"/>
        <v>0</v>
      </c>
      <c r="CC16" s="113">
        <f t="shared" si="32"/>
        <v>0</v>
      </c>
      <c r="CF16" s="271"/>
      <c r="CG16" s="245"/>
      <c r="CH16" s="245"/>
      <c r="CI16" s="246"/>
      <c r="CJ16" s="250"/>
      <c r="CK16" s="248"/>
      <c r="CL16" s="249"/>
      <c r="CM16" s="431"/>
      <c r="CN16" s="265" t="e">
        <f>IF(EXACT(VLOOKUP(CF16,OFERTA_0,2,FALSE),CG16),1,0)</f>
        <v>#N/A</v>
      </c>
      <c r="CO16" s="110" t="e">
        <f t="shared" si="33"/>
        <v>#N/A</v>
      </c>
      <c r="CP16" s="111" t="e">
        <f t="shared" si="34"/>
        <v>#N/A</v>
      </c>
      <c r="CQ16" s="111">
        <f t="shared" si="35"/>
        <v>0</v>
      </c>
      <c r="CR16" s="111">
        <f t="shared" si="36"/>
        <v>0</v>
      </c>
      <c r="CS16" s="111" t="e">
        <f t="shared" si="37"/>
        <v>#N/A</v>
      </c>
      <c r="CT16" s="112">
        <f t="shared" si="38"/>
        <v>0</v>
      </c>
      <c r="CU16" s="113">
        <f t="shared" si="39"/>
        <v>0</v>
      </c>
    </row>
    <row r="17" spans="2:99" ht="38.25">
      <c r="B17" s="271" t="s">
        <v>169</v>
      </c>
      <c r="C17" s="245" t="s">
        <v>170</v>
      </c>
      <c r="D17" s="245" t="s">
        <v>171</v>
      </c>
      <c r="E17" s="246" t="s">
        <v>72</v>
      </c>
      <c r="F17" s="250">
        <v>1000</v>
      </c>
      <c r="G17" s="284"/>
      <c r="H17" s="285"/>
      <c r="I17" s="421"/>
      <c r="L17" s="316" t="s">
        <v>169</v>
      </c>
      <c r="M17" s="388" t="s">
        <v>170</v>
      </c>
      <c r="N17" s="388" t="s">
        <v>171</v>
      </c>
      <c r="O17" s="388" t="s">
        <v>72</v>
      </c>
      <c r="P17" s="316">
        <v>1</v>
      </c>
      <c r="Q17" s="318">
        <v>1500000</v>
      </c>
      <c r="R17" s="319">
        <f t="shared" si="5"/>
        <v>1500000</v>
      </c>
      <c r="S17" s="421"/>
      <c r="T17" s="110">
        <f>IF(EXACT(VLOOKUP(L17,OFERTA_0,2,FALSE),M17),1,0)</f>
        <v>1</v>
      </c>
      <c r="U17" s="110">
        <f>IF(EXACT(VLOOKUP(L17,OFERTA_0,3,FALSE),O17),1,0)</f>
        <v>0</v>
      </c>
      <c r="V17" s="110">
        <f>IF(EXACT(VLOOKUP(L17,OFERTA_0,4,FALSE),P17),1,0)</f>
        <v>0</v>
      </c>
      <c r="W17" s="110">
        <f t="shared" si="6"/>
        <v>1</v>
      </c>
      <c r="X17" s="110">
        <f t="shared" si="6"/>
        <v>1</v>
      </c>
      <c r="Y17" s="110">
        <f t="shared" si="7"/>
        <v>0</v>
      </c>
      <c r="Z17" s="331">
        <f t="shared" si="16"/>
        <v>1500000</v>
      </c>
      <c r="AA17" s="332">
        <f t="shared" si="17"/>
        <v>0</v>
      </c>
      <c r="AB17" s="107"/>
      <c r="AC17" s="107"/>
      <c r="AD17" s="337" t="s">
        <v>169</v>
      </c>
      <c r="AE17" s="338" t="s">
        <v>170</v>
      </c>
      <c r="AF17" s="338" t="s">
        <v>171</v>
      </c>
      <c r="AG17" s="339" t="s">
        <v>72</v>
      </c>
      <c r="AH17" s="343">
        <v>1000</v>
      </c>
      <c r="AI17" s="341">
        <v>2400</v>
      </c>
      <c r="AJ17" s="342">
        <f t="shared" si="8"/>
        <v>2400000</v>
      </c>
      <c r="AK17" s="421"/>
      <c r="AL17" s="110">
        <f>IF(EXACT(VLOOKUP(AD17,OFERTA_0,2,FALSE),AE17),1,0)</f>
        <v>1</v>
      </c>
      <c r="AM17" s="110">
        <f>IF(EXACT(VLOOKUP(AD17,OFERTA_0,4,FALSE),AG17),1,0)</f>
        <v>1</v>
      </c>
      <c r="AN17" s="111">
        <f>IF(EXACT(VLOOKUP(AD17,OFERTA_0,5,FALSE),AH17),1,0)</f>
        <v>1</v>
      </c>
      <c r="AO17" s="111">
        <f t="shared" si="18"/>
        <v>1</v>
      </c>
      <c r="AP17" s="111">
        <f t="shared" si="19"/>
        <v>1</v>
      </c>
      <c r="AQ17" s="111">
        <f t="shared" si="20"/>
        <v>1</v>
      </c>
      <c r="AR17" s="112">
        <f t="shared" si="21"/>
        <v>2400000</v>
      </c>
      <c r="AS17" s="113">
        <f t="shared" si="22"/>
        <v>0</v>
      </c>
      <c r="AT17" s="107"/>
      <c r="AV17" s="360" t="s">
        <v>169</v>
      </c>
      <c r="AW17" s="361" t="s">
        <v>170</v>
      </c>
      <c r="AX17" s="361" t="s">
        <v>171</v>
      </c>
      <c r="AY17" s="362" t="s">
        <v>72</v>
      </c>
      <c r="AZ17" s="366">
        <v>1000</v>
      </c>
      <c r="BA17" s="364">
        <v>20000</v>
      </c>
      <c r="BB17" s="365">
        <f t="shared" si="9"/>
        <v>20000000</v>
      </c>
      <c r="BC17" s="421"/>
      <c r="BD17" s="110">
        <f>IF(EXACT(VLOOKUP(AV17,OFERTA_0,2,FALSE),AW17),1,0)</f>
        <v>1</v>
      </c>
      <c r="BE17" s="110">
        <f>IF(EXACT(VLOOKUP(AV17,OFERTA_0,4,FALSE),AY17),1,0)</f>
        <v>1</v>
      </c>
      <c r="BF17" s="111">
        <f>IF(EXACT(VLOOKUP(AV17,OFERTA_0,5,FALSE),AZ17),1,0)</f>
        <v>1</v>
      </c>
      <c r="BG17" s="111">
        <f t="shared" si="23"/>
        <v>1</v>
      </c>
      <c r="BH17" s="111">
        <f t="shared" si="24"/>
        <v>1</v>
      </c>
      <c r="BI17" s="111">
        <f t="shared" si="25"/>
        <v>1</v>
      </c>
      <c r="BJ17" s="112">
        <f t="shared" si="26"/>
        <v>20000000</v>
      </c>
      <c r="BK17" s="113">
        <f t="shared" si="27"/>
        <v>0</v>
      </c>
      <c r="BN17" s="290"/>
      <c r="BO17" s="291"/>
      <c r="BP17" s="291"/>
      <c r="BQ17" s="292"/>
      <c r="BR17" s="296"/>
      <c r="BS17" s="294"/>
      <c r="BT17" s="295"/>
      <c r="BU17" s="431"/>
      <c r="BV17" s="110" t="e">
        <f>IF(EXACT(VLOOKUP(BN17,OFERTA_0,2,FALSE),BO17),1,0)</f>
        <v>#N/A</v>
      </c>
      <c r="BW17" s="110" t="e">
        <f>IF(EXACT(VLOOKUP(BN17,OFERTA_0,3,FALSE),BQ17),1,0)</f>
        <v>#N/A</v>
      </c>
      <c r="BX17" s="111" t="e">
        <f>IF(EXACT(VLOOKUP(BN17,OFERTA_0,4,FALSE),BR17),1,0)</f>
        <v>#N/A</v>
      </c>
      <c r="BY17" s="111">
        <f t="shared" si="28"/>
        <v>0</v>
      </c>
      <c r="BZ17" s="111">
        <f t="shared" si="29"/>
        <v>0</v>
      </c>
      <c r="CA17" s="111" t="e">
        <f t="shared" si="30"/>
        <v>#N/A</v>
      </c>
      <c r="CB17" s="112">
        <f t="shared" si="31"/>
        <v>0</v>
      </c>
      <c r="CC17" s="113">
        <f t="shared" si="32"/>
        <v>0</v>
      </c>
      <c r="CF17" s="271"/>
      <c r="CG17" s="245"/>
      <c r="CH17" s="245"/>
      <c r="CI17" s="246"/>
      <c r="CJ17" s="250"/>
      <c r="CK17" s="248"/>
      <c r="CL17" s="249"/>
      <c r="CM17" s="431"/>
      <c r="CN17" s="265" t="e">
        <f>IF(EXACT(VLOOKUP(CF17,OFERTA_0,2,FALSE),CG17),1,0)</f>
        <v>#N/A</v>
      </c>
      <c r="CO17" s="110" t="e">
        <f t="shared" si="33"/>
        <v>#N/A</v>
      </c>
      <c r="CP17" s="111" t="e">
        <f t="shared" si="34"/>
        <v>#N/A</v>
      </c>
      <c r="CQ17" s="111">
        <f t="shared" si="35"/>
        <v>0</v>
      </c>
      <c r="CR17" s="111">
        <f t="shared" si="36"/>
        <v>0</v>
      </c>
      <c r="CS17" s="111" t="e">
        <f t="shared" si="37"/>
        <v>#N/A</v>
      </c>
      <c r="CT17" s="112">
        <f t="shared" si="38"/>
        <v>0</v>
      </c>
      <c r="CU17" s="113">
        <f t="shared" si="39"/>
        <v>0</v>
      </c>
    </row>
    <row r="18" spans="2:99" ht="12.75" customHeight="1">
      <c r="B18" s="272" t="s">
        <v>172</v>
      </c>
      <c r="C18" s="526" t="s">
        <v>173</v>
      </c>
      <c r="D18" s="526"/>
      <c r="E18" s="526"/>
      <c r="F18" s="526"/>
      <c r="G18" s="526"/>
      <c r="H18" s="251">
        <f>SUM(H13:H17)</f>
        <v>0</v>
      </c>
      <c r="I18" s="237"/>
      <c r="L18" s="387" t="s">
        <v>172</v>
      </c>
      <c r="M18" s="442" t="s">
        <v>173</v>
      </c>
      <c r="N18" s="442"/>
      <c r="O18" s="442"/>
      <c r="P18" s="442"/>
      <c r="Q18" s="442"/>
      <c r="R18" s="321">
        <f>SUM(R13:R17)</f>
        <v>71500000</v>
      </c>
      <c r="S18" s="237"/>
      <c r="T18" s="110"/>
      <c r="U18" s="110"/>
      <c r="V18" s="110"/>
      <c r="W18" s="110"/>
      <c r="X18" s="110"/>
      <c r="Y18" s="110"/>
      <c r="Z18" s="331"/>
      <c r="AA18" s="332"/>
      <c r="AB18" s="107"/>
      <c r="AC18" s="107"/>
      <c r="AD18" s="344" t="s">
        <v>172</v>
      </c>
      <c r="AE18" s="422" t="s">
        <v>173</v>
      </c>
      <c r="AF18" s="422"/>
      <c r="AG18" s="422"/>
      <c r="AH18" s="422"/>
      <c r="AI18" s="422"/>
      <c r="AJ18" s="345">
        <f>SUM(AJ13:AJ17)</f>
        <v>104764000</v>
      </c>
      <c r="AK18" s="237"/>
      <c r="AL18" s="110"/>
      <c r="AM18" s="110"/>
      <c r="AN18" s="111"/>
      <c r="AO18" s="111"/>
      <c r="AP18" s="111"/>
      <c r="AQ18" s="111"/>
      <c r="AR18" s="112"/>
      <c r="AS18" s="113"/>
      <c r="AT18" s="107"/>
      <c r="AV18" s="367" t="s">
        <v>172</v>
      </c>
      <c r="AW18" s="434" t="s">
        <v>173</v>
      </c>
      <c r="AX18" s="434"/>
      <c r="AY18" s="434"/>
      <c r="AZ18" s="434"/>
      <c r="BA18" s="434"/>
      <c r="BB18" s="368">
        <f>SUM(BB13:BB17)</f>
        <v>88500000</v>
      </c>
      <c r="BC18" s="237"/>
      <c r="BD18" s="110"/>
      <c r="BE18" s="110"/>
      <c r="BF18" s="111"/>
      <c r="BG18" s="111"/>
      <c r="BH18" s="111"/>
      <c r="BI18" s="111"/>
      <c r="BJ18" s="112"/>
      <c r="BK18" s="113"/>
      <c r="BN18" s="297"/>
      <c r="BO18" s="432"/>
      <c r="BP18" s="432"/>
      <c r="BQ18" s="432"/>
      <c r="BR18" s="432"/>
      <c r="BS18" s="432"/>
      <c r="BT18" s="298"/>
      <c r="BU18" s="273"/>
      <c r="BV18" s="110"/>
      <c r="BW18" s="110"/>
      <c r="BX18" s="111"/>
      <c r="BY18" s="111"/>
      <c r="BZ18" s="111"/>
      <c r="CA18" s="111"/>
      <c r="CB18" s="112"/>
      <c r="CC18" s="113"/>
      <c r="CF18" s="272"/>
      <c r="CG18" s="526"/>
      <c r="CH18" s="526"/>
      <c r="CI18" s="526"/>
      <c r="CJ18" s="526"/>
      <c r="CK18" s="526"/>
      <c r="CL18" s="251"/>
      <c r="CM18" s="273"/>
      <c r="CN18" s="265"/>
      <c r="CO18" s="110"/>
      <c r="CP18" s="111"/>
      <c r="CQ18" s="111"/>
      <c r="CR18" s="111"/>
      <c r="CS18" s="111"/>
      <c r="CT18" s="112"/>
      <c r="CU18" s="113"/>
    </row>
    <row r="19" spans="2:99">
      <c r="B19" s="272"/>
      <c r="C19" s="383" t="s">
        <v>174</v>
      </c>
      <c r="D19" s="383"/>
      <c r="E19" s="383"/>
      <c r="F19" s="383"/>
      <c r="G19" s="383"/>
      <c r="H19" s="251">
        <f>H18*19%</f>
        <v>0</v>
      </c>
      <c r="I19" s="114"/>
      <c r="L19" s="387"/>
      <c r="M19" s="387" t="s">
        <v>174</v>
      </c>
      <c r="N19" s="387"/>
      <c r="O19" s="387"/>
      <c r="P19" s="387"/>
      <c r="Q19" s="387"/>
      <c r="R19" s="321">
        <f>R18*19%</f>
        <v>13585000</v>
      </c>
      <c r="S19" s="114"/>
      <c r="T19" s="110"/>
      <c r="U19" s="110"/>
      <c r="V19" s="110"/>
      <c r="W19" s="110"/>
      <c r="X19" s="110"/>
      <c r="Y19" s="110"/>
      <c r="Z19" s="331"/>
      <c r="AA19" s="332"/>
      <c r="AB19" s="107"/>
      <c r="AC19" s="107"/>
      <c r="AD19" s="344"/>
      <c r="AE19" s="389" t="s">
        <v>174</v>
      </c>
      <c r="AF19" s="389"/>
      <c r="AG19" s="389"/>
      <c r="AH19" s="389"/>
      <c r="AI19" s="389"/>
      <c r="AJ19" s="345">
        <f>AJ18*19%</f>
        <v>19905160</v>
      </c>
      <c r="AK19" s="114"/>
      <c r="AL19" s="110"/>
      <c r="AM19" s="110"/>
      <c r="AN19" s="111"/>
      <c r="AO19" s="111"/>
      <c r="AP19" s="111"/>
      <c r="AQ19" s="111"/>
      <c r="AR19" s="112"/>
      <c r="AS19" s="113"/>
      <c r="AT19" s="107"/>
      <c r="AV19" s="367"/>
      <c r="AW19" s="391" t="s">
        <v>174</v>
      </c>
      <c r="AX19" s="391"/>
      <c r="AY19" s="391"/>
      <c r="AZ19" s="391"/>
      <c r="BA19" s="391"/>
      <c r="BB19" s="368">
        <f>BB18*19%</f>
        <v>16815000</v>
      </c>
      <c r="BC19" s="114"/>
      <c r="BD19" s="110"/>
      <c r="BE19" s="110"/>
      <c r="BF19" s="111"/>
      <c r="BG19" s="111"/>
      <c r="BH19" s="111"/>
      <c r="BI19" s="111"/>
      <c r="BJ19" s="112"/>
      <c r="BK19" s="113"/>
      <c r="BN19" s="297"/>
      <c r="BO19" s="390"/>
      <c r="BP19" s="390"/>
      <c r="BQ19" s="390"/>
      <c r="BR19" s="390"/>
      <c r="BS19" s="390"/>
      <c r="BT19" s="298"/>
      <c r="BU19" s="270"/>
      <c r="BV19" s="110"/>
      <c r="BW19" s="110"/>
      <c r="BX19" s="111"/>
      <c r="BY19" s="111"/>
      <c r="BZ19" s="111"/>
      <c r="CA19" s="111"/>
      <c r="CB19" s="112"/>
      <c r="CC19" s="113"/>
      <c r="CF19" s="272"/>
      <c r="CG19" s="383"/>
      <c r="CH19" s="383"/>
      <c r="CI19" s="383"/>
      <c r="CJ19" s="383"/>
      <c r="CK19" s="383"/>
      <c r="CL19" s="251"/>
      <c r="CM19" s="270"/>
      <c r="CN19" s="265"/>
      <c r="CO19" s="110"/>
      <c r="CP19" s="111"/>
      <c r="CQ19" s="111"/>
      <c r="CR19" s="111"/>
      <c r="CS19" s="111"/>
      <c r="CT19" s="112"/>
      <c r="CU19" s="113"/>
    </row>
    <row r="20" spans="2:99">
      <c r="B20" s="272"/>
      <c r="C20" s="383" t="s">
        <v>152</v>
      </c>
      <c r="D20" s="383"/>
      <c r="E20" s="383"/>
      <c r="F20" s="383"/>
      <c r="G20" s="383"/>
      <c r="H20" s="251">
        <f>H18+H19</f>
        <v>0</v>
      </c>
      <c r="I20" s="238"/>
      <c r="L20" s="387"/>
      <c r="M20" s="387" t="s">
        <v>152</v>
      </c>
      <c r="N20" s="387"/>
      <c r="O20" s="387"/>
      <c r="P20" s="387"/>
      <c r="Q20" s="387"/>
      <c r="R20" s="321">
        <f>R18+R19</f>
        <v>85085000</v>
      </c>
      <c r="S20" s="238"/>
      <c r="T20" s="110"/>
      <c r="U20" s="110"/>
      <c r="V20" s="110"/>
      <c r="W20" s="110"/>
      <c r="X20" s="110"/>
      <c r="Y20" s="110"/>
      <c r="Z20" s="331"/>
      <c r="AA20" s="332"/>
      <c r="AB20" s="107"/>
      <c r="AD20" s="344"/>
      <c r="AE20" s="389" t="s">
        <v>152</v>
      </c>
      <c r="AF20" s="389"/>
      <c r="AG20" s="389"/>
      <c r="AH20" s="389"/>
      <c r="AI20" s="389"/>
      <c r="AJ20" s="345">
        <f>AJ18+AJ19</f>
        <v>124669160</v>
      </c>
      <c r="AK20" s="238"/>
      <c r="AL20" s="110"/>
      <c r="AM20" s="110"/>
      <c r="AN20" s="111"/>
      <c r="AO20" s="111"/>
      <c r="AP20" s="111"/>
      <c r="AQ20" s="111"/>
      <c r="AR20" s="112"/>
      <c r="AS20" s="113"/>
      <c r="AV20" s="367"/>
      <c r="AW20" s="391" t="s">
        <v>152</v>
      </c>
      <c r="AX20" s="391"/>
      <c r="AY20" s="391"/>
      <c r="AZ20" s="391"/>
      <c r="BA20" s="391"/>
      <c r="BB20" s="368">
        <f>BB18+BB19</f>
        <v>105315000</v>
      </c>
      <c r="BC20" s="238"/>
      <c r="BD20" s="110"/>
      <c r="BE20" s="110"/>
      <c r="BF20" s="111"/>
      <c r="BG20" s="111"/>
      <c r="BH20" s="111"/>
      <c r="BI20" s="111"/>
      <c r="BJ20" s="112"/>
      <c r="BK20" s="113"/>
      <c r="BN20" s="297"/>
      <c r="BO20" s="390"/>
      <c r="BP20" s="390"/>
      <c r="BQ20" s="390"/>
      <c r="BR20" s="390"/>
      <c r="BS20" s="390"/>
      <c r="BT20" s="298"/>
      <c r="BU20" s="273"/>
      <c r="BV20" s="110"/>
      <c r="BW20" s="110"/>
      <c r="BX20" s="111"/>
      <c r="BY20" s="111"/>
      <c r="BZ20" s="111"/>
      <c r="CA20" s="111"/>
      <c r="CB20" s="112"/>
      <c r="CC20" s="113"/>
      <c r="CF20" s="272"/>
      <c r="CG20" s="383"/>
      <c r="CH20" s="383"/>
      <c r="CI20" s="383"/>
      <c r="CJ20" s="383"/>
      <c r="CK20" s="383"/>
      <c r="CL20" s="251"/>
      <c r="CM20" s="273"/>
      <c r="CN20" s="265"/>
      <c r="CO20" s="110"/>
      <c r="CP20" s="111"/>
      <c r="CQ20" s="111"/>
      <c r="CR20" s="111"/>
      <c r="CS20" s="111"/>
      <c r="CT20" s="112"/>
      <c r="CU20" s="113"/>
    </row>
    <row r="21" spans="2:99">
      <c r="B21" s="269" t="s">
        <v>175</v>
      </c>
      <c r="C21" s="253" t="s">
        <v>176</v>
      </c>
      <c r="D21" s="253"/>
      <c r="E21" s="253"/>
      <c r="F21" s="253"/>
      <c r="G21" s="253"/>
      <c r="H21" s="253"/>
      <c r="I21" s="238"/>
      <c r="L21" s="322" t="s">
        <v>175</v>
      </c>
      <c r="M21" s="387" t="s">
        <v>176</v>
      </c>
      <c r="N21" s="387"/>
      <c r="O21" s="387"/>
      <c r="P21" s="387"/>
      <c r="Q21" s="387"/>
      <c r="R21" s="387"/>
      <c r="S21" s="238"/>
      <c r="T21" s="110"/>
      <c r="U21" s="110"/>
      <c r="V21" s="110"/>
      <c r="W21" s="110"/>
      <c r="X21" s="110"/>
      <c r="Y21" s="110"/>
      <c r="Z21" s="331"/>
      <c r="AA21" s="332"/>
      <c r="AB21" s="107"/>
      <c r="AC21" s="107"/>
      <c r="AD21" s="336" t="s">
        <v>175</v>
      </c>
      <c r="AE21" s="346" t="s">
        <v>176</v>
      </c>
      <c r="AF21" s="346"/>
      <c r="AG21" s="346"/>
      <c r="AH21" s="346"/>
      <c r="AI21" s="346"/>
      <c r="AJ21" s="346"/>
      <c r="AK21" s="238"/>
      <c r="AL21" s="110"/>
      <c r="AM21" s="110"/>
      <c r="AN21" s="111"/>
      <c r="AO21" s="111"/>
      <c r="AP21" s="111"/>
      <c r="AQ21" s="111"/>
      <c r="AR21" s="112"/>
      <c r="AS21" s="113"/>
      <c r="AT21" s="107"/>
      <c r="AV21" s="359" t="s">
        <v>175</v>
      </c>
      <c r="AW21" s="369" t="s">
        <v>176</v>
      </c>
      <c r="AX21" s="369"/>
      <c r="AY21" s="369"/>
      <c r="AZ21" s="369"/>
      <c r="BA21" s="369"/>
      <c r="BB21" s="369"/>
      <c r="BC21" s="238"/>
      <c r="BD21" s="110"/>
      <c r="BE21" s="110"/>
      <c r="BF21" s="111"/>
      <c r="BG21" s="111"/>
      <c r="BH21" s="111"/>
      <c r="BI21" s="111"/>
      <c r="BJ21" s="112"/>
      <c r="BK21" s="113"/>
      <c r="BN21" s="299"/>
      <c r="BO21" s="300"/>
      <c r="BP21" s="300"/>
      <c r="BQ21" s="300"/>
      <c r="BR21" s="300"/>
      <c r="BS21" s="300"/>
      <c r="BT21" s="300"/>
      <c r="BU21" s="273"/>
      <c r="BV21" s="110"/>
      <c r="BW21" s="110"/>
      <c r="BX21" s="111"/>
      <c r="BY21" s="111"/>
      <c r="BZ21" s="111"/>
      <c r="CA21" s="111"/>
      <c r="CB21" s="112"/>
      <c r="CC21" s="113"/>
      <c r="CF21" s="269"/>
      <c r="CG21" s="253"/>
      <c r="CH21" s="253"/>
      <c r="CI21" s="253"/>
      <c r="CJ21" s="253"/>
      <c r="CK21" s="253"/>
      <c r="CL21" s="253"/>
      <c r="CM21" s="273"/>
      <c r="CN21" s="265"/>
      <c r="CO21" s="110"/>
      <c r="CP21" s="111"/>
      <c r="CQ21" s="111"/>
      <c r="CR21" s="111"/>
      <c r="CS21" s="111"/>
      <c r="CT21" s="112"/>
      <c r="CU21" s="113"/>
    </row>
    <row r="22" spans="2:99" ht="12.75" customHeight="1">
      <c r="B22" s="274" t="s">
        <v>177</v>
      </c>
      <c r="C22" s="254" t="s">
        <v>178</v>
      </c>
      <c r="D22" s="527" t="s">
        <v>179</v>
      </c>
      <c r="E22" s="255">
        <v>924</v>
      </c>
      <c r="F22" s="256">
        <v>6</v>
      </c>
      <c r="G22" s="286"/>
      <c r="H22" s="249">
        <f>SUM(F22*G22)</f>
        <v>0</v>
      </c>
      <c r="I22" s="424" t="e">
        <f>H36/H40</f>
        <v>#DIV/0!</v>
      </c>
      <c r="L22" s="388" t="s">
        <v>177</v>
      </c>
      <c r="M22" s="388" t="s">
        <v>178</v>
      </c>
      <c r="N22" s="443" t="s">
        <v>179</v>
      </c>
      <c r="O22" s="323">
        <v>924</v>
      </c>
      <c r="P22" s="388">
        <v>6</v>
      </c>
      <c r="Q22" s="324">
        <v>480000</v>
      </c>
      <c r="R22" s="319">
        <f>SUM(P22*Q22)</f>
        <v>2880000</v>
      </c>
      <c r="S22" s="444">
        <f>R36/R40</f>
        <v>0.37761142061281339</v>
      </c>
      <c r="T22" s="110">
        <f t="shared" ref="T22:T35" si="40">IF(EXACT(VLOOKUP(L22,OFERTA_0,2,FALSE),M22),1,0)</f>
        <v>1</v>
      </c>
      <c r="U22" s="110">
        <f t="shared" ref="U22:U35" si="41">IF(EXACT(VLOOKUP(L22,OFERTA_0,3,FALSE),O22),1,0)</f>
        <v>0</v>
      </c>
      <c r="V22" s="110">
        <f t="shared" ref="V22:V35" si="42">IF(EXACT(VLOOKUP(L22,OFERTA_0,4,FALSE),P22),1,0)</f>
        <v>0</v>
      </c>
      <c r="W22" s="110">
        <f t="shared" si="6"/>
        <v>1</v>
      </c>
      <c r="X22" s="110">
        <f t="shared" si="6"/>
        <v>1</v>
      </c>
      <c r="Y22" s="110">
        <f t="shared" si="7"/>
        <v>0</v>
      </c>
      <c r="Z22" s="331">
        <f t="shared" si="16"/>
        <v>2880000</v>
      </c>
      <c r="AA22" s="332">
        <f t="shared" si="17"/>
        <v>0</v>
      </c>
      <c r="AB22" s="107"/>
      <c r="AD22" s="339" t="s">
        <v>177</v>
      </c>
      <c r="AE22" s="347" t="s">
        <v>178</v>
      </c>
      <c r="AF22" s="423" t="s">
        <v>179</v>
      </c>
      <c r="AG22" s="348">
        <v>924</v>
      </c>
      <c r="AH22" s="349">
        <v>6</v>
      </c>
      <c r="AI22" s="350">
        <v>287000</v>
      </c>
      <c r="AJ22" s="342">
        <f>SUM(AH22*AI22)</f>
        <v>1722000</v>
      </c>
      <c r="AK22" s="424">
        <f>AJ36/AJ40</f>
        <v>0.21692852764863288</v>
      </c>
      <c r="AL22" s="110">
        <f t="shared" ref="AL22:AL35" si="43">IF(EXACT(VLOOKUP(AD22,OFERTA_0,2,FALSE),AE22),1,0)</f>
        <v>1</v>
      </c>
      <c r="AM22" s="110">
        <f t="shared" ref="AM22:AM35" si="44">IF(EXACT(VLOOKUP(AD22,OFERTA_0,4,FALSE),AG22),1,0)</f>
        <v>1</v>
      </c>
      <c r="AN22" s="111">
        <f t="shared" ref="AN22:AN35" si="45">IF(EXACT(VLOOKUP(AD22,OFERTA_0,5,FALSE),AH22),1,0)</f>
        <v>1</v>
      </c>
      <c r="AO22" s="111">
        <f t="shared" si="18"/>
        <v>1</v>
      </c>
      <c r="AP22" s="111">
        <f t="shared" si="19"/>
        <v>1</v>
      </c>
      <c r="AQ22" s="111">
        <f t="shared" si="20"/>
        <v>1</v>
      </c>
      <c r="AR22" s="112">
        <f t="shared" si="21"/>
        <v>1722000</v>
      </c>
      <c r="AS22" s="113">
        <f t="shared" si="22"/>
        <v>0</v>
      </c>
      <c r="AV22" s="362" t="s">
        <v>177</v>
      </c>
      <c r="AW22" s="370" t="s">
        <v>178</v>
      </c>
      <c r="AX22" s="435" t="s">
        <v>179</v>
      </c>
      <c r="AY22" s="371">
        <v>924</v>
      </c>
      <c r="AZ22" s="372">
        <v>6</v>
      </c>
      <c r="BA22" s="373">
        <v>300000</v>
      </c>
      <c r="BB22" s="365">
        <f>SUM(AZ22*BA22)</f>
        <v>1800000</v>
      </c>
      <c r="BC22" s="424">
        <f>BB36/BB40</f>
        <v>0.3355855855855856</v>
      </c>
      <c r="BD22" s="110">
        <f t="shared" ref="BD22:BD35" si="46">IF(EXACT(VLOOKUP(AV22,OFERTA_0,2,FALSE),AW22),1,0)</f>
        <v>1</v>
      </c>
      <c r="BE22" s="110">
        <f t="shared" ref="BE22:BE35" si="47">IF(EXACT(VLOOKUP(AV22,OFERTA_0,4,FALSE),AY22),1,0)</f>
        <v>1</v>
      </c>
      <c r="BF22" s="111">
        <f t="shared" ref="BF22:BF35" si="48">IF(EXACT(VLOOKUP(AV22,OFERTA_0,5,FALSE),AZ22),1,0)</f>
        <v>1</v>
      </c>
      <c r="BG22" s="111">
        <f t="shared" si="23"/>
        <v>1</v>
      </c>
      <c r="BH22" s="111">
        <f t="shared" si="24"/>
        <v>1</v>
      </c>
      <c r="BI22" s="111">
        <f t="shared" si="25"/>
        <v>1</v>
      </c>
      <c r="BJ22" s="112">
        <f t="shared" si="26"/>
        <v>1800000</v>
      </c>
      <c r="BK22" s="113">
        <f t="shared" si="27"/>
        <v>0</v>
      </c>
      <c r="BN22" s="292"/>
      <c r="BO22" s="301"/>
      <c r="BP22" s="433"/>
      <c r="BQ22" s="302"/>
      <c r="BR22" s="303"/>
      <c r="BS22" s="304"/>
      <c r="BT22" s="295"/>
      <c r="BU22" s="430" t="e">
        <f>BT36/BT40</f>
        <v>#DIV/0!</v>
      </c>
      <c r="BV22" s="110" t="e">
        <f t="shared" ref="BV22:BV35" si="49">IF(EXACT(VLOOKUP(BN22,OFERTA_0,2,FALSE),BO22),1,0)</f>
        <v>#N/A</v>
      </c>
      <c r="BW22" s="110" t="e">
        <f t="shared" ref="BW22:BW35" si="50">IF(EXACT(VLOOKUP(BN22,OFERTA_0,3,FALSE),BQ22),1,0)</f>
        <v>#N/A</v>
      </c>
      <c r="BX22" s="111" t="e">
        <f t="shared" ref="BX22:BX35" si="51">IF(EXACT(VLOOKUP(BN22,OFERTA_0,4,FALSE),BR22),1,0)</f>
        <v>#N/A</v>
      </c>
      <c r="BY22" s="111">
        <f t="shared" si="28"/>
        <v>0</v>
      </c>
      <c r="BZ22" s="111">
        <f t="shared" si="29"/>
        <v>0</v>
      </c>
      <c r="CA22" s="111" t="e">
        <f t="shared" si="30"/>
        <v>#N/A</v>
      </c>
      <c r="CB22" s="112">
        <f t="shared" si="31"/>
        <v>0</v>
      </c>
      <c r="CC22" s="113">
        <f t="shared" si="32"/>
        <v>0</v>
      </c>
      <c r="CF22" s="274"/>
      <c r="CG22" s="254"/>
      <c r="CH22" s="527"/>
      <c r="CI22" s="255"/>
      <c r="CJ22" s="256"/>
      <c r="CK22" s="257"/>
      <c r="CL22" s="249"/>
      <c r="CM22" s="430"/>
      <c r="CN22" s="265" t="e">
        <f t="shared" ref="CN22:CN35" si="52">IF(EXACT(VLOOKUP(CF22,OFERTA_0,2,FALSE),CG22),1,0)</f>
        <v>#N/A</v>
      </c>
      <c r="CO22" s="110" t="e">
        <f t="shared" ref="CO22:CO35" si="53">IF(EXACT(VLOOKUP(CF22,OFERTA_0,3,FALSE),CI22),1,0)</f>
        <v>#N/A</v>
      </c>
      <c r="CP22" s="111" t="e">
        <f t="shared" ref="CP22:CP35" si="54">IF(EXACT(VLOOKUP(CF22,OFERTA_0,4,FALSE),CJ22),1,0)</f>
        <v>#N/A</v>
      </c>
      <c r="CQ22" s="111">
        <f t="shared" ref="CQ22:CQ35" si="55">IF(CK22=0,0,1)</f>
        <v>0</v>
      </c>
      <c r="CR22" s="111">
        <f t="shared" ref="CR22:CR35" si="56">IF(CL22=0,0,1)</f>
        <v>0</v>
      </c>
      <c r="CS22" s="111" t="e">
        <f t="shared" ref="CS22:CS35" si="57">PRODUCT(CN22:CR22)</f>
        <v>#N/A</v>
      </c>
      <c r="CT22" s="112">
        <f t="shared" ref="CT22:CT35" si="58">ROUND(CL22,0)</f>
        <v>0</v>
      </c>
      <c r="CU22" s="113">
        <f t="shared" ref="CU22:CU35" si="59">CL22-CT22</f>
        <v>0</v>
      </c>
    </row>
    <row r="23" spans="2:99">
      <c r="B23" s="274" t="s">
        <v>180</v>
      </c>
      <c r="C23" s="254" t="s">
        <v>181</v>
      </c>
      <c r="D23" s="527"/>
      <c r="E23" s="255">
        <v>803.4</v>
      </c>
      <c r="F23" s="256">
        <v>6</v>
      </c>
      <c r="G23" s="286"/>
      <c r="H23" s="249">
        <f t="shared" ref="H23:H35" si="60">SUM(F23*G23)</f>
        <v>0</v>
      </c>
      <c r="I23" s="425"/>
      <c r="L23" s="388" t="s">
        <v>180</v>
      </c>
      <c r="M23" s="388" t="s">
        <v>181</v>
      </c>
      <c r="N23" s="443"/>
      <c r="O23" s="323">
        <v>803.4</v>
      </c>
      <c r="P23" s="388">
        <v>6</v>
      </c>
      <c r="Q23" s="324">
        <v>380000</v>
      </c>
      <c r="R23" s="319">
        <f t="shared" ref="R23:R35" si="61">SUM(P23*Q23)</f>
        <v>2280000</v>
      </c>
      <c r="S23" s="425"/>
      <c r="T23" s="110">
        <f t="shared" si="40"/>
        <v>1</v>
      </c>
      <c r="U23" s="110">
        <f t="shared" si="41"/>
        <v>0</v>
      </c>
      <c r="V23" s="110">
        <f t="shared" si="42"/>
        <v>0</v>
      </c>
      <c r="W23" s="110">
        <f t="shared" si="6"/>
        <v>1</v>
      </c>
      <c r="X23" s="110">
        <f t="shared" si="6"/>
        <v>1</v>
      </c>
      <c r="Y23" s="110">
        <f t="shared" si="7"/>
        <v>0</v>
      </c>
      <c r="Z23" s="331">
        <f t="shared" si="16"/>
        <v>2280000</v>
      </c>
      <c r="AA23" s="332">
        <f t="shared" si="17"/>
        <v>0</v>
      </c>
      <c r="AB23" s="107"/>
      <c r="AC23" s="107"/>
      <c r="AD23" s="339" t="s">
        <v>180</v>
      </c>
      <c r="AE23" s="347" t="s">
        <v>181</v>
      </c>
      <c r="AF23" s="423"/>
      <c r="AG23" s="348">
        <v>803.4</v>
      </c>
      <c r="AH23" s="349">
        <v>6</v>
      </c>
      <c r="AI23" s="350">
        <v>244000</v>
      </c>
      <c r="AJ23" s="342">
        <f t="shared" ref="AJ23:AJ35" si="62">SUM(AH23*AI23)</f>
        <v>1464000</v>
      </c>
      <c r="AK23" s="425"/>
      <c r="AL23" s="110">
        <f t="shared" si="43"/>
        <v>1</v>
      </c>
      <c r="AM23" s="110">
        <f t="shared" si="44"/>
        <v>1</v>
      </c>
      <c r="AN23" s="111">
        <f t="shared" si="45"/>
        <v>1</v>
      </c>
      <c r="AO23" s="111">
        <f t="shared" si="18"/>
        <v>1</v>
      </c>
      <c r="AP23" s="111">
        <f t="shared" si="19"/>
        <v>1</v>
      </c>
      <c r="AQ23" s="111">
        <f t="shared" si="20"/>
        <v>1</v>
      </c>
      <c r="AR23" s="112">
        <f t="shared" si="21"/>
        <v>1464000</v>
      </c>
      <c r="AS23" s="113">
        <f t="shared" si="22"/>
        <v>0</v>
      </c>
      <c r="AT23" s="107"/>
      <c r="AV23" s="362" t="s">
        <v>180</v>
      </c>
      <c r="AW23" s="370" t="s">
        <v>181</v>
      </c>
      <c r="AX23" s="435"/>
      <c r="AY23" s="371">
        <v>803.4</v>
      </c>
      <c r="AZ23" s="372">
        <v>6</v>
      </c>
      <c r="BA23" s="373">
        <v>400000</v>
      </c>
      <c r="BB23" s="365">
        <f t="shared" ref="BB23:BB35" si="63">SUM(AZ23*BA23)</f>
        <v>2400000</v>
      </c>
      <c r="BC23" s="425"/>
      <c r="BD23" s="110">
        <f t="shared" si="46"/>
        <v>1</v>
      </c>
      <c r="BE23" s="110">
        <f t="shared" si="47"/>
        <v>1</v>
      </c>
      <c r="BF23" s="111">
        <f t="shared" si="48"/>
        <v>1</v>
      </c>
      <c r="BG23" s="111">
        <f t="shared" si="23"/>
        <v>1</v>
      </c>
      <c r="BH23" s="111">
        <f t="shared" si="24"/>
        <v>1</v>
      </c>
      <c r="BI23" s="111">
        <f t="shared" si="25"/>
        <v>1</v>
      </c>
      <c r="BJ23" s="112">
        <f t="shared" si="26"/>
        <v>2400000</v>
      </c>
      <c r="BK23" s="113">
        <f t="shared" si="27"/>
        <v>0</v>
      </c>
      <c r="BN23" s="292"/>
      <c r="BO23" s="301"/>
      <c r="BP23" s="433"/>
      <c r="BQ23" s="302"/>
      <c r="BR23" s="303"/>
      <c r="BS23" s="304"/>
      <c r="BT23" s="295"/>
      <c r="BU23" s="431"/>
      <c r="BV23" s="110" t="e">
        <f t="shared" si="49"/>
        <v>#N/A</v>
      </c>
      <c r="BW23" s="110" t="e">
        <f t="shared" si="50"/>
        <v>#N/A</v>
      </c>
      <c r="BX23" s="111" t="e">
        <f t="shared" si="51"/>
        <v>#N/A</v>
      </c>
      <c r="BY23" s="111">
        <f t="shared" si="28"/>
        <v>0</v>
      </c>
      <c r="BZ23" s="111">
        <f t="shared" si="29"/>
        <v>0</v>
      </c>
      <c r="CA23" s="111" t="e">
        <f t="shared" si="30"/>
        <v>#N/A</v>
      </c>
      <c r="CB23" s="112">
        <f t="shared" si="31"/>
        <v>0</v>
      </c>
      <c r="CC23" s="113">
        <f t="shared" si="32"/>
        <v>0</v>
      </c>
      <c r="CF23" s="274"/>
      <c r="CG23" s="254"/>
      <c r="CH23" s="527"/>
      <c r="CI23" s="255"/>
      <c r="CJ23" s="256"/>
      <c r="CK23" s="257"/>
      <c r="CL23" s="249"/>
      <c r="CM23" s="431"/>
      <c r="CN23" s="265" t="e">
        <f t="shared" si="52"/>
        <v>#N/A</v>
      </c>
      <c r="CO23" s="110" t="e">
        <f t="shared" si="53"/>
        <v>#N/A</v>
      </c>
      <c r="CP23" s="111" t="e">
        <f t="shared" si="54"/>
        <v>#N/A</v>
      </c>
      <c r="CQ23" s="111">
        <f t="shared" si="55"/>
        <v>0</v>
      </c>
      <c r="CR23" s="111">
        <f t="shared" si="56"/>
        <v>0</v>
      </c>
      <c r="CS23" s="111" t="e">
        <f t="shared" si="57"/>
        <v>#N/A</v>
      </c>
      <c r="CT23" s="112">
        <f t="shared" si="58"/>
        <v>0</v>
      </c>
      <c r="CU23" s="113">
        <f t="shared" si="59"/>
        <v>0</v>
      </c>
    </row>
    <row r="24" spans="2:99">
      <c r="B24" s="274" t="s">
        <v>182</v>
      </c>
      <c r="C24" s="254" t="s">
        <v>183</v>
      </c>
      <c r="D24" s="527"/>
      <c r="E24" s="255">
        <v>20878</v>
      </c>
      <c r="F24" s="256">
        <v>6</v>
      </c>
      <c r="G24" s="286"/>
      <c r="H24" s="249">
        <f t="shared" si="60"/>
        <v>0</v>
      </c>
      <c r="I24" s="425"/>
      <c r="K24" s="109"/>
      <c r="L24" s="388" t="s">
        <v>182</v>
      </c>
      <c r="M24" s="388" t="s">
        <v>183</v>
      </c>
      <c r="N24" s="443"/>
      <c r="O24" s="323">
        <v>20878</v>
      </c>
      <c r="P24" s="388">
        <v>6</v>
      </c>
      <c r="Q24" s="324">
        <v>880000</v>
      </c>
      <c r="R24" s="319">
        <f t="shared" si="61"/>
        <v>5280000</v>
      </c>
      <c r="S24" s="425"/>
      <c r="T24" s="110">
        <f t="shared" si="40"/>
        <v>1</v>
      </c>
      <c r="U24" s="110">
        <f t="shared" si="41"/>
        <v>0</v>
      </c>
      <c r="V24" s="110">
        <f t="shared" si="42"/>
        <v>0</v>
      </c>
      <c r="W24" s="110">
        <f t="shared" si="6"/>
        <v>1</v>
      </c>
      <c r="X24" s="110">
        <f t="shared" si="6"/>
        <v>1</v>
      </c>
      <c r="Y24" s="110">
        <f t="shared" si="7"/>
        <v>0</v>
      </c>
      <c r="Z24" s="331">
        <f t="shared" si="16"/>
        <v>5280000</v>
      </c>
      <c r="AA24" s="332">
        <f t="shared" si="17"/>
        <v>0</v>
      </c>
      <c r="AD24" s="339" t="s">
        <v>182</v>
      </c>
      <c r="AE24" s="347" t="s">
        <v>183</v>
      </c>
      <c r="AF24" s="423"/>
      <c r="AG24" s="348">
        <v>20878</v>
      </c>
      <c r="AH24" s="349">
        <v>6</v>
      </c>
      <c r="AI24" s="350">
        <v>536000</v>
      </c>
      <c r="AJ24" s="342">
        <f t="shared" si="62"/>
        <v>3216000</v>
      </c>
      <c r="AK24" s="425"/>
      <c r="AL24" s="110">
        <f t="shared" si="43"/>
        <v>1</v>
      </c>
      <c r="AM24" s="110">
        <f t="shared" si="44"/>
        <v>1</v>
      </c>
      <c r="AN24" s="111">
        <f t="shared" si="45"/>
        <v>1</v>
      </c>
      <c r="AO24" s="111">
        <f t="shared" si="18"/>
        <v>1</v>
      </c>
      <c r="AP24" s="111">
        <f t="shared" si="19"/>
        <v>1</v>
      </c>
      <c r="AQ24" s="111">
        <f t="shared" si="20"/>
        <v>1</v>
      </c>
      <c r="AR24" s="112">
        <f t="shared" si="21"/>
        <v>3216000</v>
      </c>
      <c r="AS24" s="113">
        <f t="shared" si="22"/>
        <v>0</v>
      </c>
      <c r="AV24" s="362" t="s">
        <v>182</v>
      </c>
      <c r="AW24" s="370" t="s">
        <v>183</v>
      </c>
      <c r="AX24" s="435"/>
      <c r="AY24" s="371">
        <v>20878</v>
      </c>
      <c r="AZ24" s="372">
        <v>6</v>
      </c>
      <c r="BA24" s="373">
        <v>800000</v>
      </c>
      <c r="BB24" s="365">
        <f t="shared" si="63"/>
        <v>4800000</v>
      </c>
      <c r="BC24" s="425"/>
      <c r="BD24" s="110">
        <f t="shared" si="46"/>
        <v>1</v>
      </c>
      <c r="BE24" s="110">
        <f t="shared" si="47"/>
        <v>1</v>
      </c>
      <c r="BF24" s="111">
        <f t="shared" si="48"/>
        <v>1</v>
      </c>
      <c r="BG24" s="111">
        <f t="shared" si="23"/>
        <v>1</v>
      </c>
      <c r="BH24" s="111">
        <f t="shared" si="24"/>
        <v>1</v>
      </c>
      <c r="BI24" s="111">
        <f t="shared" si="25"/>
        <v>1</v>
      </c>
      <c r="BJ24" s="112">
        <f t="shared" si="26"/>
        <v>4800000</v>
      </c>
      <c r="BK24" s="113">
        <f t="shared" si="27"/>
        <v>0</v>
      </c>
      <c r="BL24" s="107"/>
      <c r="BN24" s="292"/>
      <c r="BO24" s="301"/>
      <c r="BP24" s="433"/>
      <c r="BQ24" s="302"/>
      <c r="BR24" s="303"/>
      <c r="BS24" s="304"/>
      <c r="BT24" s="295"/>
      <c r="BU24" s="431"/>
      <c r="BV24" s="110" t="e">
        <f t="shared" si="49"/>
        <v>#N/A</v>
      </c>
      <c r="BW24" s="110" t="e">
        <f t="shared" si="50"/>
        <v>#N/A</v>
      </c>
      <c r="BX24" s="111" t="e">
        <f t="shared" si="51"/>
        <v>#N/A</v>
      </c>
      <c r="BY24" s="111">
        <f t="shared" si="28"/>
        <v>0</v>
      </c>
      <c r="BZ24" s="111">
        <f t="shared" si="29"/>
        <v>0</v>
      </c>
      <c r="CA24" s="111" t="e">
        <f t="shared" si="30"/>
        <v>#N/A</v>
      </c>
      <c r="CB24" s="112">
        <f t="shared" si="31"/>
        <v>0</v>
      </c>
      <c r="CC24" s="113">
        <f t="shared" si="32"/>
        <v>0</v>
      </c>
      <c r="CD24" s="107"/>
      <c r="CF24" s="274"/>
      <c r="CG24" s="254"/>
      <c r="CH24" s="527"/>
      <c r="CI24" s="255"/>
      <c r="CJ24" s="256"/>
      <c r="CK24" s="257"/>
      <c r="CL24" s="249"/>
      <c r="CM24" s="431"/>
      <c r="CN24" s="265" t="e">
        <f t="shared" si="52"/>
        <v>#N/A</v>
      </c>
      <c r="CO24" s="110" t="e">
        <f t="shared" si="53"/>
        <v>#N/A</v>
      </c>
      <c r="CP24" s="111" t="e">
        <f t="shared" si="54"/>
        <v>#N/A</v>
      </c>
      <c r="CQ24" s="111">
        <f t="shared" si="55"/>
        <v>0</v>
      </c>
      <c r="CR24" s="111">
        <f t="shared" si="56"/>
        <v>0</v>
      </c>
      <c r="CS24" s="111" t="e">
        <f t="shared" si="57"/>
        <v>#N/A</v>
      </c>
      <c r="CT24" s="112">
        <f t="shared" si="58"/>
        <v>0</v>
      </c>
      <c r="CU24" s="113">
        <f t="shared" si="59"/>
        <v>0</v>
      </c>
    </row>
    <row r="25" spans="2:99">
      <c r="B25" s="274" t="s">
        <v>184</v>
      </c>
      <c r="C25" s="254" t="s">
        <v>185</v>
      </c>
      <c r="D25" s="527"/>
      <c r="E25" s="255">
        <v>1910</v>
      </c>
      <c r="F25" s="256">
        <v>6</v>
      </c>
      <c r="G25" s="286"/>
      <c r="H25" s="249">
        <f t="shared" si="60"/>
        <v>0</v>
      </c>
      <c r="I25" s="425"/>
      <c r="L25" s="388" t="s">
        <v>184</v>
      </c>
      <c r="M25" s="388" t="s">
        <v>185</v>
      </c>
      <c r="N25" s="443"/>
      <c r="O25" s="323">
        <v>1910</v>
      </c>
      <c r="P25" s="388">
        <v>6</v>
      </c>
      <c r="Q25" s="324">
        <v>380000</v>
      </c>
      <c r="R25" s="319">
        <f t="shared" si="61"/>
        <v>2280000</v>
      </c>
      <c r="S25" s="425"/>
      <c r="T25" s="110">
        <f t="shared" si="40"/>
        <v>1</v>
      </c>
      <c r="U25" s="110">
        <f t="shared" si="41"/>
        <v>0</v>
      </c>
      <c r="V25" s="110">
        <f t="shared" si="42"/>
        <v>0</v>
      </c>
      <c r="W25" s="110">
        <f t="shared" si="6"/>
        <v>1</v>
      </c>
      <c r="X25" s="110">
        <f t="shared" si="6"/>
        <v>1</v>
      </c>
      <c r="Y25" s="110">
        <f t="shared" si="7"/>
        <v>0</v>
      </c>
      <c r="Z25" s="331">
        <f t="shared" si="16"/>
        <v>2280000</v>
      </c>
      <c r="AA25" s="332">
        <f t="shared" si="17"/>
        <v>0</v>
      </c>
      <c r="AD25" s="339" t="s">
        <v>184</v>
      </c>
      <c r="AE25" s="347" t="s">
        <v>185</v>
      </c>
      <c r="AF25" s="423"/>
      <c r="AG25" s="348">
        <v>1910</v>
      </c>
      <c r="AH25" s="349">
        <v>6</v>
      </c>
      <c r="AI25" s="350">
        <v>244000</v>
      </c>
      <c r="AJ25" s="342">
        <f t="shared" si="62"/>
        <v>1464000</v>
      </c>
      <c r="AK25" s="425"/>
      <c r="AL25" s="110">
        <f t="shared" si="43"/>
        <v>1</v>
      </c>
      <c r="AM25" s="110">
        <f t="shared" si="44"/>
        <v>1</v>
      </c>
      <c r="AN25" s="111">
        <f t="shared" si="45"/>
        <v>1</v>
      </c>
      <c r="AO25" s="111">
        <f t="shared" si="18"/>
        <v>1</v>
      </c>
      <c r="AP25" s="111">
        <f t="shared" si="19"/>
        <v>1</v>
      </c>
      <c r="AQ25" s="111">
        <f t="shared" si="20"/>
        <v>1</v>
      </c>
      <c r="AR25" s="112">
        <f t="shared" si="21"/>
        <v>1464000</v>
      </c>
      <c r="AS25" s="113">
        <f t="shared" si="22"/>
        <v>0</v>
      </c>
      <c r="AV25" s="362" t="s">
        <v>184</v>
      </c>
      <c r="AW25" s="370" t="s">
        <v>185</v>
      </c>
      <c r="AX25" s="435"/>
      <c r="AY25" s="371">
        <v>1910</v>
      </c>
      <c r="AZ25" s="372">
        <v>6</v>
      </c>
      <c r="BA25" s="373">
        <v>400000</v>
      </c>
      <c r="BB25" s="365">
        <f t="shared" si="63"/>
        <v>2400000</v>
      </c>
      <c r="BC25" s="425"/>
      <c r="BD25" s="110">
        <f t="shared" si="46"/>
        <v>1</v>
      </c>
      <c r="BE25" s="110">
        <f t="shared" si="47"/>
        <v>1</v>
      </c>
      <c r="BF25" s="111">
        <f t="shared" si="48"/>
        <v>1</v>
      </c>
      <c r="BG25" s="111">
        <f t="shared" si="23"/>
        <v>1</v>
      </c>
      <c r="BH25" s="111">
        <f t="shared" si="24"/>
        <v>1</v>
      </c>
      <c r="BI25" s="111">
        <f t="shared" si="25"/>
        <v>1</v>
      </c>
      <c r="BJ25" s="112">
        <f t="shared" si="26"/>
        <v>2400000</v>
      </c>
      <c r="BK25" s="113">
        <f t="shared" si="27"/>
        <v>0</v>
      </c>
      <c r="BN25" s="292"/>
      <c r="BO25" s="301"/>
      <c r="BP25" s="433"/>
      <c r="BQ25" s="302"/>
      <c r="BR25" s="303"/>
      <c r="BS25" s="304"/>
      <c r="BT25" s="295"/>
      <c r="BU25" s="431"/>
      <c r="BV25" s="110" t="e">
        <f t="shared" si="49"/>
        <v>#N/A</v>
      </c>
      <c r="BW25" s="110" t="e">
        <f t="shared" si="50"/>
        <v>#N/A</v>
      </c>
      <c r="BX25" s="111" t="e">
        <f t="shared" si="51"/>
        <v>#N/A</v>
      </c>
      <c r="BY25" s="111">
        <f t="shared" si="28"/>
        <v>0</v>
      </c>
      <c r="BZ25" s="111">
        <f t="shared" si="29"/>
        <v>0</v>
      </c>
      <c r="CA25" s="111" t="e">
        <f t="shared" si="30"/>
        <v>#N/A</v>
      </c>
      <c r="CB25" s="112">
        <f t="shared" si="31"/>
        <v>0</v>
      </c>
      <c r="CC25" s="113">
        <f t="shared" si="32"/>
        <v>0</v>
      </c>
      <c r="CF25" s="274"/>
      <c r="CG25" s="254"/>
      <c r="CH25" s="527"/>
      <c r="CI25" s="255"/>
      <c r="CJ25" s="256"/>
      <c r="CK25" s="257"/>
      <c r="CL25" s="249"/>
      <c r="CM25" s="431"/>
      <c r="CN25" s="265" t="e">
        <f t="shared" si="52"/>
        <v>#N/A</v>
      </c>
      <c r="CO25" s="110" t="e">
        <f t="shared" si="53"/>
        <v>#N/A</v>
      </c>
      <c r="CP25" s="111" t="e">
        <f t="shared" si="54"/>
        <v>#N/A</v>
      </c>
      <c r="CQ25" s="111">
        <f t="shared" si="55"/>
        <v>0</v>
      </c>
      <c r="CR25" s="111">
        <f t="shared" si="56"/>
        <v>0</v>
      </c>
      <c r="CS25" s="111" t="e">
        <f t="shared" si="57"/>
        <v>#N/A</v>
      </c>
      <c r="CT25" s="112">
        <f t="shared" si="58"/>
        <v>0</v>
      </c>
      <c r="CU25" s="113">
        <f t="shared" si="59"/>
        <v>0</v>
      </c>
    </row>
    <row r="26" spans="2:99">
      <c r="B26" s="274" t="s">
        <v>186</v>
      </c>
      <c r="C26" s="254" t="s">
        <v>187</v>
      </c>
      <c r="D26" s="527"/>
      <c r="E26" s="255">
        <f>2237+1200</f>
        <v>3437</v>
      </c>
      <c r="F26" s="256">
        <v>6</v>
      </c>
      <c r="G26" s="286"/>
      <c r="H26" s="249">
        <f t="shared" si="60"/>
        <v>0</v>
      </c>
      <c r="I26" s="425"/>
      <c r="L26" s="388" t="s">
        <v>186</v>
      </c>
      <c r="M26" s="388" t="s">
        <v>187</v>
      </c>
      <c r="N26" s="443"/>
      <c r="O26" s="323">
        <f>2237+1200</f>
        <v>3437</v>
      </c>
      <c r="P26" s="388">
        <v>6</v>
      </c>
      <c r="Q26" s="324">
        <v>480000</v>
      </c>
      <c r="R26" s="319">
        <f t="shared" si="61"/>
        <v>2880000</v>
      </c>
      <c r="S26" s="425"/>
      <c r="T26" s="110">
        <f t="shared" si="40"/>
        <v>1</v>
      </c>
      <c r="U26" s="110">
        <f t="shared" si="41"/>
        <v>0</v>
      </c>
      <c r="V26" s="110">
        <f t="shared" si="42"/>
        <v>0</v>
      </c>
      <c r="W26" s="110">
        <f t="shared" si="6"/>
        <v>1</v>
      </c>
      <c r="X26" s="110">
        <f t="shared" si="6"/>
        <v>1</v>
      </c>
      <c r="Y26" s="110">
        <f t="shared" si="7"/>
        <v>0</v>
      </c>
      <c r="Z26" s="331">
        <f t="shared" si="16"/>
        <v>2880000</v>
      </c>
      <c r="AA26" s="332">
        <f t="shared" si="17"/>
        <v>0</v>
      </c>
      <c r="AD26" s="339" t="s">
        <v>186</v>
      </c>
      <c r="AE26" s="347" t="s">
        <v>187</v>
      </c>
      <c r="AF26" s="423"/>
      <c r="AG26" s="348">
        <f>2237+1200</f>
        <v>3437</v>
      </c>
      <c r="AH26" s="349">
        <v>6</v>
      </c>
      <c r="AI26" s="350">
        <v>445000</v>
      </c>
      <c r="AJ26" s="342">
        <f t="shared" si="62"/>
        <v>2670000</v>
      </c>
      <c r="AK26" s="425"/>
      <c r="AL26" s="110">
        <f t="shared" si="43"/>
        <v>1</v>
      </c>
      <c r="AM26" s="110">
        <f t="shared" si="44"/>
        <v>1</v>
      </c>
      <c r="AN26" s="111">
        <f t="shared" si="45"/>
        <v>1</v>
      </c>
      <c r="AO26" s="111">
        <f t="shared" si="18"/>
        <v>1</v>
      </c>
      <c r="AP26" s="111">
        <f t="shared" si="19"/>
        <v>1</v>
      </c>
      <c r="AQ26" s="111">
        <f t="shared" si="20"/>
        <v>1</v>
      </c>
      <c r="AR26" s="112">
        <f t="shared" si="21"/>
        <v>2670000</v>
      </c>
      <c r="AS26" s="113">
        <f t="shared" si="22"/>
        <v>0</v>
      </c>
      <c r="AV26" s="362" t="s">
        <v>186</v>
      </c>
      <c r="AW26" s="370" t="s">
        <v>187</v>
      </c>
      <c r="AX26" s="435"/>
      <c r="AY26" s="371">
        <f>2237+1200</f>
        <v>3437</v>
      </c>
      <c r="AZ26" s="372">
        <v>6</v>
      </c>
      <c r="BA26" s="373">
        <v>700000</v>
      </c>
      <c r="BB26" s="365">
        <f t="shared" si="63"/>
        <v>4200000</v>
      </c>
      <c r="BC26" s="425"/>
      <c r="BD26" s="110">
        <f t="shared" si="46"/>
        <v>1</v>
      </c>
      <c r="BE26" s="110">
        <f t="shared" si="47"/>
        <v>1</v>
      </c>
      <c r="BF26" s="111">
        <f t="shared" si="48"/>
        <v>1</v>
      </c>
      <c r="BG26" s="111">
        <f t="shared" si="23"/>
        <v>1</v>
      </c>
      <c r="BH26" s="111">
        <f t="shared" si="24"/>
        <v>1</v>
      </c>
      <c r="BI26" s="111">
        <f t="shared" si="25"/>
        <v>1</v>
      </c>
      <c r="BJ26" s="112">
        <f t="shared" si="26"/>
        <v>4200000</v>
      </c>
      <c r="BK26" s="113">
        <f t="shared" si="27"/>
        <v>0</v>
      </c>
      <c r="BN26" s="292"/>
      <c r="BO26" s="301"/>
      <c r="BP26" s="433"/>
      <c r="BQ26" s="302"/>
      <c r="BR26" s="303"/>
      <c r="BS26" s="304"/>
      <c r="BT26" s="295"/>
      <c r="BU26" s="431"/>
      <c r="BV26" s="110" t="e">
        <f t="shared" si="49"/>
        <v>#N/A</v>
      </c>
      <c r="BW26" s="110" t="e">
        <f t="shared" si="50"/>
        <v>#N/A</v>
      </c>
      <c r="BX26" s="111" t="e">
        <f t="shared" si="51"/>
        <v>#N/A</v>
      </c>
      <c r="BY26" s="111">
        <f t="shared" si="28"/>
        <v>0</v>
      </c>
      <c r="BZ26" s="111">
        <f t="shared" si="29"/>
        <v>0</v>
      </c>
      <c r="CA26" s="111" t="e">
        <f t="shared" si="30"/>
        <v>#N/A</v>
      </c>
      <c r="CB26" s="112">
        <f t="shared" si="31"/>
        <v>0</v>
      </c>
      <c r="CC26" s="113">
        <f t="shared" si="32"/>
        <v>0</v>
      </c>
      <c r="CF26" s="274"/>
      <c r="CG26" s="254"/>
      <c r="CH26" s="527"/>
      <c r="CI26" s="255"/>
      <c r="CJ26" s="256"/>
      <c r="CK26" s="257"/>
      <c r="CL26" s="249"/>
      <c r="CM26" s="431"/>
      <c r="CN26" s="265" t="e">
        <f t="shared" si="52"/>
        <v>#N/A</v>
      </c>
      <c r="CO26" s="110" t="e">
        <f t="shared" si="53"/>
        <v>#N/A</v>
      </c>
      <c r="CP26" s="111" t="e">
        <f t="shared" si="54"/>
        <v>#N/A</v>
      </c>
      <c r="CQ26" s="111">
        <f t="shared" si="55"/>
        <v>0</v>
      </c>
      <c r="CR26" s="111">
        <f t="shared" si="56"/>
        <v>0</v>
      </c>
      <c r="CS26" s="111" t="e">
        <f t="shared" si="57"/>
        <v>#N/A</v>
      </c>
      <c r="CT26" s="112">
        <f t="shared" si="58"/>
        <v>0</v>
      </c>
      <c r="CU26" s="113">
        <f t="shared" si="59"/>
        <v>0</v>
      </c>
    </row>
    <row r="27" spans="2:99">
      <c r="B27" s="274" t="s">
        <v>188</v>
      </c>
      <c r="C27" s="254" t="s">
        <v>189</v>
      </c>
      <c r="D27" s="527"/>
      <c r="E27" s="255">
        <v>441</v>
      </c>
      <c r="F27" s="256">
        <v>6</v>
      </c>
      <c r="G27" s="286"/>
      <c r="H27" s="249">
        <f t="shared" si="60"/>
        <v>0</v>
      </c>
      <c r="I27" s="425"/>
      <c r="L27" s="388" t="s">
        <v>188</v>
      </c>
      <c r="M27" s="388" t="s">
        <v>189</v>
      </c>
      <c r="N27" s="443"/>
      <c r="O27" s="323">
        <v>441</v>
      </c>
      <c r="P27" s="388">
        <v>6</v>
      </c>
      <c r="Q27" s="324">
        <v>480000</v>
      </c>
      <c r="R27" s="319">
        <f t="shared" si="61"/>
        <v>2880000</v>
      </c>
      <c r="S27" s="425"/>
      <c r="T27" s="110">
        <f t="shared" si="40"/>
        <v>1</v>
      </c>
      <c r="U27" s="110">
        <f t="shared" si="41"/>
        <v>0</v>
      </c>
      <c r="V27" s="110">
        <f t="shared" si="42"/>
        <v>0</v>
      </c>
      <c r="W27" s="110">
        <f t="shared" si="6"/>
        <v>1</v>
      </c>
      <c r="X27" s="110">
        <f t="shared" si="6"/>
        <v>1</v>
      </c>
      <c r="Y27" s="110">
        <f t="shared" si="7"/>
        <v>0</v>
      </c>
      <c r="Z27" s="331">
        <f t="shared" si="16"/>
        <v>2880000</v>
      </c>
      <c r="AA27" s="332">
        <f t="shared" si="17"/>
        <v>0</v>
      </c>
      <c r="AD27" s="339" t="s">
        <v>188</v>
      </c>
      <c r="AE27" s="347" t="s">
        <v>189</v>
      </c>
      <c r="AF27" s="423"/>
      <c r="AG27" s="348">
        <v>441</v>
      </c>
      <c r="AH27" s="349">
        <v>6</v>
      </c>
      <c r="AI27" s="350">
        <v>373000</v>
      </c>
      <c r="AJ27" s="342">
        <f t="shared" si="62"/>
        <v>2238000</v>
      </c>
      <c r="AK27" s="425"/>
      <c r="AL27" s="110">
        <f t="shared" si="43"/>
        <v>1</v>
      </c>
      <c r="AM27" s="110">
        <f t="shared" si="44"/>
        <v>1</v>
      </c>
      <c r="AN27" s="111">
        <f t="shared" si="45"/>
        <v>1</v>
      </c>
      <c r="AO27" s="111">
        <f t="shared" si="18"/>
        <v>1</v>
      </c>
      <c r="AP27" s="111">
        <f t="shared" si="19"/>
        <v>1</v>
      </c>
      <c r="AQ27" s="111">
        <f t="shared" si="20"/>
        <v>1</v>
      </c>
      <c r="AR27" s="112">
        <f t="shared" si="21"/>
        <v>2238000</v>
      </c>
      <c r="AS27" s="113">
        <f t="shared" si="22"/>
        <v>0</v>
      </c>
      <c r="AV27" s="362" t="s">
        <v>188</v>
      </c>
      <c r="AW27" s="370" t="s">
        <v>189</v>
      </c>
      <c r="AX27" s="435"/>
      <c r="AY27" s="371">
        <v>441</v>
      </c>
      <c r="AZ27" s="372">
        <v>6</v>
      </c>
      <c r="BA27" s="373">
        <v>300000</v>
      </c>
      <c r="BB27" s="365">
        <f t="shared" si="63"/>
        <v>1800000</v>
      </c>
      <c r="BC27" s="425"/>
      <c r="BD27" s="110">
        <f t="shared" si="46"/>
        <v>1</v>
      </c>
      <c r="BE27" s="110">
        <f t="shared" si="47"/>
        <v>1</v>
      </c>
      <c r="BF27" s="111">
        <f t="shared" si="48"/>
        <v>1</v>
      </c>
      <c r="BG27" s="111">
        <f t="shared" si="23"/>
        <v>1</v>
      </c>
      <c r="BH27" s="111">
        <f t="shared" si="24"/>
        <v>1</v>
      </c>
      <c r="BI27" s="111">
        <f t="shared" si="25"/>
        <v>1</v>
      </c>
      <c r="BJ27" s="112">
        <f t="shared" si="26"/>
        <v>1800000</v>
      </c>
      <c r="BK27" s="113">
        <f t="shared" si="27"/>
        <v>0</v>
      </c>
      <c r="BN27" s="292"/>
      <c r="BO27" s="301"/>
      <c r="BP27" s="433"/>
      <c r="BQ27" s="302"/>
      <c r="BR27" s="303"/>
      <c r="BS27" s="304"/>
      <c r="BT27" s="295"/>
      <c r="BU27" s="431"/>
      <c r="BV27" s="110" t="e">
        <f t="shared" si="49"/>
        <v>#N/A</v>
      </c>
      <c r="BW27" s="110" t="e">
        <f t="shared" si="50"/>
        <v>#N/A</v>
      </c>
      <c r="BX27" s="111" t="e">
        <f t="shared" si="51"/>
        <v>#N/A</v>
      </c>
      <c r="BY27" s="111">
        <f t="shared" si="28"/>
        <v>0</v>
      </c>
      <c r="BZ27" s="111">
        <f t="shared" si="29"/>
        <v>0</v>
      </c>
      <c r="CA27" s="111" t="e">
        <f t="shared" si="30"/>
        <v>#N/A</v>
      </c>
      <c r="CB27" s="112">
        <f t="shared" si="31"/>
        <v>0</v>
      </c>
      <c r="CC27" s="113">
        <f t="shared" si="32"/>
        <v>0</v>
      </c>
      <c r="CF27" s="274"/>
      <c r="CG27" s="254"/>
      <c r="CH27" s="527"/>
      <c r="CI27" s="255"/>
      <c r="CJ27" s="256"/>
      <c r="CK27" s="257"/>
      <c r="CL27" s="249"/>
      <c r="CM27" s="431"/>
      <c r="CN27" s="265" t="e">
        <f t="shared" si="52"/>
        <v>#N/A</v>
      </c>
      <c r="CO27" s="110" t="e">
        <f t="shared" si="53"/>
        <v>#N/A</v>
      </c>
      <c r="CP27" s="111" t="e">
        <f t="shared" si="54"/>
        <v>#N/A</v>
      </c>
      <c r="CQ27" s="111">
        <f t="shared" si="55"/>
        <v>0</v>
      </c>
      <c r="CR27" s="111">
        <f t="shared" si="56"/>
        <v>0</v>
      </c>
      <c r="CS27" s="111" t="e">
        <f t="shared" si="57"/>
        <v>#N/A</v>
      </c>
      <c r="CT27" s="112">
        <f t="shared" si="58"/>
        <v>0</v>
      </c>
      <c r="CU27" s="113">
        <f t="shared" si="59"/>
        <v>0</v>
      </c>
    </row>
    <row r="28" spans="2:99">
      <c r="B28" s="274" t="s">
        <v>190</v>
      </c>
      <c r="C28" s="254" t="s">
        <v>191</v>
      </c>
      <c r="D28" s="527"/>
      <c r="E28" s="255">
        <v>440</v>
      </c>
      <c r="F28" s="256">
        <v>6</v>
      </c>
      <c r="G28" s="286"/>
      <c r="H28" s="249">
        <f t="shared" si="60"/>
        <v>0</v>
      </c>
      <c r="I28" s="425"/>
      <c r="L28" s="388" t="s">
        <v>190</v>
      </c>
      <c r="M28" s="388" t="s">
        <v>191</v>
      </c>
      <c r="N28" s="443"/>
      <c r="O28" s="323">
        <v>440</v>
      </c>
      <c r="P28" s="388">
        <v>6</v>
      </c>
      <c r="Q28" s="324">
        <v>380000</v>
      </c>
      <c r="R28" s="319">
        <f t="shared" si="61"/>
        <v>2280000</v>
      </c>
      <c r="S28" s="425"/>
      <c r="T28" s="110">
        <f t="shared" si="40"/>
        <v>1</v>
      </c>
      <c r="U28" s="110">
        <f t="shared" si="41"/>
        <v>0</v>
      </c>
      <c r="V28" s="110">
        <f t="shared" si="42"/>
        <v>0</v>
      </c>
      <c r="W28" s="110">
        <f t="shared" si="6"/>
        <v>1</v>
      </c>
      <c r="X28" s="110">
        <f t="shared" si="6"/>
        <v>1</v>
      </c>
      <c r="Y28" s="110">
        <f t="shared" si="7"/>
        <v>0</v>
      </c>
      <c r="Z28" s="331">
        <f t="shared" si="16"/>
        <v>2280000</v>
      </c>
      <c r="AA28" s="332">
        <f t="shared" si="17"/>
        <v>0</v>
      </c>
      <c r="AD28" s="339" t="s">
        <v>190</v>
      </c>
      <c r="AE28" s="347" t="s">
        <v>191</v>
      </c>
      <c r="AF28" s="423"/>
      <c r="AG28" s="348">
        <v>440</v>
      </c>
      <c r="AH28" s="349">
        <v>6</v>
      </c>
      <c r="AI28" s="350">
        <v>287000</v>
      </c>
      <c r="AJ28" s="342">
        <f t="shared" si="62"/>
        <v>1722000</v>
      </c>
      <c r="AK28" s="425"/>
      <c r="AL28" s="110">
        <f t="shared" si="43"/>
        <v>1</v>
      </c>
      <c r="AM28" s="110">
        <f t="shared" si="44"/>
        <v>1</v>
      </c>
      <c r="AN28" s="111">
        <f t="shared" si="45"/>
        <v>1</v>
      </c>
      <c r="AO28" s="111">
        <f t="shared" si="18"/>
        <v>1</v>
      </c>
      <c r="AP28" s="111">
        <f t="shared" si="19"/>
        <v>1</v>
      </c>
      <c r="AQ28" s="111">
        <f t="shared" si="20"/>
        <v>1</v>
      </c>
      <c r="AR28" s="112">
        <f t="shared" si="21"/>
        <v>1722000</v>
      </c>
      <c r="AS28" s="113">
        <f t="shared" si="22"/>
        <v>0</v>
      </c>
      <c r="AV28" s="362" t="s">
        <v>190</v>
      </c>
      <c r="AW28" s="370" t="s">
        <v>191</v>
      </c>
      <c r="AX28" s="435"/>
      <c r="AY28" s="371">
        <v>440</v>
      </c>
      <c r="AZ28" s="372">
        <v>6</v>
      </c>
      <c r="BA28" s="373">
        <v>250000</v>
      </c>
      <c r="BB28" s="365">
        <f t="shared" si="63"/>
        <v>1500000</v>
      </c>
      <c r="BC28" s="425"/>
      <c r="BD28" s="110">
        <f t="shared" si="46"/>
        <v>1</v>
      </c>
      <c r="BE28" s="110">
        <f t="shared" si="47"/>
        <v>1</v>
      </c>
      <c r="BF28" s="111">
        <f t="shared" si="48"/>
        <v>1</v>
      </c>
      <c r="BG28" s="111">
        <f t="shared" si="23"/>
        <v>1</v>
      </c>
      <c r="BH28" s="111">
        <f t="shared" si="24"/>
        <v>1</v>
      </c>
      <c r="BI28" s="111">
        <f t="shared" si="25"/>
        <v>1</v>
      </c>
      <c r="BJ28" s="112">
        <f t="shared" si="26"/>
        <v>1500000</v>
      </c>
      <c r="BK28" s="113">
        <f t="shared" si="27"/>
        <v>0</v>
      </c>
      <c r="BN28" s="292"/>
      <c r="BO28" s="301"/>
      <c r="BP28" s="433"/>
      <c r="BQ28" s="302"/>
      <c r="BR28" s="303"/>
      <c r="BS28" s="304"/>
      <c r="BT28" s="295"/>
      <c r="BU28" s="431"/>
      <c r="BV28" s="110" t="e">
        <f t="shared" si="49"/>
        <v>#N/A</v>
      </c>
      <c r="BW28" s="110" t="e">
        <f t="shared" si="50"/>
        <v>#N/A</v>
      </c>
      <c r="BX28" s="111" t="e">
        <f t="shared" si="51"/>
        <v>#N/A</v>
      </c>
      <c r="BY28" s="111">
        <f t="shared" si="28"/>
        <v>0</v>
      </c>
      <c r="BZ28" s="111">
        <f t="shared" si="29"/>
        <v>0</v>
      </c>
      <c r="CA28" s="111" t="e">
        <f t="shared" si="30"/>
        <v>#N/A</v>
      </c>
      <c r="CB28" s="112">
        <f t="shared" si="31"/>
        <v>0</v>
      </c>
      <c r="CC28" s="113">
        <f t="shared" si="32"/>
        <v>0</v>
      </c>
      <c r="CF28" s="274"/>
      <c r="CG28" s="254"/>
      <c r="CH28" s="527"/>
      <c r="CI28" s="255"/>
      <c r="CJ28" s="256"/>
      <c r="CK28" s="257"/>
      <c r="CL28" s="249"/>
      <c r="CM28" s="431"/>
      <c r="CN28" s="265" t="e">
        <f t="shared" si="52"/>
        <v>#N/A</v>
      </c>
      <c r="CO28" s="110" t="e">
        <f t="shared" si="53"/>
        <v>#N/A</v>
      </c>
      <c r="CP28" s="111" t="e">
        <f t="shared" si="54"/>
        <v>#N/A</v>
      </c>
      <c r="CQ28" s="111">
        <f t="shared" si="55"/>
        <v>0</v>
      </c>
      <c r="CR28" s="111">
        <f t="shared" si="56"/>
        <v>0</v>
      </c>
      <c r="CS28" s="111" t="e">
        <f t="shared" si="57"/>
        <v>#N/A</v>
      </c>
      <c r="CT28" s="112">
        <f t="shared" si="58"/>
        <v>0</v>
      </c>
      <c r="CU28" s="113">
        <f t="shared" si="59"/>
        <v>0</v>
      </c>
    </row>
    <row r="29" spans="2:99">
      <c r="B29" s="274" t="s">
        <v>192</v>
      </c>
      <c r="C29" s="254" t="s">
        <v>193</v>
      </c>
      <c r="D29" s="527"/>
      <c r="E29" s="255">
        <v>1161</v>
      </c>
      <c r="F29" s="256">
        <v>6</v>
      </c>
      <c r="G29" s="286"/>
      <c r="H29" s="249">
        <f t="shared" si="60"/>
        <v>0</v>
      </c>
      <c r="I29" s="425"/>
      <c r="K29" s="107"/>
      <c r="L29" s="388" t="s">
        <v>192</v>
      </c>
      <c r="M29" s="388" t="s">
        <v>193</v>
      </c>
      <c r="N29" s="443"/>
      <c r="O29" s="323">
        <v>1161</v>
      </c>
      <c r="P29" s="388">
        <v>6</v>
      </c>
      <c r="Q29" s="324">
        <v>380000</v>
      </c>
      <c r="R29" s="319">
        <f t="shared" si="61"/>
        <v>2280000</v>
      </c>
      <c r="S29" s="425"/>
      <c r="T29" s="110">
        <f t="shared" si="40"/>
        <v>1</v>
      </c>
      <c r="U29" s="110">
        <f t="shared" si="41"/>
        <v>0</v>
      </c>
      <c r="V29" s="110">
        <f t="shared" si="42"/>
        <v>0</v>
      </c>
      <c r="W29" s="110">
        <f t="shared" si="6"/>
        <v>1</v>
      </c>
      <c r="X29" s="110">
        <f t="shared" si="6"/>
        <v>1</v>
      </c>
      <c r="Y29" s="110">
        <f t="shared" si="7"/>
        <v>0</v>
      </c>
      <c r="Z29" s="331">
        <f t="shared" si="16"/>
        <v>2280000</v>
      </c>
      <c r="AA29" s="332">
        <f t="shared" si="17"/>
        <v>0</v>
      </c>
      <c r="AD29" s="339" t="s">
        <v>192</v>
      </c>
      <c r="AE29" s="347" t="s">
        <v>193</v>
      </c>
      <c r="AF29" s="423"/>
      <c r="AG29" s="348">
        <v>1161</v>
      </c>
      <c r="AH29" s="349">
        <v>6</v>
      </c>
      <c r="AI29" s="350">
        <v>287000</v>
      </c>
      <c r="AJ29" s="342">
        <f t="shared" si="62"/>
        <v>1722000</v>
      </c>
      <c r="AK29" s="425"/>
      <c r="AL29" s="110">
        <f t="shared" si="43"/>
        <v>1</v>
      </c>
      <c r="AM29" s="110">
        <f t="shared" si="44"/>
        <v>1</v>
      </c>
      <c r="AN29" s="111">
        <f t="shared" si="45"/>
        <v>1</v>
      </c>
      <c r="AO29" s="111">
        <f t="shared" si="18"/>
        <v>1</v>
      </c>
      <c r="AP29" s="111">
        <f t="shared" si="19"/>
        <v>1</v>
      </c>
      <c r="AQ29" s="111">
        <f t="shared" si="20"/>
        <v>1</v>
      </c>
      <c r="AR29" s="112">
        <f t="shared" si="21"/>
        <v>1722000</v>
      </c>
      <c r="AS29" s="113">
        <f t="shared" si="22"/>
        <v>0</v>
      </c>
      <c r="AV29" s="362" t="s">
        <v>192</v>
      </c>
      <c r="AW29" s="370" t="s">
        <v>193</v>
      </c>
      <c r="AX29" s="435"/>
      <c r="AY29" s="371">
        <v>1161</v>
      </c>
      <c r="AZ29" s="372">
        <v>6</v>
      </c>
      <c r="BA29" s="373">
        <v>400000</v>
      </c>
      <c r="BB29" s="365">
        <f t="shared" si="63"/>
        <v>2400000</v>
      </c>
      <c r="BC29" s="425"/>
      <c r="BD29" s="110">
        <f t="shared" si="46"/>
        <v>1</v>
      </c>
      <c r="BE29" s="110">
        <f t="shared" si="47"/>
        <v>1</v>
      </c>
      <c r="BF29" s="111">
        <f t="shared" si="48"/>
        <v>1</v>
      </c>
      <c r="BG29" s="111">
        <f t="shared" si="23"/>
        <v>1</v>
      </c>
      <c r="BH29" s="111">
        <f t="shared" si="24"/>
        <v>1</v>
      </c>
      <c r="BI29" s="111">
        <f t="shared" si="25"/>
        <v>1</v>
      </c>
      <c r="BJ29" s="112">
        <f t="shared" si="26"/>
        <v>2400000</v>
      </c>
      <c r="BK29" s="113">
        <f t="shared" si="27"/>
        <v>0</v>
      </c>
      <c r="BN29" s="292"/>
      <c r="BO29" s="301"/>
      <c r="BP29" s="433"/>
      <c r="BQ29" s="302"/>
      <c r="BR29" s="303"/>
      <c r="BS29" s="304"/>
      <c r="BT29" s="295"/>
      <c r="BU29" s="431"/>
      <c r="BV29" s="110" t="e">
        <f t="shared" si="49"/>
        <v>#N/A</v>
      </c>
      <c r="BW29" s="110" t="e">
        <f t="shared" si="50"/>
        <v>#N/A</v>
      </c>
      <c r="BX29" s="111" t="e">
        <f t="shared" si="51"/>
        <v>#N/A</v>
      </c>
      <c r="BY29" s="111">
        <f t="shared" si="28"/>
        <v>0</v>
      </c>
      <c r="BZ29" s="111">
        <f t="shared" si="29"/>
        <v>0</v>
      </c>
      <c r="CA29" s="111" t="e">
        <f t="shared" si="30"/>
        <v>#N/A</v>
      </c>
      <c r="CB29" s="112">
        <f t="shared" si="31"/>
        <v>0</v>
      </c>
      <c r="CC29" s="113">
        <f t="shared" si="32"/>
        <v>0</v>
      </c>
      <c r="CF29" s="274"/>
      <c r="CG29" s="254"/>
      <c r="CH29" s="527"/>
      <c r="CI29" s="255"/>
      <c r="CJ29" s="256"/>
      <c r="CK29" s="257"/>
      <c r="CL29" s="249"/>
      <c r="CM29" s="431"/>
      <c r="CN29" s="265" t="e">
        <f t="shared" si="52"/>
        <v>#N/A</v>
      </c>
      <c r="CO29" s="110" t="e">
        <f t="shared" si="53"/>
        <v>#N/A</v>
      </c>
      <c r="CP29" s="111" t="e">
        <f t="shared" si="54"/>
        <v>#N/A</v>
      </c>
      <c r="CQ29" s="111">
        <f t="shared" si="55"/>
        <v>0</v>
      </c>
      <c r="CR29" s="111">
        <f t="shared" si="56"/>
        <v>0</v>
      </c>
      <c r="CS29" s="111" t="e">
        <f t="shared" si="57"/>
        <v>#N/A</v>
      </c>
      <c r="CT29" s="112">
        <f t="shared" si="58"/>
        <v>0</v>
      </c>
      <c r="CU29" s="113">
        <f t="shared" si="59"/>
        <v>0</v>
      </c>
    </row>
    <row r="30" spans="2:99">
      <c r="B30" s="274" t="s">
        <v>194</v>
      </c>
      <c r="C30" s="254" t="s">
        <v>195</v>
      </c>
      <c r="D30" s="527"/>
      <c r="E30" s="255">
        <v>600</v>
      </c>
      <c r="F30" s="256">
        <v>6</v>
      </c>
      <c r="G30" s="286"/>
      <c r="H30" s="249">
        <f t="shared" si="60"/>
        <v>0</v>
      </c>
      <c r="I30" s="425"/>
      <c r="L30" s="388" t="s">
        <v>194</v>
      </c>
      <c r="M30" s="388" t="s">
        <v>195</v>
      </c>
      <c r="N30" s="443"/>
      <c r="O30" s="323">
        <v>600</v>
      </c>
      <c r="P30" s="388">
        <v>6</v>
      </c>
      <c r="Q30" s="324">
        <v>380000</v>
      </c>
      <c r="R30" s="319">
        <f t="shared" si="61"/>
        <v>2280000</v>
      </c>
      <c r="S30" s="425"/>
      <c r="T30" s="110">
        <f t="shared" si="40"/>
        <v>1</v>
      </c>
      <c r="U30" s="110">
        <f t="shared" si="41"/>
        <v>0</v>
      </c>
      <c r="V30" s="110">
        <f t="shared" si="42"/>
        <v>0</v>
      </c>
      <c r="W30" s="110">
        <f t="shared" ref="W30:X35" si="64">IF(Q30=0,0,1)</f>
        <v>1</v>
      </c>
      <c r="X30" s="110">
        <f t="shared" si="64"/>
        <v>1</v>
      </c>
      <c r="Y30" s="110">
        <f t="shared" si="7"/>
        <v>0</v>
      </c>
      <c r="Z30" s="331">
        <f t="shared" si="16"/>
        <v>2280000</v>
      </c>
      <c r="AA30" s="332">
        <f t="shared" si="17"/>
        <v>0</v>
      </c>
      <c r="AD30" s="339" t="s">
        <v>194</v>
      </c>
      <c r="AE30" s="347" t="s">
        <v>195</v>
      </c>
      <c r="AF30" s="423"/>
      <c r="AG30" s="348">
        <v>600</v>
      </c>
      <c r="AH30" s="349">
        <v>6</v>
      </c>
      <c r="AI30" s="350">
        <v>287000</v>
      </c>
      <c r="AJ30" s="342">
        <f t="shared" si="62"/>
        <v>1722000</v>
      </c>
      <c r="AK30" s="425"/>
      <c r="AL30" s="110">
        <f t="shared" si="43"/>
        <v>1</v>
      </c>
      <c r="AM30" s="110">
        <f t="shared" si="44"/>
        <v>1</v>
      </c>
      <c r="AN30" s="111">
        <f t="shared" si="45"/>
        <v>1</v>
      </c>
      <c r="AO30" s="111">
        <f t="shared" si="18"/>
        <v>1</v>
      </c>
      <c r="AP30" s="111">
        <f t="shared" si="19"/>
        <v>1</v>
      </c>
      <c r="AQ30" s="111">
        <f t="shared" si="20"/>
        <v>1</v>
      </c>
      <c r="AR30" s="112">
        <f t="shared" si="21"/>
        <v>1722000</v>
      </c>
      <c r="AS30" s="113">
        <f t="shared" si="22"/>
        <v>0</v>
      </c>
      <c r="AV30" s="362" t="s">
        <v>194</v>
      </c>
      <c r="AW30" s="370" t="s">
        <v>195</v>
      </c>
      <c r="AX30" s="435"/>
      <c r="AY30" s="371">
        <v>600</v>
      </c>
      <c r="AZ30" s="372">
        <v>6</v>
      </c>
      <c r="BA30" s="373">
        <v>400000</v>
      </c>
      <c r="BB30" s="365">
        <f t="shared" si="63"/>
        <v>2400000</v>
      </c>
      <c r="BC30" s="425"/>
      <c r="BD30" s="110">
        <f t="shared" si="46"/>
        <v>1</v>
      </c>
      <c r="BE30" s="110">
        <f t="shared" si="47"/>
        <v>1</v>
      </c>
      <c r="BF30" s="111">
        <f t="shared" si="48"/>
        <v>1</v>
      </c>
      <c r="BG30" s="111">
        <f t="shared" si="23"/>
        <v>1</v>
      </c>
      <c r="BH30" s="111">
        <f t="shared" si="24"/>
        <v>1</v>
      </c>
      <c r="BI30" s="111">
        <f t="shared" si="25"/>
        <v>1</v>
      </c>
      <c r="BJ30" s="112">
        <f t="shared" si="26"/>
        <v>2400000</v>
      </c>
      <c r="BK30" s="113">
        <f t="shared" si="27"/>
        <v>0</v>
      </c>
      <c r="BN30" s="292"/>
      <c r="BO30" s="301"/>
      <c r="BP30" s="433"/>
      <c r="BQ30" s="302"/>
      <c r="BR30" s="303"/>
      <c r="BS30" s="304"/>
      <c r="BT30" s="295"/>
      <c r="BU30" s="431"/>
      <c r="BV30" s="110" t="e">
        <f t="shared" si="49"/>
        <v>#N/A</v>
      </c>
      <c r="BW30" s="110" t="e">
        <f t="shared" si="50"/>
        <v>#N/A</v>
      </c>
      <c r="BX30" s="111" t="e">
        <f t="shared" si="51"/>
        <v>#N/A</v>
      </c>
      <c r="BY30" s="111">
        <f t="shared" si="28"/>
        <v>0</v>
      </c>
      <c r="BZ30" s="111">
        <f t="shared" si="29"/>
        <v>0</v>
      </c>
      <c r="CA30" s="111" t="e">
        <f t="shared" si="30"/>
        <v>#N/A</v>
      </c>
      <c r="CB30" s="112">
        <f t="shared" si="31"/>
        <v>0</v>
      </c>
      <c r="CC30" s="113">
        <f t="shared" si="32"/>
        <v>0</v>
      </c>
      <c r="CF30" s="274"/>
      <c r="CG30" s="254"/>
      <c r="CH30" s="527"/>
      <c r="CI30" s="255"/>
      <c r="CJ30" s="256"/>
      <c r="CK30" s="257"/>
      <c r="CL30" s="249"/>
      <c r="CM30" s="431"/>
      <c r="CN30" s="265" t="e">
        <f t="shared" si="52"/>
        <v>#N/A</v>
      </c>
      <c r="CO30" s="110" t="e">
        <f t="shared" si="53"/>
        <v>#N/A</v>
      </c>
      <c r="CP30" s="111" t="e">
        <f t="shared" si="54"/>
        <v>#N/A</v>
      </c>
      <c r="CQ30" s="111">
        <f t="shared" si="55"/>
        <v>0</v>
      </c>
      <c r="CR30" s="111">
        <f t="shared" si="56"/>
        <v>0</v>
      </c>
      <c r="CS30" s="111" t="e">
        <f t="shared" si="57"/>
        <v>#N/A</v>
      </c>
      <c r="CT30" s="112">
        <f t="shared" si="58"/>
        <v>0</v>
      </c>
      <c r="CU30" s="113">
        <f t="shared" si="59"/>
        <v>0</v>
      </c>
    </row>
    <row r="31" spans="2:99">
      <c r="B31" s="274" t="s">
        <v>196</v>
      </c>
      <c r="C31" s="254" t="s">
        <v>197</v>
      </c>
      <c r="D31" s="527"/>
      <c r="E31" s="255">
        <v>2260</v>
      </c>
      <c r="F31" s="256">
        <v>6</v>
      </c>
      <c r="G31" s="286"/>
      <c r="H31" s="249">
        <f t="shared" si="60"/>
        <v>0</v>
      </c>
      <c r="I31" s="425"/>
      <c r="L31" s="388" t="s">
        <v>196</v>
      </c>
      <c r="M31" s="388" t="s">
        <v>197</v>
      </c>
      <c r="N31" s="443"/>
      <c r="O31" s="323">
        <v>2260</v>
      </c>
      <c r="P31" s="388">
        <v>6</v>
      </c>
      <c r="Q31" s="324">
        <v>380000</v>
      </c>
      <c r="R31" s="319">
        <f t="shared" si="61"/>
        <v>2280000</v>
      </c>
      <c r="S31" s="425"/>
      <c r="T31" s="110">
        <f t="shared" si="40"/>
        <v>1</v>
      </c>
      <c r="U31" s="110">
        <f t="shared" si="41"/>
        <v>0</v>
      </c>
      <c r="V31" s="110">
        <f t="shared" si="42"/>
        <v>0</v>
      </c>
      <c r="W31" s="110">
        <f t="shared" si="64"/>
        <v>1</v>
      </c>
      <c r="X31" s="110">
        <f t="shared" si="64"/>
        <v>1</v>
      </c>
      <c r="Y31" s="110">
        <f t="shared" si="7"/>
        <v>0</v>
      </c>
      <c r="Z31" s="331">
        <f t="shared" si="16"/>
        <v>2280000</v>
      </c>
      <c r="AA31" s="332">
        <f t="shared" si="17"/>
        <v>0</v>
      </c>
      <c r="AD31" s="339" t="s">
        <v>196</v>
      </c>
      <c r="AE31" s="347" t="s">
        <v>197</v>
      </c>
      <c r="AF31" s="423"/>
      <c r="AG31" s="348">
        <v>2260</v>
      </c>
      <c r="AH31" s="349">
        <v>6</v>
      </c>
      <c r="AI31" s="350">
        <v>268000</v>
      </c>
      <c r="AJ31" s="342">
        <f t="shared" si="62"/>
        <v>1608000</v>
      </c>
      <c r="AK31" s="425"/>
      <c r="AL31" s="110">
        <f t="shared" si="43"/>
        <v>1</v>
      </c>
      <c r="AM31" s="110">
        <f t="shared" si="44"/>
        <v>1</v>
      </c>
      <c r="AN31" s="111">
        <f t="shared" si="45"/>
        <v>1</v>
      </c>
      <c r="AO31" s="111">
        <f t="shared" si="18"/>
        <v>1</v>
      </c>
      <c r="AP31" s="111">
        <f t="shared" si="19"/>
        <v>1</v>
      </c>
      <c r="AQ31" s="111">
        <f t="shared" si="20"/>
        <v>1</v>
      </c>
      <c r="AR31" s="112">
        <f t="shared" si="21"/>
        <v>1608000</v>
      </c>
      <c r="AS31" s="113">
        <f t="shared" si="22"/>
        <v>0</v>
      </c>
      <c r="AV31" s="362" t="s">
        <v>196</v>
      </c>
      <c r="AW31" s="370" t="s">
        <v>197</v>
      </c>
      <c r="AX31" s="435"/>
      <c r="AY31" s="371">
        <v>2260</v>
      </c>
      <c r="AZ31" s="372">
        <v>6</v>
      </c>
      <c r="BA31" s="373">
        <v>700000</v>
      </c>
      <c r="BB31" s="365">
        <f t="shared" si="63"/>
        <v>4200000</v>
      </c>
      <c r="BC31" s="425"/>
      <c r="BD31" s="110">
        <f t="shared" si="46"/>
        <v>1</v>
      </c>
      <c r="BE31" s="110">
        <f t="shared" si="47"/>
        <v>1</v>
      </c>
      <c r="BF31" s="111">
        <f t="shared" si="48"/>
        <v>1</v>
      </c>
      <c r="BG31" s="111">
        <f t="shared" si="23"/>
        <v>1</v>
      </c>
      <c r="BH31" s="111">
        <f t="shared" si="24"/>
        <v>1</v>
      </c>
      <c r="BI31" s="111">
        <f t="shared" si="25"/>
        <v>1</v>
      </c>
      <c r="BJ31" s="112">
        <f t="shared" si="26"/>
        <v>4200000</v>
      </c>
      <c r="BK31" s="113">
        <f t="shared" si="27"/>
        <v>0</v>
      </c>
      <c r="BN31" s="292"/>
      <c r="BO31" s="301"/>
      <c r="BP31" s="433"/>
      <c r="BQ31" s="302"/>
      <c r="BR31" s="303"/>
      <c r="BS31" s="304"/>
      <c r="BT31" s="295"/>
      <c r="BU31" s="431"/>
      <c r="BV31" s="110" t="e">
        <f t="shared" si="49"/>
        <v>#N/A</v>
      </c>
      <c r="BW31" s="110" t="e">
        <f t="shared" si="50"/>
        <v>#N/A</v>
      </c>
      <c r="BX31" s="111" t="e">
        <f t="shared" si="51"/>
        <v>#N/A</v>
      </c>
      <c r="BY31" s="111">
        <f t="shared" si="28"/>
        <v>0</v>
      </c>
      <c r="BZ31" s="111">
        <f t="shared" si="29"/>
        <v>0</v>
      </c>
      <c r="CA31" s="111" t="e">
        <f t="shared" si="30"/>
        <v>#N/A</v>
      </c>
      <c r="CB31" s="112">
        <f t="shared" si="31"/>
        <v>0</v>
      </c>
      <c r="CC31" s="113">
        <f t="shared" si="32"/>
        <v>0</v>
      </c>
      <c r="CF31" s="274"/>
      <c r="CG31" s="254"/>
      <c r="CH31" s="527"/>
      <c r="CI31" s="255"/>
      <c r="CJ31" s="256"/>
      <c r="CK31" s="257"/>
      <c r="CL31" s="249"/>
      <c r="CM31" s="431"/>
      <c r="CN31" s="265" t="e">
        <f t="shared" si="52"/>
        <v>#N/A</v>
      </c>
      <c r="CO31" s="110" t="e">
        <f t="shared" si="53"/>
        <v>#N/A</v>
      </c>
      <c r="CP31" s="111" t="e">
        <f t="shared" si="54"/>
        <v>#N/A</v>
      </c>
      <c r="CQ31" s="111">
        <f t="shared" si="55"/>
        <v>0</v>
      </c>
      <c r="CR31" s="111">
        <f t="shared" si="56"/>
        <v>0</v>
      </c>
      <c r="CS31" s="111" t="e">
        <f t="shared" si="57"/>
        <v>#N/A</v>
      </c>
      <c r="CT31" s="112">
        <f t="shared" si="58"/>
        <v>0</v>
      </c>
      <c r="CU31" s="113">
        <f t="shared" si="59"/>
        <v>0</v>
      </c>
    </row>
    <row r="32" spans="2:99">
      <c r="B32" s="274" t="s">
        <v>198</v>
      </c>
      <c r="C32" s="254" t="s">
        <v>199</v>
      </c>
      <c r="D32" s="527"/>
      <c r="E32" s="255">
        <v>8765</v>
      </c>
      <c r="F32" s="256">
        <v>6</v>
      </c>
      <c r="G32" s="286"/>
      <c r="H32" s="249">
        <f t="shared" si="60"/>
        <v>0</v>
      </c>
      <c r="I32" s="425"/>
      <c r="J32" s="78"/>
      <c r="L32" s="388" t="s">
        <v>198</v>
      </c>
      <c r="M32" s="388" t="s">
        <v>199</v>
      </c>
      <c r="N32" s="443"/>
      <c r="O32" s="323">
        <v>8765</v>
      </c>
      <c r="P32" s="388">
        <v>6</v>
      </c>
      <c r="Q32" s="324">
        <v>780000</v>
      </c>
      <c r="R32" s="319">
        <f t="shared" si="61"/>
        <v>4680000</v>
      </c>
      <c r="S32" s="425"/>
      <c r="T32" s="110">
        <f t="shared" si="40"/>
        <v>1</v>
      </c>
      <c r="U32" s="110">
        <f t="shared" si="41"/>
        <v>0</v>
      </c>
      <c r="V32" s="110">
        <f t="shared" si="42"/>
        <v>0</v>
      </c>
      <c r="W32" s="110">
        <f t="shared" si="64"/>
        <v>1</v>
      </c>
      <c r="X32" s="110">
        <f t="shared" si="64"/>
        <v>1</v>
      </c>
      <c r="Y32" s="110">
        <f t="shared" si="7"/>
        <v>0</v>
      </c>
      <c r="Z32" s="331">
        <f t="shared" si="16"/>
        <v>4680000</v>
      </c>
      <c r="AA32" s="332">
        <f t="shared" si="17"/>
        <v>0</v>
      </c>
      <c r="AD32" s="339" t="s">
        <v>198</v>
      </c>
      <c r="AE32" s="347" t="s">
        <v>199</v>
      </c>
      <c r="AF32" s="423"/>
      <c r="AG32" s="348">
        <v>8765</v>
      </c>
      <c r="AH32" s="349">
        <v>6</v>
      </c>
      <c r="AI32" s="350">
        <v>335000</v>
      </c>
      <c r="AJ32" s="342">
        <f t="shared" si="62"/>
        <v>2010000</v>
      </c>
      <c r="AK32" s="425"/>
      <c r="AL32" s="110">
        <f t="shared" si="43"/>
        <v>1</v>
      </c>
      <c r="AM32" s="110">
        <f t="shared" si="44"/>
        <v>1</v>
      </c>
      <c r="AN32" s="111">
        <f t="shared" si="45"/>
        <v>1</v>
      </c>
      <c r="AO32" s="111">
        <f t="shared" si="18"/>
        <v>1</v>
      </c>
      <c r="AP32" s="111">
        <f t="shared" si="19"/>
        <v>1</v>
      </c>
      <c r="AQ32" s="111">
        <f t="shared" si="20"/>
        <v>1</v>
      </c>
      <c r="AR32" s="112">
        <f t="shared" si="21"/>
        <v>2010000</v>
      </c>
      <c r="AS32" s="113">
        <f t="shared" si="22"/>
        <v>0</v>
      </c>
      <c r="AV32" s="362" t="s">
        <v>198</v>
      </c>
      <c r="AW32" s="370" t="s">
        <v>199</v>
      </c>
      <c r="AX32" s="435"/>
      <c r="AY32" s="371">
        <v>8765</v>
      </c>
      <c r="AZ32" s="372">
        <v>6</v>
      </c>
      <c r="BA32" s="373">
        <v>1100000</v>
      </c>
      <c r="BB32" s="365">
        <f t="shared" si="63"/>
        <v>6600000</v>
      </c>
      <c r="BC32" s="425"/>
      <c r="BD32" s="110">
        <f t="shared" si="46"/>
        <v>1</v>
      </c>
      <c r="BE32" s="110">
        <f t="shared" si="47"/>
        <v>1</v>
      </c>
      <c r="BF32" s="111">
        <f t="shared" si="48"/>
        <v>1</v>
      </c>
      <c r="BG32" s="111">
        <f t="shared" si="23"/>
        <v>1</v>
      </c>
      <c r="BH32" s="111">
        <f t="shared" si="24"/>
        <v>1</v>
      </c>
      <c r="BI32" s="111">
        <f t="shared" si="25"/>
        <v>1</v>
      </c>
      <c r="BJ32" s="112">
        <f t="shared" si="26"/>
        <v>6600000</v>
      </c>
      <c r="BK32" s="113">
        <f t="shared" si="27"/>
        <v>0</v>
      </c>
      <c r="BN32" s="292"/>
      <c r="BO32" s="301"/>
      <c r="BP32" s="433"/>
      <c r="BQ32" s="302"/>
      <c r="BR32" s="303"/>
      <c r="BS32" s="304"/>
      <c r="BT32" s="295"/>
      <c r="BU32" s="431"/>
      <c r="BV32" s="110" t="e">
        <f t="shared" si="49"/>
        <v>#N/A</v>
      </c>
      <c r="BW32" s="110" t="e">
        <f t="shared" si="50"/>
        <v>#N/A</v>
      </c>
      <c r="BX32" s="111" t="e">
        <f t="shared" si="51"/>
        <v>#N/A</v>
      </c>
      <c r="BY32" s="111">
        <f t="shared" si="28"/>
        <v>0</v>
      </c>
      <c r="BZ32" s="111">
        <f t="shared" si="29"/>
        <v>0</v>
      </c>
      <c r="CA32" s="111" t="e">
        <f t="shared" si="30"/>
        <v>#N/A</v>
      </c>
      <c r="CB32" s="112">
        <f t="shared" si="31"/>
        <v>0</v>
      </c>
      <c r="CC32" s="113">
        <f t="shared" si="32"/>
        <v>0</v>
      </c>
      <c r="CF32" s="274"/>
      <c r="CG32" s="254"/>
      <c r="CH32" s="527"/>
      <c r="CI32" s="255"/>
      <c r="CJ32" s="256"/>
      <c r="CK32" s="257"/>
      <c r="CL32" s="249"/>
      <c r="CM32" s="431"/>
      <c r="CN32" s="265" t="e">
        <f t="shared" si="52"/>
        <v>#N/A</v>
      </c>
      <c r="CO32" s="110" t="e">
        <f t="shared" si="53"/>
        <v>#N/A</v>
      </c>
      <c r="CP32" s="111" t="e">
        <f t="shared" si="54"/>
        <v>#N/A</v>
      </c>
      <c r="CQ32" s="111">
        <f t="shared" si="55"/>
        <v>0</v>
      </c>
      <c r="CR32" s="111">
        <f t="shared" si="56"/>
        <v>0</v>
      </c>
      <c r="CS32" s="111" t="e">
        <f t="shared" si="57"/>
        <v>#N/A</v>
      </c>
      <c r="CT32" s="112">
        <f t="shared" si="58"/>
        <v>0</v>
      </c>
      <c r="CU32" s="113">
        <f t="shared" si="59"/>
        <v>0</v>
      </c>
    </row>
    <row r="33" spans="1:99">
      <c r="B33" s="274" t="s">
        <v>200</v>
      </c>
      <c r="C33" s="254" t="s">
        <v>201</v>
      </c>
      <c r="D33" s="527"/>
      <c r="E33" s="255">
        <v>1508</v>
      </c>
      <c r="F33" s="256">
        <v>6</v>
      </c>
      <c r="G33" s="286"/>
      <c r="H33" s="258">
        <f t="shared" si="60"/>
        <v>0</v>
      </c>
      <c r="I33" s="425"/>
      <c r="J33" s="78"/>
      <c r="L33" s="388" t="s">
        <v>200</v>
      </c>
      <c r="M33" s="388" t="s">
        <v>201</v>
      </c>
      <c r="N33" s="443"/>
      <c r="O33" s="323">
        <v>1508</v>
      </c>
      <c r="P33" s="388">
        <v>6</v>
      </c>
      <c r="Q33" s="324">
        <v>480000</v>
      </c>
      <c r="R33" s="325">
        <f t="shared" si="61"/>
        <v>2880000</v>
      </c>
      <c r="S33" s="425"/>
      <c r="T33" s="110">
        <f t="shared" si="40"/>
        <v>1</v>
      </c>
      <c r="U33" s="110">
        <f t="shared" si="41"/>
        <v>0</v>
      </c>
      <c r="V33" s="110">
        <f t="shared" si="42"/>
        <v>0</v>
      </c>
      <c r="W33" s="110">
        <f t="shared" si="64"/>
        <v>1</v>
      </c>
      <c r="X33" s="110">
        <f t="shared" si="64"/>
        <v>1</v>
      </c>
      <c r="Y33" s="110">
        <f t="shared" si="7"/>
        <v>0</v>
      </c>
      <c r="Z33" s="331">
        <f t="shared" si="16"/>
        <v>2880000</v>
      </c>
      <c r="AA33" s="332">
        <f t="shared" si="17"/>
        <v>0</v>
      </c>
      <c r="AD33" s="339" t="s">
        <v>200</v>
      </c>
      <c r="AE33" s="347" t="s">
        <v>201</v>
      </c>
      <c r="AF33" s="423"/>
      <c r="AG33" s="348">
        <v>1508</v>
      </c>
      <c r="AH33" s="349">
        <v>6</v>
      </c>
      <c r="AI33" s="350">
        <v>268000</v>
      </c>
      <c r="AJ33" s="351">
        <f t="shared" si="62"/>
        <v>1608000</v>
      </c>
      <c r="AK33" s="425"/>
      <c r="AL33" s="110">
        <f t="shared" si="43"/>
        <v>1</v>
      </c>
      <c r="AM33" s="110">
        <f t="shared" si="44"/>
        <v>1</v>
      </c>
      <c r="AN33" s="111">
        <f t="shared" si="45"/>
        <v>1</v>
      </c>
      <c r="AO33" s="111">
        <f t="shared" si="18"/>
        <v>1</v>
      </c>
      <c r="AP33" s="111">
        <f t="shared" si="19"/>
        <v>1</v>
      </c>
      <c r="AQ33" s="111">
        <f t="shared" si="20"/>
        <v>1</v>
      </c>
      <c r="AR33" s="112">
        <f t="shared" si="21"/>
        <v>1608000</v>
      </c>
      <c r="AS33" s="113">
        <f t="shared" si="22"/>
        <v>0</v>
      </c>
      <c r="AV33" s="362" t="s">
        <v>200</v>
      </c>
      <c r="AW33" s="370" t="s">
        <v>201</v>
      </c>
      <c r="AX33" s="435"/>
      <c r="AY33" s="371">
        <v>1508</v>
      </c>
      <c r="AZ33" s="372">
        <v>6</v>
      </c>
      <c r="BA33" s="373">
        <v>500000</v>
      </c>
      <c r="BB33" s="374">
        <f t="shared" si="63"/>
        <v>3000000</v>
      </c>
      <c r="BC33" s="425"/>
      <c r="BD33" s="110">
        <f t="shared" si="46"/>
        <v>1</v>
      </c>
      <c r="BE33" s="110">
        <f t="shared" si="47"/>
        <v>1</v>
      </c>
      <c r="BF33" s="111">
        <f t="shared" si="48"/>
        <v>1</v>
      </c>
      <c r="BG33" s="111">
        <f t="shared" si="23"/>
        <v>1</v>
      </c>
      <c r="BH33" s="111">
        <f t="shared" si="24"/>
        <v>1</v>
      </c>
      <c r="BI33" s="111">
        <f t="shared" si="25"/>
        <v>1</v>
      </c>
      <c r="BJ33" s="112">
        <f t="shared" si="26"/>
        <v>3000000</v>
      </c>
      <c r="BK33" s="113">
        <f t="shared" si="27"/>
        <v>0</v>
      </c>
      <c r="BN33" s="292"/>
      <c r="BO33" s="301"/>
      <c r="BP33" s="433"/>
      <c r="BQ33" s="302"/>
      <c r="BR33" s="303"/>
      <c r="BS33" s="304"/>
      <c r="BT33" s="305"/>
      <c r="BU33" s="431"/>
      <c r="BV33" s="110" t="e">
        <f t="shared" si="49"/>
        <v>#N/A</v>
      </c>
      <c r="BW33" s="110" t="e">
        <f t="shared" si="50"/>
        <v>#N/A</v>
      </c>
      <c r="BX33" s="111" t="e">
        <f t="shared" si="51"/>
        <v>#N/A</v>
      </c>
      <c r="BY33" s="111">
        <f t="shared" si="28"/>
        <v>0</v>
      </c>
      <c r="BZ33" s="111">
        <f t="shared" si="29"/>
        <v>0</v>
      </c>
      <c r="CA33" s="111" t="e">
        <f t="shared" si="30"/>
        <v>#N/A</v>
      </c>
      <c r="CB33" s="112">
        <f t="shared" si="31"/>
        <v>0</v>
      </c>
      <c r="CC33" s="113">
        <f t="shared" si="32"/>
        <v>0</v>
      </c>
      <c r="CF33" s="274"/>
      <c r="CG33" s="254"/>
      <c r="CH33" s="527"/>
      <c r="CI33" s="255"/>
      <c r="CJ33" s="256"/>
      <c r="CK33" s="257"/>
      <c r="CL33" s="258"/>
      <c r="CM33" s="431"/>
      <c r="CN33" s="265" t="e">
        <f t="shared" si="52"/>
        <v>#N/A</v>
      </c>
      <c r="CO33" s="110" t="e">
        <f t="shared" si="53"/>
        <v>#N/A</v>
      </c>
      <c r="CP33" s="111" t="e">
        <f t="shared" si="54"/>
        <v>#N/A</v>
      </c>
      <c r="CQ33" s="111">
        <f t="shared" si="55"/>
        <v>0</v>
      </c>
      <c r="CR33" s="111">
        <f t="shared" si="56"/>
        <v>0</v>
      </c>
      <c r="CS33" s="111" t="e">
        <f t="shared" si="57"/>
        <v>#N/A</v>
      </c>
      <c r="CT33" s="112">
        <f t="shared" si="58"/>
        <v>0</v>
      </c>
      <c r="CU33" s="113">
        <f t="shared" si="59"/>
        <v>0</v>
      </c>
    </row>
    <row r="34" spans="1:99">
      <c r="B34" s="274" t="s">
        <v>202</v>
      </c>
      <c r="C34" s="254" t="s">
        <v>203</v>
      </c>
      <c r="D34" s="527"/>
      <c r="E34" s="255">
        <v>732</v>
      </c>
      <c r="F34" s="256">
        <v>6</v>
      </c>
      <c r="G34" s="286"/>
      <c r="H34" s="249">
        <f t="shared" si="60"/>
        <v>0</v>
      </c>
      <c r="I34" s="425"/>
      <c r="L34" s="388" t="s">
        <v>202</v>
      </c>
      <c r="M34" s="388" t="s">
        <v>203</v>
      </c>
      <c r="N34" s="443"/>
      <c r="O34" s="323">
        <v>732</v>
      </c>
      <c r="P34" s="388">
        <v>6</v>
      </c>
      <c r="Q34" s="324">
        <v>680000</v>
      </c>
      <c r="R34" s="319">
        <f t="shared" si="61"/>
        <v>4080000</v>
      </c>
      <c r="S34" s="425"/>
      <c r="T34" s="110">
        <f t="shared" si="40"/>
        <v>1</v>
      </c>
      <c r="U34" s="110">
        <f t="shared" si="41"/>
        <v>0</v>
      </c>
      <c r="V34" s="110">
        <f t="shared" si="42"/>
        <v>0</v>
      </c>
      <c r="W34" s="110">
        <f t="shared" si="64"/>
        <v>1</v>
      </c>
      <c r="X34" s="110">
        <f t="shared" si="64"/>
        <v>1</v>
      </c>
      <c r="Y34" s="110">
        <f t="shared" si="7"/>
        <v>0</v>
      </c>
      <c r="Z34" s="331">
        <f t="shared" si="16"/>
        <v>4080000</v>
      </c>
      <c r="AA34" s="332">
        <f t="shared" si="17"/>
        <v>0</v>
      </c>
      <c r="AD34" s="339" t="s">
        <v>202</v>
      </c>
      <c r="AE34" s="347" t="s">
        <v>203</v>
      </c>
      <c r="AF34" s="423"/>
      <c r="AG34" s="348">
        <v>732</v>
      </c>
      <c r="AH34" s="349">
        <v>6</v>
      </c>
      <c r="AI34" s="350">
        <v>574000</v>
      </c>
      <c r="AJ34" s="342">
        <f t="shared" si="62"/>
        <v>3444000</v>
      </c>
      <c r="AK34" s="425"/>
      <c r="AL34" s="110">
        <f t="shared" si="43"/>
        <v>1</v>
      </c>
      <c r="AM34" s="110">
        <f t="shared" si="44"/>
        <v>1</v>
      </c>
      <c r="AN34" s="111">
        <f t="shared" si="45"/>
        <v>1</v>
      </c>
      <c r="AO34" s="111">
        <f t="shared" si="18"/>
        <v>1</v>
      </c>
      <c r="AP34" s="111">
        <f t="shared" si="19"/>
        <v>1</v>
      </c>
      <c r="AQ34" s="111">
        <f t="shared" si="20"/>
        <v>1</v>
      </c>
      <c r="AR34" s="112">
        <f t="shared" si="21"/>
        <v>3444000</v>
      </c>
      <c r="AS34" s="113">
        <f t="shared" si="22"/>
        <v>0</v>
      </c>
      <c r="AV34" s="362" t="s">
        <v>202</v>
      </c>
      <c r="AW34" s="370" t="s">
        <v>203</v>
      </c>
      <c r="AX34" s="435"/>
      <c r="AY34" s="371">
        <v>732</v>
      </c>
      <c r="AZ34" s="372">
        <v>6</v>
      </c>
      <c r="BA34" s="373">
        <v>500000</v>
      </c>
      <c r="BB34" s="365">
        <f t="shared" si="63"/>
        <v>3000000</v>
      </c>
      <c r="BC34" s="425"/>
      <c r="BD34" s="110">
        <f t="shared" si="46"/>
        <v>1</v>
      </c>
      <c r="BE34" s="110">
        <f t="shared" si="47"/>
        <v>1</v>
      </c>
      <c r="BF34" s="111">
        <f t="shared" si="48"/>
        <v>1</v>
      </c>
      <c r="BG34" s="111">
        <f t="shared" si="23"/>
        <v>1</v>
      </c>
      <c r="BH34" s="111">
        <f t="shared" si="24"/>
        <v>1</v>
      </c>
      <c r="BI34" s="111">
        <f t="shared" si="25"/>
        <v>1</v>
      </c>
      <c r="BJ34" s="112">
        <f t="shared" si="26"/>
        <v>3000000</v>
      </c>
      <c r="BK34" s="113">
        <f t="shared" si="27"/>
        <v>0</v>
      </c>
      <c r="BN34" s="292"/>
      <c r="BO34" s="301"/>
      <c r="BP34" s="433"/>
      <c r="BQ34" s="302"/>
      <c r="BR34" s="303"/>
      <c r="BS34" s="304"/>
      <c r="BT34" s="295"/>
      <c r="BU34" s="431"/>
      <c r="BV34" s="110" t="e">
        <f t="shared" si="49"/>
        <v>#N/A</v>
      </c>
      <c r="BW34" s="110" t="e">
        <f t="shared" si="50"/>
        <v>#N/A</v>
      </c>
      <c r="BX34" s="111" t="e">
        <f t="shared" si="51"/>
        <v>#N/A</v>
      </c>
      <c r="BY34" s="111">
        <f t="shared" si="28"/>
        <v>0</v>
      </c>
      <c r="BZ34" s="111">
        <f t="shared" si="29"/>
        <v>0</v>
      </c>
      <c r="CA34" s="111" t="e">
        <f t="shared" si="30"/>
        <v>#N/A</v>
      </c>
      <c r="CB34" s="112">
        <f t="shared" si="31"/>
        <v>0</v>
      </c>
      <c r="CC34" s="113">
        <f t="shared" si="32"/>
        <v>0</v>
      </c>
      <c r="CF34" s="274"/>
      <c r="CG34" s="254"/>
      <c r="CH34" s="527"/>
      <c r="CI34" s="255"/>
      <c r="CJ34" s="256"/>
      <c r="CK34" s="257"/>
      <c r="CL34" s="249"/>
      <c r="CM34" s="431"/>
      <c r="CN34" s="265" t="e">
        <f t="shared" si="52"/>
        <v>#N/A</v>
      </c>
      <c r="CO34" s="110" t="e">
        <f t="shared" si="53"/>
        <v>#N/A</v>
      </c>
      <c r="CP34" s="111" t="e">
        <f t="shared" si="54"/>
        <v>#N/A</v>
      </c>
      <c r="CQ34" s="111">
        <f t="shared" si="55"/>
        <v>0</v>
      </c>
      <c r="CR34" s="111">
        <f t="shared" si="56"/>
        <v>0</v>
      </c>
      <c r="CS34" s="111" t="e">
        <f t="shared" si="57"/>
        <v>#N/A</v>
      </c>
      <c r="CT34" s="112">
        <f t="shared" si="58"/>
        <v>0</v>
      </c>
      <c r="CU34" s="113">
        <f t="shared" si="59"/>
        <v>0</v>
      </c>
    </row>
    <row r="35" spans="1:99">
      <c r="B35" s="274" t="s">
        <v>204</v>
      </c>
      <c r="C35" s="254" t="s">
        <v>205</v>
      </c>
      <c r="D35" s="527"/>
      <c r="E35" s="259"/>
      <c r="F35" s="256">
        <v>6</v>
      </c>
      <c r="G35" s="286"/>
      <c r="H35" s="249">
        <f t="shared" si="60"/>
        <v>0</v>
      </c>
      <c r="I35" s="425"/>
      <c r="L35" s="388" t="s">
        <v>204</v>
      </c>
      <c r="M35" s="388" t="s">
        <v>205</v>
      </c>
      <c r="N35" s="443"/>
      <c r="O35" s="388"/>
      <c r="P35" s="388">
        <v>6</v>
      </c>
      <c r="Q35" s="324">
        <v>690000</v>
      </c>
      <c r="R35" s="319">
        <f t="shared" si="61"/>
        <v>4140000</v>
      </c>
      <c r="S35" s="425"/>
      <c r="T35" s="110">
        <f t="shared" si="40"/>
        <v>1</v>
      </c>
      <c r="U35" s="110">
        <f t="shared" si="41"/>
        <v>1</v>
      </c>
      <c r="V35" s="110">
        <f t="shared" si="42"/>
        <v>0</v>
      </c>
      <c r="W35" s="110">
        <f t="shared" si="64"/>
        <v>1</v>
      </c>
      <c r="X35" s="110">
        <f t="shared" si="64"/>
        <v>1</v>
      </c>
      <c r="Y35" s="110">
        <f t="shared" si="7"/>
        <v>0</v>
      </c>
      <c r="Z35" s="331">
        <f t="shared" si="16"/>
        <v>4140000</v>
      </c>
      <c r="AA35" s="332">
        <f t="shared" si="17"/>
        <v>0</v>
      </c>
      <c r="AD35" s="339" t="s">
        <v>204</v>
      </c>
      <c r="AE35" s="347" t="s">
        <v>205</v>
      </c>
      <c r="AF35" s="423"/>
      <c r="AG35" s="352"/>
      <c r="AH35" s="349">
        <v>6</v>
      </c>
      <c r="AI35" s="350">
        <v>402000</v>
      </c>
      <c r="AJ35" s="342">
        <f t="shared" si="62"/>
        <v>2412000</v>
      </c>
      <c r="AK35" s="425"/>
      <c r="AL35" s="110">
        <f t="shared" si="43"/>
        <v>1</v>
      </c>
      <c r="AM35" s="110">
        <f t="shared" si="44"/>
        <v>1</v>
      </c>
      <c r="AN35" s="111">
        <f t="shared" si="45"/>
        <v>1</v>
      </c>
      <c r="AO35" s="111">
        <f t="shared" si="18"/>
        <v>1</v>
      </c>
      <c r="AP35" s="111">
        <f t="shared" si="19"/>
        <v>1</v>
      </c>
      <c r="AQ35" s="111">
        <f t="shared" si="20"/>
        <v>1</v>
      </c>
      <c r="AR35" s="112">
        <f t="shared" si="21"/>
        <v>2412000</v>
      </c>
      <c r="AS35" s="113">
        <f t="shared" si="22"/>
        <v>0</v>
      </c>
      <c r="AV35" s="362" t="s">
        <v>204</v>
      </c>
      <c r="AW35" s="370" t="s">
        <v>205</v>
      </c>
      <c r="AX35" s="435"/>
      <c r="AY35" s="375"/>
      <c r="AZ35" s="372">
        <v>6</v>
      </c>
      <c r="BA35" s="373">
        <v>700000</v>
      </c>
      <c r="BB35" s="365">
        <f t="shared" si="63"/>
        <v>4200000</v>
      </c>
      <c r="BC35" s="425"/>
      <c r="BD35" s="110">
        <f t="shared" si="46"/>
        <v>1</v>
      </c>
      <c r="BE35" s="110">
        <f t="shared" si="47"/>
        <v>1</v>
      </c>
      <c r="BF35" s="111">
        <f t="shared" si="48"/>
        <v>1</v>
      </c>
      <c r="BG35" s="111">
        <f t="shared" si="23"/>
        <v>1</v>
      </c>
      <c r="BH35" s="111">
        <f t="shared" si="24"/>
        <v>1</v>
      </c>
      <c r="BI35" s="111">
        <f t="shared" si="25"/>
        <v>1</v>
      </c>
      <c r="BJ35" s="112">
        <f t="shared" si="26"/>
        <v>4200000</v>
      </c>
      <c r="BK35" s="113">
        <f t="shared" si="27"/>
        <v>0</v>
      </c>
      <c r="BN35" s="292"/>
      <c r="BO35" s="301"/>
      <c r="BP35" s="433"/>
      <c r="BQ35" s="306"/>
      <c r="BR35" s="303"/>
      <c r="BS35" s="304"/>
      <c r="BT35" s="295"/>
      <c r="BU35" s="431"/>
      <c r="BV35" s="110" t="e">
        <f t="shared" si="49"/>
        <v>#N/A</v>
      </c>
      <c r="BW35" s="110" t="e">
        <f t="shared" si="50"/>
        <v>#N/A</v>
      </c>
      <c r="BX35" s="111" t="e">
        <f t="shared" si="51"/>
        <v>#N/A</v>
      </c>
      <c r="BY35" s="111">
        <f t="shared" si="28"/>
        <v>0</v>
      </c>
      <c r="BZ35" s="111">
        <f t="shared" si="29"/>
        <v>0</v>
      </c>
      <c r="CA35" s="111" t="e">
        <f t="shared" si="30"/>
        <v>#N/A</v>
      </c>
      <c r="CB35" s="112">
        <f t="shared" si="31"/>
        <v>0</v>
      </c>
      <c r="CC35" s="113">
        <f t="shared" si="32"/>
        <v>0</v>
      </c>
      <c r="CF35" s="274"/>
      <c r="CG35" s="254"/>
      <c r="CH35" s="527"/>
      <c r="CI35" s="259"/>
      <c r="CJ35" s="256"/>
      <c r="CK35" s="257"/>
      <c r="CL35" s="249"/>
      <c r="CM35" s="431"/>
      <c r="CN35" s="265" t="e">
        <f t="shared" si="52"/>
        <v>#N/A</v>
      </c>
      <c r="CO35" s="110" t="e">
        <f t="shared" si="53"/>
        <v>#N/A</v>
      </c>
      <c r="CP35" s="111" t="e">
        <f t="shared" si="54"/>
        <v>#N/A</v>
      </c>
      <c r="CQ35" s="111">
        <f t="shared" si="55"/>
        <v>0</v>
      </c>
      <c r="CR35" s="111">
        <f t="shared" si="56"/>
        <v>0</v>
      </c>
      <c r="CS35" s="111" t="e">
        <f t="shared" si="57"/>
        <v>#N/A</v>
      </c>
      <c r="CT35" s="112">
        <f t="shared" si="58"/>
        <v>0</v>
      </c>
      <c r="CU35" s="113">
        <f t="shared" si="59"/>
        <v>0</v>
      </c>
    </row>
    <row r="36" spans="1:99">
      <c r="B36" s="272"/>
      <c r="C36" s="526" t="s">
        <v>207</v>
      </c>
      <c r="D36" s="526"/>
      <c r="E36" s="526"/>
      <c r="F36" s="526"/>
      <c r="G36" s="526"/>
      <c r="H36" s="251">
        <f>SUM(H22:H35)</f>
        <v>0</v>
      </c>
      <c r="I36" s="239"/>
      <c r="L36" s="387" t="s">
        <v>206</v>
      </c>
      <c r="M36" s="442" t="s">
        <v>207</v>
      </c>
      <c r="N36" s="442"/>
      <c r="O36" s="442"/>
      <c r="P36" s="442"/>
      <c r="Q36" s="442"/>
      <c r="R36" s="321">
        <f>SUM(R22:R35)</f>
        <v>43380000</v>
      </c>
      <c r="S36" s="239"/>
      <c r="T36" s="110"/>
      <c r="U36" s="110"/>
      <c r="V36" s="110"/>
      <c r="W36" s="110"/>
      <c r="X36" s="110"/>
      <c r="Y36" s="110"/>
      <c r="Z36" s="331"/>
      <c r="AA36" s="332"/>
      <c r="AD36" s="344" t="s">
        <v>206</v>
      </c>
      <c r="AE36" s="422" t="s">
        <v>207</v>
      </c>
      <c r="AF36" s="422"/>
      <c r="AG36" s="422"/>
      <c r="AH36" s="422"/>
      <c r="AI36" s="422"/>
      <c r="AJ36" s="345">
        <f>SUM(AJ22:AJ35)</f>
        <v>29022000</v>
      </c>
      <c r="AK36" s="239"/>
      <c r="AL36" s="110"/>
      <c r="AM36" s="110"/>
      <c r="AN36" s="111"/>
      <c r="AO36" s="111"/>
      <c r="AP36" s="111"/>
      <c r="AQ36" s="111"/>
      <c r="AR36" s="112"/>
      <c r="AS36" s="113"/>
      <c r="AV36" s="367" t="s">
        <v>206</v>
      </c>
      <c r="AW36" s="434" t="s">
        <v>207</v>
      </c>
      <c r="AX36" s="434"/>
      <c r="AY36" s="434"/>
      <c r="AZ36" s="434"/>
      <c r="BA36" s="434"/>
      <c r="BB36" s="368">
        <f>SUM(BB22:BB35)</f>
        <v>44700000</v>
      </c>
      <c r="BC36" s="239"/>
      <c r="BD36" s="110"/>
      <c r="BE36" s="110"/>
      <c r="BF36" s="111"/>
      <c r="BG36" s="111"/>
      <c r="BH36" s="111"/>
      <c r="BI36" s="111"/>
      <c r="BJ36" s="112"/>
      <c r="BK36" s="113"/>
      <c r="BN36" s="297"/>
      <c r="BO36" s="432"/>
      <c r="BP36" s="432"/>
      <c r="BQ36" s="432"/>
      <c r="BR36" s="432"/>
      <c r="BS36" s="432"/>
      <c r="BT36" s="298"/>
      <c r="BU36" s="273"/>
      <c r="BV36" s="110"/>
      <c r="BW36" s="110"/>
      <c r="BX36" s="111"/>
      <c r="BY36" s="111"/>
      <c r="BZ36" s="111"/>
      <c r="CA36" s="111"/>
      <c r="CB36" s="112"/>
      <c r="CC36" s="113"/>
      <c r="CF36" s="272"/>
      <c r="CG36" s="526"/>
      <c r="CH36" s="526"/>
      <c r="CI36" s="526"/>
      <c r="CJ36" s="526"/>
      <c r="CK36" s="526"/>
      <c r="CL36" s="251"/>
      <c r="CM36" s="273"/>
      <c r="CN36" s="265"/>
      <c r="CO36" s="110"/>
      <c r="CP36" s="111"/>
      <c r="CQ36" s="111"/>
      <c r="CR36" s="111"/>
      <c r="CS36" s="111"/>
      <c r="CT36" s="112"/>
      <c r="CU36" s="113"/>
    </row>
    <row r="37" spans="1:99">
      <c r="B37" s="275"/>
      <c r="C37" s="261" t="s">
        <v>208</v>
      </c>
      <c r="D37" s="262"/>
      <c r="E37" s="262"/>
      <c r="F37" s="263"/>
      <c r="G37" s="263"/>
      <c r="H37" s="264">
        <f>H36*19%</f>
        <v>0</v>
      </c>
      <c r="I37" s="239"/>
      <c r="L37" s="388"/>
      <c r="M37" s="387" t="s">
        <v>208</v>
      </c>
      <c r="N37" s="326"/>
      <c r="O37" s="326"/>
      <c r="P37" s="388"/>
      <c r="Q37" s="388"/>
      <c r="R37" s="327">
        <f>R36*19%</f>
        <v>8242200</v>
      </c>
      <c r="S37" s="239"/>
      <c r="T37" s="110"/>
      <c r="U37" s="110"/>
      <c r="V37" s="110"/>
      <c r="W37" s="110"/>
      <c r="X37" s="110"/>
      <c r="Y37" s="110"/>
      <c r="Z37" s="331"/>
      <c r="AA37" s="332"/>
      <c r="AD37" s="353"/>
      <c r="AE37" s="354" t="s">
        <v>208</v>
      </c>
      <c r="AF37" s="355"/>
      <c r="AG37" s="355"/>
      <c r="AH37" s="356"/>
      <c r="AI37" s="356"/>
      <c r="AJ37" s="357">
        <f>AJ36*19%</f>
        <v>5514180</v>
      </c>
      <c r="AK37" s="239"/>
      <c r="AL37" s="110"/>
      <c r="AM37" s="110"/>
      <c r="AN37" s="111"/>
      <c r="AO37" s="111"/>
      <c r="AP37" s="111"/>
      <c r="AQ37" s="111"/>
      <c r="AR37" s="112"/>
      <c r="AS37" s="113"/>
      <c r="AV37" s="376"/>
      <c r="AW37" s="377" t="s">
        <v>208</v>
      </c>
      <c r="AX37" s="378"/>
      <c r="AY37" s="378"/>
      <c r="AZ37" s="379"/>
      <c r="BA37" s="379"/>
      <c r="BB37" s="380">
        <f>BB36*19%</f>
        <v>8493000</v>
      </c>
      <c r="BC37" s="239"/>
      <c r="BD37" s="110"/>
      <c r="BE37" s="110"/>
      <c r="BF37" s="111"/>
      <c r="BG37" s="111"/>
      <c r="BH37" s="111"/>
      <c r="BI37" s="111"/>
      <c r="BJ37" s="112"/>
      <c r="BK37" s="113"/>
      <c r="BN37" s="307"/>
      <c r="BO37" s="308"/>
      <c r="BP37" s="309"/>
      <c r="BQ37" s="309"/>
      <c r="BR37" s="310"/>
      <c r="BS37" s="310"/>
      <c r="BT37" s="311"/>
      <c r="BU37" s="273"/>
      <c r="BV37" s="110"/>
      <c r="BW37" s="110"/>
      <c r="BX37" s="111"/>
      <c r="BY37" s="111"/>
      <c r="BZ37" s="111"/>
      <c r="CA37" s="111"/>
      <c r="CB37" s="112"/>
      <c r="CC37" s="113"/>
      <c r="CF37" s="275"/>
      <c r="CG37" s="261"/>
      <c r="CH37" s="262"/>
      <c r="CI37" s="262"/>
      <c r="CJ37" s="263"/>
      <c r="CK37" s="263"/>
      <c r="CL37" s="264"/>
      <c r="CM37" s="273"/>
      <c r="CN37" s="265"/>
      <c r="CO37" s="110"/>
      <c r="CP37" s="111"/>
      <c r="CQ37" s="111"/>
      <c r="CR37" s="111"/>
      <c r="CS37" s="111"/>
      <c r="CT37" s="112"/>
      <c r="CU37" s="113"/>
    </row>
    <row r="38" spans="1:99">
      <c r="B38" s="276"/>
      <c r="C38" s="261" t="s">
        <v>209</v>
      </c>
      <c r="D38" s="261"/>
      <c r="E38" s="261"/>
      <c r="F38" s="261"/>
      <c r="G38" s="261"/>
      <c r="H38" s="264">
        <f>H36+H37</f>
        <v>0</v>
      </c>
      <c r="I38" s="239"/>
      <c r="L38" s="387"/>
      <c r="M38" s="387" t="s">
        <v>209</v>
      </c>
      <c r="N38" s="387"/>
      <c r="O38" s="387"/>
      <c r="P38" s="387"/>
      <c r="Q38" s="387"/>
      <c r="R38" s="327">
        <f>R36+R37</f>
        <v>51622200</v>
      </c>
      <c r="S38" s="239"/>
      <c r="T38" s="110"/>
      <c r="U38" s="110"/>
      <c r="V38" s="110"/>
      <c r="W38" s="110"/>
      <c r="X38" s="110"/>
      <c r="Y38" s="110"/>
      <c r="Z38" s="331"/>
      <c r="AA38" s="332"/>
      <c r="AD38" s="358"/>
      <c r="AE38" s="354" t="s">
        <v>209</v>
      </c>
      <c r="AF38" s="354"/>
      <c r="AG38" s="354"/>
      <c r="AH38" s="354"/>
      <c r="AI38" s="354"/>
      <c r="AJ38" s="357">
        <f>AJ36+AJ37</f>
        <v>34536180</v>
      </c>
      <c r="AK38" s="239"/>
      <c r="AL38" s="110"/>
      <c r="AM38" s="110"/>
      <c r="AN38" s="111"/>
      <c r="AO38" s="111"/>
      <c r="AP38" s="111"/>
      <c r="AQ38" s="111"/>
      <c r="AR38" s="112"/>
      <c r="AS38" s="113"/>
      <c r="AV38" s="381"/>
      <c r="AW38" s="377" t="s">
        <v>209</v>
      </c>
      <c r="AX38" s="377"/>
      <c r="AY38" s="377"/>
      <c r="AZ38" s="377"/>
      <c r="BA38" s="377"/>
      <c r="BB38" s="380">
        <f>BB36+BB37</f>
        <v>53193000</v>
      </c>
      <c r="BC38" s="239"/>
      <c r="BD38" s="110"/>
      <c r="BE38" s="110"/>
      <c r="BF38" s="111"/>
      <c r="BG38" s="111"/>
      <c r="BH38" s="111"/>
      <c r="BI38" s="111"/>
      <c r="BJ38" s="112"/>
      <c r="BK38" s="113"/>
      <c r="BN38" s="312"/>
      <c r="BO38" s="308"/>
      <c r="BP38" s="308"/>
      <c r="BQ38" s="308"/>
      <c r="BR38" s="308"/>
      <c r="BS38" s="308"/>
      <c r="BT38" s="311"/>
      <c r="BU38" s="273"/>
      <c r="BV38" s="110"/>
      <c r="BW38" s="110"/>
      <c r="BX38" s="111"/>
      <c r="BY38" s="111"/>
      <c r="BZ38" s="111"/>
      <c r="CA38" s="111"/>
      <c r="CB38" s="112"/>
      <c r="CC38" s="113"/>
      <c r="CF38" s="276"/>
      <c r="CG38" s="261"/>
      <c r="CH38" s="261"/>
      <c r="CI38" s="261"/>
      <c r="CJ38" s="261"/>
      <c r="CK38" s="261"/>
      <c r="CL38" s="264"/>
      <c r="CM38" s="273"/>
      <c r="CN38" s="265"/>
      <c r="CO38" s="110"/>
      <c r="CP38" s="111"/>
      <c r="CQ38" s="111"/>
      <c r="CR38" s="111"/>
      <c r="CS38" s="111"/>
      <c r="CT38" s="112"/>
      <c r="CU38" s="113"/>
    </row>
    <row r="39" spans="1:99" ht="13.5" thickBot="1">
      <c r="B39" s="277"/>
      <c r="C39" s="278"/>
      <c r="D39" s="279"/>
      <c r="E39" s="278"/>
      <c r="F39" s="280"/>
      <c r="G39" s="281"/>
      <c r="H39" s="282"/>
      <c r="I39" s="240"/>
      <c r="L39" s="277"/>
      <c r="M39" s="278"/>
      <c r="N39" s="279"/>
      <c r="O39" s="278"/>
      <c r="P39" s="280"/>
      <c r="Q39" s="281"/>
      <c r="R39" s="282"/>
      <c r="S39" s="240"/>
      <c r="T39" s="110"/>
      <c r="U39" s="110"/>
      <c r="V39" s="110"/>
      <c r="W39" s="110"/>
      <c r="X39" s="110"/>
      <c r="Y39" s="110"/>
      <c r="Z39" s="331"/>
      <c r="AA39" s="332"/>
      <c r="AD39" s="287"/>
      <c r="AE39" s="288"/>
      <c r="AF39" s="288"/>
      <c r="AG39" s="288"/>
      <c r="AH39" s="288"/>
      <c r="AI39" s="288"/>
      <c r="AJ39" s="289"/>
      <c r="AK39" s="240"/>
      <c r="AL39" s="110"/>
      <c r="AM39" s="110"/>
      <c r="AN39" s="111"/>
      <c r="AO39" s="111"/>
      <c r="AP39" s="111"/>
      <c r="AQ39" s="111"/>
      <c r="AR39" s="112"/>
      <c r="AS39" s="113"/>
      <c r="AV39" s="290"/>
      <c r="AW39" s="313"/>
      <c r="AX39" s="313"/>
      <c r="AY39" s="313"/>
      <c r="AZ39" s="313"/>
      <c r="BA39" s="313"/>
      <c r="BB39" s="314">
        <f>BB20+BB38</f>
        <v>158508000</v>
      </c>
      <c r="BC39" s="240"/>
      <c r="BD39" s="110"/>
      <c r="BE39" s="110"/>
      <c r="BF39" s="111"/>
      <c r="BG39" s="111"/>
      <c r="BH39" s="111"/>
      <c r="BI39" s="111"/>
      <c r="BJ39" s="112"/>
      <c r="BK39" s="113"/>
      <c r="BN39" s="290"/>
      <c r="BO39" s="313"/>
      <c r="BP39" s="313"/>
      <c r="BQ39" s="313"/>
      <c r="BR39" s="313"/>
      <c r="BS39" s="313"/>
      <c r="BT39" s="314"/>
      <c r="BU39" s="283"/>
      <c r="BV39" s="110"/>
      <c r="BW39" s="110"/>
      <c r="BX39" s="111"/>
      <c r="BY39" s="111"/>
      <c r="BZ39" s="111"/>
      <c r="CA39" s="111"/>
      <c r="CB39" s="112"/>
      <c r="CC39" s="113"/>
      <c r="CF39" s="277"/>
      <c r="CG39" s="278"/>
      <c r="CH39" s="279"/>
      <c r="CI39" s="278"/>
      <c r="CJ39" s="280"/>
      <c r="CK39" s="281"/>
      <c r="CL39" s="282"/>
      <c r="CM39" s="283"/>
      <c r="CN39" s="265"/>
      <c r="CO39" s="110"/>
      <c r="CP39" s="111"/>
      <c r="CQ39" s="111"/>
      <c r="CR39" s="111"/>
      <c r="CS39" s="111"/>
      <c r="CT39" s="112"/>
      <c r="CU39" s="113"/>
    </row>
    <row r="40" spans="1:99" ht="16.5" thickTop="1" thickBot="1">
      <c r="B40" s="436" t="s">
        <v>96</v>
      </c>
      <c r="C40" s="437"/>
      <c r="D40" s="437"/>
      <c r="E40" s="437"/>
      <c r="F40" s="438"/>
      <c r="G40" s="90"/>
      <c r="H40" s="91">
        <f>H36+H18</f>
        <v>0</v>
      </c>
      <c r="I40" s="115" t="e">
        <f>I13+I22</f>
        <v>#DIV/0!</v>
      </c>
      <c r="L40" s="436" t="s">
        <v>96</v>
      </c>
      <c r="M40" s="437"/>
      <c r="N40" s="437"/>
      <c r="O40" s="437"/>
      <c r="P40" s="438"/>
      <c r="Q40" s="90"/>
      <c r="R40" s="91">
        <f>R36+R18</f>
        <v>114880000</v>
      </c>
      <c r="S40" s="115">
        <f>S13+S22</f>
        <v>1</v>
      </c>
      <c r="T40" s="124"/>
      <c r="U40" s="124"/>
      <c r="V40" s="124"/>
      <c r="W40" s="124"/>
      <c r="X40" s="124"/>
      <c r="Y40" s="125"/>
      <c r="Z40" s="331"/>
      <c r="AA40" s="332"/>
      <c r="AD40" s="436" t="s">
        <v>96</v>
      </c>
      <c r="AE40" s="437"/>
      <c r="AF40" s="437"/>
      <c r="AG40" s="437"/>
      <c r="AH40" s="438"/>
      <c r="AI40" s="90"/>
      <c r="AJ40" s="91">
        <f>AJ36+AJ18</f>
        <v>133786000</v>
      </c>
      <c r="AK40" s="115">
        <v>0</v>
      </c>
      <c r="AL40" s="110"/>
      <c r="AM40" s="110"/>
      <c r="AN40" s="111"/>
      <c r="AO40" s="111"/>
      <c r="AP40" s="111"/>
      <c r="AQ40" s="111"/>
      <c r="AR40" s="112"/>
      <c r="AS40" s="113"/>
      <c r="AV40" s="436" t="s">
        <v>96</v>
      </c>
      <c r="AW40" s="437"/>
      <c r="AX40" s="437"/>
      <c r="AY40" s="437"/>
      <c r="AZ40" s="438"/>
      <c r="BA40" s="90"/>
      <c r="BB40" s="91">
        <f>BB36+BB18</f>
        <v>133200000</v>
      </c>
      <c r="BC40" s="115"/>
      <c r="BD40" s="110"/>
      <c r="BE40" s="110"/>
      <c r="BF40" s="111"/>
      <c r="BG40" s="111"/>
      <c r="BH40" s="111"/>
      <c r="BI40" s="111"/>
      <c r="BJ40" s="112"/>
      <c r="BK40" s="113"/>
      <c r="BN40" s="436"/>
      <c r="BO40" s="437"/>
      <c r="BP40" s="437"/>
      <c r="BQ40" s="437"/>
      <c r="BR40" s="438"/>
      <c r="BS40" s="90"/>
      <c r="BT40" s="91"/>
      <c r="BU40" s="115" t="e">
        <f>BU13+BU22</f>
        <v>#DIV/0!</v>
      </c>
      <c r="BV40" s="110"/>
      <c r="BW40" s="110"/>
      <c r="BX40" s="111"/>
      <c r="BY40" s="111"/>
      <c r="BZ40" s="111"/>
      <c r="CA40" s="111"/>
      <c r="CB40" s="112"/>
      <c r="CC40" s="113"/>
      <c r="CF40" s="436" t="s">
        <v>96</v>
      </c>
      <c r="CG40" s="437"/>
      <c r="CH40" s="437"/>
      <c r="CI40" s="437"/>
      <c r="CJ40" s="438"/>
      <c r="CK40" s="90"/>
      <c r="CL40" s="91">
        <f>CL36+CL18</f>
        <v>0</v>
      </c>
      <c r="CM40" s="115">
        <f>CM13+CM22</f>
        <v>0</v>
      </c>
      <c r="CN40" s="110"/>
      <c r="CO40" s="110"/>
      <c r="CP40" s="111"/>
      <c r="CQ40" s="111"/>
      <c r="CR40" s="111"/>
      <c r="CS40" s="111"/>
      <c r="CT40" s="112"/>
      <c r="CU40" s="113"/>
    </row>
    <row r="41" spans="1:99" ht="32.25" thickBot="1">
      <c r="B41" s="439" t="s">
        <v>210</v>
      </c>
      <c r="C41" s="440"/>
      <c r="D41" s="440"/>
      <c r="E41" s="440"/>
      <c r="F41" s="441"/>
      <c r="G41" s="93">
        <v>0.19</v>
      </c>
      <c r="H41" s="94">
        <f>G41*H40</f>
        <v>0</v>
      </c>
      <c r="I41" s="116"/>
      <c r="L41" s="439" t="s">
        <v>210</v>
      </c>
      <c r="M41" s="440"/>
      <c r="N41" s="440"/>
      <c r="O41" s="440"/>
      <c r="P41" s="441"/>
      <c r="Q41" s="93">
        <v>0.19</v>
      </c>
      <c r="R41" s="94">
        <f>Q41*R40</f>
        <v>21827200</v>
      </c>
      <c r="S41" s="116"/>
      <c r="Z41" s="126" t="s">
        <v>125</v>
      </c>
      <c r="AA41" s="127">
        <f>SUM(AA13:AA39)</f>
        <v>0</v>
      </c>
      <c r="AD41" s="439" t="s">
        <v>210</v>
      </c>
      <c r="AE41" s="440"/>
      <c r="AF41" s="440"/>
      <c r="AG41" s="440"/>
      <c r="AH41" s="441"/>
      <c r="AI41" s="93">
        <v>0.19</v>
      </c>
      <c r="AJ41" s="94">
        <f>AI41*AJ40</f>
        <v>25419340</v>
      </c>
      <c r="AK41" s="116"/>
      <c r="AR41" s="126" t="s">
        <v>125</v>
      </c>
      <c r="AS41" s="127">
        <f>SUM(AS13:AS39)</f>
        <v>0</v>
      </c>
      <c r="AV41" s="439" t="s">
        <v>210</v>
      </c>
      <c r="AW41" s="440"/>
      <c r="AX41" s="440"/>
      <c r="AY41" s="440"/>
      <c r="AZ41" s="441"/>
      <c r="BA41" s="93">
        <v>0.19</v>
      </c>
      <c r="BB41" s="94">
        <f>BA41*BB40</f>
        <v>25308000</v>
      </c>
      <c r="BC41" s="116"/>
      <c r="BJ41" s="126" t="s">
        <v>125</v>
      </c>
      <c r="BK41" s="127">
        <f>SUM(BK13:BK39)</f>
        <v>0</v>
      </c>
      <c r="BN41" s="439"/>
      <c r="BO41" s="440"/>
      <c r="BP41" s="440"/>
      <c r="BQ41" s="440"/>
      <c r="BR41" s="441"/>
      <c r="BS41" s="93"/>
      <c r="BT41" s="94"/>
      <c r="BU41" s="116"/>
      <c r="CB41" s="126" t="s">
        <v>125</v>
      </c>
      <c r="CC41" s="127">
        <f>SUM(CC13:CC39)</f>
        <v>0</v>
      </c>
      <c r="CF41" s="439" t="s">
        <v>210</v>
      </c>
      <c r="CG41" s="440"/>
      <c r="CH41" s="440"/>
      <c r="CI41" s="440"/>
      <c r="CJ41" s="441"/>
      <c r="CK41" s="93">
        <v>0.19</v>
      </c>
      <c r="CL41" s="94">
        <f>CK41*CL40</f>
        <v>0</v>
      </c>
      <c r="CM41" s="116"/>
      <c r="CT41" s="126" t="s">
        <v>125</v>
      </c>
      <c r="CU41" s="127">
        <f>SUM(CU13:CU39)</f>
        <v>0</v>
      </c>
    </row>
    <row r="42" spans="1:99" ht="16.5" customHeight="1" thickBot="1">
      <c r="B42" s="459" t="s">
        <v>211</v>
      </c>
      <c r="C42" s="460"/>
      <c r="D42" s="460"/>
      <c r="E42" s="460"/>
      <c r="F42" s="461"/>
      <c r="G42" s="96"/>
      <c r="H42" s="97">
        <f>H40+H41</f>
        <v>0</v>
      </c>
      <c r="I42" s="117"/>
      <c r="L42" s="459" t="s">
        <v>211</v>
      </c>
      <c r="M42" s="460"/>
      <c r="N42" s="460"/>
      <c r="O42" s="460"/>
      <c r="P42" s="461"/>
      <c r="Q42" s="96"/>
      <c r="R42" s="97">
        <f>R40+R41</f>
        <v>136707200</v>
      </c>
      <c r="S42" s="117"/>
      <c r="Z42" s="450" t="s">
        <v>126</v>
      </c>
      <c r="AA42" s="451">
        <f>IFERROR((AA41/S40),0)</f>
        <v>0</v>
      </c>
      <c r="AD42" s="459" t="s">
        <v>211</v>
      </c>
      <c r="AE42" s="460"/>
      <c r="AF42" s="460"/>
      <c r="AG42" s="460"/>
      <c r="AH42" s="461"/>
      <c r="AI42" s="96"/>
      <c r="AJ42" s="97">
        <f>AJ40+AJ41</f>
        <v>159205340</v>
      </c>
      <c r="AK42" s="117"/>
      <c r="AR42" s="450" t="s">
        <v>126</v>
      </c>
      <c r="AS42" s="451">
        <f>IFERROR((AS41/AK40),0)</f>
        <v>0</v>
      </c>
      <c r="AV42" s="459" t="s">
        <v>211</v>
      </c>
      <c r="AW42" s="460"/>
      <c r="AX42" s="460"/>
      <c r="AY42" s="460"/>
      <c r="AZ42" s="461"/>
      <c r="BA42" s="96"/>
      <c r="BB42" s="97">
        <f>BB40+BB41</f>
        <v>158508000</v>
      </c>
      <c r="BC42" s="117"/>
      <c r="BJ42" s="450" t="s">
        <v>126</v>
      </c>
      <c r="BK42" s="451">
        <f>IFERROR((BK41/BC40),0)</f>
        <v>0</v>
      </c>
      <c r="BN42" s="459" t="s">
        <v>211</v>
      </c>
      <c r="BO42" s="460"/>
      <c r="BP42" s="460"/>
      <c r="BQ42" s="460"/>
      <c r="BR42" s="461"/>
      <c r="BS42" s="96"/>
      <c r="BT42" s="97">
        <f>BT40+BT41</f>
        <v>0</v>
      </c>
      <c r="BU42" s="117"/>
      <c r="CB42" s="450" t="s">
        <v>126</v>
      </c>
      <c r="CC42" s="451">
        <f>IFERROR((CC41/BU40),0)</f>
        <v>0</v>
      </c>
      <c r="CF42" s="459" t="s">
        <v>211</v>
      </c>
      <c r="CG42" s="460"/>
      <c r="CH42" s="460"/>
      <c r="CI42" s="460"/>
      <c r="CJ42" s="461"/>
      <c r="CK42" s="96"/>
      <c r="CL42" s="97">
        <f>CL40+CL41</f>
        <v>0</v>
      </c>
      <c r="CM42" s="117"/>
      <c r="CT42" s="450" t="s">
        <v>126</v>
      </c>
      <c r="CU42" s="451">
        <f>IFERROR((CU41/CM40),0)</f>
        <v>0</v>
      </c>
    </row>
    <row r="43" spans="1:99" ht="15" customHeight="1" thickTop="1">
      <c r="B43" s="118"/>
      <c r="C43" s="118"/>
      <c r="D43" s="119"/>
      <c r="E43" s="119"/>
      <c r="F43" s="119"/>
      <c r="G43" s="119"/>
      <c r="H43" s="119"/>
      <c r="I43" s="106"/>
      <c r="L43" s="118"/>
      <c r="M43" s="118"/>
      <c r="N43" s="119"/>
      <c r="O43" s="119"/>
      <c r="P43" s="119"/>
      <c r="Q43" s="119"/>
      <c r="R43" s="119"/>
      <c r="S43" s="106"/>
      <c r="Z43" s="450"/>
      <c r="AA43" s="452"/>
      <c r="AD43" s="118"/>
      <c r="AE43" s="118"/>
      <c r="AF43" s="119"/>
      <c r="AG43" s="119"/>
      <c r="AH43" s="119"/>
      <c r="AI43" s="119"/>
      <c r="AJ43" s="119"/>
      <c r="AK43" s="106"/>
      <c r="AR43" s="450"/>
      <c r="AS43" s="452"/>
      <c r="AV43" s="118"/>
      <c r="AW43" s="118"/>
      <c r="AX43" s="119"/>
      <c r="AY43" s="119"/>
      <c r="AZ43" s="119"/>
      <c r="BA43" s="119"/>
      <c r="BB43" s="119"/>
      <c r="BC43" s="106"/>
      <c r="BJ43" s="450"/>
      <c r="BK43" s="452"/>
      <c r="BN43" s="118"/>
      <c r="BO43" s="118"/>
      <c r="BP43" s="119"/>
      <c r="BQ43" s="119"/>
      <c r="BR43" s="119"/>
      <c r="BS43" s="119"/>
      <c r="BT43" s="119"/>
      <c r="BU43" s="106"/>
      <c r="CB43" s="450"/>
      <c r="CC43" s="452"/>
      <c r="CF43" s="118"/>
      <c r="CG43" s="118"/>
      <c r="CH43" s="119"/>
      <c r="CI43" s="119"/>
      <c r="CJ43" s="119"/>
      <c r="CK43" s="119"/>
      <c r="CL43" s="119"/>
      <c r="CM43" s="106"/>
      <c r="CT43" s="450"/>
      <c r="CU43" s="452"/>
    </row>
    <row r="44" spans="1:99" ht="13.5" thickBot="1">
      <c r="I44" s="106"/>
      <c r="P44" s="333" t="s">
        <v>100</v>
      </c>
      <c r="Q44" s="334">
        <v>0</v>
      </c>
      <c r="S44" s="106"/>
      <c r="AH44" s="79" t="s">
        <v>100</v>
      </c>
      <c r="AI44" s="80">
        <v>0</v>
      </c>
      <c r="AK44" s="106"/>
      <c r="AZ44" s="79" t="s">
        <v>100</v>
      </c>
      <c r="BA44" s="80">
        <v>0</v>
      </c>
      <c r="BC44" s="106"/>
      <c r="BR44" s="79" t="s">
        <v>100</v>
      </c>
      <c r="BS44" s="80" t="e">
        <f>BS41+#REF!</f>
        <v>#REF!</v>
      </c>
      <c r="BU44" s="106"/>
      <c r="CJ44" s="79" t="s">
        <v>100</v>
      </c>
      <c r="CK44" s="80" t="e">
        <f>SUM(CK41+#REF!)</f>
        <v>#REF!</v>
      </c>
      <c r="CM44" s="106"/>
    </row>
    <row r="45" spans="1:99" ht="27" thickBot="1">
      <c r="G45" s="448" t="s">
        <v>104</v>
      </c>
      <c r="H45" s="449"/>
      <c r="I45" s="106"/>
      <c r="J45" s="106"/>
      <c r="L45" s="453" t="str">
        <f>O2</f>
        <v>FUMIGAX S.A.S.</v>
      </c>
      <c r="M45" s="454"/>
      <c r="N45" s="454"/>
      <c r="O45" s="454"/>
      <c r="P45" s="454"/>
      <c r="Q45" s="454"/>
      <c r="R45" s="455"/>
      <c r="AD45" s="453" t="str">
        <f>AG2</f>
        <v>Truly Nolen Soluciones S.A.</v>
      </c>
      <c r="AE45" s="454"/>
      <c r="AF45" s="454"/>
      <c r="AG45" s="454"/>
      <c r="AH45" s="454"/>
      <c r="AI45" s="454"/>
      <c r="AJ45" s="455"/>
      <c r="AV45" s="453" t="str">
        <f>AY2</f>
        <v>Alfa Control S.A.S.</v>
      </c>
      <c r="AW45" s="454"/>
      <c r="AX45" s="454"/>
      <c r="AY45" s="454"/>
      <c r="AZ45" s="454"/>
      <c r="BA45" s="454"/>
      <c r="BB45" s="455"/>
      <c r="BN45" s="453">
        <f>BQ2</f>
        <v>0</v>
      </c>
      <c r="BO45" s="454"/>
      <c r="BP45" s="454"/>
      <c r="BQ45" s="454"/>
      <c r="BR45" s="454"/>
      <c r="BS45" s="454"/>
      <c r="BT45" s="455"/>
      <c r="CF45" s="453">
        <f>CI2</f>
        <v>0</v>
      </c>
      <c r="CG45" s="454"/>
      <c r="CH45" s="454"/>
      <c r="CI45" s="454"/>
      <c r="CJ45" s="454"/>
      <c r="CK45" s="454"/>
      <c r="CL45" s="455"/>
    </row>
    <row r="46" spans="1:99" ht="60.75" thickBot="1">
      <c r="G46" s="51" t="s">
        <v>103</v>
      </c>
      <c r="H46" s="51" t="s">
        <v>102</v>
      </c>
      <c r="I46" s="106"/>
      <c r="J46" s="106"/>
      <c r="L46" s="445" t="str">
        <f>+IF(U46*W46*Y46*AA46=1,"OK","NO HABILITADO")</f>
        <v>NO HABILITADO</v>
      </c>
      <c r="M46" s="446"/>
      <c r="N46" s="446"/>
      <c r="O46" s="446"/>
      <c r="P46" s="446"/>
      <c r="Q46" s="446"/>
      <c r="R46" s="447"/>
      <c r="U46" s="335">
        <f>IF(Q44&gt;'[2]10. EVALUACIÓN'!$D$11,0,1)</f>
        <v>1</v>
      </c>
      <c r="W46" s="335">
        <f>IF(S40&gt;'[2]10. EVALUACIÓN'!$D$9,0,1)</f>
        <v>0</v>
      </c>
      <c r="Y46" s="335">
        <f>PRODUCT(Y13:Y35)</f>
        <v>0</v>
      </c>
      <c r="AA46" s="335">
        <f>IF(AA42&gt;0.5,0,1)</f>
        <v>1</v>
      </c>
      <c r="AD46" s="456" t="str">
        <f ca="1">+IF(AM46*AO46*AQ46*AS46=1,"OK","NO HABILITADO")</f>
        <v>OK</v>
      </c>
      <c r="AE46" s="457"/>
      <c r="AF46" s="457"/>
      <c r="AG46" s="457"/>
      <c r="AH46" s="457"/>
      <c r="AI46" s="457"/>
      <c r="AJ46" s="458"/>
      <c r="AM46" s="60">
        <f ca="1">IF(AI44&gt;'10. EVALUACIÓN'!$D$9,0,1)</f>
        <v>1</v>
      </c>
      <c r="AO46" s="60">
        <v>1</v>
      </c>
      <c r="AQ46" s="60">
        <f>PRODUCT(AQ13:AQ35)</f>
        <v>1</v>
      </c>
      <c r="AS46" s="60">
        <f>IF(AS42&gt;0.5,0,1)</f>
        <v>1</v>
      </c>
      <c r="AV46" s="445" t="str">
        <f ca="1">+IF(BE46*BG46*BI46*BK46=1,"OK","NO HABILITADO")</f>
        <v>OK</v>
      </c>
      <c r="AW46" s="446"/>
      <c r="AX46" s="446"/>
      <c r="AY46" s="446"/>
      <c r="AZ46" s="446"/>
      <c r="BA46" s="446"/>
      <c r="BB46" s="447"/>
      <c r="BE46" s="60">
        <f ca="1">IF(BA44&gt;'10. EVALUACIÓN'!$D$9,0,1)</f>
        <v>1</v>
      </c>
      <c r="BG46" s="60">
        <v>1</v>
      </c>
      <c r="BI46" s="60">
        <f>PRODUCT(BI13:BI35)</f>
        <v>1</v>
      </c>
      <c r="BK46" s="60">
        <f>IF(BK42&gt;0.5,0,1)</f>
        <v>1</v>
      </c>
      <c r="BN46" s="445" t="e">
        <f ca="1">+IF(BW46*BY46*CA46*CC46=1,"OK","NO HABILITADO")</f>
        <v>#REF!</v>
      </c>
      <c r="BO46" s="446"/>
      <c r="BP46" s="446"/>
      <c r="BQ46" s="446"/>
      <c r="BR46" s="446"/>
      <c r="BS46" s="446"/>
      <c r="BT46" s="447"/>
      <c r="BW46" s="60" t="e">
        <f ca="1">IF(BS44&gt;'10. EVALUACIÓN'!$D$9,0,1)</f>
        <v>#REF!</v>
      </c>
      <c r="BY46" s="60" t="e">
        <f>IF(BU40&gt;'10. EVALUACIÓN'!#REF!,0,1)</f>
        <v>#DIV/0!</v>
      </c>
      <c r="CA46" s="60" t="e">
        <f>PRODUCT(CA13:CA35)</f>
        <v>#N/A</v>
      </c>
      <c r="CC46" s="60">
        <f>IF(CC42&gt;0.5,0,1)</f>
        <v>1</v>
      </c>
      <c r="CF46" s="445" t="e">
        <f ca="1">+IF(CO46*CQ46*CS46*CU46=1,"OK","NO HABILITADO")</f>
        <v>#REF!</v>
      </c>
      <c r="CG46" s="446"/>
      <c r="CH46" s="446"/>
      <c r="CI46" s="446"/>
      <c r="CJ46" s="446"/>
      <c r="CK46" s="446"/>
      <c r="CL46" s="447"/>
      <c r="CO46" s="60" t="e">
        <f ca="1">IF(CK44&gt;'10. EVALUACIÓN'!$D$9,0,1)</f>
        <v>#REF!</v>
      </c>
      <c r="CQ46" s="60" t="e">
        <f>IF(CM40&gt;'10. EVALUACIÓN'!#REF!,0,1)</f>
        <v>#REF!</v>
      </c>
      <c r="CS46" s="60" t="e">
        <f>PRODUCT(CS13:CS35)</f>
        <v>#N/A</v>
      </c>
      <c r="CU46" s="60">
        <f>IF(CU42&gt;0.5,0,1)</f>
        <v>1</v>
      </c>
    </row>
    <row r="47" spans="1:99" ht="27" customHeight="1">
      <c r="G47" s="120">
        <v>18</v>
      </c>
      <c r="H47" s="120">
        <v>18</v>
      </c>
      <c r="I47" s="106"/>
      <c r="J47" s="106"/>
    </row>
    <row r="48" spans="1:99" s="121" customFormat="1">
      <c r="A48" s="49"/>
      <c r="B48" s="49"/>
      <c r="C48" s="49"/>
      <c r="D48" s="49"/>
      <c r="E48" s="49"/>
      <c r="F48" s="49"/>
      <c r="G48" s="49"/>
      <c r="H48" s="49"/>
    </row>
    <row r="49" spans="1:10" s="121" customFormat="1" ht="30" customHeight="1">
      <c r="A49" s="61"/>
      <c r="B49" s="89" t="s">
        <v>31</v>
      </c>
      <c r="C49" s="241"/>
      <c r="D49" s="89" t="s">
        <v>109</v>
      </c>
      <c r="E49" s="89" t="s">
        <v>84</v>
      </c>
      <c r="F49" s="61"/>
      <c r="G49" s="89" t="s">
        <v>3</v>
      </c>
      <c r="H49" s="74" t="s">
        <v>101</v>
      </c>
    </row>
    <row r="50" spans="1:10" s="121" customFormat="1" ht="30" customHeight="1">
      <c r="A50" s="61"/>
      <c r="B50" s="51">
        <v>1</v>
      </c>
      <c r="C50" s="242"/>
      <c r="D50" s="51" t="str">
        <f t="shared" ref="D50:D64" si="65">VLOOKUP(B50,LISTA_OFERENTES,2,FALSE)</f>
        <v>FUMIGAX S.A.S.</v>
      </c>
      <c r="E50" s="51" t="str">
        <f t="shared" ref="E50:E64" si="66">IF(HLOOKUP(D50,EST_EXP,2,FALSE)="OK","H","NH")</f>
        <v>NH</v>
      </c>
      <c r="F50" s="61"/>
      <c r="G50" s="51">
        <v>1</v>
      </c>
      <c r="H50" s="73">
        <f ca="1">INDIRECT(I50,TRUE)</f>
        <v>114880000</v>
      </c>
      <c r="I50" s="122" t="str">
        <f>ADDRESS(40,J50,1,1)</f>
        <v>$R$40</v>
      </c>
      <c r="J50" s="122">
        <v>18</v>
      </c>
    </row>
    <row r="51" spans="1:10" s="121" customFormat="1" ht="30" customHeight="1">
      <c r="A51" s="61"/>
      <c r="B51" s="51">
        <v>2</v>
      </c>
      <c r="C51" s="242"/>
      <c r="D51" s="51" t="str">
        <f t="shared" si="65"/>
        <v>Truly Nolen Soluciones S.A.</v>
      </c>
      <c r="E51" s="51" t="str">
        <f t="shared" ca="1" si="66"/>
        <v>H</v>
      </c>
      <c r="F51" s="61"/>
      <c r="G51" s="51">
        <v>2</v>
      </c>
      <c r="H51" s="73">
        <f t="shared" ref="H51:H64" ca="1" si="67">INDIRECT(I51,TRUE)</f>
        <v>133786000</v>
      </c>
      <c r="I51" s="122" t="str">
        <f>ADDRESS(40,J51,1,1)</f>
        <v>$AJ$40</v>
      </c>
      <c r="J51" s="122">
        <f>$J50+$H$47</f>
        <v>36</v>
      </c>
    </row>
    <row r="52" spans="1:10" s="121" customFormat="1" ht="30" customHeight="1">
      <c r="A52" s="61"/>
      <c r="B52" s="51">
        <v>3</v>
      </c>
      <c r="C52" s="242"/>
      <c r="D52" s="51" t="str">
        <f t="shared" si="65"/>
        <v>Alfa Control S.A.S.</v>
      </c>
      <c r="E52" s="51" t="str">
        <f t="shared" ca="1" si="66"/>
        <v>H</v>
      </c>
      <c r="F52" s="61"/>
      <c r="G52" s="51">
        <v>3</v>
      </c>
      <c r="H52" s="73">
        <f t="shared" ca="1" si="67"/>
        <v>133200000</v>
      </c>
      <c r="I52" s="122" t="str">
        <f>ADDRESS(40,J52,1,1)</f>
        <v>$BB$40</v>
      </c>
      <c r="J52" s="122">
        <f t="shared" ref="J52:J64" si="68">$J51+$H$47</f>
        <v>54</v>
      </c>
    </row>
    <row r="53" spans="1:10" s="121" customFormat="1" ht="30" customHeight="1">
      <c r="A53" s="61"/>
      <c r="B53" s="51">
        <v>4</v>
      </c>
      <c r="C53" s="242"/>
      <c r="D53" s="51">
        <f t="shared" si="65"/>
        <v>0</v>
      </c>
      <c r="E53" s="51" t="e">
        <f t="shared" ca="1" si="66"/>
        <v>#REF!</v>
      </c>
      <c r="F53" s="61"/>
      <c r="G53" s="51">
        <v>4</v>
      </c>
      <c r="H53" s="73">
        <f t="shared" ca="1" si="67"/>
        <v>0</v>
      </c>
      <c r="I53" s="122" t="str">
        <f>ADDRESS(40,J53,1,1)</f>
        <v>$BT$40</v>
      </c>
      <c r="J53" s="122">
        <f t="shared" si="68"/>
        <v>72</v>
      </c>
    </row>
    <row r="54" spans="1:10" s="121" customFormat="1" ht="30" customHeight="1">
      <c r="A54" s="61"/>
      <c r="B54" s="51">
        <v>5</v>
      </c>
      <c r="C54" s="242"/>
      <c r="D54" s="51">
        <f t="shared" si="65"/>
        <v>0</v>
      </c>
      <c r="E54" s="51" t="e">
        <f t="shared" ca="1" si="66"/>
        <v>#REF!</v>
      </c>
      <c r="F54" s="61"/>
      <c r="G54" s="51">
        <v>5</v>
      </c>
      <c r="H54" s="73">
        <f t="shared" ca="1" si="67"/>
        <v>0</v>
      </c>
      <c r="I54" s="122" t="str">
        <f>ADDRESS(40,J54,1,1)</f>
        <v>$CL$40</v>
      </c>
      <c r="J54" s="122">
        <f t="shared" si="68"/>
        <v>90</v>
      </c>
    </row>
    <row r="55" spans="1:10" s="121" customFormat="1" ht="30" hidden="1" customHeight="1">
      <c r="A55" s="61"/>
      <c r="B55" s="51">
        <v>6</v>
      </c>
      <c r="C55" s="242"/>
      <c r="D55" s="51">
        <f t="shared" si="65"/>
        <v>0</v>
      </c>
      <c r="E55" s="51" t="e">
        <f t="shared" ca="1" si="66"/>
        <v>#REF!</v>
      </c>
      <c r="F55" s="61"/>
      <c r="G55" s="51"/>
      <c r="H55" s="73"/>
      <c r="I55" s="122"/>
      <c r="J55" s="122"/>
    </row>
    <row r="56" spans="1:10" s="121" customFormat="1" ht="30" hidden="1" customHeight="1">
      <c r="A56" s="61"/>
      <c r="B56" s="51">
        <v>7</v>
      </c>
      <c r="C56" s="242"/>
      <c r="D56" s="51">
        <f t="shared" si="65"/>
        <v>0</v>
      </c>
      <c r="E56" s="51" t="e">
        <f t="shared" ca="1" si="66"/>
        <v>#REF!</v>
      </c>
      <c r="F56" s="61"/>
      <c r="G56" s="51">
        <v>7</v>
      </c>
      <c r="H56" s="73">
        <f t="shared" ca="1" si="67"/>
        <v>0</v>
      </c>
      <c r="I56" s="122" t="str">
        <f t="shared" ref="I56:I64" si="69">ADDRESS(189,J56,1,1)</f>
        <v>$R$189</v>
      </c>
      <c r="J56" s="122">
        <f t="shared" si="68"/>
        <v>18</v>
      </c>
    </row>
    <row r="57" spans="1:10" s="121" customFormat="1" ht="30" hidden="1" customHeight="1">
      <c r="A57" s="61"/>
      <c r="B57" s="51">
        <v>8</v>
      </c>
      <c r="C57" s="242"/>
      <c r="D57" s="51">
        <f t="shared" si="65"/>
        <v>0</v>
      </c>
      <c r="E57" s="51" t="e">
        <f t="shared" ca="1" si="66"/>
        <v>#REF!</v>
      </c>
      <c r="F57" s="61"/>
      <c r="G57" s="51">
        <v>8</v>
      </c>
      <c r="H57" s="73">
        <f t="shared" ca="1" si="67"/>
        <v>0</v>
      </c>
      <c r="I57" s="122" t="str">
        <f t="shared" si="69"/>
        <v>$AJ$189</v>
      </c>
      <c r="J57" s="122">
        <f t="shared" si="68"/>
        <v>36</v>
      </c>
    </row>
    <row r="58" spans="1:10" s="121" customFormat="1" ht="30" hidden="1" customHeight="1">
      <c r="A58" s="61"/>
      <c r="B58" s="51">
        <v>9</v>
      </c>
      <c r="C58" s="242"/>
      <c r="D58" s="51">
        <f t="shared" si="65"/>
        <v>0</v>
      </c>
      <c r="E58" s="51" t="e">
        <f t="shared" ca="1" si="66"/>
        <v>#REF!</v>
      </c>
      <c r="F58" s="61"/>
      <c r="G58" s="51">
        <v>9</v>
      </c>
      <c r="H58" s="73">
        <f t="shared" ca="1" si="67"/>
        <v>0</v>
      </c>
      <c r="I58" s="122" t="str">
        <f t="shared" si="69"/>
        <v>$BB$189</v>
      </c>
      <c r="J58" s="122">
        <f t="shared" si="68"/>
        <v>54</v>
      </c>
    </row>
    <row r="59" spans="1:10" s="121" customFormat="1" ht="30" hidden="1" customHeight="1">
      <c r="A59" s="61"/>
      <c r="B59" s="51">
        <v>10</v>
      </c>
      <c r="C59" s="242"/>
      <c r="D59" s="51">
        <f t="shared" si="65"/>
        <v>0</v>
      </c>
      <c r="E59" s="51" t="e">
        <f t="shared" ca="1" si="66"/>
        <v>#REF!</v>
      </c>
      <c r="F59" s="61"/>
      <c r="G59" s="51">
        <v>10</v>
      </c>
      <c r="H59" s="73">
        <f t="shared" ca="1" si="67"/>
        <v>0</v>
      </c>
      <c r="I59" s="122" t="str">
        <f t="shared" si="69"/>
        <v>$BT$189</v>
      </c>
      <c r="J59" s="122">
        <f t="shared" si="68"/>
        <v>72</v>
      </c>
    </row>
    <row r="60" spans="1:10" s="121" customFormat="1" ht="30" hidden="1" customHeight="1">
      <c r="A60" s="61"/>
      <c r="B60" s="51">
        <v>11</v>
      </c>
      <c r="C60" s="242"/>
      <c r="D60" s="51">
        <f t="shared" si="65"/>
        <v>0</v>
      </c>
      <c r="E60" s="51" t="e">
        <f t="shared" ca="1" si="66"/>
        <v>#REF!</v>
      </c>
      <c r="F60" s="61"/>
      <c r="G60" s="51">
        <v>11</v>
      </c>
      <c r="H60" s="73">
        <f t="shared" ca="1" si="67"/>
        <v>0</v>
      </c>
      <c r="I60" s="122" t="str">
        <f t="shared" si="69"/>
        <v>$CL$189</v>
      </c>
      <c r="J60" s="122">
        <f t="shared" si="68"/>
        <v>90</v>
      </c>
    </row>
    <row r="61" spans="1:10" s="121" customFormat="1" ht="30" hidden="1" customHeight="1">
      <c r="A61" s="61"/>
      <c r="B61" s="51">
        <v>12</v>
      </c>
      <c r="C61" s="242"/>
      <c r="D61" s="51">
        <f t="shared" si="65"/>
        <v>0</v>
      </c>
      <c r="E61" s="51" t="e">
        <f t="shared" ca="1" si="66"/>
        <v>#REF!</v>
      </c>
      <c r="F61" s="61"/>
      <c r="G61" s="51">
        <v>12</v>
      </c>
      <c r="H61" s="73">
        <f t="shared" ca="1" si="67"/>
        <v>0</v>
      </c>
      <c r="I61" s="122" t="str">
        <f t="shared" si="69"/>
        <v>$DD$189</v>
      </c>
      <c r="J61" s="122">
        <f t="shared" si="68"/>
        <v>108</v>
      </c>
    </row>
    <row r="62" spans="1:10" s="121" customFormat="1" ht="30" hidden="1" customHeight="1">
      <c r="A62" s="61"/>
      <c r="B62" s="51">
        <v>13</v>
      </c>
      <c r="C62" s="242"/>
      <c r="D62" s="51">
        <f t="shared" si="65"/>
        <v>0</v>
      </c>
      <c r="E62" s="51" t="e">
        <f t="shared" ca="1" si="66"/>
        <v>#REF!</v>
      </c>
      <c r="F62" s="61"/>
      <c r="G62" s="51">
        <v>13</v>
      </c>
      <c r="H62" s="73">
        <f t="shared" ca="1" si="67"/>
        <v>0</v>
      </c>
      <c r="I62" s="122" t="str">
        <f t="shared" si="69"/>
        <v>$DV$189</v>
      </c>
      <c r="J62" s="122">
        <f t="shared" si="68"/>
        <v>126</v>
      </c>
    </row>
    <row r="63" spans="1:10" s="121" customFormat="1" ht="30" hidden="1" customHeight="1">
      <c r="A63" s="61"/>
      <c r="B63" s="51">
        <v>14</v>
      </c>
      <c r="C63" s="242"/>
      <c r="D63" s="51">
        <f t="shared" si="65"/>
        <v>0</v>
      </c>
      <c r="E63" s="51" t="e">
        <f t="shared" ca="1" si="66"/>
        <v>#REF!</v>
      </c>
      <c r="F63" s="61"/>
      <c r="G63" s="51">
        <v>14</v>
      </c>
      <c r="H63" s="73">
        <f t="shared" ca="1" si="67"/>
        <v>0</v>
      </c>
      <c r="I63" s="122" t="str">
        <f t="shared" si="69"/>
        <v>$EN$189</v>
      </c>
      <c r="J63" s="122">
        <f t="shared" si="68"/>
        <v>144</v>
      </c>
    </row>
    <row r="64" spans="1:10" s="121" customFormat="1" ht="30" hidden="1" customHeight="1">
      <c r="A64" s="61"/>
      <c r="B64" s="51">
        <v>15</v>
      </c>
      <c r="C64" s="242"/>
      <c r="D64" s="51">
        <f t="shared" si="65"/>
        <v>0</v>
      </c>
      <c r="E64" s="51" t="e">
        <f t="shared" ca="1" si="66"/>
        <v>#REF!</v>
      </c>
      <c r="F64" s="61"/>
      <c r="G64" s="51">
        <v>15</v>
      </c>
      <c r="H64" s="73">
        <f t="shared" ca="1" si="67"/>
        <v>0</v>
      </c>
      <c r="I64" s="122" t="str">
        <f t="shared" si="69"/>
        <v>$FF$189</v>
      </c>
      <c r="J64" s="122">
        <f t="shared" si="68"/>
        <v>162</v>
      </c>
    </row>
    <row r="65" spans="1:10" s="121" customFormat="1">
      <c r="A65" s="49"/>
      <c r="B65" s="49"/>
      <c r="C65" s="49"/>
      <c r="D65" s="49"/>
      <c r="E65" s="49"/>
      <c r="F65" s="49"/>
      <c r="G65" s="49"/>
      <c r="H65" s="49"/>
    </row>
    <row r="66" spans="1:10" s="121" customFormat="1">
      <c r="A66" s="49"/>
      <c r="B66" s="49"/>
      <c r="C66" s="49"/>
      <c r="D66" s="49"/>
      <c r="E66" s="49"/>
      <c r="F66" s="49"/>
      <c r="G66" s="49"/>
      <c r="H66" s="49"/>
    </row>
    <row r="68" spans="1:10">
      <c r="G68" s="448" t="s">
        <v>105</v>
      </c>
      <c r="H68" s="449"/>
    </row>
    <row r="69" spans="1:10">
      <c r="G69" s="51" t="s">
        <v>103</v>
      </c>
      <c r="H69" s="51" t="s">
        <v>102</v>
      </c>
    </row>
    <row r="70" spans="1:10">
      <c r="G70" s="120">
        <v>15</v>
      </c>
      <c r="H70" s="120">
        <v>17</v>
      </c>
    </row>
    <row r="72" spans="1:10">
      <c r="G72" s="89" t="s">
        <v>3</v>
      </c>
      <c r="H72" s="74" t="s">
        <v>106</v>
      </c>
    </row>
    <row r="73" spans="1:10">
      <c r="G73" s="51">
        <v>1</v>
      </c>
      <c r="H73" s="75">
        <f ca="1">INDIRECT(I73,TRUE)</f>
        <v>0</v>
      </c>
      <c r="I73" s="122" t="str">
        <f>ADDRESS(189,J73,1,1)</f>
        <v>$O$189</v>
      </c>
      <c r="J73" s="122">
        <f>G70</f>
        <v>15</v>
      </c>
    </row>
    <row r="74" spans="1:10">
      <c r="G74" s="51">
        <v>2</v>
      </c>
      <c r="H74" s="75">
        <f t="shared" ref="H74:H87" ca="1" si="70">INDIRECT(I74,TRUE)</f>
        <v>0</v>
      </c>
      <c r="I74" s="122" t="str">
        <f>ADDRESS(189,J74,1,1)</f>
        <v>$AF$189</v>
      </c>
      <c r="J74" s="122">
        <f>$J73+$H$70</f>
        <v>32</v>
      </c>
    </row>
    <row r="75" spans="1:10">
      <c r="G75" s="51">
        <v>3</v>
      </c>
      <c r="H75" s="75">
        <f t="shared" ca="1" si="70"/>
        <v>0</v>
      </c>
      <c r="I75" s="122" t="str">
        <f>ADDRESS(189,J75,1,1)</f>
        <v>$AW$189</v>
      </c>
      <c r="J75" s="122">
        <f t="shared" ref="J75:J87" si="71">$J74+$H$70</f>
        <v>49</v>
      </c>
    </row>
    <row r="76" spans="1:10">
      <c r="G76" s="51">
        <v>4</v>
      </c>
      <c r="H76" s="75">
        <f t="shared" ca="1" si="70"/>
        <v>0</v>
      </c>
      <c r="I76" s="122" t="str">
        <f>ADDRESS(189,J76,1,1)</f>
        <v>$BN$189</v>
      </c>
      <c r="J76" s="122">
        <f t="shared" si="71"/>
        <v>66</v>
      </c>
    </row>
    <row r="77" spans="1:10">
      <c r="G77" s="51">
        <v>5</v>
      </c>
      <c r="H77" s="75">
        <f t="shared" ca="1" si="70"/>
        <v>0</v>
      </c>
      <c r="I77" s="122" t="str">
        <f>ADDRESS(189,J77,1,1)</f>
        <v>$CE$189</v>
      </c>
      <c r="J77" s="122">
        <f t="shared" si="71"/>
        <v>83</v>
      </c>
    </row>
    <row r="78" spans="1:10" hidden="1">
      <c r="G78" s="51">
        <v>6</v>
      </c>
      <c r="H78" s="75">
        <f t="shared" ca="1" si="70"/>
        <v>0</v>
      </c>
      <c r="I78" s="122" t="str">
        <f t="shared" ref="I78:I87" si="72">ADDRESS(195,J78,1,1)</f>
        <v>$CV$195</v>
      </c>
      <c r="J78" s="122">
        <f t="shared" si="71"/>
        <v>100</v>
      </c>
    </row>
    <row r="79" spans="1:10" hidden="1">
      <c r="G79" s="51">
        <v>7</v>
      </c>
      <c r="H79" s="75">
        <f t="shared" ca="1" si="70"/>
        <v>0</v>
      </c>
      <c r="I79" s="122" t="str">
        <f t="shared" si="72"/>
        <v>$DM$195</v>
      </c>
      <c r="J79" s="122">
        <f t="shared" si="71"/>
        <v>117</v>
      </c>
    </row>
    <row r="80" spans="1:10" hidden="1">
      <c r="G80" s="51">
        <v>8</v>
      </c>
      <c r="H80" s="75">
        <f t="shared" ca="1" si="70"/>
        <v>0</v>
      </c>
      <c r="I80" s="122" t="str">
        <f t="shared" si="72"/>
        <v>$ED$195</v>
      </c>
      <c r="J80" s="122">
        <f t="shared" si="71"/>
        <v>134</v>
      </c>
    </row>
    <row r="81" spans="7:10" hidden="1">
      <c r="G81" s="51">
        <v>9</v>
      </c>
      <c r="H81" s="75">
        <f t="shared" ca="1" si="70"/>
        <v>0</v>
      </c>
      <c r="I81" s="122" t="str">
        <f t="shared" si="72"/>
        <v>$EU$195</v>
      </c>
      <c r="J81" s="122">
        <f t="shared" si="71"/>
        <v>151</v>
      </c>
    </row>
    <row r="82" spans="7:10" hidden="1">
      <c r="G82" s="51">
        <v>10</v>
      </c>
      <c r="H82" s="75">
        <f t="shared" ca="1" si="70"/>
        <v>0</v>
      </c>
      <c r="I82" s="122" t="str">
        <f t="shared" si="72"/>
        <v>$FL$195</v>
      </c>
      <c r="J82" s="122">
        <f t="shared" si="71"/>
        <v>168</v>
      </c>
    </row>
    <row r="83" spans="7:10" hidden="1">
      <c r="G83" s="51">
        <v>11</v>
      </c>
      <c r="H83" s="75">
        <f t="shared" ca="1" si="70"/>
        <v>0</v>
      </c>
      <c r="I83" s="122" t="str">
        <f t="shared" si="72"/>
        <v>$GC$195</v>
      </c>
      <c r="J83" s="122">
        <f t="shared" si="71"/>
        <v>185</v>
      </c>
    </row>
    <row r="84" spans="7:10" hidden="1">
      <c r="G84" s="51">
        <v>12</v>
      </c>
      <c r="H84" s="75">
        <f t="shared" ca="1" si="70"/>
        <v>0</v>
      </c>
      <c r="I84" s="122" t="str">
        <f t="shared" si="72"/>
        <v>$GT$195</v>
      </c>
      <c r="J84" s="122">
        <f t="shared" si="71"/>
        <v>202</v>
      </c>
    </row>
    <row r="85" spans="7:10" hidden="1">
      <c r="G85" s="51">
        <v>13</v>
      </c>
      <c r="H85" s="75">
        <f t="shared" ca="1" si="70"/>
        <v>0</v>
      </c>
      <c r="I85" s="122" t="str">
        <f t="shared" si="72"/>
        <v>$HK$195</v>
      </c>
      <c r="J85" s="122">
        <f t="shared" si="71"/>
        <v>219</v>
      </c>
    </row>
    <row r="86" spans="7:10" hidden="1">
      <c r="G86" s="51">
        <v>14</v>
      </c>
      <c r="H86" s="75">
        <f t="shared" ca="1" si="70"/>
        <v>0</v>
      </c>
      <c r="I86" s="122" t="str">
        <f t="shared" si="72"/>
        <v>$IB$195</v>
      </c>
      <c r="J86" s="122">
        <f t="shared" si="71"/>
        <v>236</v>
      </c>
    </row>
    <row r="87" spans="7:10" hidden="1">
      <c r="G87" s="51">
        <v>15</v>
      </c>
      <c r="H87" s="75">
        <f t="shared" ca="1" si="70"/>
        <v>0</v>
      </c>
      <c r="I87" s="122" t="str">
        <f t="shared" si="72"/>
        <v>$IS$195</v>
      </c>
      <c r="J87" s="122">
        <f t="shared" si="71"/>
        <v>253</v>
      </c>
    </row>
  </sheetData>
  <sheetProtection algorithmName="SHA-512" hashValue="3IE7ZLc+/+Y+eEbKvIKvBHOcWdrMwbaITFNOdc/CZbgBg+fdGrDK7vtFNx7g9hmd98Md9MQu6nTDM2TJKLKzIA==" saltValue="L2KM1GL4JOyVbH/UKP6CSg==" spinCount="100000" sheet="1" selectLockedCells="1" selectUnlockedCells="1"/>
  <mergeCells count="172">
    <mergeCell ref="CF40:CJ40"/>
    <mergeCell ref="CF41:CJ41"/>
    <mergeCell ref="CF42:CJ42"/>
    <mergeCell ref="CF4:CH9"/>
    <mergeCell ref="CI4:CM4"/>
    <mergeCell ref="CI5:CM7"/>
    <mergeCell ref="CI8:CI9"/>
    <mergeCell ref="CJ8:CM9"/>
    <mergeCell ref="CR4:CR12"/>
    <mergeCell ref="CM13:CM17"/>
    <mergeCell ref="CG18:CK18"/>
    <mergeCell ref="CH22:CH35"/>
    <mergeCell ref="CM22:CM35"/>
    <mergeCell ref="CG36:CK36"/>
    <mergeCell ref="CS4:CS12"/>
    <mergeCell ref="CT4:CT12"/>
    <mergeCell ref="CU4:CU12"/>
    <mergeCell ref="CF10:CL10"/>
    <mergeCell ref="CG11:CH11"/>
    <mergeCell ref="CG12:CL12"/>
    <mergeCell ref="AG4:AK4"/>
    <mergeCell ref="AG5:AK7"/>
    <mergeCell ref="AG8:AG9"/>
    <mergeCell ref="AH8:AK9"/>
    <mergeCell ref="AO4:AO12"/>
    <mergeCell ref="BQ8:BQ9"/>
    <mergeCell ref="BR8:BU9"/>
    <mergeCell ref="AP4:AP12"/>
    <mergeCell ref="AQ4:AQ12"/>
    <mergeCell ref="AR4:AR12"/>
    <mergeCell ref="AS4:AS12"/>
    <mergeCell ref="AD4:AF9"/>
    <mergeCell ref="AG2:AK3"/>
    <mergeCell ref="AL4:AL12"/>
    <mergeCell ref="AM4:AM12"/>
    <mergeCell ref="AN4:AN12"/>
    <mergeCell ref="L2:L3"/>
    <mergeCell ref="N2:N3"/>
    <mergeCell ref="AD2:AD3"/>
    <mergeCell ref="AF2:AF3"/>
    <mergeCell ref="T4:T12"/>
    <mergeCell ref="U4:U12"/>
    <mergeCell ref="V4:V12"/>
    <mergeCell ref="W4:W12"/>
    <mergeCell ref="X4:X12"/>
    <mergeCell ref="Y4:Y12"/>
    <mergeCell ref="Z4:Z12"/>
    <mergeCell ref="AA4:AA12"/>
    <mergeCell ref="O2:S3"/>
    <mergeCell ref="L10:R10"/>
    <mergeCell ref="M11:N11"/>
    <mergeCell ref="M12:R12"/>
    <mergeCell ref="AD10:AJ10"/>
    <mergeCell ref="AE11:AF11"/>
    <mergeCell ref="AE12:AJ12"/>
    <mergeCell ref="AV2:AV3"/>
    <mergeCell ref="AX2:AX3"/>
    <mergeCell ref="BN2:BN3"/>
    <mergeCell ref="AY4:BC4"/>
    <mergeCell ref="AY5:BC7"/>
    <mergeCell ref="AY8:AY9"/>
    <mergeCell ref="AZ8:BC9"/>
    <mergeCell ref="AV4:AX9"/>
    <mergeCell ref="AY2:BC3"/>
    <mergeCell ref="BD4:BD12"/>
    <mergeCell ref="BE4:BE12"/>
    <mergeCell ref="BF4:BF12"/>
    <mergeCell ref="BG4:BG12"/>
    <mergeCell ref="BH4:BH12"/>
    <mergeCell ref="BI4:BI12"/>
    <mergeCell ref="AV10:BB10"/>
    <mergeCell ref="AW11:AX11"/>
    <mergeCell ref="AW12:BB12"/>
    <mergeCell ref="BN4:BP9"/>
    <mergeCell ref="B4:D9"/>
    <mergeCell ref="E4:I4"/>
    <mergeCell ref="E5:I7"/>
    <mergeCell ref="B42:F42"/>
    <mergeCell ref="O4:S4"/>
    <mergeCell ref="O5:S7"/>
    <mergeCell ref="O8:O9"/>
    <mergeCell ref="P8:S9"/>
    <mergeCell ref="L4:N9"/>
    <mergeCell ref="E8:I9"/>
    <mergeCell ref="B40:F40"/>
    <mergeCell ref="B41:F41"/>
    <mergeCell ref="L40:P40"/>
    <mergeCell ref="L41:P41"/>
    <mergeCell ref="C11:D11"/>
    <mergeCell ref="C12:H12"/>
    <mergeCell ref="C18:G18"/>
    <mergeCell ref="D22:D35"/>
    <mergeCell ref="C36:G36"/>
    <mergeCell ref="B10:H10"/>
    <mergeCell ref="I13:I17"/>
    <mergeCell ref="I22:I35"/>
    <mergeCell ref="S13:S17"/>
    <mergeCell ref="CU42:CU43"/>
    <mergeCell ref="CF45:CL45"/>
    <mergeCell ref="CF46:CL46"/>
    <mergeCell ref="CI2:CM3"/>
    <mergeCell ref="BQ2:BU3"/>
    <mergeCell ref="BJ4:BJ12"/>
    <mergeCell ref="BK4:BK12"/>
    <mergeCell ref="BV4:BV12"/>
    <mergeCell ref="BW4:BW12"/>
    <mergeCell ref="BX4:BX12"/>
    <mergeCell ref="BY4:BY12"/>
    <mergeCell ref="BZ4:BZ12"/>
    <mergeCell ref="CA4:CA12"/>
    <mergeCell ref="CB4:CB12"/>
    <mergeCell ref="CC4:CC12"/>
    <mergeCell ref="CN4:CN12"/>
    <mergeCell ref="CO4:CO12"/>
    <mergeCell ref="CP4:CP12"/>
    <mergeCell ref="CQ4:CQ12"/>
    <mergeCell ref="CF2:CF3"/>
    <mergeCell ref="CH2:CH3"/>
    <mergeCell ref="BP2:BP3"/>
    <mergeCell ref="BQ4:BU4"/>
    <mergeCell ref="BQ5:BU7"/>
    <mergeCell ref="BN46:BT46"/>
    <mergeCell ref="G45:H45"/>
    <mergeCell ref="G68:H68"/>
    <mergeCell ref="BJ42:BJ43"/>
    <mergeCell ref="BK42:BK43"/>
    <mergeCell ref="CB42:CB43"/>
    <mergeCell ref="CC42:CC43"/>
    <mergeCell ref="CT42:CT43"/>
    <mergeCell ref="Z42:Z43"/>
    <mergeCell ref="AA42:AA43"/>
    <mergeCell ref="L46:R46"/>
    <mergeCell ref="L45:R45"/>
    <mergeCell ref="AD45:AJ45"/>
    <mergeCell ref="AD46:AJ46"/>
    <mergeCell ref="AV45:BB45"/>
    <mergeCell ref="AV46:BB46"/>
    <mergeCell ref="AR42:AR43"/>
    <mergeCell ref="AS42:AS43"/>
    <mergeCell ref="L42:P42"/>
    <mergeCell ref="BN42:BR42"/>
    <mergeCell ref="AV42:AZ42"/>
    <mergeCell ref="AD42:AH42"/>
    <mergeCell ref="BN45:BT45"/>
    <mergeCell ref="AV40:AZ40"/>
    <mergeCell ref="AV41:AZ41"/>
    <mergeCell ref="AD40:AH40"/>
    <mergeCell ref="BN40:BR40"/>
    <mergeCell ref="BN41:BR41"/>
    <mergeCell ref="AD41:AH41"/>
    <mergeCell ref="M18:Q18"/>
    <mergeCell ref="N22:N35"/>
    <mergeCell ref="S22:S35"/>
    <mergeCell ref="M36:Q36"/>
    <mergeCell ref="AK13:AK17"/>
    <mergeCell ref="AE18:AI18"/>
    <mergeCell ref="AF22:AF35"/>
    <mergeCell ref="AK22:AK35"/>
    <mergeCell ref="AE36:AI36"/>
    <mergeCell ref="BN10:BT10"/>
    <mergeCell ref="BO11:BP11"/>
    <mergeCell ref="BO12:BT12"/>
    <mergeCell ref="BU13:BU17"/>
    <mergeCell ref="BO18:BS18"/>
    <mergeCell ref="BP22:BP35"/>
    <mergeCell ref="BU22:BU35"/>
    <mergeCell ref="BO36:BS36"/>
    <mergeCell ref="BC13:BC17"/>
    <mergeCell ref="AW18:BA18"/>
    <mergeCell ref="AX22:AX35"/>
    <mergeCell ref="BC22:BC35"/>
    <mergeCell ref="AW36:BA36"/>
  </mergeCells>
  <conditionalFormatting sqref="BV13:CA40 CN13:CS40 AL13:AQ40 BD13:BI40">
    <cfRule type="cellIs" dxfId="70" priority="1799" operator="equal">
      <formula>0</formula>
    </cfRule>
    <cfRule type="cellIs" dxfId="69" priority="1800" operator="equal">
      <formula>1</formula>
    </cfRule>
  </conditionalFormatting>
  <conditionalFormatting sqref="AD46:AE46">
    <cfRule type="cellIs" dxfId="68" priority="1503" operator="equal">
      <formula>"OK"</formula>
    </cfRule>
    <cfRule type="cellIs" dxfId="67" priority="1504" operator="equal">
      <formula>"NO HABILITADO"</formula>
    </cfRule>
  </conditionalFormatting>
  <conditionalFormatting sqref="AV46:AW46">
    <cfRule type="cellIs" dxfId="66" priority="1391" operator="equal">
      <formula>"OK"</formula>
    </cfRule>
    <cfRule type="cellIs" dxfId="65" priority="1392" operator="equal">
      <formula>"NO HABILITADO"</formula>
    </cfRule>
  </conditionalFormatting>
  <conditionalFormatting sqref="BN46:BO46">
    <cfRule type="cellIs" dxfId="64" priority="1279" operator="equal">
      <formula>"OK"</formula>
    </cfRule>
    <cfRule type="cellIs" dxfId="63" priority="1280" operator="equal">
      <formula>"NO HABILITADO"</formula>
    </cfRule>
  </conditionalFormatting>
  <conditionalFormatting sqref="CF46:CG46">
    <cfRule type="cellIs" dxfId="62" priority="1167" operator="equal">
      <formula>"OK"</formula>
    </cfRule>
    <cfRule type="cellIs" dxfId="61" priority="1168" operator="equal">
      <formula>"NO HABILITADO"</formula>
    </cfRule>
  </conditionalFormatting>
  <conditionalFormatting sqref="E50:E51">
    <cfRule type="cellIs" dxfId="60" priority="45" operator="equal">
      <formula>"NH"</formula>
    </cfRule>
    <cfRule type="cellIs" dxfId="59" priority="46" operator="equal">
      <formula>"H"</formula>
    </cfRule>
  </conditionalFormatting>
  <conditionalFormatting sqref="E52:E64">
    <cfRule type="cellIs" dxfId="58" priority="43" operator="equal">
      <formula>"NH"</formula>
    </cfRule>
    <cfRule type="cellIs" dxfId="57" priority="44" operator="equal">
      <formula>"H"</formula>
    </cfRule>
  </conditionalFormatting>
  <conditionalFormatting sqref="AS46">
    <cfRule type="cellIs" dxfId="56" priority="41" operator="equal">
      <formula>0</formula>
    </cfRule>
    <cfRule type="cellIs" dxfId="55" priority="42" operator="equal">
      <formula>1</formula>
    </cfRule>
  </conditionalFormatting>
  <conditionalFormatting sqref="AQ46">
    <cfRule type="cellIs" dxfId="54" priority="39" operator="equal">
      <formula>0</formula>
    </cfRule>
    <cfRule type="cellIs" dxfId="53" priority="40" operator="equal">
      <formula>1</formula>
    </cfRule>
  </conditionalFormatting>
  <conditionalFormatting sqref="AO46">
    <cfRule type="cellIs" dxfId="52" priority="37" operator="equal">
      <formula>0</formula>
    </cfRule>
    <cfRule type="cellIs" dxfId="51" priority="38" operator="equal">
      <formula>1</formula>
    </cfRule>
  </conditionalFormatting>
  <conditionalFormatting sqref="AM46">
    <cfRule type="cellIs" dxfId="50" priority="35" operator="equal">
      <formula>0</formula>
    </cfRule>
    <cfRule type="cellIs" dxfId="49" priority="36" operator="equal">
      <formula>1</formula>
    </cfRule>
  </conditionalFormatting>
  <conditionalFormatting sqref="BK46">
    <cfRule type="cellIs" dxfId="48" priority="33" operator="equal">
      <formula>0</formula>
    </cfRule>
    <cfRule type="cellIs" dxfId="47" priority="34" operator="equal">
      <formula>1</formula>
    </cfRule>
  </conditionalFormatting>
  <conditionalFormatting sqref="BI46">
    <cfRule type="cellIs" dxfId="46" priority="31" operator="equal">
      <formula>0</formula>
    </cfRule>
    <cfRule type="cellIs" dxfId="45" priority="32" operator="equal">
      <formula>1</formula>
    </cfRule>
  </conditionalFormatting>
  <conditionalFormatting sqref="BG46">
    <cfRule type="cellIs" dxfId="44" priority="29" operator="equal">
      <formula>0</formula>
    </cfRule>
    <cfRule type="cellIs" dxfId="43" priority="30" operator="equal">
      <formula>1</formula>
    </cfRule>
  </conditionalFormatting>
  <conditionalFormatting sqref="BE46">
    <cfRule type="cellIs" dxfId="42" priority="27" operator="equal">
      <formula>0</formula>
    </cfRule>
    <cfRule type="cellIs" dxfId="41" priority="28" operator="equal">
      <formula>1</formula>
    </cfRule>
  </conditionalFormatting>
  <conditionalFormatting sqref="CC46">
    <cfRule type="cellIs" dxfId="40" priority="25" operator="equal">
      <formula>0</formula>
    </cfRule>
    <cfRule type="cellIs" dxfId="39" priority="26" operator="equal">
      <formula>1</formula>
    </cfRule>
  </conditionalFormatting>
  <conditionalFormatting sqref="CA46">
    <cfRule type="cellIs" dxfId="38" priority="23" operator="equal">
      <formula>0</formula>
    </cfRule>
    <cfRule type="cellIs" dxfId="37" priority="24" operator="equal">
      <formula>1</formula>
    </cfRule>
  </conditionalFormatting>
  <conditionalFormatting sqref="BY46">
    <cfRule type="cellIs" dxfId="36" priority="21" operator="equal">
      <formula>0</formula>
    </cfRule>
    <cfRule type="cellIs" dxfId="35" priority="22" operator="equal">
      <formula>1</formula>
    </cfRule>
  </conditionalFormatting>
  <conditionalFormatting sqref="BW46">
    <cfRule type="cellIs" dxfId="34" priority="19" operator="equal">
      <formula>0</formula>
    </cfRule>
    <cfRule type="cellIs" dxfId="33" priority="20" operator="equal">
      <formula>1</formula>
    </cfRule>
  </conditionalFormatting>
  <conditionalFormatting sqref="CU46">
    <cfRule type="cellIs" dxfId="32" priority="17" operator="equal">
      <formula>0</formula>
    </cfRule>
    <cfRule type="cellIs" dxfId="31" priority="18" operator="equal">
      <formula>1</formula>
    </cfRule>
  </conditionalFormatting>
  <conditionalFormatting sqref="CS46">
    <cfRule type="cellIs" dxfId="30" priority="15" operator="equal">
      <formula>0</formula>
    </cfRule>
    <cfRule type="cellIs" dxfId="29" priority="16" operator="equal">
      <formula>1</formula>
    </cfRule>
  </conditionalFormatting>
  <conditionalFormatting sqref="CQ46">
    <cfRule type="cellIs" dxfId="28" priority="13" operator="equal">
      <formula>0</formula>
    </cfRule>
    <cfRule type="cellIs" dxfId="27" priority="14" operator="equal">
      <formula>1</formula>
    </cfRule>
  </conditionalFormatting>
  <conditionalFormatting sqref="CO46">
    <cfRule type="cellIs" dxfId="26" priority="11" operator="equal">
      <formula>0</formula>
    </cfRule>
    <cfRule type="cellIs" dxfId="25" priority="12" operator="equal">
      <formula>1</formula>
    </cfRule>
  </conditionalFormatting>
  <conditionalFormatting sqref="AA46 T13:Y40">
    <cfRule type="cellIs" dxfId="24" priority="9" operator="equal">
      <formula>0</formula>
    </cfRule>
    <cfRule type="cellIs" dxfId="23" priority="10" operator="equal">
      <formula>1</formula>
    </cfRule>
  </conditionalFormatting>
  <conditionalFormatting sqref="Y46">
    <cfRule type="cellIs" dxfId="22" priority="7" operator="equal">
      <formula>0</formula>
    </cfRule>
    <cfRule type="cellIs" dxfId="21" priority="8" operator="equal">
      <formula>1</formula>
    </cfRule>
  </conditionalFormatting>
  <conditionalFormatting sqref="W46">
    <cfRule type="cellIs" dxfId="20" priority="5" operator="equal">
      <formula>0</formula>
    </cfRule>
    <cfRule type="cellIs" dxfId="19" priority="6" operator="equal">
      <formula>1</formula>
    </cfRule>
  </conditionalFormatting>
  <conditionalFormatting sqref="L46:M46">
    <cfRule type="cellIs" dxfId="18" priority="3" operator="equal">
      <formula>"OK"</formula>
    </cfRule>
    <cfRule type="cellIs" dxfId="17" priority="4" operator="equal">
      <formula>"NO HABILITADO"</formula>
    </cfRule>
  </conditionalFormatting>
  <conditionalFormatting sqref="U46">
    <cfRule type="cellIs" dxfId="16" priority="1" operator="equal">
      <formula>0</formula>
    </cfRule>
    <cfRule type="cellIs" dxfId="15" priority="2" operator="equal">
      <formula>1</formula>
    </cfRule>
  </conditionalFormatting>
  <pageMargins left="0.7" right="0.7"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18"/>
  <sheetViews>
    <sheetView zoomScale="80" zoomScaleNormal="80" workbookViewId="0">
      <selection sqref="A1:N19"/>
    </sheetView>
  </sheetViews>
  <sheetFormatPr baseColWidth="10" defaultColWidth="11.42578125" defaultRowHeight="12.75"/>
  <cols>
    <col min="1" max="1" width="8" style="43" customWidth="1"/>
    <col min="2" max="2" width="41" style="43" customWidth="1"/>
    <col min="3" max="3" width="17.7109375" style="43" customWidth="1"/>
    <col min="4" max="6" width="42.28515625" style="43" customWidth="1"/>
    <col min="7" max="7" width="24.140625" style="43" customWidth="1"/>
    <col min="8" max="11" width="11.42578125" style="43"/>
    <col min="12" max="12" width="3.85546875" style="43" bestFit="1" customWidth="1"/>
    <col min="13" max="13" width="50.28515625" style="43" customWidth="1"/>
    <col min="14" max="14" width="12.7109375" style="43" bestFit="1" customWidth="1"/>
    <col min="15" max="16384" width="11.42578125" style="43"/>
  </cols>
  <sheetData>
    <row r="1" spans="1:14" ht="28.5" customHeight="1">
      <c r="A1" s="417" t="s">
        <v>53</v>
      </c>
      <c r="B1" s="418"/>
      <c r="C1" s="418"/>
      <c r="D1" s="418"/>
      <c r="E1" s="418"/>
      <c r="F1" s="418"/>
      <c r="G1" s="418"/>
    </row>
    <row r="3" spans="1:14" ht="72.75" customHeight="1">
      <c r="A3" s="44"/>
      <c r="B3" s="45" t="s">
        <v>28</v>
      </c>
      <c r="C3" s="46" t="s">
        <v>148</v>
      </c>
      <c r="D3" s="46" t="s">
        <v>147</v>
      </c>
      <c r="E3" s="145" t="s">
        <v>146</v>
      </c>
      <c r="F3" s="46" t="s">
        <v>145</v>
      </c>
      <c r="G3" s="46" t="s">
        <v>149</v>
      </c>
      <c r="L3" s="419" t="s">
        <v>85</v>
      </c>
      <c r="M3" s="419"/>
      <c r="N3" s="38" t="s">
        <v>84</v>
      </c>
    </row>
    <row r="4" spans="1:14" ht="38.25" customHeight="1">
      <c r="A4" s="47">
        <f>+IF('1_ENTREGA'!A7="","",'1_ENTREGA'!A7)</f>
        <v>1</v>
      </c>
      <c r="B4" s="48" t="str">
        <f t="shared" ref="B4:B6" si="0">IF(A4="","",VLOOKUP(A4,LISTA_OFERENTES,2,FALSE))</f>
        <v>FUMIGAX S.A.S.</v>
      </c>
      <c r="C4" s="782" t="s">
        <v>255</v>
      </c>
      <c r="D4" s="782" t="s">
        <v>255</v>
      </c>
      <c r="E4" s="783" t="s">
        <v>255</v>
      </c>
      <c r="F4" s="782" t="s">
        <v>254</v>
      </c>
      <c r="G4" s="782" t="s">
        <v>255</v>
      </c>
      <c r="L4" s="39">
        <v>1</v>
      </c>
      <c r="M4" s="40" t="str">
        <f t="shared" ref="M4:M18" si="1">VLOOKUP(L4,LISTA_OFERENTES,2,FALSE)</f>
        <v>FUMIGAX S.A.S.</v>
      </c>
      <c r="N4" s="41" t="str">
        <f>IF(AND(C4="CUMPLE",D4="CUMPLE",E4="CUMPLE",F4="CUMPLE",G4="CUMPLE"),"H",IF(OR(C4=0,D4=0,E4=0,F4=0,G4=0)," ","NH"))</f>
        <v>NH</v>
      </c>
    </row>
    <row r="5" spans="1:14" ht="38.25" customHeight="1">
      <c r="A5" s="47">
        <f>+IF('1_ENTREGA'!A8="","",'1_ENTREGA'!A8)</f>
        <v>2</v>
      </c>
      <c r="B5" s="48" t="str">
        <f t="shared" si="0"/>
        <v>Truly Nolen Soluciones S.A.</v>
      </c>
      <c r="C5" s="782" t="s">
        <v>255</v>
      </c>
      <c r="D5" s="782" t="s">
        <v>255</v>
      </c>
      <c r="E5" s="783" t="s">
        <v>255</v>
      </c>
      <c r="F5" s="782" t="s">
        <v>255</v>
      </c>
      <c r="G5" s="782" t="s">
        <v>255</v>
      </c>
      <c r="L5" s="39">
        <v>2</v>
      </c>
      <c r="M5" s="40" t="str">
        <f t="shared" si="1"/>
        <v>Truly Nolen Soluciones S.A.</v>
      </c>
      <c r="N5" s="41" t="str">
        <f t="shared" ref="N5:N18" si="2">IF(AND(C5="CUMPLE",D5="CUMPLE",E5="CUMPLE",F5="CUMPLE",G5="CUMPLE"),"H",IF(OR(C5=0,D5=0,E5=0,F5=0,G5=0)," ","NH"))</f>
        <v>H</v>
      </c>
    </row>
    <row r="6" spans="1:14" ht="38.25" customHeight="1">
      <c r="A6" s="47">
        <f>+IF('1_ENTREGA'!A9="","",'1_ENTREGA'!A9)</f>
        <v>3</v>
      </c>
      <c r="B6" s="48" t="str">
        <f t="shared" si="0"/>
        <v>Alfa Control S.A.S.</v>
      </c>
      <c r="C6" s="782" t="s">
        <v>255</v>
      </c>
      <c r="D6" s="782" t="s">
        <v>255</v>
      </c>
      <c r="E6" s="783" t="s">
        <v>255</v>
      </c>
      <c r="F6" s="782" t="s">
        <v>255</v>
      </c>
      <c r="G6" s="782" t="s">
        <v>255</v>
      </c>
      <c r="L6" s="39">
        <v>3</v>
      </c>
      <c r="M6" s="40" t="str">
        <f t="shared" si="1"/>
        <v>Alfa Control S.A.S.</v>
      </c>
      <c r="N6" s="41" t="str">
        <f>IF(AND(C6="CUMPLE",D6="CUMPLE",E6="CUMPLE",F6="CUMPLE",G6="CUMPLE"),"H",IF(OR(C6=0,D6=0,E6=0,F6=0,G6=0)," ","NH"))</f>
        <v>H</v>
      </c>
    </row>
    <row r="7" spans="1:14" ht="38.25" hidden="1" customHeight="1">
      <c r="A7" s="47">
        <f>+IF('1_ENTREGA'!A10="","",'1_ENTREGA'!A10)</f>
        <v>4</v>
      </c>
      <c r="B7" s="48"/>
      <c r="C7" s="782"/>
      <c r="D7" s="782"/>
      <c r="E7" s="783"/>
      <c r="F7" s="782"/>
      <c r="G7" s="782"/>
      <c r="L7" s="39">
        <v>4</v>
      </c>
      <c r="M7" s="40">
        <f t="shared" si="1"/>
        <v>0</v>
      </c>
      <c r="N7" s="41" t="str">
        <f t="shared" si="2"/>
        <v xml:space="preserve"> </v>
      </c>
    </row>
    <row r="8" spans="1:14" ht="38.25" hidden="1" customHeight="1">
      <c r="A8" s="47">
        <f>+IF('1_ENTREGA'!A11="","",'1_ENTREGA'!A11)</f>
        <v>5</v>
      </c>
      <c r="B8" s="48"/>
      <c r="C8" s="782"/>
      <c r="D8" s="782"/>
      <c r="E8" s="783"/>
      <c r="F8" s="782"/>
      <c r="G8" s="782"/>
      <c r="L8" s="39">
        <v>5</v>
      </c>
      <c r="M8" s="40">
        <f t="shared" si="1"/>
        <v>0</v>
      </c>
      <c r="N8" s="41" t="str">
        <f t="shared" si="2"/>
        <v xml:space="preserve"> </v>
      </c>
    </row>
    <row r="9" spans="1:14" ht="38.25" hidden="1" customHeight="1">
      <c r="A9" s="47">
        <f>+IF('1_ENTREGA'!A12="","",'1_ENTREGA'!A12)</f>
        <v>6</v>
      </c>
      <c r="B9" s="48"/>
      <c r="C9" s="782"/>
      <c r="D9" s="782"/>
      <c r="E9" s="783"/>
      <c r="F9" s="783"/>
      <c r="G9" s="782"/>
      <c r="L9" s="39">
        <v>6</v>
      </c>
      <c r="M9" s="40">
        <f t="shared" si="1"/>
        <v>0</v>
      </c>
      <c r="N9" s="41" t="str">
        <f t="shared" si="2"/>
        <v xml:space="preserve"> </v>
      </c>
    </row>
    <row r="10" spans="1:14" ht="38.25" hidden="1" customHeight="1">
      <c r="A10" s="47">
        <f>+IF('1_ENTREGA'!A13="","",'1_ENTREGA'!A13)</f>
        <v>7</v>
      </c>
      <c r="B10" s="48"/>
      <c r="C10" s="77"/>
      <c r="D10" s="77"/>
      <c r="E10" s="146"/>
      <c r="F10" s="146"/>
      <c r="G10" s="77"/>
      <c r="L10" s="39">
        <v>7</v>
      </c>
      <c r="M10" s="40">
        <f t="shared" si="1"/>
        <v>0</v>
      </c>
      <c r="N10" s="41" t="str">
        <f t="shared" si="2"/>
        <v xml:space="preserve"> </v>
      </c>
    </row>
    <row r="11" spans="1:14" ht="38.25" hidden="1" customHeight="1">
      <c r="A11" s="47">
        <f>+IF('1_ENTREGA'!A14="","",'1_ENTREGA'!A14)</f>
        <v>8</v>
      </c>
      <c r="B11" s="48"/>
      <c r="C11" s="77"/>
      <c r="D11" s="77"/>
      <c r="E11" s="146"/>
      <c r="F11" s="146"/>
      <c r="G11" s="77"/>
      <c r="L11" s="39">
        <v>8</v>
      </c>
      <c r="M11" s="40">
        <f t="shared" si="1"/>
        <v>0</v>
      </c>
      <c r="N11" s="41" t="str">
        <f t="shared" si="2"/>
        <v xml:space="preserve"> </v>
      </c>
    </row>
    <row r="12" spans="1:14" ht="38.25" hidden="1" customHeight="1">
      <c r="A12" s="47">
        <f>+IF('1_ENTREGA'!A15="","",'1_ENTREGA'!A15)</f>
        <v>9</v>
      </c>
      <c r="B12" s="48"/>
      <c r="C12" s="77"/>
      <c r="D12" s="77"/>
      <c r="E12" s="146"/>
      <c r="F12" s="146"/>
      <c r="G12" s="77"/>
      <c r="L12" s="39">
        <v>9</v>
      </c>
      <c r="M12" s="40">
        <f t="shared" si="1"/>
        <v>0</v>
      </c>
      <c r="N12" s="41" t="str">
        <f t="shared" si="2"/>
        <v xml:space="preserve"> </v>
      </c>
    </row>
    <row r="13" spans="1:14" ht="38.25" hidden="1" customHeight="1">
      <c r="A13" s="47">
        <f>+IF('1_ENTREGA'!A16="","",'1_ENTREGA'!A16)</f>
        <v>10</v>
      </c>
      <c r="B13" s="48"/>
      <c r="C13" s="77"/>
      <c r="D13" s="77"/>
      <c r="E13" s="146"/>
      <c r="F13" s="146"/>
      <c r="G13" s="77"/>
      <c r="L13" s="39">
        <v>10</v>
      </c>
      <c r="M13" s="40">
        <f t="shared" si="1"/>
        <v>0</v>
      </c>
      <c r="N13" s="41" t="str">
        <f t="shared" si="2"/>
        <v xml:space="preserve"> </v>
      </c>
    </row>
    <row r="14" spans="1:14" ht="38.25" hidden="1" customHeight="1">
      <c r="A14" s="47">
        <f>+IF('1_ENTREGA'!A17="","",'1_ENTREGA'!A17)</f>
        <v>11</v>
      </c>
      <c r="B14" s="48"/>
      <c r="C14" s="77"/>
      <c r="D14" s="77"/>
      <c r="E14" s="146"/>
      <c r="F14" s="146"/>
      <c r="G14" s="77"/>
      <c r="L14" s="39">
        <v>11</v>
      </c>
      <c r="M14" s="40">
        <f t="shared" si="1"/>
        <v>0</v>
      </c>
      <c r="N14" s="41" t="str">
        <f t="shared" si="2"/>
        <v xml:space="preserve"> </v>
      </c>
    </row>
    <row r="15" spans="1:14" ht="38.25" hidden="1" customHeight="1">
      <c r="A15" s="47">
        <f>+IF('1_ENTREGA'!A18="","",'1_ENTREGA'!A18)</f>
        <v>12</v>
      </c>
      <c r="B15" s="48"/>
      <c r="C15" s="77"/>
      <c r="D15" s="77"/>
      <c r="E15" s="146"/>
      <c r="F15" s="146"/>
      <c r="G15" s="77"/>
      <c r="L15" s="39">
        <v>12</v>
      </c>
      <c r="M15" s="40">
        <f t="shared" si="1"/>
        <v>0</v>
      </c>
      <c r="N15" s="41" t="str">
        <f t="shared" si="2"/>
        <v xml:space="preserve"> </v>
      </c>
    </row>
    <row r="16" spans="1:14" ht="38.25" hidden="1" customHeight="1">
      <c r="A16" s="47">
        <f>+IF('1_ENTREGA'!A19="","",'1_ENTREGA'!A19)</f>
        <v>13</v>
      </c>
      <c r="B16" s="48"/>
      <c r="C16" s="77"/>
      <c r="D16" s="77"/>
      <c r="E16" s="146"/>
      <c r="F16" s="146"/>
      <c r="G16" s="77"/>
      <c r="L16" s="39">
        <v>13</v>
      </c>
      <c r="M16" s="40">
        <f t="shared" si="1"/>
        <v>0</v>
      </c>
      <c r="N16" s="41" t="str">
        <f t="shared" si="2"/>
        <v xml:space="preserve"> </v>
      </c>
    </row>
    <row r="17" spans="1:14" ht="38.25" hidden="1" customHeight="1">
      <c r="A17" s="47">
        <f>+IF('1_ENTREGA'!A20="","",'1_ENTREGA'!A20)</f>
        <v>14</v>
      </c>
      <c r="B17" s="48"/>
      <c r="C17" s="77"/>
      <c r="D17" s="77"/>
      <c r="E17" s="146"/>
      <c r="F17" s="146"/>
      <c r="G17" s="77"/>
      <c r="L17" s="39">
        <v>14</v>
      </c>
      <c r="M17" s="40">
        <f t="shared" si="1"/>
        <v>0</v>
      </c>
      <c r="N17" s="41" t="str">
        <f t="shared" si="2"/>
        <v xml:space="preserve"> </v>
      </c>
    </row>
    <row r="18" spans="1:14" ht="38.25" hidden="1" customHeight="1">
      <c r="A18" s="47">
        <f>+IF('1_ENTREGA'!A21="","",'1_ENTREGA'!A21)</f>
        <v>15</v>
      </c>
      <c r="B18" s="48"/>
      <c r="C18" s="77"/>
      <c r="D18" s="77"/>
      <c r="E18" s="146"/>
      <c r="F18" s="146"/>
      <c r="G18" s="77"/>
      <c r="L18" s="39">
        <v>15</v>
      </c>
      <c r="M18" s="40">
        <f t="shared" si="1"/>
        <v>0</v>
      </c>
      <c r="N18" s="41" t="str">
        <f t="shared" si="2"/>
        <v xml:space="preserve"> </v>
      </c>
    </row>
  </sheetData>
  <sheetProtection algorithmName="SHA-512" hashValue="NR84mwRr54zfSHzZpOZiq9YyJ/YqY42zoyPuaRcLQ7KCaYN/CGVUoWeHz/4SNGrRjshVz4ecYxHWeXVwpT9Jng==" saltValue="JRY7MrrnrhW/qD9Zgtr9jg==" spinCount="100000" sheet="1" selectLockedCells="1" selectUnlockedCells="1"/>
  <mergeCells count="2">
    <mergeCell ref="A1:G1"/>
    <mergeCell ref="L3:M3"/>
  </mergeCells>
  <conditionalFormatting sqref="C9:G18 C4:E8 G4:G8">
    <cfRule type="cellIs" dxfId="14" priority="25" operator="equal">
      <formula>"NO CUMPLE"</formula>
    </cfRule>
    <cfRule type="cellIs" dxfId="13" priority="26" operator="equal">
      <formula>"CUMPLE"</formula>
    </cfRule>
  </conditionalFormatting>
  <conditionalFormatting sqref="F4:F8">
    <cfRule type="cellIs" dxfId="12" priority="1" operator="equal">
      <formula>"NO CUMPLE"</formula>
    </cfRule>
    <cfRule type="cellIs" dxfId="11" priority="2" operator="equal">
      <formula>"CUMPLE"</formula>
    </cfRule>
  </conditionalFormatting>
  <dataValidations count="1">
    <dataValidation type="list" allowBlank="1" showInputMessage="1" showErrorMessage="1" sqref="C4:G18">
      <formula1>"CUMPLE,NO CUMPLE"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9"/>
  <sheetViews>
    <sheetView topLeftCell="P14" zoomScale="80" zoomScaleNormal="80" workbookViewId="0">
      <selection activeCell="R40" sqref="R40"/>
    </sheetView>
  </sheetViews>
  <sheetFormatPr baseColWidth="10" defaultRowHeight="12.75"/>
  <cols>
    <col min="1" max="1" width="3.7109375" style="99" customWidth="1"/>
    <col min="2" max="2" width="9.140625" style="99" customWidth="1"/>
    <col min="3" max="4" width="40.7109375" style="99" customWidth="1"/>
    <col min="5" max="5" width="11" style="99" customWidth="1"/>
    <col min="6" max="6" width="13" style="99" customWidth="1"/>
    <col min="7" max="7" width="18.7109375" style="99" customWidth="1"/>
    <col min="8" max="8" width="22.85546875" style="99" customWidth="1"/>
    <col min="9" max="9" width="25" style="99" customWidth="1"/>
    <col min="10" max="10" width="13.5703125" style="99" customWidth="1"/>
    <col min="11" max="11" width="12.28515625" style="99" customWidth="1"/>
    <col min="12" max="13" width="40.7109375" style="99" customWidth="1"/>
    <col min="14" max="14" width="9.28515625" style="99" bestFit="1" customWidth="1"/>
    <col min="15" max="15" width="11" style="99" customWidth="1"/>
    <col min="16" max="16" width="13" style="99" customWidth="1"/>
    <col min="17" max="17" width="18.7109375" style="99" customWidth="1"/>
    <col min="18" max="18" width="19.85546875" style="99" customWidth="1"/>
    <col min="19" max="19" width="5.5703125" style="99" customWidth="1"/>
    <col min="20" max="20" width="6.42578125" style="99" bestFit="1" customWidth="1"/>
    <col min="21" max="22" width="40.7109375" style="99" customWidth="1"/>
    <col min="23" max="23" width="9.28515625" style="99" bestFit="1" customWidth="1"/>
    <col min="24" max="24" width="10.140625" style="99" bestFit="1" customWidth="1"/>
    <col min="25" max="25" width="12" style="99" bestFit="1" customWidth="1"/>
    <col min="26" max="26" width="15.28515625" style="99" bestFit="1" customWidth="1"/>
    <col min="27" max="27" width="18.7109375" style="99" customWidth="1"/>
    <col min="28" max="28" width="7.28515625" style="99" customWidth="1"/>
    <col min="29" max="29" width="6.42578125" style="99" bestFit="1" customWidth="1"/>
    <col min="30" max="31" width="40.7109375" style="99" customWidth="1"/>
    <col min="32" max="32" width="9.28515625" style="99" bestFit="1" customWidth="1"/>
    <col min="33" max="33" width="10.140625" style="99" bestFit="1" customWidth="1"/>
    <col min="34" max="34" width="16.28515625" style="99" bestFit="1" customWidth="1"/>
    <col min="35" max="35" width="15.28515625" style="99" bestFit="1" customWidth="1"/>
    <col min="36" max="36" width="13" style="99" customWidth="1"/>
    <col min="37" max="37" width="8.7109375" style="99" customWidth="1"/>
    <col min="38" max="38" width="6.42578125" style="99" bestFit="1" customWidth="1"/>
    <col min="39" max="40" width="40.7109375" style="99" customWidth="1"/>
    <col min="41" max="41" width="9.28515625" style="99" bestFit="1" customWidth="1"/>
    <col min="42" max="42" width="10.140625" style="99" bestFit="1" customWidth="1"/>
    <col min="43" max="43" width="12" style="99" bestFit="1" customWidth="1"/>
    <col min="44" max="44" width="15.28515625" style="99" customWidth="1"/>
    <col min="45" max="45" width="13.42578125" style="99" bestFit="1" customWidth="1"/>
    <col min="46" max="46" width="10.140625" style="99" customWidth="1"/>
    <col min="47" max="47" width="6.42578125" style="99" bestFit="1" customWidth="1"/>
    <col min="48" max="49" width="40.5703125" style="99" customWidth="1"/>
    <col min="50" max="50" width="9.28515625" style="99" bestFit="1" customWidth="1"/>
    <col min="51" max="51" width="10.140625" style="99" bestFit="1" customWidth="1"/>
    <col min="52" max="52" width="12" style="99" bestFit="1" customWidth="1"/>
    <col min="53" max="53" width="15.28515625" style="99" bestFit="1" customWidth="1"/>
    <col min="54" max="54" width="19.140625" style="99" bestFit="1" customWidth="1"/>
    <col min="55" max="55" width="11" style="99" customWidth="1"/>
    <col min="56" max="16384" width="11.42578125" style="147"/>
  </cols>
  <sheetData>
    <row r="1" spans="2:54" ht="13.5" thickBot="1"/>
    <row r="2" spans="2:54" ht="27.75" customHeight="1" thickTop="1">
      <c r="K2" s="474">
        <v>1</v>
      </c>
      <c r="L2" s="203"/>
      <c r="M2" s="474" t="s">
        <v>3</v>
      </c>
      <c r="N2" s="560" t="str">
        <f>VLOOKUP(K2,LISTA_OFERENTES,2,FALSE)</f>
        <v>FUMIGAX S.A.S.</v>
      </c>
      <c r="O2" s="561"/>
      <c r="P2" s="561"/>
      <c r="Q2" s="562"/>
      <c r="T2" s="474">
        <v>2</v>
      </c>
      <c r="U2" s="203"/>
      <c r="V2" s="474" t="s">
        <v>3</v>
      </c>
      <c r="W2" s="560" t="str">
        <f>VLOOKUP(T2,LISTA_OFERENTES,2,FALSE)</f>
        <v>Truly Nolen Soluciones S.A.</v>
      </c>
      <c r="X2" s="561"/>
      <c r="Y2" s="561"/>
      <c r="Z2" s="562"/>
      <c r="AC2" s="474">
        <v>3</v>
      </c>
      <c r="AD2" s="203"/>
      <c r="AE2" s="474" t="s">
        <v>3</v>
      </c>
      <c r="AF2" s="560" t="str">
        <f>VLOOKUP(AC2,LISTA_OFERENTES,2,FALSE)</f>
        <v>Alfa Control S.A.S.</v>
      </c>
      <c r="AG2" s="561"/>
      <c r="AH2" s="561"/>
      <c r="AI2" s="562"/>
      <c r="AL2" s="474">
        <v>4</v>
      </c>
      <c r="AM2" s="203"/>
      <c r="AN2" s="474" t="s">
        <v>3</v>
      </c>
      <c r="AO2" s="560">
        <f>VLOOKUP(AL2,LISTA_OFERENTES,2,FALSE)</f>
        <v>0</v>
      </c>
      <c r="AP2" s="561"/>
      <c r="AQ2" s="561"/>
      <c r="AR2" s="562"/>
      <c r="AU2" s="474">
        <v>5</v>
      </c>
      <c r="AV2" s="203"/>
      <c r="AW2" s="474" t="s">
        <v>3</v>
      </c>
      <c r="AX2" s="560">
        <f>VLOOKUP(AU2,LISTA_OFERENTES,2,FALSE)</f>
        <v>0</v>
      </c>
      <c r="AY2" s="561"/>
      <c r="AZ2" s="561"/>
      <c r="BA2" s="562"/>
    </row>
    <row r="3" spans="2:54" ht="27.75" customHeight="1" thickBot="1">
      <c r="K3" s="475"/>
      <c r="L3" s="204"/>
      <c r="M3" s="475"/>
      <c r="N3" s="464"/>
      <c r="O3" s="465"/>
      <c r="P3" s="465"/>
      <c r="Q3" s="563"/>
      <c r="T3" s="475"/>
      <c r="U3" s="204"/>
      <c r="V3" s="475"/>
      <c r="W3" s="464"/>
      <c r="X3" s="465"/>
      <c r="Y3" s="465"/>
      <c r="Z3" s="563"/>
      <c r="AC3" s="475"/>
      <c r="AD3" s="204"/>
      <c r="AE3" s="475"/>
      <c r="AF3" s="464"/>
      <c r="AG3" s="465"/>
      <c r="AH3" s="465"/>
      <c r="AI3" s="563"/>
      <c r="AL3" s="475"/>
      <c r="AM3" s="204"/>
      <c r="AN3" s="475"/>
      <c r="AO3" s="464"/>
      <c r="AP3" s="465"/>
      <c r="AQ3" s="465"/>
      <c r="AR3" s="563"/>
      <c r="AU3" s="475"/>
      <c r="AV3" s="204"/>
      <c r="AW3" s="475"/>
      <c r="AX3" s="464"/>
      <c r="AY3" s="465"/>
      <c r="AZ3" s="465"/>
      <c r="BA3" s="563"/>
    </row>
    <row r="4" spans="2:54" ht="19.5" thickTop="1" thickBot="1">
      <c r="B4" s="488" t="s">
        <v>117</v>
      </c>
      <c r="C4" s="489"/>
      <c r="D4" s="490"/>
      <c r="E4" s="476" t="s">
        <v>4</v>
      </c>
      <c r="F4" s="477"/>
      <c r="G4" s="477"/>
      <c r="H4" s="477"/>
      <c r="I4" s="478"/>
      <c r="K4" s="511"/>
      <c r="L4" s="512"/>
      <c r="M4" s="513"/>
      <c r="N4" s="497" t="s">
        <v>4</v>
      </c>
      <c r="O4" s="498"/>
      <c r="P4" s="498"/>
      <c r="Q4" s="498"/>
      <c r="R4" s="499"/>
      <c r="T4" s="541"/>
      <c r="U4" s="542"/>
      <c r="V4" s="543"/>
      <c r="W4" s="476" t="s">
        <v>4</v>
      </c>
      <c r="X4" s="477"/>
      <c r="Y4" s="477"/>
      <c r="Z4" s="477"/>
      <c r="AA4" s="478"/>
      <c r="AC4" s="488"/>
      <c r="AD4" s="489"/>
      <c r="AE4" s="490"/>
      <c r="AF4" s="476" t="s">
        <v>4</v>
      </c>
      <c r="AG4" s="477"/>
      <c r="AH4" s="477"/>
      <c r="AI4" s="477"/>
      <c r="AJ4" s="478"/>
      <c r="AL4" s="532"/>
      <c r="AM4" s="533"/>
      <c r="AN4" s="534"/>
      <c r="AO4" s="476" t="s">
        <v>4</v>
      </c>
      <c r="AP4" s="477"/>
      <c r="AQ4" s="477"/>
      <c r="AR4" s="477"/>
      <c r="AS4" s="478"/>
      <c r="AU4" s="532"/>
      <c r="AV4" s="533"/>
      <c r="AW4" s="534"/>
      <c r="AX4" s="476" t="s">
        <v>4</v>
      </c>
      <c r="AY4" s="477"/>
      <c r="AZ4" s="477"/>
      <c r="BA4" s="477"/>
      <c r="BB4" s="478"/>
    </row>
    <row r="5" spans="2:54" ht="13.5" thickTop="1">
      <c r="B5" s="491"/>
      <c r="C5" s="492"/>
      <c r="D5" s="493"/>
      <c r="E5" s="479" t="s">
        <v>118</v>
      </c>
      <c r="F5" s="480"/>
      <c r="G5" s="480"/>
      <c r="H5" s="480"/>
      <c r="I5" s="481"/>
      <c r="K5" s="514"/>
      <c r="L5" s="515"/>
      <c r="M5" s="516"/>
      <c r="N5" s="500" t="s">
        <v>118</v>
      </c>
      <c r="O5" s="501"/>
      <c r="P5" s="501"/>
      <c r="Q5" s="501"/>
      <c r="R5" s="502"/>
      <c r="T5" s="544"/>
      <c r="U5" s="545"/>
      <c r="V5" s="546"/>
      <c r="W5" s="479" t="s">
        <v>118</v>
      </c>
      <c r="X5" s="480"/>
      <c r="Y5" s="480"/>
      <c r="Z5" s="480"/>
      <c r="AA5" s="481"/>
      <c r="AC5" s="491"/>
      <c r="AD5" s="492"/>
      <c r="AE5" s="493"/>
      <c r="AF5" s="479" t="s">
        <v>118</v>
      </c>
      <c r="AG5" s="480"/>
      <c r="AH5" s="480"/>
      <c r="AI5" s="480"/>
      <c r="AJ5" s="481"/>
      <c r="AL5" s="535"/>
      <c r="AM5" s="536"/>
      <c r="AN5" s="537"/>
      <c r="AO5" s="479" t="s">
        <v>118</v>
      </c>
      <c r="AP5" s="480"/>
      <c r="AQ5" s="480"/>
      <c r="AR5" s="480"/>
      <c r="AS5" s="481"/>
      <c r="AU5" s="535"/>
      <c r="AV5" s="536"/>
      <c r="AW5" s="537"/>
      <c r="AX5" s="479" t="s">
        <v>118</v>
      </c>
      <c r="AY5" s="480"/>
      <c r="AZ5" s="480"/>
      <c r="BA5" s="480"/>
      <c r="BB5" s="481"/>
    </row>
    <row r="6" spans="2:54">
      <c r="B6" s="491"/>
      <c r="C6" s="492"/>
      <c r="D6" s="493"/>
      <c r="E6" s="482"/>
      <c r="F6" s="483"/>
      <c r="G6" s="483"/>
      <c r="H6" s="483"/>
      <c r="I6" s="484"/>
      <c r="K6" s="514"/>
      <c r="L6" s="515"/>
      <c r="M6" s="516"/>
      <c r="N6" s="503"/>
      <c r="O6" s="504"/>
      <c r="P6" s="504"/>
      <c r="Q6" s="504"/>
      <c r="R6" s="505"/>
      <c r="T6" s="544"/>
      <c r="U6" s="545"/>
      <c r="V6" s="546"/>
      <c r="W6" s="482"/>
      <c r="X6" s="483"/>
      <c r="Y6" s="483"/>
      <c r="Z6" s="483"/>
      <c r="AA6" s="484"/>
      <c r="AC6" s="491"/>
      <c r="AD6" s="492"/>
      <c r="AE6" s="493"/>
      <c r="AF6" s="482"/>
      <c r="AG6" s="483"/>
      <c r="AH6" s="483"/>
      <c r="AI6" s="483"/>
      <c r="AJ6" s="484"/>
      <c r="AL6" s="535"/>
      <c r="AM6" s="536"/>
      <c r="AN6" s="537"/>
      <c r="AO6" s="482"/>
      <c r="AP6" s="483"/>
      <c r="AQ6" s="483"/>
      <c r="AR6" s="483"/>
      <c r="AS6" s="484"/>
      <c r="AU6" s="535"/>
      <c r="AV6" s="536"/>
      <c r="AW6" s="537"/>
      <c r="AX6" s="482"/>
      <c r="AY6" s="483"/>
      <c r="AZ6" s="483"/>
      <c r="BA6" s="483"/>
      <c r="BB6" s="484"/>
    </row>
    <row r="7" spans="2:54" ht="13.5" thickBot="1">
      <c r="B7" s="491"/>
      <c r="C7" s="492"/>
      <c r="D7" s="493"/>
      <c r="E7" s="485"/>
      <c r="F7" s="486"/>
      <c r="G7" s="486"/>
      <c r="H7" s="486"/>
      <c r="I7" s="487"/>
      <c r="K7" s="514"/>
      <c r="L7" s="515"/>
      <c r="M7" s="516"/>
      <c r="N7" s="506"/>
      <c r="O7" s="507"/>
      <c r="P7" s="507"/>
      <c r="Q7" s="507"/>
      <c r="R7" s="508"/>
      <c r="T7" s="544"/>
      <c r="U7" s="545"/>
      <c r="V7" s="546"/>
      <c r="W7" s="485"/>
      <c r="X7" s="486"/>
      <c r="Y7" s="486"/>
      <c r="Z7" s="486"/>
      <c r="AA7" s="487"/>
      <c r="AC7" s="491"/>
      <c r="AD7" s="492"/>
      <c r="AE7" s="493"/>
      <c r="AF7" s="485"/>
      <c r="AG7" s="486"/>
      <c r="AH7" s="486"/>
      <c r="AI7" s="486"/>
      <c r="AJ7" s="487"/>
      <c r="AL7" s="535"/>
      <c r="AM7" s="536"/>
      <c r="AN7" s="537"/>
      <c r="AO7" s="485"/>
      <c r="AP7" s="486"/>
      <c r="AQ7" s="486"/>
      <c r="AR7" s="486"/>
      <c r="AS7" s="487"/>
      <c r="AU7" s="535"/>
      <c r="AV7" s="536"/>
      <c r="AW7" s="537"/>
      <c r="AX7" s="485"/>
      <c r="AY7" s="486"/>
      <c r="AZ7" s="486"/>
      <c r="BA7" s="486"/>
      <c r="BB7" s="487"/>
    </row>
    <row r="8" spans="2:54" ht="19.5" customHeight="1" thickTop="1">
      <c r="B8" s="491"/>
      <c r="C8" s="492"/>
      <c r="D8" s="493"/>
      <c r="E8" s="520" t="str">
        <f>'1_ENTREGA'!A2</f>
        <v>Invitación Pública N° VA-100-2019</v>
      </c>
      <c r="F8" s="521"/>
      <c r="G8" s="521"/>
      <c r="H8" s="521"/>
      <c r="I8" s="522"/>
      <c r="K8" s="514"/>
      <c r="L8" s="515"/>
      <c r="M8" s="516"/>
      <c r="N8" s="509" t="s">
        <v>95</v>
      </c>
      <c r="O8" s="500" t="s">
        <v>119</v>
      </c>
      <c r="P8" s="501"/>
      <c r="Q8" s="501"/>
      <c r="R8" s="502"/>
      <c r="T8" s="544"/>
      <c r="U8" s="545"/>
      <c r="V8" s="546"/>
      <c r="W8" s="529" t="s">
        <v>95</v>
      </c>
      <c r="X8" s="479" t="s">
        <v>119</v>
      </c>
      <c r="Y8" s="480"/>
      <c r="Z8" s="480"/>
      <c r="AA8" s="481"/>
      <c r="AC8" s="491"/>
      <c r="AD8" s="492"/>
      <c r="AE8" s="493"/>
      <c r="AF8" s="529" t="s">
        <v>95</v>
      </c>
      <c r="AG8" s="479" t="s">
        <v>119</v>
      </c>
      <c r="AH8" s="480"/>
      <c r="AI8" s="480"/>
      <c r="AJ8" s="481"/>
      <c r="AL8" s="535"/>
      <c r="AM8" s="536"/>
      <c r="AN8" s="537"/>
      <c r="AO8" s="529" t="s">
        <v>95</v>
      </c>
      <c r="AP8" s="479" t="s">
        <v>119</v>
      </c>
      <c r="AQ8" s="480"/>
      <c r="AR8" s="480"/>
      <c r="AS8" s="481"/>
      <c r="AU8" s="535"/>
      <c r="AV8" s="536"/>
      <c r="AW8" s="537"/>
      <c r="AX8" s="529" t="s">
        <v>95</v>
      </c>
      <c r="AY8" s="479" t="s">
        <v>119</v>
      </c>
      <c r="AZ8" s="480"/>
      <c r="BA8" s="480"/>
      <c r="BB8" s="481"/>
    </row>
    <row r="9" spans="2:54" ht="19.5" customHeight="1" thickBot="1">
      <c r="B9" s="494"/>
      <c r="C9" s="495"/>
      <c r="D9" s="496"/>
      <c r="E9" s="523"/>
      <c r="F9" s="524"/>
      <c r="G9" s="524"/>
      <c r="H9" s="524"/>
      <c r="I9" s="525"/>
      <c r="K9" s="517"/>
      <c r="L9" s="518"/>
      <c r="M9" s="519"/>
      <c r="N9" s="510"/>
      <c r="O9" s="506"/>
      <c r="P9" s="507"/>
      <c r="Q9" s="507"/>
      <c r="R9" s="508"/>
      <c r="T9" s="547"/>
      <c r="U9" s="548"/>
      <c r="V9" s="549"/>
      <c r="W9" s="530"/>
      <c r="X9" s="485"/>
      <c r="Y9" s="486"/>
      <c r="Z9" s="486"/>
      <c r="AA9" s="487"/>
      <c r="AC9" s="494"/>
      <c r="AD9" s="495"/>
      <c r="AE9" s="496"/>
      <c r="AF9" s="530"/>
      <c r="AG9" s="485"/>
      <c r="AH9" s="486"/>
      <c r="AI9" s="486"/>
      <c r="AJ9" s="487"/>
      <c r="AL9" s="538"/>
      <c r="AM9" s="539"/>
      <c r="AN9" s="540"/>
      <c r="AO9" s="530"/>
      <c r="AP9" s="485"/>
      <c r="AQ9" s="486"/>
      <c r="AR9" s="486"/>
      <c r="AS9" s="487"/>
      <c r="AU9" s="538"/>
      <c r="AV9" s="539"/>
      <c r="AW9" s="540"/>
      <c r="AX9" s="530"/>
      <c r="AY9" s="485"/>
      <c r="AZ9" s="486"/>
      <c r="BA9" s="486"/>
      <c r="BB9" s="487"/>
    </row>
    <row r="10" spans="2:54" ht="13.5" thickTop="1">
      <c r="B10" s="426" t="s">
        <v>150</v>
      </c>
      <c r="C10" s="427"/>
      <c r="D10" s="427"/>
      <c r="E10" s="427"/>
      <c r="F10" s="427"/>
      <c r="G10" s="427"/>
      <c r="H10" s="427"/>
      <c r="I10" s="266"/>
      <c r="K10" s="426"/>
      <c r="L10" s="427"/>
      <c r="M10" s="427"/>
      <c r="N10" s="427"/>
      <c r="O10" s="427"/>
      <c r="P10" s="427"/>
      <c r="Q10" s="427"/>
      <c r="R10" s="266"/>
      <c r="T10" s="426" t="s">
        <v>150</v>
      </c>
      <c r="U10" s="427"/>
      <c r="V10" s="427"/>
      <c r="W10" s="427"/>
      <c r="X10" s="427"/>
      <c r="Y10" s="427"/>
      <c r="Z10" s="427"/>
      <c r="AA10" s="266"/>
      <c r="AC10" s="426"/>
      <c r="AD10" s="427"/>
      <c r="AE10" s="427"/>
      <c r="AF10" s="427"/>
      <c r="AG10" s="427"/>
      <c r="AH10" s="427"/>
      <c r="AI10" s="427"/>
      <c r="AJ10" s="266"/>
      <c r="AL10" s="426"/>
      <c r="AM10" s="427"/>
      <c r="AN10" s="427"/>
      <c r="AO10" s="427"/>
      <c r="AP10" s="427"/>
      <c r="AQ10" s="427"/>
      <c r="AR10" s="427"/>
      <c r="AS10" s="266"/>
      <c r="AU10" s="426"/>
      <c r="AV10" s="427"/>
      <c r="AW10" s="427"/>
      <c r="AX10" s="427"/>
      <c r="AY10" s="427"/>
      <c r="AZ10" s="427"/>
      <c r="BA10" s="427"/>
      <c r="BB10" s="266"/>
    </row>
    <row r="11" spans="2:54" ht="25.5">
      <c r="B11" s="267" t="s">
        <v>44</v>
      </c>
      <c r="C11" s="428" t="s">
        <v>151</v>
      </c>
      <c r="D11" s="428"/>
      <c r="E11" s="243" t="s">
        <v>71</v>
      </c>
      <c r="F11" s="243" t="s">
        <v>152</v>
      </c>
      <c r="G11" s="244" t="s">
        <v>153</v>
      </c>
      <c r="H11" s="243" t="s">
        <v>154</v>
      </c>
      <c r="I11" s="268" t="s">
        <v>212</v>
      </c>
      <c r="K11" s="267"/>
      <c r="L11" s="428"/>
      <c r="M11" s="428"/>
      <c r="N11" s="243"/>
      <c r="O11" s="243"/>
      <c r="P11" s="244"/>
      <c r="Q11" s="243"/>
      <c r="R11" s="268" t="s">
        <v>212</v>
      </c>
      <c r="S11" s="148"/>
      <c r="T11" s="267"/>
      <c r="U11" s="428"/>
      <c r="V11" s="428"/>
      <c r="W11" s="243"/>
      <c r="X11" s="243"/>
      <c r="Y11" s="244"/>
      <c r="Z11" s="243"/>
      <c r="AA11" s="268" t="s">
        <v>212</v>
      </c>
      <c r="AC11" s="267"/>
      <c r="AD11" s="428"/>
      <c r="AE11" s="428"/>
      <c r="AF11" s="243"/>
      <c r="AG11" s="243"/>
      <c r="AH11" s="244"/>
      <c r="AI11" s="243"/>
      <c r="AJ11" s="268" t="s">
        <v>212</v>
      </c>
      <c r="AL11" s="267"/>
      <c r="AM11" s="428"/>
      <c r="AN11" s="428"/>
      <c r="AO11" s="243"/>
      <c r="AP11" s="243"/>
      <c r="AQ11" s="244"/>
      <c r="AR11" s="243"/>
      <c r="AS11" s="268" t="s">
        <v>212</v>
      </c>
      <c r="AU11" s="267"/>
      <c r="AV11" s="428"/>
      <c r="AW11" s="428"/>
      <c r="AX11" s="243"/>
      <c r="AY11" s="243"/>
      <c r="AZ11" s="244"/>
      <c r="BA11" s="243"/>
      <c r="BB11" s="268" t="s">
        <v>212</v>
      </c>
    </row>
    <row r="12" spans="2:54">
      <c r="B12" s="269" t="s">
        <v>155</v>
      </c>
      <c r="C12" s="429" t="s">
        <v>156</v>
      </c>
      <c r="D12" s="429"/>
      <c r="E12" s="429"/>
      <c r="F12" s="429"/>
      <c r="G12" s="429"/>
      <c r="H12" s="429"/>
      <c r="I12" s="270"/>
      <c r="K12" s="315" t="s">
        <v>155</v>
      </c>
      <c r="L12" s="550" t="s">
        <v>156</v>
      </c>
      <c r="M12" s="550"/>
      <c r="N12" s="550"/>
      <c r="O12" s="550"/>
      <c r="P12" s="550"/>
      <c r="Q12" s="550"/>
      <c r="R12" s="270"/>
      <c r="S12" s="149"/>
      <c r="T12" s="269"/>
      <c r="U12" s="429"/>
      <c r="V12" s="429"/>
      <c r="W12" s="429"/>
      <c r="X12" s="429"/>
      <c r="Y12" s="429"/>
      <c r="Z12" s="429"/>
      <c r="AA12" s="270"/>
      <c r="AC12" s="269"/>
      <c r="AD12" s="429"/>
      <c r="AE12" s="429"/>
      <c r="AF12" s="429"/>
      <c r="AG12" s="429"/>
      <c r="AH12" s="429"/>
      <c r="AI12" s="429"/>
      <c r="AJ12" s="270"/>
      <c r="AL12" s="269"/>
      <c r="AM12" s="429"/>
      <c r="AN12" s="429"/>
      <c r="AO12" s="429"/>
      <c r="AP12" s="429"/>
      <c r="AQ12" s="429"/>
      <c r="AR12" s="429"/>
      <c r="AS12" s="270"/>
      <c r="AU12" s="269"/>
      <c r="AV12" s="429"/>
      <c r="AW12" s="429"/>
      <c r="AX12" s="429"/>
      <c r="AY12" s="429"/>
      <c r="AZ12" s="429"/>
      <c r="BA12" s="429"/>
      <c r="BB12" s="270"/>
    </row>
    <row r="13" spans="2:54" ht="89.25">
      <c r="B13" s="271" t="s">
        <v>157</v>
      </c>
      <c r="C13" s="245" t="s">
        <v>158</v>
      </c>
      <c r="D13" s="245" t="s">
        <v>159</v>
      </c>
      <c r="E13" s="246" t="s">
        <v>120</v>
      </c>
      <c r="F13" s="247">
        <v>150</v>
      </c>
      <c r="G13" s="248">
        <v>0</v>
      </c>
      <c r="H13" s="249">
        <f>SUM(F13*G13)</f>
        <v>0</v>
      </c>
      <c r="I13" s="552" t="e">
        <f>H18/H40</f>
        <v>#DIV/0!</v>
      </c>
      <c r="K13" s="316" t="s">
        <v>157</v>
      </c>
      <c r="L13" s="317" t="s">
        <v>158</v>
      </c>
      <c r="M13" s="317" t="s">
        <v>159</v>
      </c>
      <c r="N13" s="317" t="s">
        <v>120</v>
      </c>
      <c r="O13" s="316">
        <v>4</v>
      </c>
      <c r="P13" s="318">
        <v>8020000</v>
      </c>
      <c r="Q13" s="319">
        <f>SUM(O13*P13)</f>
        <v>32080000</v>
      </c>
      <c r="R13" s="559">
        <f>Q18/Q40</f>
        <v>0.62238857938718661</v>
      </c>
      <c r="S13" s="149"/>
      <c r="T13" s="271"/>
      <c r="U13" s="245"/>
      <c r="V13" s="245"/>
      <c r="W13" s="246"/>
      <c r="X13" s="247"/>
      <c r="Y13" s="248"/>
      <c r="Z13" s="249"/>
      <c r="AA13" s="552" t="e">
        <f>Z18/Z40</f>
        <v>#DIV/0!</v>
      </c>
      <c r="AC13" s="271"/>
      <c r="AD13" s="245"/>
      <c r="AE13" s="245"/>
      <c r="AF13" s="246"/>
      <c r="AG13" s="247"/>
      <c r="AH13" s="248"/>
      <c r="AI13" s="249"/>
      <c r="AJ13" s="552" t="e">
        <f>AI18/AI40</f>
        <v>#DIV/0!</v>
      </c>
      <c r="AL13" s="271"/>
      <c r="AM13" s="245"/>
      <c r="AN13" s="245"/>
      <c r="AO13" s="246"/>
      <c r="AP13" s="247"/>
      <c r="AQ13" s="248"/>
      <c r="AR13" s="249"/>
      <c r="AS13" s="552" t="e">
        <f>AR18/AR40</f>
        <v>#DIV/0!</v>
      </c>
      <c r="AU13" s="271"/>
      <c r="AV13" s="245"/>
      <c r="AW13" s="245"/>
      <c r="AX13" s="246"/>
      <c r="AY13" s="247"/>
      <c r="AZ13" s="248"/>
      <c r="BA13" s="249"/>
      <c r="BB13" s="552" t="e">
        <f>BA18/BA40</f>
        <v>#DIV/0!</v>
      </c>
    </row>
    <row r="14" spans="2:54" ht="38.25">
      <c r="B14" s="271" t="s">
        <v>160</v>
      </c>
      <c r="C14" s="245" t="s">
        <v>161</v>
      </c>
      <c r="D14" s="245" t="s">
        <v>162</v>
      </c>
      <c r="E14" s="246" t="s">
        <v>120</v>
      </c>
      <c r="F14" s="247">
        <v>100</v>
      </c>
      <c r="G14" s="248">
        <v>0</v>
      </c>
      <c r="H14" s="249">
        <f t="shared" ref="H14:H17" si="0">SUM(F14*G14)</f>
        <v>0</v>
      </c>
      <c r="I14" s="431"/>
      <c r="K14" s="316" t="s">
        <v>160</v>
      </c>
      <c r="L14" s="317" t="s">
        <v>161</v>
      </c>
      <c r="M14" s="317" t="s">
        <v>162</v>
      </c>
      <c r="N14" s="317" t="s">
        <v>120</v>
      </c>
      <c r="O14" s="316">
        <v>4</v>
      </c>
      <c r="P14" s="318">
        <v>7100000</v>
      </c>
      <c r="Q14" s="319">
        <f t="shared" ref="Q14:Q17" si="1">SUM(O14*P14)</f>
        <v>28400000</v>
      </c>
      <c r="R14" s="559"/>
      <c r="S14" s="149"/>
      <c r="T14" s="271"/>
      <c r="U14" s="245"/>
      <c r="V14" s="245"/>
      <c r="W14" s="246"/>
      <c r="X14" s="247"/>
      <c r="Y14" s="248"/>
      <c r="Z14" s="249"/>
      <c r="AA14" s="431"/>
      <c r="AB14" s="149"/>
      <c r="AC14" s="271"/>
      <c r="AD14" s="245"/>
      <c r="AE14" s="245"/>
      <c r="AF14" s="246"/>
      <c r="AG14" s="247"/>
      <c r="AH14" s="248"/>
      <c r="AI14" s="249"/>
      <c r="AJ14" s="431"/>
      <c r="AL14" s="271"/>
      <c r="AM14" s="245"/>
      <c r="AN14" s="245"/>
      <c r="AO14" s="246"/>
      <c r="AP14" s="247"/>
      <c r="AQ14" s="248"/>
      <c r="AR14" s="249"/>
      <c r="AS14" s="431"/>
      <c r="AU14" s="271"/>
      <c r="AV14" s="245"/>
      <c r="AW14" s="245"/>
      <c r="AX14" s="246"/>
      <c r="AY14" s="247"/>
      <c r="AZ14" s="248"/>
      <c r="BA14" s="249"/>
      <c r="BB14" s="431"/>
    </row>
    <row r="15" spans="2:54" ht="25.5">
      <c r="B15" s="271" t="s">
        <v>163</v>
      </c>
      <c r="C15" s="245" t="s">
        <v>164</v>
      </c>
      <c r="D15" s="245" t="s">
        <v>165</v>
      </c>
      <c r="E15" s="246" t="s">
        <v>120</v>
      </c>
      <c r="F15" s="250">
        <v>100</v>
      </c>
      <c r="G15" s="248">
        <v>0</v>
      </c>
      <c r="H15" s="249">
        <f t="shared" si="0"/>
        <v>0</v>
      </c>
      <c r="I15" s="431"/>
      <c r="K15" s="316" t="s">
        <v>163</v>
      </c>
      <c r="L15" s="317" t="s">
        <v>164</v>
      </c>
      <c r="M15" s="317" t="s">
        <v>165</v>
      </c>
      <c r="N15" s="317" t="s">
        <v>120</v>
      </c>
      <c r="O15" s="316">
        <v>4</v>
      </c>
      <c r="P15" s="318">
        <v>580000</v>
      </c>
      <c r="Q15" s="319">
        <f t="shared" si="1"/>
        <v>2320000</v>
      </c>
      <c r="R15" s="559"/>
      <c r="S15" s="149"/>
      <c r="T15" s="271"/>
      <c r="U15" s="245"/>
      <c r="V15" s="245"/>
      <c r="W15" s="246"/>
      <c r="X15" s="250"/>
      <c r="Y15" s="248"/>
      <c r="Z15" s="249"/>
      <c r="AA15" s="431"/>
      <c r="AB15" s="149"/>
      <c r="AC15" s="271"/>
      <c r="AD15" s="245"/>
      <c r="AE15" s="245"/>
      <c r="AF15" s="246"/>
      <c r="AG15" s="250"/>
      <c r="AH15" s="248"/>
      <c r="AI15" s="249"/>
      <c r="AJ15" s="431"/>
      <c r="AL15" s="271"/>
      <c r="AM15" s="245"/>
      <c r="AN15" s="245"/>
      <c r="AO15" s="246"/>
      <c r="AP15" s="250"/>
      <c r="AQ15" s="248"/>
      <c r="AR15" s="249"/>
      <c r="AS15" s="431"/>
      <c r="AU15" s="271"/>
      <c r="AV15" s="245"/>
      <c r="AW15" s="245"/>
      <c r="AX15" s="246"/>
      <c r="AY15" s="250"/>
      <c r="AZ15" s="248"/>
      <c r="BA15" s="249"/>
      <c r="BB15" s="431"/>
    </row>
    <row r="16" spans="2:54" ht="63.75">
      <c r="B16" s="271" t="s">
        <v>166</v>
      </c>
      <c r="C16" s="245" t="s">
        <v>167</v>
      </c>
      <c r="D16" s="245" t="s">
        <v>168</v>
      </c>
      <c r="E16" s="246" t="s">
        <v>120</v>
      </c>
      <c r="F16" s="250">
        <v>10</v>
      </c>
      <c r="G16" s="248">
        <v>0</v>
      </c>
      <c r="H16" s="249">
        <f t="shared" si="0"/>
        <v>0</v>
      </c>
      <c r="I16" s="431"/>
      <c r="K16" s="316" t="s">
        <v>166</v>
      </c>
      <c r="L16" s="317" t="s">
        <v>167</v>
      </c>
      <c r="M16" s="317" t="s">
        <v>168</v>
      </c>
      <c r="N16" s="317" t="s">
        <v>120</v>
      </c>
      <c r="O16" s="316">
        <v>4</v>
      </c>
      <c r="P16" s="318">
        <v>1800000</v>
      </c>
      <c r="Q16" s="319">
        <f t="shared" si="1"/>
        <v>7200000</v>
      </c>
      <c r="R16" s="559"/>
      <c r="S16" s="149"/>
      <c r="T16" s="271"/>
      <c r="U16" s="245"/>
      <c r="V16" s="245"/>
      <c r="W16" s="246"/>
      <c r="X16" s="250"/>
      <c r="Y16" s="248"/>
      <c r="Z16" s="249"/>
      <c r="AA16" s="431"/>
      <c r="AC16" s="271"/>
      <c r="AD16" s="245"/>
      <c r="AE16" s="245"/>
      <c r="AF16" s="246"/>
      <c r="AG16" s="250"/>
      <c r="AH16" s="248"/>
      <c r="AI16" s="249"/>
      <c r="AJ16" s="431"/>
      <c r="AL16" s="271"/>
      <c r="AM16" s="245"/>
      <c r="AN16" s="245"/>
      <c r="AO16" s="246"/>
      <c r="AP16" s="250"/>
      <c r="AQ16" s="248"/>
      <c r="AR16" s="249"/>
      <c r="AS16" s="431"/>
      <c r="AU16" s="271"/>
      <c r="AV16" s="245"/>
      <c r="AW16" s="245"/>
      <c r="AX16" s="246"/>
      <c r="AY16" s="250"/>
      <c r="AZ16" s="248"/>
      <c r="BA16" s="249"/>
      <c r="BB16" s="431"/>
    </row>
    <row r="17" spans="2:54" ht="63.75">
      <c r="B17" s="271" t="s">
        <v>169</v>
      </c>
      <c r="C17" s="245" t="s">
        <v>170</v>
      </c>
      <c r="D17" s="245" t="s">
        <v>171</v>
      </c>
      <c r="E17" s="246" t="s">
        <v>72</v>
      </c>
      <c r="F17" s="250">
        <v>1000</v>
      </c>
      <c r="G17" s="248">
        <v>0</v>
      </c>
      <c r="H17" s="249">
        <f t="shared" si="0"/>
        <v>0</v>
      </c>
      <c r="I17" s="431"/>
      <c r="K17" s="316" t="s">
        <v>169</v>
      </c>
      <c r="L17" s="317" t="s">
        <v>170</v>
      </c>
      <c r="M17" s="317" t="s">
        <v>171</v>
      </c>
      <c r="N17" s="317" t="s">
        <v>72</v>
      </c>
      <c r="O17" s="316">
        <v>1</v>
      </c>
      <c r="P17" s="318">
        <v>1500000</v>
      </c>
      <c r="Q17" s="319">
        <f t="shared" si="1"/>
        <v>1500000</v>
      </c>
      <c r="R17" s="559"/>
      <c r="S17" s="149"/>
      <c r="T17" s="271"/>
      <c r="U17" s="245"/>
      <c r="V17" s="245"/>
      <c r="W17" s="246"/>
      <c r="X17" s="250"/>
      <c r="Y17" s="248"/>
      <c r="Z17" s="249"/>
      <c r="AA17" s="431"/>
      <c r="AC17" s="271"/>
      <c r="AD17" s="245"/>
      <c r="AE17" s="245"/>
      <c r="AF17" s="246"/>
      <c r="AG17" s="250"/>
      <c r="AH17" s="248"/>
      <c r="AI17" s="249"/>
      <c r="AJ17" s="431"/>
      <c r="AL17" s="271"/>
      <c r="AM17" s="245"/>
      <c r="AN17" s="245"/>
      <c r="AO17" s="246"/>
      <c r="AP17" s="250"/>
      <c r="AQ17" s="248"/>
      <c r="AR17" s="249"/>
      <c r="AS17" s="431"/>
      <c r="AU17" s="271"/>
      <c r="AV17" s="245"/>
      <c r="AW17" s="245"/>
      <c r="AX17" s="246"/>
      <c r="AY17" s="250"/>
      <c r="AZ17" s="248"/>
      <c r="BA17" s="249"/>
      <c r="BB17" s="431"/>
    </row>
    <row r="18" spans="2:54" ht="12.75" customHeight="1">
      <c r="B18" s="272" t="s">
        <v>172</v>
      </c>
      <c r="C18" s="526" t="s">
        <v>173</v>
      </c>
      <c r="D18" s="526"/>
      <c r="E18" s="526"/>
      <c r="F18" s="526"/>
      <c r="G18" s="526"/>
      <c r="H18" s="251">
        <f>SUM(H13:H17)</f>
        <v>0</v>
      </c>
      <c r="I18" s="273"/>
      <c r="K18" s="320" t="s">
        <v>172</v>
      </c>
      <c r="L18" s="442" t="s">
        <v>173</v>
      </c>
      <c r="M18" s="442"/>
      <c r="N18" s="442"/>
      <c r="O18" s="442"/>
      <c r="P18" s="442"/>
      <c r="Q18" s="321">
        <f>SUM(Q13:Q17)</f>
        <v>71500000</v>
      </c>
      <c r="R18" s="273"/>
      <c r="S18" s="149"/>
      <c r="T18" s="272"/>
      <c r="U18" s="553"/>
      <c r="V18" s="554"/>
      <c r="W18" s="554"/>
      <c r="X18" s="554"/>
      <c r="Y18" s="555"/>
      <c r="Z18" s="251"/>
      <c r="AA18" s="273"/>
      <c r="AC18" s="272"/>
      <c r="AD18" s="553"/>
      <c r="AE18" s="554"/>
      <c r="AF18" s="554"/>
      <c r="AG18" s="554"/>
      <c r="AH18" s="555"/>
      <c r="AI18" s="251"/>
      <c r="AJ18" s="273"/>
      <c r="AL18" s="272"/>
      <c r="AM18" s="526"/>
      <c r="AN18" s="526"/>
      <c r="AO18" s="526"/>
      <c r="AP18" s="526"/>
      <c r="AQ18" s="526"/>
      <c r="AR18" s="251"/>
      <c r="AS18" s="273"/>
      <c r="AU18" s="272"/>
      <c r="AV18" s="526"/>
      <c r="AW18" s="526"/>
      <c r="AX18" s="526"/>
      <c r="AY18" s="526"/>
      <c r="AZ18" s="526"/>
      <c r="BA18" s="251"/>
      <c r="BB18" s="273"/>
    </row>
    <row r="19" spans="2:54">
      <c r="B19" s="272"/>
      <c r="C19" s="252" t="s">
        <v>174</v>
      </c>
      <c r="D19" s="252"/>
      <c r="E19" s="252"/>
      <c r="F19" s="252"/>
      <c r="G19" s="252"/>
      <c r="H19" s="251">
        <f>H18*19%</f>
        <v>0</v>
      </c>
      <c r="I19" s="270"/>
      <c r="K19" s="320"/>
      <c r="L19" s="320" t="s">
        <v>174</v>
      </c>
      <c r="M19" s="320"/>
      <c r="N19" s="320"/>
      <c r="O19" s="320"/>
      <c r="P19" s="320"/>
      <c r="Q19" s="321">
        <f>Q18*19%</f>
        <v>13585000</v>
      </c>
      <c r="R19" s="270"/>
      <c r="S19" s="149"/>
      <c r="T19" s="272"/>
      <c r="U19" s="252"/>
      <c r="V19" s="252"/>
      <c r="W19" s="252"/>
      <c r="X19" s="252"/>
      <c r="Y19" s="252"/>
      <c r="Z19" s="251"/>
      <c r="AA19" s="270"/>
      <c r="AC19" s="272"/>
      <c r="AD19" s="252"/>
      <c r="AE19" s="252"/>
      <c r="AF19" s="252"/>
      <c r="AG19" s="252"/>
      <c r="AH19" s="252"/>
      <c r="AI19" s="251"/>
      <c r="AJ19" s="270"/>
      <c r="AL19" s="272"/>
      <c r="AM19" s="252"/>
      <c r="AN19" s="252"/>
      <c r="AO19" s="252"/>
      <c r="AP19" s="252"/>
      <c r="AQ19" s="252"/>
      <c r="AR19" s="251"/>
      <c r="AS19" s="270"/>
      <c r="AU19" s="272"/>
      <c r="AV19" s="252"/>
      <c r="AW19" s="252"/>
      <c r="AX19" s="252"/>
      <c r="AY19" s="252"/>
      <c r="AZ19" s="252"/>
      <c r="BA19" s="251"/>
      <c r="BB19" s="270"/>
    </row>
    <row r="20" spans="2:54">
      <c r="B20" s="272"/>
      <c r="C20" s="252" t="s">
        <v>152</v>
      </c>
      <c r="D20" s="252"/>
      <c r="E20" s="252"/>
      <c r="F20" s="252"/>
      <c r="G20" s="252"/>
      <c r="H20" s="251">
        <f>H18+H19</f>
        <v>0</v>
      </c>
      <c r="I20" s="273"/>
      <c r="K20" s="320"/>
      <c r="L20" s="320" t="s">
        <v>152</v>
      </c>
      <c r="M20" s="320"/>
      <c r="N20" s="320"/>
      <c r="O20" s="320"/>
      <c r="P20" s="320"/>
      <c r="Q20" s="321">
        <f>Q18+Q19</f>
        <v>85085000</v>
      </c>
      <c r="R20" s="273"/>
      <c r="T20" s="272"/>
      <c r="U20" s="252"/>
      <c r="V20" s="252"/>
      <c r="W20" s="252"/>
      <c r="X20" s="252"/>
      <c r="Y20" s="252"/>
      <c r="Z20" s="251"/>
      <c r="AA20" s="273"/>
      <c r="AC20" s="272"/>
      <c r="AD20" s="252"/>
      <c r="AE20" s="252"/>
      <c r="AF20" s="252"/>
      <c r="AG20" s="252"/>
      <c r="AH20" s="252"/>
      <c r="AI20" s="251"/>
      <c r="AJ20" s="273"/>
      <c r="AL20" s="272"/>
      <c r="AM20" s="252"/>
      <c r="AN20" s="252"/>
      <c r="AO20" s="252"/>
      <c r="AP20" s="252"/>
      <c r="AQ20" s="252"/>
      <c r="AR20" s="251"/>
      <c r="AS20" s="273"/>
      <c r="AU20" s="272"/>
      <c r="AV20" s="252"/>
      <c r="AW20" s="252"/>
      <c r="AX20" s="252"/>
      <c r="AY20" s="252"/>
      <c r="AZ20" s="252"/>
      <c r="BA20" s="251"/>
      <c r="BB20" s="273"/>
    </row>
    <row r="21" spans="2:54">
      <c r="B21" s="269" t="s">
        <v>175</v>
      </c>
      <c r="C21" s="253" t="s">
        <v>176</v>
      </c>
      <c r="D21" s="253"/>
      <c r="E21" s="253"/>
      <c r="F21" s="253"/>
      <c r="G21" s="253"/>
      <c r="H21" s="253"/>
      <c r="I21" s="273"/>
      <c r="K21" s="322" t="s">
        <v>175</v>
      </c>
      <c r="L21" s="320" t="s">
        <v>176</v>
      </c>
      <c r="M21" s="320"/>
      <c r="N21" s="320"/>
      <c r="O21" s="320"/>
      <c r="P21" s="320"/>
      <c r="Q21" s="320"/>
      <c r="R21" s="273"/>
      <c r="S21" s="149"/>
      <c r="T21" s="269"/>
      <c r="U21" s="253"/>
      <c r="V21" s="253"/>
      <c r="W21" s="253"/>
      <c r="X21" s="253"/>
      <c r="Y21" s="253"/>
      <c r="Z21" s="253"/>
      <c r="AA21" s="273"/>
      <c r="AC21" s="269"/>
      <c r="AD21" s="253"/>
      <c r="AE21" s="253"/>
      <c r="AF21" s="253"/>
      <c r="AG21" s="253"/>
      <c r="AH21" s="253"/>
      <c r="AI21" s="253"/>
      <c r="AJ21" s="273"/>
      <c r="AL21" s="269"/>
      <c r="AM21" s="253"/>
      <c r="AN21" s="253"/>
      <c r="AO21" s="253"/>
      <c r="AP21" s="253"/>
      <c r="AQ21" s="253"/>
      <c r="AR21" s="253"/>
      <c r="AS21" s="273"/>
      <c r="AU21" s="269"/>
      <c r="AV21" s="253"/>
      <c r="AW21" s="253"/>
      <c r="AX21" s="253"/>
      <c r="AY21" s="253"/>
      <c r="AZ21" s="253"/>
      <c r="BA21" s="253"/>
      <c r="BB21" s="273"/>
    </row>
    <row r="22" spans="2:54" ht="12.75" customHeight="1">
      <c r="B22" s="274" t="s">
        <v>177</v>
      </c>
      <c r="C22" s="254" t="s">
        <v>178</v>
      </c>
      <c r="D22" s="527" t="s">
        <v>179</v>
      </c>
      <c r="E22" s="255">
        <v>924</v>
      </c>
      <c r="F22" s="256">
        <v>6</v>
      </c>
      <c r="G22" s="257">
        <v>0</v>
      </c>
      <c r="H22" s="249">
        <f>SUM(F22*G22)</f>
        <v>0</v>
      </c>
      <c r="I22" s="430" t="e">
        <f>H36/H40</f>
        <v>#DIV/0!</v>
      </c>
      <c r="K22" s="317" t="s">
        <v>177</v>
      </c>
      <c r="L22" s="317" t="s">
        <v>178</v>
      </c>
      <c r="M22" s="443" t="s">
        <v>179</v>
      </c>
      <c r="N22" s="323">
        <v>924</v>
      </c>
      <c r="O22" s="317">
        <v>6</v>
      </c>
      <c r="P22" s="324">
        <v>480000</v>
      </c>
      <c r="Q22" s="319">
        <f>SUM(O22*P22)</f>
        <v>2880000</v>
      </c>
      <c r="R22" s="559">
        <f>Q36/Q40</f>
        <v>0.37761142061281339</v>
      </c>
      <c r="T22" s="274"/>
      <c r="U22" s="254"/>
      <c r="V22" s="556"/>
      <c r="W22" s="255"/>
      <c r="X22" s="256"/>
      <c r="Y22" s="257"/>
      <c r="Z22" s="249"/>
      <c r="AA22" s="430" t="e">
        <f>Z36/Z40</f>
        <v>#DIV/0!</v>
      </c>
      <c r="AC22" s="274"/>
      <c r="AD22" s="254"/>
      <c r="AE22" s="556"/>
      <c r="AF22" s="255"/>
      <c r="AG22" s="256"/>
      <c r="AH22" s="257"/>
      <c r="AI22" s="249"/>
      <c r="AJ22" s="430" t="e">
        <f>AI36/AI40</f>
        <v>#DIV/0!</v>
      </c>
      <c r="AL22" s="274"/>
      <c r="AM22" s="254"/>
      <c r="AN22" s="527"/>
      <c r="AO22" s="255"/>
      <c r="AP22" s="256"/>
      <c r="AQ22" s="257"/>
      <c r="AR22" s="249"/>
      <c r="AS22" s="430" t="e">
        <f>AR36/AR40</f>
        <v>#DIV/0!</v>
      </c>
      <c r="AU22" s="274"/>
      <c r="AV22" s="254"/>
      <c r="AW22" s="527"/>
      <c r="AX22" s="255"/>
      <c r="AY22" s="256"/>
      <c r="AZ22" s="257"/>
      <c r="BA22" s="249"/>
      <c r="BB22" s="430" t="e">
        <f>BA36/BA40</f>
        <v>#DIV/0!</v>
      </c>
    </row>
    <row r="23" spans="2:54">
      <c r="B23" s="274" t="s">
        <v>180</v>
      </c>
      <c r="C23" s="254" t="s">
        <v>181</v>
      </c>
      <c r="D23" s="527"/>
      <c r="E23" s="255">
        <v>803.4</v>
      </c>
      <c r="F23" s="256">
        <v>6</v>
      </c>
      <c r="G23" s="257">
        <v>0</v>
      </c>
      <c r="H23" s="249">
        <f t="shared" ref="H23:H35" si="2">SUM(F23*G23)</f>
        <v>0</v>
      </c>
      <c r="I23" s="431"/>
      <c r="K23" s="317" t="s">
        <v>180</v>
      </c>
      <c r="L23" s="317" t="s">
        <v>181</v>
      </c>
      <c r="M23" s="443"/>
      <c r="N23" s="323">
        <v>803.4</v>
      </c>
      <c r="O23" s="317">
        <v>6</v>
      </c>
      <c r="P23" s="324">
        <v>380000</v>
      </c>
      <c r="Q23" s="319">
        <f t="shared" ref="Q23:Q35" si="3">SUM(O23*P23)</f>
        <v>2280000</v>
      </c>
      <c r="R23" s="559"/>
      <c r="S23" s="149"/>
      <c r="T23" s="274"/>
      <c r="U23" s="254"/>
      <c r="V23" s="557"/>
      <c r="W23" s="255"/>
      <c r="X23" s="256"/>
      <c r="Y23" s="257"/>
      <c r="Z23" s="249"/>
      <c r="AA23" s="431"/>
      <c r="AC23" s="274"/>
      <c r="AD23" s="254"/>
      <c r="AE23" s="557"/>
      <c r="AF23" s="255"/>
      <c r="AG23" s="256"/>
      <c r="AH23" s="257"/>
      <c r="AI23" s="249"/>
      <c r="AJ23" s="431"/>
      <c r="AL23" s="274"/>
      <c r="AM23" s="254"/>
      <c r="AN23" s="527"/>
      <c r="AO23" s="255"/>
      <c r="AP23" s="256"/>
      <c r="AQ23" s="257"/>
      <c r="AR23" s="249"/>
      <c r="AS23" s="431"/>
      <c r="AU23" s="274"/>
      <c r="AV23" s="254"/>
      <c r="AW23" s="527"/>
      <c r="AX23" s="255"/>
      <c r="AY23" s="256"/>
      <c r="AZ23" s="257"/>
      <c r="BA23" s="249"/>
      <c r="BB23" s="431"/>
    </row>
    <row r="24" spans="2:54">
      <c r="B24" s="274" t="s">
        <v>182</v>
      </c>
      <c r="C24" s="254" t="s">
        <v>183</v>
      </c>
      <c r="D24" s="527"/>
      <c r="E24" s="255">
        <v>20878</v>
      </c>
      <c r="F24" s="256">
        <v>6</v>
      </c>
      <c r="G24" s="257">
        <v>0</v>
      </c>
      <c r="H24" s="249">
        <f t="shared" si="2"/>
        <v>0</v>
      </c>
      <c r="I24" s="431"/>
      <c r="K24" s="317" t="s">
        <v>182</v>
      </c>
      <c r="L24" s="317" t="s">
        <v>183</v>
      </c>
      <c r="M24" s="443"/>
      <c r="N24" s="323">
        <v>20878</v>
      </c>
      <c r="O24" s="317">
        <v>6</v>
      </c>
      <c r="P24" s="324">
        <v>880000</v>
      </c>
      <c r="Q24" s="319">
        <f t="shared" si="3"/>
        <v>5280000</v>
      </c>
      <c r="R24" s="559"/>
      <c r="T24" s="274"/>
      <c r="U24" s="254"/>
      <c r="V24" s="557"/>
      <c r="W24" s="255"/>
      <c r="X24" s="256"/>
      <c r="Y24" s="257"/>
      <c r="Z24" s="249"/>
      <c r="AA24" s="431"/>
      <c r="AC24" s="274"/>
      <c r="AD24" s="254"/>
      <c r="AE24" s="557"/>
      <c r="AF24" s="255"/>
      <c r="AG24" s="256"/>
      <c r="AH24" s="257"/>
      <c r="AI24" s="249"/>
      <c r="AJ24" s="431"/>
      <c r="AL24" s="274"/>
      <c r="AM24" s="254"/>
      <c r="AN24" s="527"/>
      <c r="AO24" s="255"/>
      <c r="AP24" s="256"/>
      <c r="AQ24" s="257"/>
      <c r="AR24" s="249"/>
      <c r="AS24" s="431"/>
      <c r="AU24" s="274"/>
      <c r="AV24" s="254"/>
      <c r="AW24" s="527"/>
      <c r="AX24" s="255"/>
      <c r="AY24" s="256"/>
      <c r="AZ24" s="257"/>
      <c r="BA24" s="249"/>
      <c r="BB24" s="431"/>
    </row>
    <row r="25" spans="2:54">
      <c r="B25" s="274" t="s">
        <v>184</v>
      </c>
      <c r="C25" s="254" t="s">
        <v>185</v>
      </c>
      <c r="D25" s="527"/>
      <c r="E25" s="255">
        <v>1910</v>
      </c>
      <c r="F25" s="256">
        <v>6</v>
      </c>
      <c r="G25" s="257">
        <v>0</v>
      </c>
      <c r="H25" s="249">
        <f t="shared" si="2"/>
        <v>0</v>
      </c>
      <c r="I25" s="431"/>
      <c r="K25" s="317" t="s">
        <v>184</v>
      </c>
      <c r="L25" s="317" t="s">
        <v>185</v>
      </c>
      <c r="M25" s="443"/>
      <c r="N25" s="323">
        <v>1910</v>
      </c>
      <c r="O25" s="317">
        <v>6</v>
      </c>
      <c r="P25" s="324">
        <v>380000</v>
      </c>
      <c r="Q25" s="319">
        <f t="shared" si="3"/>
        <v>2280000</v>
      </c>
      <c r="R25" s="559"/>
      <c r="T25" s="274"/>
      <c r="U25" s="254"/>
      <c r="V25" s="557"/>
      <c r="W25" s="255"/>
      <c r="X25" s="256"/>
      <c r="Y25" s="257"/>
      <c r="Z25" s="249"/>
      <c r="AA25" s="431"/>
      <c r="AC25" s="274"/>
      <c r="AD25" s="254"/>
      <c r="AE25" s="557"/>
      <c r="AF25" s="255"/>
      <c r="AG25" s="256"/>
      <c r="AH25" s="257"/>
      <c r="AI25" s="249"/>
      <c r="AJ25" s="431"/>
      <c r="AL25" s="274"/>
      <c r="AM25" s="254"/>
      <c r="AN25" s="527"/>
      <c r="AO25" s="255"/>
      <c r="AP25" s="256"/>
      <c r="AQ25" s="257"/>
      <c r="AR25" s="249"/>
      <c r="AS25" s="431"/>
      <c r="AU25" s="274"/>
      <c r="AV25" s="254"/>
      <c r="AW25" s="527"/>
      <c r="AX25" s="255"/>
      <c r="AY25" s="256"/>
      <c r="AZ25" s="257"/>
      <c r="BA25" s="249"/>
      <c r="BB25" s="431"/>
    </row>
    <row r="26" spans="2:54">
      <c r="B26" s="274" t="s">
        <v>186</v>
      </c>
      <c r="C26" s="254" t="s">
        <v>187</v>
      </c>
      <c r="D26" s="527"/>
      <c r="E26" s="255">
        <f>2237+1200</f>
        <v>3437</v>
      </c>
      <c r="F26" s="256">
        <v>6</v>
      </c>
      <c r="G26" s="257">
        <v>0</v>
      </c>
      <c r="H26" s="249">
        <f t="shared" si="2"/>
        <v>0</v>
      </c>
      <c r="I26" s="431"/>
      <c r="K26" s="317" t="s">
        <v>186</v>
      </c>
      <c r="L26" s="317" t="s">
        <v>187</v>
      </c>
      <c r="M26" s="443"/>
      <c r="N26" s="323">
        <f>2237+1200</f>
        <v>3437</v>
      </c>
      <c r="O26" s="317">
        <v>6</v>
      </c>
      <c r="P26" s="324">
        <v>480000</v>
      </c>
      <c r="Q26" s="319">
        <f t="shared" si="3"/>
        <v>2880000</v>
      </c>
      <c r="R26" s="559"/>
      <c r="T26" s="274"/>
      <c r="U26" s="254"/>
      <c r="V26" s="557"/>
      <c r="W26" s="255"/>
      <c r="X26" s="256"/>
      <c r="Y26" s="257"/>
      <c r="Z26" s="249"/>
      <c r="AA26" s="431"/>
      <c r="AC26" s="274"/>
      <c r="AD26" s="254"/>
      <c r="AE26" s="557"/>
      <c r="AF26" s="255"/>
      <c r="AG26" s="256"/>
      <c r="AH26" s="257"/>
      <c r="AI26" s="249"/>
      <c r="AJ26" s="431"/>
      <c r="AL26" s="274"/>
      <c r="AM26" s="254"/>
      <c r="AN26" s="527"/>
      <c r="AO26" s="255"/>
      <c r="AP26" s="256"/>
      <c r="AQ26" s="257"/>
      <c r="AR26" s="249"/>
      <c r="AS26" s="431"/>
      <c r="AU26" s="274"/>
      <c r="AV26" s="254"/>
      <c r="AW26" s="527"/>
      <c r="AX26" s="255"/>
      <c r="AY26" s="256"/>
      <c r="AZ26" s="257"/>
      <c r="BA26" s="249"/>
      <c r="BB26" s="431"/>
    </row>
    <row r="27" spans="2:54">
      <c r="B27" s="274" t="s">
        <v>188</v>
      </c>
      <c r="C27" s="254" t="s">
        <v>189</v>
      </c>
      <c r="D27" s="527"/>
      <c r="E27" s="255">
        <v>441</v>
      </c>
      <c r="F27" s="256">
        <v>6</v>
      </c>
      <c r="G27" s="257">
        <v>0</v>
      </c>
      <c r="H27" s="249">
        <f t="shared" si="2"/>
        <v>0</v>
      </c>
      <c r="I27" s="431"/>
      <c r="K27" s="317" t="s">
        <v>188</v>
      </c>
      <c r="L27" s="317" t="s">
        <v>189</v>
      </c>
      <c r="M27" s="443"/>
      <c r="N27" s="323">
        <v>441</v>
      </c>
      <c r="O27" s="317">
        <v>6</v>
      </c>
      <c r="P27" s="324">
        <v>480000</v>
      </c>
      <c r="Q27" s="319">
        <f t="shared" si="3"/>
        <v>2880000</v>
      </c>
      <c r="R27" s="559"/>
      <c r="T27" s="274"/>
      <c r="U27" s="254"/>
      <c r="V27" s="557"/>
      <c r="W27" s="255"/>
      <c r="X27" s="256"/>
      <c r="Y27" s="257"/>
      <c r="Z27" s="249"/>
      <c r="AA27" s="431"/>
      <c r="AC27" s="274"/>
      <c r="AD27" s="254"/>
      <c r="AE27" s="557"/>
      <c r="AF27" s="255"/>
      <c r="AG27" s="256"/>
      <c r="AH27" s="257"/>
      <c r="AI27" s="249"/>
      <c r="AJ27" s="431"/>
      <c r="AL27" s="274"/>
      <c r="AM27" s="254"/>
      <c r="AN27" s="527"/>
      <c r="AO27" s="255"/>
      <c r="AP27" s="256"/>
      <c r="AQ27" s="257"/>
      <c r="AR27" s="249"/>
      <c r="AS27" s="431"/>
      <c r="AU27" s="274"/>
      <c r="AV27" s="254"/>
      <c r="AW27" s="527"/>
      <c r="AX27" s="255"/>
      <c r="AY27" s="256"/>
      <c r="AZ27" s="257"/>
      <c r="BA27" s="249"/>
      <c r="BB27" s="431"/>
    </row>
    <row r="28" spans="2:54">
      <c r="B28" s="274" t="s">
        <v>190</v>
      </c>
      <c r="C28" s="254" t="s">
        <v>191</v>
      </c>
      <c r="D28" s="527"/>
      <c r="E28" s="255">
        <v>440</v>
      </c>
      <c r="F28" s="256">
        <v>6</v>
      </c>
      <c r="G28" s="257">
        <v>0</v>
      </c>
      <c r="H28" s="249">
        <f t="shared" si="2"/>
        <v>0</v>
      </c>
      <c r="I28" s="431"/>
      <c r="K28" s="317" t="s">
        <v>190</v>
      </c>
      <c r="L28" s="317" t="s">
        <v>191</v>
      </c>
      <c r="M28" s="443"/>
      <c r="N28" s="323">
        <v>440</v>
      </c>
      <c r="O28" s="317">
        <v>6</v>
      </c>
      <c r="P28" s="324">
        <v>380000</v>
      </c>
      <c r="Q28" s="319">
        <f t="shared" si="3"/>
        <v>2280000</v>
      </c>
      <c r="R28" s="559"/>
      <c r="T28" s="274"/>
      <c r="U28" s="254"/>
      <c r="V28" s="557"/>
      <c r="W28" s="255"/>
      <c r="X28" s="256"/>
      <c r="Y28" s="257"/>
      <c r="Z28" s="249"/>
      <c r="AA28" s="431"/>
      <c r="AC28" s="274"/>
      <c r="AD28" s="254"/>
      <c r="AE28" s="557"/>
      <c r="AF28" s="255"/>
      <c r="AG28" s="256"/>
      <c r="AH28" s="257"/>
      <c r="AI28" s="249"/>
      <c r="AJ28" s="431"/>
      <c r="AL28" s="274"/>
      <c r="AM28" s="254"/>
      <c r="AN28" s="527"/>
      <c r="AO28" s="255"/>
      <c r="AP28" s="256"/>
      <c r="AQ28" s="257"/>
      <c r="AR28" s="249"/>
      <c r="AS28" s="431"/>
      <c r="AU28" s="274"/>
      <c r="AV28" s="254"/>
      <c r="AW28" s="527"/>
      <c r="AX28" s="255"/>
      <c r="AY28" s="256"/>
      <c r="AZ28" s="257"/>
      <c r="BA28" s="249"/>
      <c r="BB28" s="431"/>
    </row>
    <row r="29" spans="2:54">
      <c r="B29" s="274" t="s">
        <v>192</v>
      </c>
      <c r="C29" s="254" t="s">
        <v>193</v>
      </c>
      <c r="D29" s="527"/>
      <c r="E29" s="255">
        <v>1161</v>
      </c>
      <c r="F29" s="256">
        <v>6</v>
      </c>
      <c r="G29" s="257">
        <v>0</v>
      </c>
      <c r="H29" s="249">
        <f t="shared" si="2"/>
        <v>0</v>
      </c>
      <c r="I29" s="431"/>
      <c r="K29" s="317" t="s">
        <v>192</v>
      </c>
      <c r="L29" s="317" t="s">
        <v>193</v>
      </c>
      <c r="M29" s="443"/>
      <c r="N29" s="323">
        <v>1161</v>
      </c>
      <c r="O29" s="317">
        <v>6</v>
      </c>
      <c r="P29" s="324">
        <v>380000</v>
      </c>
      <c r="Q29" s="319">
        <f t="shared" si="3"/>
        <v>2280000</v>
      </c>
      <c r="R29" s="559"/>
      <c r="T29" s="274"/>
      <c r="U29" s="254"/>
      <c r="V29" s="557"/>
      <c r="W29" s="255"/>
      <c r="X29" s="256"/>
      <c r="Y29" s="257"/>
      <c r="Z29" s="249"/>
      <c r="AA29" s="431"/>
      <c r="AC29" s="274"/>
      <c r="AD29" s="254"/>
      <c r="AE29" s="557"/>
      <c r="AF29" s="255"/>
      <c r="AG29" s="256"/>
      <c r="AH29" s="257"/>
      <c r="AI29" s="249"/>
      <c r="AJ29" s="431"/>
      <c r="AL29" s="274"/>
      <c r="AM29" s="254"/>
      <c r="AN29" s="527"/>
      <c r="AO29" s="255"/>
      <c r="AP29" s="256"/>
      <c r="AQ29" s="257"/>
      <c r="AR29" s="249"/>
      <c r="AS29" s="431"/>
      <c r="AU29" s="274"/>
      <c r="AV29" s="254"/>
      <c r="AW29" s="527"/>
      <c r="AX29" s="255"/>
      <c r="AY29" s="256"/>
      <c r="AZ29" s="257"/>
      <c r="BA29" s="249"/>
      <c r="BB29" s="431"/>
    </row>
    <row r="30" spans="2:54">
      <c r="B30" s="274" t="s">
        <v>194</v>
      </c>
      <c r="C30" s="254" t="s">
        <v>195</v>
      </c>
      <c r="D30" s="527"/>
      <c r="E30" s="255">
        <v>600</v>
      </c>
      <c r="F30" s="256">
        <v>6</v>
      </c>
      <c r="G30" s="257">
        <v>0</v>
      </c>
      <c r="H30" s="249">
        <f t="shared" si="2"/>
        <v>0</v>
      </c>
      <c r="I30" s="431"/>
      <c r="K30" s="317" t="s">
        <v>194</v>
      </c>
      <c r="L30" s="317" t="s">
        <v>195</v>
      </c>
      <c r="M30" s="443"/>
      <c r="N30" s="323">
        <v>600</v>
      </c>
      <c r="O30" s="317">
        <v>6</v>
      </c>
      <c r="P30" s="324">
        <v>380000</v>
      </c>
      <c r="Q30" s="319">
        <f t="shared" si="3"/>
        <v>2280000</v>
      </c>
      <c r="R30" s="559"/>
      <c r="T30" s="274"/>
      <c r="U30" s="254"/>
      <c r="V30" s="557"/>
      <c r="W30" s="255"/>
      <c r="X30" s="256"/>
      <c r="Y30" s="257"/>
      <c r="Z30" s="249"/>
      <c r="AA30" s="431"/>
      <c r="AC30" s="274"/>
      <c r="AD30" s="254"/>
      <c r="AE30" s="557"/>
      <c r="AF30" s="255"/>
      <c r="AG30" s="256"/>
      <c r="AH30" s="257"/>
      <c r="AI30" s="249"/>
      <c r="AJ30" s="431"/>
      <c r="AL30" s="274"/>
      <c r="AM30" s="254"/>
      <c r="AN30" s="527"/>
      <c r="AO30" s="255"/>
      <c r="AP30" s="256"/>
      <c r="AQ30" s="257"/>
      <c r="AR30" s="249"/>
      <c r="AS30" s="431"/>
      <c r="AU30" s="274"/>
      <c r="AV30" s="254"/>
      <c r="AW30" s="527"/>
      <c r="AX30" s="255"/>
      <c r="AY30" s="256"/>
      <c r="AZ30" s="257"/>
      <c r="BA30" s="249"/>
      <c r="BB30" s="431"/>
    </row>
    <row r="31" spans="2:54">
      <c r="B31" s="274" t="s">
        <v>196</v>
      </c>
      <c r="C31" s="254" t="s">
        <v>197</v>
      </c>
      <c r="D31" s="527"/>
      <c r="E31" s="255">
        <v>2260</v>
      </c>
      <c r="F31" s="256">
        <v>6</v>
      </c>
      <c r="G31" s="257">
        <v>0</v>
      </c>
      <c r="H31" s="249">
        <f t="shared" si="2"/>
        <v>0</v>
      </c>
      <c r="I31" s="431"/>
      <c r="K31" s="317" t="s">
        <v>196</v>
      </c>
      <c r="L31" s="317" t="s">
        <v>197</v>
      </c>
      <c r="M31" s="443"/>
      <c r="N31" s="323">
        <v>2260</v>
      </c>
      <c r="O31" s="317">
        <v>6</v>
      </c>
      <c r="P31" s="324">
        <v>380000</v>
      </c>
      <c r="Q31" s="319">
        <f t="shared" si="3"/>
        <v>2280000</v>
      </c>
      <c r="R31" s="559"/>
      <c r="T31" s="274"/>
      <c r="U31" s="254"/>
      <c r="V31" s="557"/>
      <c r="W31" s="255"/>
      <c r="X31" s="256"/>
      <c r="Y31" s="257"/>
      <c r="Z31" s="249"/>
      <c r="AA31" s="431"/>
      <c r="AC31" s="274"/>
      <c r="AD31" s="254"/>
      <c r="AE31" s="557"/>
      <c r="AF31" s="255"/>
      <c r="AG31" s="256"/>
      <c r="AH31" s="257"/>
      <c r="AI31" s="249"/>
      <c r="AJ31" s="431"/>
      <c r="AL31" s="274"/>
      <c r="AM31" s="254"/>
      <c r="AN31" s="527"/>
      <c r="AO31" s="255"/>
      <c r="AP31" s="256"/>
      <c r="AQ31" s="257"/>
      <c r="AR31" s="249"/>
      <c r="AS31" s="431"/>
      <c r="AU31" s="274"/>
      <c r="AV31" s="254"/>
      <c r="AW31" s="527"/>
      <c r="AX31" s="255"/>
      <c r="AY31" s="256"/>
      <c r="AZ31" s="257"/>
      <c r="BA31" s="249"/>
      <c r="BB31" s="431"/>
    </row>
    <row r="32" spans="2:54">
      <c r="B32" s="274" t="s">
        <v>198</v>
      </c>
      <c r="C32" s="254" t="s">
        <v>199</v>
      </c>
      <c r="D32" s="527"/>
      <c r="E32" s="255">
        <v>8765</v>
      </c>
      <c r="F32" s="256">
        <v>6</v>
      </c>
      <c r="G32" s="257">
        <v>0</v>
      </c>
      <c r="H32" s="249">
        <f t="shared" si="2"/>
        <v>0</v>
      </c>
      <c r="I32" s="431"/>
      <c r="K32" s="317" t="s">
        <v>198</v>
      </c>
      <c r="L32" s="317" t="s">
        <v>199</v>
      </c>
      <c r="M32" s="443"/>
      <c r="N32" s="323">
        <v>8765</v>
      </c>
      <c r="O32" s="317">
        <v>6</v>
      </c>
      <c r="P32" s="324">
        <v>780000</v>
      </c>
      <c r="Q32" s="319">
        <f t="shared" si="3"/>
        <v>4680000</v>
      </c>
      <c r="R32" s="559"/>
      <c r="T32" s="274"/>
      <c r="U32" s="254"/>
      <c r="V32" s="557"/>
      <c r="W32" s="255"/>
      <c r="X32" s="256"/>
      <c r="Y32" s="257"/>
      <c r="Z32" s="249"/>
      <c r="AA32" s="431"/>
      <c r="AC32" s="274"/>
      <c r="AD32" s="254"/>
      <c r="AE32" s="557"/>
      <c r="AF32" s="255"/>
      <c r="AG32" s="256"/>
      <c r="AH32" s="257"/>
      <c r="AI32" s="249"/>
      <c r="AJ32" s="431"/>
      <c r="AL32" s="274"/>
      <c r="AM32" s="254"/>
      <c r="AN32" s="527"/>
      <c r="AO32" s="255"/>
      <c r="AP32" s="256"/>
      <c r="AQ32" s="257"/>
      <c r="AR32" s="249"/>
      <c r="AS32" s="431"/>
      <c r="AU32" s="274"/>
      <c r="AV32" s="254"/>
      <c r="AW32" s="527"/>
      <c r="AX32" s="255"/>
      <c r="AY32" s="256"/>
      <c r="AZ32" s="257"/>
      <c r="BA32" s="249"/>
      <c r="BB32" s="431"/>
    </row>
    <row r="33" spans="1:55">
      <c r="B33" s="274" t="s">
        <v>200</v>
      </c>
      <c r="C33" s="254" t="s">
        <v>201</v>
      </c>
      <c r="D33" s="527"/>
      <c r="E33" s="255">
        <v>1508</v>
      </c>
      <c r="F33" s="256">
        <v>6</v>
      </c>
      <c r="G33" s="257">
        <v>0</v>
      </c>
      <c r="H33" s="258">
        <f t="shared" si="2"/>
        <v>0</v>
      </c>
      <c r="I33" s="431"/>
      <c r="K33" s="317" t="s">
        <v>200</v>
      </c>
      <c r="L33" s="317" t="s">
        <v>201</v>
      </c>
      <c r="M33" s="443"/>
      <c r="N33" s="323">
        <v>1508</v>
      </c>
      <c r="O33" s="317">
        <v>6</v>
      </c>
      <c r="P33" s="324">
        <v>480000</v>
      </c>
      <c r="Q33" s="325">
        <f t="shared" si="3"/>
        <v>2880000</v>
      </c>
      <c r="R33" s="559"/>
      <c r="T33" s="274"/>
      <c r="U33" s="254"/>
      <c r="V33" s="557"/>
      <c r="W33" s="255"/>
      <c r="X33" s="256"/>
      <c r="Y33" s="257"/>
      <c r="Z33" s="258"/>
      <c r="AA33" s="431"/>
      <c r="AC33" s="274"/>
      <c r="AD33" s="254"/>
      <c r="AE33" s="557"/>
      <c r="AF33" s="255"/>
      <c r="AG33" s="256"/>
      <c r="AH33" s="257"/>
      <c r="AI33" s="258"/>
      <c r="AJ33" s="431"/>
      <c r="AL33" s="274"/>
      <c r="AM33" s="254"/>
      <c r="AN33" s="527"/>
      <c r="AO33" s="255"/>
      <c r="AP33" s="256"/>
      <c r="AQ33" s="257"/>
      <c r="AR33" s="258"/>
      <c r="AS33" s="431"/>
      <c r="AU33" s="274"/>
      <c r="AV33" s="254"/>
      <c r="AW33" s="527"/>
      <c r="AX33" s="255"/>
      <c r="AY33" s="256"/>
      <c r="AZ33" s="257"/>
      <c r="BA33" s="258"/>
      <c r="BB33" s="431"/>
    </row>
    <row r="34" spans="1:55">
      <c r="B34" s="274" t="s">
        <v>202</v>
      </c>
      <c r="C34" s="254" t="s">
        <v>203</v>
      </c>
      <c r="D34" s="527"/>
      <c r="E34" s="255">
        <v>732</v>
      </c>
      <c r="F34" s="256">
        <v>6</v>
      </c>
      <c r="G34" s="257">
        <v>0</v>
      </c>
      <c r="H34" s="249">
        <f t="shared" si="2"/>
        <v>0</v>
      </c>
      <c r="I34" s="431"/>
      <c r="K34" s="317" t="s">
        <v>202</v>
      </c>
      <c r="L34" s="317" t="s">
        <v>203</v>
      </c>
      <c r="M34" s="443"/>
      <c r="N34" s="323">
        <v>732</v>
      </c>
      <c r="O34" s="317">
        <v>6</v>
      </c>
      <c r="P34" s="324">
        <v>680000</v>
      </c>
      <c r="Q34" s="319">
        <f t="shared" si="3"/>
        <v>4080000</v>
      </c>
      <c r="R34" s="559"/>
      <c r="T34" s="274"/>
      <c r="U34" s="254"/>
      <c r="V34" s="557"/>
      <c r="W34" s="255"/>
      <c r="X34" s="256"/>
      <c r="Y34" s="257"/>
      <c r="Z34" s="249"/>
      <c r="AA34" s="431"/>
      <c r="AC34" s="274"/>
      <c r="AD34" s="254"/>
      <c r="AE34" s="557"/>
      <c r="AF34" s="255"/>
      <c r="AG34" s="256"/>
      <c r="AH34" s="257"/>
      <c r="AI34" s="249"/>
      <c r="AJ34" s="431"/>
      <c r="AL34" s="274"/>
      <c r="AM34" s="254"/>
      <c r="AN34" s="527"/>
      <c r="AO34" s="255"/>
      <c r="AP34" s="256"/>
      <c r="AQ34" s="257"/>
      <c r="AR34" s="249"/>
      <c r="AS34" s="431"/>
      <c r="AU34" s="274"/>
      <c r="AV34" s="254"/>
      <c r="AW34" s="527"/>
      <c r="AX34" s="255"/>
      <c r="AY34" s="256"/>
      <c r="AZ34" s="257"/>
      <c r="BA34" s="249"/>
      <c r="BB34" s="431"/>
    </row>
    <row r="35" spans="1:55" ht="25.5">
      <c r="B35" s="274" t="s">
        <v>204</v>
      </c>
      <c r="C35" s="254" t="s">
        <v>205</v>
      </c>
      <c r="D35" s="527"/>
      <c r="E35" s="259"/>
      <c r="F35" s="256">
        <v>6</v>
      </c>
      <c r="G35" s="257">
        <v>0</v>
      </c>
      <c r="H35" s="249">
        <f t="shared" si="2"/>
        <v>0</v>
      </c>
      <c r="I35" s="431"/>
      <c r="K35" s="317" t="s">
        <v>204</v>
      </c>
      <c r="L35" s="317" t="s">
        <v>205</v>
      </c>
      <c r="M35" s="443"/>
      <c r="N35" s="317"/>
      <c r="O35" s="317">
        <v>6</v>
      </c>
      <c r="P35" s="324">
        <v>690000</v>
      </c>
      <c r="Q35" s="319">
        <f t="shared" si="3"/>
        <v>4140000</v>
      </c>
      <c r="R35" s="559"/>
      <c r="T35" s="274"/>
      <c r="U35" s="254"/>
      <c r="V35" s="558"/>
      <c r="W35" s="259"/>
      <c r="X35" s="256"/>
      <c r="Y35" s="257"/>
      <c r="Z35" s="249"/>
      <c r="AA35" s="431"/>
      <c r="AC35" s="274"/>
      <c r="AD35" s="254"/>
      <c r="AE35" s="558"/>
      <c r="AF35" s="259"/>
      <c r="AG35" s="256"/>
      <c r="AH35" s="257"/>
      <c r="AI35" s="249"/>
      <c r="AJ35" s="431"/>
      <c r="AL35" s="274"/>
      <c r="AM35" s="254"/>
      <c r="AN35" s="527"/>
      <c r="AO35" s="259"/>
      <c r="AP35" s="256"/>
      <c r="AQ35" s="257"/>
      <c r="AR35" s="249"/>
      <c r="AS35" s="431"/>
      <c r="AU35" s="274"/>
      <c r="AV35" s="254"/>
      <c r="AW35" s="527"/>
      <c r="AX35" s="259"/>
      <c r="AY35" s="256"/>
      <c r="AZ35" s="257"/>
      <c r="BA35" s="249"/>
      <c r="BB35" s="431"/>
    </row>
    <row r="36" spans="1:55">
      <c r="B36" s="272" t="s">
        <v>206</v>
      </c>
      <c r="C36" s="526" t="s">
        <v>207</v>
      </c>
      <c r="D36" s="526"/>
      <c r="E36" s="526"/>
      <c r="F36" s="526"/>
      <c r="G36" s="526"/>
      <c r="H36" s="251">
        <f>SUM(H22:H35)</f>
        <v>0</v>
      </c>
      <c r="I36" s="273"/>
      <c r="K36" s="320" t="s">
        <v>206</v>
      </c>
      <c r="L36" s="442" t="s">
        <v>207</v>
      </c>
      <c r="M36" s="442"/>
      <c r="N36" s="442"/>
      <c r="O36" s="442"/>
      <c r="P36" s="442"/>
      <c r="Q36" s="321">
        <f>SUM(Q22:Q35)</f>
        <v>43380000</v>
      </c>
      <c r="R36" s="273"/>
      <c r="T36" s="272"/>
      <c r="U36" s="553"/>
      <c r="V36" s="554"/>
      <c r="W36" s="554"/>
      <c r="X36" s="554"/>
      <c r="Y36" s="555"/>
      <c r="Z36" s="251"/>
      <c r="AA36" s="273"/>
      <c r="AC36" s="272"/>
      <c r="AD36" s="553"/>
      <c r="AE36" s="554"/>
      <c r="AF36" s="554"/>
      <c r="AG36" s="554"/>
      <c r="AH36" s="555"/>
      <c r="AI36" s="251"/>
      <c r="AJ36" s="273"/>
      <c r="AL36" s="272"/>
      <c r="AM36" s="526"/>
      <c r="AN36" s="526"/>
      <c r="AO36" s="526"/>
      <c r="AP36" s="526"/>
      <c r="AQ36" s="526"/>
      <c r="AR36" s="251"/>
      <c r="AS36" s="273"/>
      <c r="AU36" s="272"/>
      <c r="AV36" s="526"/>
      <c r="AW36" s="526"/>
      <c r="AX36" s="526"/>
      <c r="AY36" s="526"/>
      <c r="AZ36" s="526"/>
      <c r="BA36" s="251"/>
      <c r="BB36" s="273"/>
    </row>
    <row r="37" spans="1:55">
      <c r="B37" s="275"/>
      <c r="C37" s="261" t="s">
        <v>208</v>
      </c>
      <c r="D37" s="262"/>
      <c r="E37" s="262"/>
      <c r="F37" s="263"/>
      <c r="G37" s="263"/>
      <c r="H37" s="264">
        <f>H36*19%</f>
        <v>0</v>
      </c>
      <c r="I37" s="273"/>
      <c r="K37" s="317"/>
      <c r="L37" s="320" t="s">
        <v>208</v>
      </c>
      <c r="M37" s="326"/>
      <c r="N37" s="326"/>
      <c r="O37" s="317"/>
      <c r="P37" s="317"/>
      <c r="Q37" s="327">
        <f>Q36*19%</f>
        <v>8242200</v>
      </c>
      <c r="R37" s="273"/>
      <c r="T37" s="275"/>
      <c r="U37" s="261"/>
      <c r="V37" s="262"/>
      <c r="W37" s="262"/>
      <c r="X37" s="263"/>
      <c r="Y37" s="263"/>
      <c r="Z37" s="264"/>
      <c r="AA37" s="273"/>
      <c r="AC37" s="275"/>
      <c r="AD37" s="261"/>
      <c r="AE37" s="262"/>
      <c r="AF37" s="262"/>
      <c r="AG37" s="263"/>
      <c r="AH37" s="263"/>
      <c r="AI37" s="264"/>
      <c r="AJ37" s="273"/>
      <c r="AL37" s="275"/>
      <c r="AM37" s="261"/>
      <c r="AN37" s="262"/>
      <c r="AO37" s="262"/>
      <c r="AP37" s="263"/>
      <c r="AQ37" s="263"/>
      <c r="AR37" s="264"/>
      <c r="AS37" s="273"/>
      <c r="AU37" s="275"/>
      <c r="AV37" s="261"/>
      <c r="AW37" s="262"/>
      <c r="AX37" s="262"/>
      <c r="AY37" s="263"/>
      <c r="AZ37" s="263"/>
      <c r="BA37" s="264"/>
      <c r="BB37" s="273"/>
    </row>
    <row r="38" spans="1:55">
      <c r="B38" s="276"/>
      <c r="C38" s="261" t="s">
        <v>209</v>
      </c>
      <c r="D38" s="261"/>
      <c r="E38" s="261"/>
      <c r="F38" s="261"/>
      <c r="G38" s="261"/>
      <c r="H38" s="264">
        <f>H36+H37</f>
        <v>0</v>
      </c>
      <c r="I38" s="273"/>
      <c r="K38" s="320"/>
      <c r="L38" s="320" t="s">
        <v>209</v>
      </c>
      <c r="M38" s="320"/>
      <c r="N38" s="320"/>
      <c r="O38" s="320"/>
      <c r="P38" s="320"/>
      <c r="Q38" s="327">
        <f>Q36+Q37</f>
        <v>51622200</v>
      </c>
      <c r="R38" s="273"/>
      <c r="T38" s="276"/>
      <c r="U38" s="261"/>
      <c r="V38" s="261"/>
      <c r="W38" s="261"/>
      <c r="X38" s="261"/>
      <c r="Y38" s="261"/>
      <c r="Z38" s="264"/>
      <c r="AA38" s="273"/>
      <c r="AC38" s="276"/>
      <c r="AD38" s="261"/>
      <c r="AE38" s="261"/>
      <c r="AF38" s="261"/>
      <c r="AG38" s="261"/>
      <c r="AH38" s="261"/>
      <c r="AI38" s="264"/>
      <c r="AJ38" s="273"/>
      <c r="AL38" s="276"/>
      <c r="AM38" s="261"/>
      <c r="AN38" s="261"/>
      <c r="AO38" s="261"/>
      <c r="AP38" s="261"/>
      <c r="AQ38" s="261"/>
      <c r="AR38" s="264"/>
      <c r="AS38" s="273"/>
      <c r="AU38" s="276"/>
      <c r="AV38" s="261"/>
      <c r="AW38" s="261"/>
      <c r="AX38" s="261"/>
      <c r="AY38" s="261"/>
      <c r="AZ38" s="261"/>
      <c r="BA38" s="264"/>
      <c r="BB38" s="273"/>
    </row>
    <row r="39" spans="1:55" ht="13.5" thickBot="1">
      <c r="B39" s="277"/>
      <c r="C39" s="278"/>
      <c r="D39" s="279"/>
      <c r="E39" s="278"/>
      <c r="F39" s="280"/>
      <c r="G39" s="281"/>
      <c r="H39" s="282"/>
      <c r="I39" s="283"/>
      <c r="K39" s="277"/>
      <c r="L39" s="278"/>
      <c r="M39" s="279"/>
      <c r="N39" s="278"/>
      <c r="O39" s="280"/>
      <c r="P39" s="281"/>
      <c r="Q39" s="282"/>
      <c r="R39" s="283"/>
      <c r="T39" s="277"/>
      <c r="U39" s="278"/>
      <c r="V39" s="279"/>
      <c r="W39" s="278"/>
      <c r="X39" s="280"/>
      <c r="Y39" s="281"/>
      <c r="Z39" s="282"/>
      <c r="AA39" s="283"/>
      <c r="AC39" s="277"/>
      <c r="AD39" s="278"/>
      <c r="AE39" s="279"/>
      <c r="AF39" s="278"/>
      <c r="AG39" s="280"/>
      <c r="AH39" s="281"/>
      <c r="AI39" s="282"/>
      <c r="AJ39" s="283"/>
      <c r="AL39" s="277"/>
      <c r="AM39" s="278"/>
      <c r="AN39" s="279"/>
      <c r="AO39" s="278"/>
      <c r="AP39" s="280"/>
      <c r="AQ39" s="281"/>
      <c r="AR39" s="282"/>
      <c r="AS39" s="283"/>
      <c r="AU39" s="277"/>
      <c r="AV39" s="278"/>
      <c r="AW39" s="279"/>
      <c r="AX39" s="278"/>
      <c r="AY39" s="280"/>
      <c r="AZ39" s="281"/>
      <c r="BA39" s="282"/>
      <c r="BB39" s="283"/>
    </row>
    <row r="40" spans="1:55" ht="16.5" customHeight="1" thickTop="1" thickBot="1">
      <c r="B40" s="577" t="s">
        <v>96</v>
      </c>
      <c r="C40" s="578"/>
      <c r="D40" s="578"/>
      <c r="E40" s="578"/>
      <c r="F40" s="579"/>
      <c r="G40" s="150"/>
      <c r="H40" s="151">
        <f>H36+H18</f>
        <v>0</v>
      </c>
      <c r="I40" s="92" t="e">
        <f>I22+I13</f>
        <v>#DIV/0!</v>
      </c>
      <c r="K40" s="577" t="s">
        <v>96</v>
      </c>
      <c r="L40" s="578"/>
      <c r="M40" s="578"/>
      <c r="N40" s="578"/>
      <c r="O40" s="579"/>
      <c r="P40" s="150"/>
      <c r="Q40" s="151">
        <f>Q36+Q18</f>
        <v>114880000</v>
      </c>
      <c r="R40" s="382">
        <f>R22+R13</f>
        <v>1</v>
      </c>
      <c r="T40" s="577" t="s">
        <v>96</v>
      </c>
      <c r="U40" s="578"/>
      <c r="V40" s="578"/>
      <c r="W40" s="578"/>
      <c r="X40" s="579"/>
      <c r="Y40" s="150"/>
      <c r="Z40" s="151">
        <f>Z36+Z18</f>
        <v>0</v>
      </c>
      <c r="AA40" s="92" t="e">
        <f>AA22+AA13</f>
        <v>#DIV/0!</v>
      </c>
      <c r="AC40" s="577" t="s">
        <v>96</v>
      </c>
      <c r="AD40" s="578"/>
      <c r="AE40" s="578"/>
      <c r="AF40" s="578"/>
      <c r="AG40" s="579"/>
      <c r="AH40" s="150"/>
      <c r="AI40" s="151">
        <f>AI36+AI18</f>
        <v>0</v>
      </c>
      <c r="AJ40" s="92" t="e">
        <f>AJ22+AJ13</f>
        <v>#DIV/0!</v>
      </c>
      <c r="AL40" s="577" t="s">
        <v>96</v>
      </c>
      <c r="AM40" s="578"/>
      <c r="AN40" s="578"/>
      <c r="AO40" s="578"/>
      <c r="AP40" s="579"/>
      <c r="AQ40" s="150"/>
      <c r="AR40" s="151">
        <f>AR36+AR18</f>
        <v>0</v>
      </c>
      <c r="AS40" s="92" t="e">
        <f>AS22+AS13</f>
        <v>#DIV/0!</v>
      </c>
      <c r="AU40" s="577" t="s">
        <v>96</v>
      </c>
      <c r="AV40" s="578"/>
      <c r="AW40" s="578"/>
      <c r="AX40" s="578"/>
      <c r="AY40" s="579"/>
      <c r="AZ40" s="150"/>
      <c r="BA40" s="151">
        <f>BA36+BA18</f>
        <v>0</v>
      </c>
      <c r="BB40" s="92" t="e">
        <f>BB22+BB13</f>
        <v>#DIV/0!</v>
      </c>
    </row>
    <row r="41" spans="1:55" ht="15.75" customHeight="1" thickBot="1">
      <c r="B41" s="580" t="s">
        <v>213</v>
      </c>
      <c r="C41" s="581"/>
      <c r="D41" s="582"/>
      <c r="E41" s="582"/>
      <c r="F41" s="582"/>
      <c r="G41" s="152">
        <v>0.19</v>
      </c>
      <c r="H41" s="94">
        <f>H40*G41</f>
        <v>0</v>
      </c>
      <c r="I41" s="95"/>
      <c r="K41" s="570" t="s">
        <v>213</v>
      </c>
      <c r="L41" s="571"/>
      <c r="M41" s="571"/>
      <c r="N41" s="571"/>
      <c r="O41" s="572"/>
      <c r="P41" s="152">
        <v>0.19</v>
      </c>
      <c r="Q41" s="94">
        <f>Q40*P41</f>
        <v>21827200</v>
      </c>
      <c r="R41" s="95"/>
      <c r="T41" s="570" t="s">
        <v>213</v>
      </c>
      <c r="U41" s="571"/>
      <c r="V41" s="571"/>
      <c r="W41" s="571"/>
      <c r="X41" s="572"/>
      <c r="Y41" s="152">
        <v>0.19</v>
      </c>
      <c r="Z41" s="94">
        <f>Z40*Y41</f>
        <v>0</v>
      </c>
      <c r="AA41" s="95"/>
      <c r="AC41" s="570" t="s">
        <v>213</v>
      </c>
      <c r="AD41" s="571"/>
      <c r="AE41" s="571"/>
      <c r="AF41" s="571"/>
      <c r="AG41" s="572"/>
      <c r="AH41" s="152">
        <v>0.19</v>
      </c>
      <c r="AI41" s="94">
        <f>AI40*AH41</f>
        <v>0</v>
      </c>
      <c r="AJ41" s="95"/>
      <c r="AL41" s="580" t="s">
        <v>213</v>
      </c>
      <c r="AM41" s="581"/>
      <c r="AN41" s="582"/>
      <c r="AO41" s="582"/>
      <c r="AP41" s="582"/>
      <c r="AQ41" s="152">
        <v>0.19</v>
      </c>
      <c r="AR41" s="94">
        <f>AR40*AQ41</f>
        <v>0</v>
      </c>
      <c r="AS41" s="95"/>
      <c r="AU41" s="580" t="s">
        <v>213</v>
      </c>
      <c r="AV41" s="581"/>
      <c r="AW41" s="582"/>
      <c r="AX41" s="582"/>
      <c r="AY41" s="582"/>
      <c r="AZ41" s="152">
        <v>0.19</v>
      </c>
      <c r="BA41" s="94">
        <f>BA40*AZ41</f>
        <v>0</v>
      </c>
      <c r="BB41" s="95"/>
    </row>
    <row r="42" spans="1:55" ht="16.5" customHeight="1" thickBot="1">
      <c r="B42" s="573" t="s">
        <v>214</v>
      </c>
      <c r="C42" s="574"/>
      <c r="D42" s="574"/>
      <c r="E42" s="574"/>
      <c r="F42" s="575"/>
      <c r="G42" s="153"/>
      <c r="H42" s="154">
        <f>H40+H41</f>
        <v>0</v>
      </c>
      <c r="I42" s="98"/>
      <c r="K42" s="573" t="s">
        <v>214</v>
      </c>
      <c r="L42" s="574"/>
      <c r="M42" s="574"/>
      <c r="N42" s="574"/>
      <c r="O42" s="575"/>
      <c r="P42" s="153"/>
      <c r="Q42" s="154">
        <f>Q40+Q41</f>
        <v>136707200</v>
      </c>
      <c r="R42" s="98"/>
      <c r="T42" s="573" t="s">
        <v>214</v>
      </c>
      <c r="U42" s="574"/>
      <c r="V42" s="574"/>
      <c r="W42" s="574"/>
      <c r="X42" s="575"/>
      <c r="Y42" s="153"/>
      <c r="Z42" s="154">
        <f>Z40+Z41</f>
        <v>0</v>
      </c>
      <c r="AA42" s="98"/>
      <c r="AC42" s="573" t="s">
        <v>214</v>
      </c>
      <c r="AD42" s="574"/>
      <c r="AE42" s="574"/>
      <c r="AF42" s="574"/>
      <c r="AG42" s="575"/>
      <c r="AH42" s="153"/>
      <c r="AI42" s="154">
        <f>AI40+AI41</f>
        <v>0</v>
      </c>
      <c r="AJ42" s="98"/>
      <c r="AL42" s="573" t="s">
        <v>214</v>
      </c>
      <c r="AM42" s="574"/>
      <c r="AN42" s="574"/>
      <c r="AO42" s="574"/>
      <c r="AP42" s="575"/>
      <c r="AQ42" s="153"/>
      <c r="AR42" s="154">
        <f>AR40+AR41</f>
        <v>0</v>
      </c>
      <c r="AS42" s="98"/>
      <c r="AU42" s="573" t="s">
        <v>214</v>
      </c>
      <c r="AV42" s="574"/>
      <c r="AW42" s="574"/>
      <c r="AX42" s="574"/>
      <c r="AY42" s="575"/>
      <c r="AZ42" s="153"/>
      <c r="BA42" s="154">
        <f>BA40+BA41</f>
        <v>0</v>
      </c>
      <c r="BB42" s="98"/>
    </row>
    <row r="43" spans="1:55" ht="13.5" thickTop="1"/>
    <row r="46" spans="1:55" ht="15">
      <c r="M46" s="155"/>
      <c r="N46" s="156"/>
      <c r="O46" s="156"/>
      <c r="P46" s="156"/>
      <c r="Q46" s="156"/>
      <c r="R46" s="156"/>
      <c r="S46" s="148"/>
      <c r="W46" s="155"/>
      <c r="X46" s="156"/>
      <c r="Y46" s="156"/>
      <c r="Z46" s="156"/>
      <c r="AA46" s="156"/>
      <c r="AB46" s="156"/>
      <c r="AC46" s="148"/>
      <c r="AD46" s="148"/>
      <c r="AG46" s="155"/>
      <c r="AH46" s="156"/>
      <c r="AI46" s="156"/>
      <c r="AJ46" s="156"/>
      <c r="AK46" s="156"/>
      <c r="AL46" s="156"/>
      <c r="AM46" s="156"/>
      <c r="AN46" s="148"/>
      <c r="AQ46" s="155"/>
      <c r="AR46" s="156"/>
      <c r="AS46" s="156"/>
      <c r="AT46" s="156"/>
      <c r="AU46" s="156"/>
      <c r="AV46" s="156"/>
      <c r="AW46" s="156"/>
      <c r="AX46" s="148"/>
      <c r="BA46" s="155"/>
      <c r="BB46" s="156"/>
      <c r="BC46" s="156"/>
    </row>
    <row r="47" spans="1:55" ht="60">
      <c r="B47" s="155"/>
      <c r="C47" s="155"/>
      <c r="D47" s="156"/>
      <c r="E47" s="156"/>
      <c r="F47" s="156"/>
      <c r="G47" s="156"/>
      <c r="H47" s="156"/>
      <c r="I47" s="148"/>
      <c r="J47" s="148"/>
      <c r="K47" s="567" t="str">
        <f>N2</f>
        <v>FUMIGAX S.A.S.</v>
      </c>
      <c r="L47" s="567"/>
      <c r="M47" s="567"/>
      <c r="N47" s="567"/>
      <c r="O47" s="567"/>
      <c r="P47" s="567"/>
      <c r="Q47" s="567"/>
      <c r="R47" s="568"/>
      <c r="T47" s="569" t="str">
        <f>W2</f>
        <v>Truly Nolen Soluciones S.A.</v>
      </c>
      <c r="U47" s="569"/>
      <c r="V47" s="569"/>
      <c r="W47" s="569"/>
      <c r="X47" s="569"/>
      <c r="Y47" s="569"/>
      <c r="Z47" s="569"/>
      <c r="AA47" s="569"/>
      <c r="AC47" s="576" t="str">
        <f>AF2</f>
        <v>Alfa Control S.A.S.</v>
      </c>
      <c r="AD47" s="576"/>
      <c r="AE47" s="576"/>
      <c r="AF47" s="576"/>
      <c r="AG47" s="576"/>
      <c r="AH47" s="576"/>
      <c r="AI47" s="576"/>
      <c r="AJ47" s="157"/>
      <c r="AK47" s="157"/>
      <c r="AL47" s="569">
        <f>AO2</f>
        <v>0</v>
      </c>
      <c r="AM47" s="569"/>
      <c r="AN47" s="569"/>
      <c r="AO47" s="569"/>
      <c r="AP47" s="569"/>
      <c r="AQ47" s="569"/>
      <c r="AR47" s="569"/>
      <c r="AS47" s="569"/>
      <c r="AT47" s="157"/>
      <c r="AU47" s="569">
        <f>AX2</f>
        <v>0</v>
      </c>
      <c r="AV47" s="569"/>
      <c r="AW47" s="569"/>
      <c r="AX47" s="569"/>
      <c r="AY47" s="569"/>
      <c r="AZ47" s="569"/>
      <c r="BA47" s="569"/>
      <c r="BB47" s="569"/>
      <c r="BC47" s="157"/>
    </row>
    <row r="48" spans="1:55" s="157" customFormat="1" ht="60">
      <c r="A48" s="99"/>
      <c r="B48" s="99"/>
      <c r="C48" s="99"/>
      <c r="D48" s="99"/>
      <c r="E48" s="99"/>
      <c r="F48" s="99"/>
      <c r="G48" s="565" t="s">
        <v>104</v>
      </c>
      <c r="H48" s="566"/>
      <c r="I48" s="148"/>
      <c r="J48" s="148"/>
      <c r="K48" s="99"/>
      <c r="L48" s="99"/>
    </row>
    <row r="49" spans="1:55" ht="25.5">
      <c r="B49" s="158"/>
      <c r="C49" s="158"/>
      <c r="D49" s="159"/>
      <c r="E49" s="159"/>
      <c r="G49" s="160" t="s">
        <v>103</v>
      </c>
      <c r="H49" s="160" t="s">
        <v>102</v>
      </c>
      <c r="I49" s="148"/>
      <c r="J49" s="148"/>
    </row>
    <row r="50" spans="1:55" s="159" customFormat="1">
      <c r="A50" s="99"/>
      <c r="F50" s="99"/>
      <c r="G50" s="161">
        <v>17</v>
      </c>
      <c r="H50" s="161">
        <v>9</v>
      </c>
      <c r="I50" s="148"/>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row>
    <row r="51" spans="1:55" s="159" customFormat="1">
      <c r="A51" s="104"/>
      <c r="F51" s="99"/>
      <c r="G51" s="99"/>
      <c r="H51" s="99"/>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row>
    <row r="52" spans="1:55" s="159" customFormat="1" ht="25.5">
      <c r="A52" s="104"/>
      <c r="B52" s="564"/>
      <c r="C52" s="564"/>
      <c r="D52" s="564"/>
      <c r="E52" s="182"/>
      <c r="F52" s="129"/>
      <c r="G52" s="74" t="s">
        <v>3</v>
      </c>
      <c r="H52" s="74" t="s">
        <v>107</v>
      </c>
      <c r="I52" s="100"/>
      <c r="J52" s="162">
        <v>17</v>
      </c>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row>
    <row r="53" spans="1:55" s="159" customFormat="1">
      <c r="A53" s="104"/>
      <c r="B53" s="182"/>
      <c r="C53" s="205"/>
      <c r="D53" s="182"/>
      <c r="E53" s="182"/>
      <c r="F53" s="129"/>
      <c r="G53" s="160">
        <v>1</v>
      </c>
      <c r="H53" s="163">
        <f ca="1">INDIRECT(I53,TRUE)</f>
        <v>114880000</v>
      </c>
      <c r="I53" s="162" t="str">
        <f>ADDRESS(40,J52,1,1)</f>
        <v>$Q$40</v>
      </c>
      <c r="J53" s="162">
        <f t="shared" ref="J53:J66" si="4">$J52+$H$50</f>
        <v>26</v>
      </c>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row>
    <row r="54" spans="1:55" s="159" customFormat="1">
      <c r="A54" s="104"/>
      <c r="B54" s="182"/>
      <c r="C54" s="205"/>
      <c r="D54" s="182"/>
      <c r="E54" s="182"/>
      <c r="F54" s="129"/>
      <c r="G54" s="160">
        <v>2</v>
      </c>
      <c r="H54" s="163">
        <f ca="1">INDIRECT(I54,TRUE)</f>
        <v>0</v>
      </c>
      <c r="I54" s="162" t="str">
        <f>ADDRESS(40,J53,1,1)</f>
        <v>$Z$40</v>
      </c>
      <c r="J54" s="162">
        <f t="shared" si="4"/>
        <v>35</v>
      </c>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row>
    <row r="55" spans="1:55" s="159" customFormat="1">
      <c r="A55" s="104"/>
      <c r="B55" s="182"/>
      <c r="C55" s="205"/>
      <c r="D55" s="182"/>
      <c r="E55" s="182"/>
      <c r="F55" s="129"/>
      <c r="G55" s="160">
        <v>3</v>
      </c>
      <c r="H55" s="163">
        <f t="shared" ref="H55:H67" ca="1" si="5">INDIRECT(I55,TRUE)</f>
        <v>0</v>
      </c>
      <c r="I55" s="162" t="str">
        <f>ADDRESS(40,J54,1,1)</f>
        <v>$AI$40</v>
      </c>
      <c r="J55" s="162">
        <f t="shared" si="4"/>
        <v>44</v>
      </c>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row>
    <row r="56" spans="1:55" s="159" customFormat="1">
      <c r="A56" s="104"/>
      <c r="B56" s="182"/>
      <c r="C56" s="205"/>
      <c r="D56" s="182"/>
      <c r="E56" s="182"/>
      <c r="F56" s="129"/>
      <c r="G56" s="160">
        <v>4</v>
      </c>
      <c r="H56" s="163">
        <f t="shared" ca="1" si="5"/>
        <v>0</v>
      </c>
      <c r="I56" s="162" t="str">
        <f>ADDRESS(40,J55,1,1)</f>
        <v>$AR$40</v>
      </c>
      <c r="J56" s="162">
        <f t="shared" si="4"/>
        <v>53</v>
      </c>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row>
    <row r="57" spans="1:55" s="159" customFormat="1">
      <c r="A57" s="104"/>
      <c r="B57" s="182"/>
      <c r="C57" s="205"/>
      <c r="D57" s="182"/>
      <c r="E57" s="182"/>
      <c r="F57" s="129"/>
      <c r="G57" s="160">
        <v>5</v>
      </c>
      <c r="H57" s="163">
        <f t="shared" ca="1" si="5"/>
        <v>0</v>
      </c>
      <c r="I57" s="162" t="str">
        <f>ADDRESS(40,J56,1,1)</f>
        <v>$BA$40</v>
      </c>
      <c r="J57" s="162">
        <f t="shared" si="4"/>
        <v>62</v>
      </c>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row>
    <row r="58" spans="1:55" s="159" customFormat="1" hidden="1">
      <c r="A58" s="104"/>
      <c r="B58" s="182"/>
      <c r="C58" s="205"/>
      <c r="D58" s="182"/>
      <c r="E58" s="182"/>
      <c r="F58" s="129"/>
      <c r="G58" s="160">
        <v>6</v>
      </c>
      <c r="H58" s="163">
        <f t="shared" ca="1" si="5"/>
        <v>0</v>
      </c>
      <c r="I58" s="162" t="str">
        <f t="shared" ref="I58:I67" si="6">ADDRESS(183,J57,1,1)</f>
        <v>$BJ$183</v>
      </c>
      <c r="J58" s="162">
        <f t="shared" si="4"/>
        <v>71</v>
      </c>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row>
    <row r="59" spans="1:55" s="159" customFormat="1" hidden="1">
      <c r="A59" s="104"/>
      <c r="B59" s="182"/>
      <c r="C59" s="205"/>
      <c r="D59" s="182"/>
      <c r="E59" s="182"/>
      <c r="F59" s="129"/>
      <c r="G59" s="160">
        <v>7</v>
      </c>
      <c r="H59" s="163">
        <f t="shared" ca="1" si="5"/>
        <v>0</v>
      </c>
      <c r="I59" s="162" t="str">
        <f t="shared" si="6"/>
        <v>$BS$183</v>
      </c>
      <c r="J59" s="162">
        <f t="shared" si="4"/>
        <v>80</v>
      </c>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row>
    <row r="60" spans="1:55" s="159" customFormat="1" hidden="1">
      <c r="A60" s="104"/>
      <c r="B60" s="182"/>
      <c r="C60" s="205"/>
      <c r="D60" s="182"/>
      <c r="E60" s="182"/>
      <c r="F60" s="129"/>
      <c r="G60" s="160">
        <v>8</v>
      </c>
      <c r="H60" s="163">
        <f t="shared" ca="1" si="5"/>
        <v>0</v>
      </c>
      <c r="I60" s="162" t="str">
        <f t="shared" si="6"/>
        <v>$CB$183</v>
      </c>
      <c r="J60" s="162">
        <f t="shared" si="4"/>
        <v>89</v>
      </c>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row>
    <row r="61" spans="1:55" s="159" customFormat="1" hidden="1">
      <c r="A61" s="104"/>
      <c r="B61" s="182"/>
      <c r="C61" s="205"/>
      <c r="D61" s="182"/>
      <c r="E61" s="182"/>
      <c r="F61" s="129"/>
      <c r="G61" s="160">
        <v>9</v>
      </c>
      <c r="H61" s="163">
        <f t="shared" ca="1" si="5"/>
        <v>0</v>
      </c>
      <c r="I61" s="162" t="str">
        <f t="shared" si="6"/>
        <v>$CK$183</v>
      </c>
      <c r="J61" s="162">
        <f t="shared" si="4"/>
        <v>98</v>
      </c>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row>
    <row r="62" spans="1:55" s="159" customFormat="1" hidden="1">
      <c r="A62" s="104"/>
      <c r="B62" s="182"/>
      <c r="C62" s="205"/>
      <c r="D62" s="182"/>
      <c r="E62" s="182"/>
      <c r="F62" s="129"/>
      <c r="G62" s="160">
        <v>10</v>
      </c>
      <c r="H62" s="163">
        <f t="shared" ca="1" si="5"/>
        <v>0</v>
      </c>
      <c r="I62" s="162" t="str">
        <f t="shared" si="6"/>
        <v>$CT$183</v>
      </c>
      <c r="J62" s="162">
        <f t="shared" si="4"/>
        <v>107</v>
      </c>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row>
    <row r="63" spans="1:55" s="159" customFormat="1" hidden="1">
      <c r="A63" s="104"/>
      <c r="B63" s="182"/>
      <c r="C63" s="205"/>
      <c r="D63" s="182"/>
      <c r="E63" s="182"/>
      <c r="F63" s="129"/>
      <c r="G63" s="160">
        <v>11</v>
      </c>
      <c r="H63" s="163">
        <f t="shared" ca="1" si="5"/>
        <v>0</v>
      </c>
      <c r="I63" s="162" t="str">
        <f t="shared" si="6"/>
        <v>$DC$183</v>
      </c>
      <c r="J63" s="162">
        <f t="shared" si="4"/>
        <v>116</v>
      </c>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row>
    <row r="64" spans="1:55" s="159" customFormat="1" hidden="1">
      <c r="A64" s="104"/>
      <c r="B64" s="182"/>
      <c r="C64" s="205"/>
      <c r="D64" s="182"/>
      <c r="E64" s="182"/>
      <c r="F64" s="129"/>
      <c r="G64" s="160">
        <v>12</v>
      </c>
      <c r="H64" s="163">
        <f t="shared" ca="1" si="5"/>
        <v>0</v>
      </c>
      <c r="I64" s="162" t="str">
        <f t="shared" si="6"/>
        <v>$DL$183</v>
      </c>
      <c r="J64" s="162">
        <f t="shared" si="4"/>
        <v>125</v>
      </c>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row>
    <row r="65" spans="1:55" s="159" customFormat="1" hidden="1">
      <c r="A65" s="104"/>
      <c r="B65" s="182"/>
      <c r="C65" s="205"/>
      <c r="D65" s="182"/>
      <c r="E65" s="182"/>
      <c r="F65" s="129"/>
      <c r="G65" s="160">
        <v>13</v>
      </c>
      <c r="H65" s="163">
        <f t="shared" ca="1" si="5"/>
        <v>0</v>
      </c>
      <c r="I65" s="162" t="str">
        <f t="shared" si="6"/>
        <v>$DU$183</v>
      </c>
      <c r="J65" s="162">
        <f t="shared" si="4"/>
        <v>134</v>
      </c>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row>
    <row r="66" spans="1:55" s="159" customFormat="1" hidden="1">
      <c r="A66" s="104"/>
      <c r="B66" s="182"/>
      <c r="C66" s="205"/>
      <c r="D66" s="182"/>
      <c r="E66" s="182"/>
      <c r="F66" s="129"/>
      <c r="G66" s="160">
        <v>14</v>
      </c>
      <c r="H66" s="163">
        <f t="shared" ca="1" si="5"/>
        <v>0</v>
      </c>
      <c r="I66" s="162" t="str">
        <f t="shared" si="6"/>
        <v>$ED$183</v>
      </c>
      <c r="J66" s="162">
        <f t="shared" si="4"/>
        <v>143</v>
      </c>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row>
    <row r="67" spans="1:55" s="159" customFormat="1" hidden="1">
      <c r="A67" s="99"/>
      <c r="B67" s="182"/>
      <c r="C67" s="205"/>
      <c r="D67" s="182"/>
      <c r="E67" s="182"/>
      <c r="F67" s="129"/>
      <c r="G67" s="160">
        <v>15</v>
      </c>
      <c r="H67" s="163">
        <f t="shared" ca="1" si="5"/>
        <v>0</v>
      </c>
      <c r="I67" s="162" t="str">
        <f t="shared" si="6"/>
        <v>$EM$183</v>
      </c>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row>
    <row r="68" spans="1:55" s="159" customFormat="1">
      <c r="A68" s="99"/>
      <c r="F68" s="99"/>
      <c r="G68" s="99"/>
      <c r="H68" s="99"/>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row>
    <row r="69" spans="1:55">
      <c r="B69" s="159"/>
      <c r="C69" s="159"/>
      <c r="D69" s="159"/>
      <c r="E69" s="159"/>
      <c r="I69" s="100"/>
    </row>
  </sheetData>
  <sheetProtection selectLockedCells="1" selectUnlockedCells="1"/>
  <mergeCells count="117">
    <mergeCell ref="AC47:AI47"/>
    <mergeCell ref="AL47:AS47"/>
    <mergeCell ref="AU47:BB47"/>
    <mergeCell ref="B40:F40"/>
    <mergeCell ref="B41:F41"/>
    <mergeCell ref="B42:F42"/>
    <mergeCell ref="AC40:AG40"/>
    <mergeCell ref="AL40:AP40"/>
    <mergeCell ref="AU40:AY40"/>
    <mergeCell ref="K40:O40"/>
    <mergeCell ref="T40:X40"/>
    <mergeCell ref="AL42:AP42"/>
    <mergeCell ref="AU42:AY42"/>
    <mergeCell ref="AL41:AP41"/>
    <mergeCell ref="AU41:AY41"/>
    <mergeCell ref="B4:D9"/>
    <mergeCell ref="E4:I4"/>
    <mergeCell ref="E5:I7"/>
    <mergeCell ref="E8:I9"/>
    <mergeCell ref="B52:D52"/>
    <mergeCell ref="G48:H48"/>
    <mergeCell ref="K47:R47"/>
    <mergeCell ref="T47:AA47"/>
    <mergeCell ref="AF2:AI3"/>
    <mergeCell ref="AF4:AJ4"/>
    <mergeCell ref="N5:R7"/>
    <mergeCell ref="W5:AA7"/>
    <mergeCell ref="AF5:AJ7"/>
    <mergeCell ref="K41:O41"/>
    <mergeCell ref="T41:X41"/>
    <mergeCell ref="AC41:AG41"/>
    <mergeCell ref="K42:O42"/>
    <mergeCell ref="T42:X42"/>
    <mergeCell ref="AC42:AG42"/>
    <mergeCell ref="I13:I17"/>
    <mergeCell ref="C18:G18"/>
    <mergeCell ref="D22:D35"/>
    <mergeCell ref="I22:I35"/>
    <mergeCell ref="C36:G36"/>
    <mergeCell ref="AL2:AL3"/>
    <mergeCell ref="AN2:AN3"/>
    <mergeCell ref="AO2:AR3"/>
    <mergeCell ref="AU2:AU3"/>
    <mergeCell ref="AW2:AW3"/>
    <mergeCell ref="AX2:BA3"/>
    <mergeCell ref="K4:M9"/>
    <mergeCell ref="N4:R4"/>
    <mergeCell ref="T4:V9"/>
    <mergeCell ref="W4:AA4"/>
    <mergeCell ref="AY8:BB9"/>
    <mergeCell ref="K2:K3"/>
    <mergeCell ref="M2:M3"/>
    <mergeCell ref="N2:Q3"/>
    <mergeCell ref="T2:T3"/>
    <mergeCell ref="V2:V3"/>
    <mergeCell ref="W2:Z3"/>
    <mergeCell ref="AC2:AC3"/>
    <mergeCell ref="AC4:AE9"/>
    <mergeCell ref="AE2:AE3"/>
    <mergeCell ref="AU4:AW9"/>
    <mergeCell ref="AX4:BB4"/>
    <mergeCell ref="AL4:AN9"/>
    <mergeCell ref="AO4:AS4"/>
    <mergeCell ref="AO5:AS7"/>
    <mergeCell ref="AX5:BB7"/>
    <mergeCell ref="N8:N9"/>
    <mergeCell ref="O8:R9"/>
    <mergeCell ref="W8:W9"/>
    <mergeCell ref="X8:AA9"/>
    <mergeCell ref="AF8:AF9"/>
    <mergeCell ref="AG8:AJ9"/>
    <mergeCell ref="AO8:AO9"/>
    <mergeCell ref="AP8:AS9"/>
    <mergeCell ref="AX8:AX9"/>
    <mergeCell ref="B10:H10"/>
    <mergeCell ref="C11:D11"/>
    <mergeCell ref="C12:H12"/>
    <mergeCell ref="K10:Q10"/>
    <mergeCell ref="L11:M11"/>
    <mergeCell ref="L12:Q12"/>
    <mergeCell ref="R13:R17"/>
    <mergeCell ref="L18:P18"/>
    <mergeCell ref="M22:M35"/>
    <mergeCell ref="R22:R35"/>
    <mergeCell ref="L36:P36"/>
    <mergeCell ref="T10:Z10"/>
    <mergeCell ref="U11:V11"/>
    <mergeCell ref="U12:Z12"/>
    <mergeCell ref="AA13:AA17"/>
    <mergeCell ref="U18:Y18"/>
    <mergeCell ref="V22:V35"/>
    <mergeCell ref="AA22:AA35"/>
    <mergeCell ref="U36:Y36"/>
    <mergeCell ref="AC10:AI10"/>
    <mergeCell ref="AD11:AE11"/>
    <mergeCell ref="AD12:AI12"/>
    <mergeCell ref="AJ13:AJ17"/>
    <mergeCell ref="AD18:AH18"/>
    <mergeCell ref="AE22:AE35"/>
    <mergeCell ref="AJ22:AJ35"/>
    <mergeCell ref="AD36:AH36"/>
    <mergeCell ref="AL10:AR10"/>
    <mergeCell ref="AM11:AN11"/>
    <mergeCell ref="AM12:AR12"/>
    <mergeCell ref="AS13:AS17"/>
    <mergeCell ref="AM18:AQ18"/>
    <mergeCell ref="AN22:AN35"/>
    <mergeCell ref="AS22:AS35"/>
    <mergeCell ref="AM36:AQ36"/>
    <mergeCell ref="AU10:BA10"/>
    <mergeCell ref="AV11:AW11"/>
    <mergeCell ref="AV12:BA12"/>
    <mergeCell ref="BB13:BB17"/>
    <mergeCell ref="AV18:AZ18"/>
    <mergeCell ref="AW22:AW35"/>
    <mergeCell ref="BB22:BB35"/>
    <mergeCell ref="AV36:AZ36"/>
  </mergeCells>
  <conditionalFormatting sqref="M48">
    <cfRule type="cellIs" dxfId="10" priority="2403" operator="equal">
      <formula>"OK"</formula>
    </cfRule>
    <cfRule type="cellIs" dxfId="9" priority="2404" operator="equal">
      <formula>"NO HABILITADO"</formula>
    </cfRule>
  </conditionalFormatting>
  <conditionalFormatting sqref="E53">
    <cfRule type="cellIs" dxfId="8" priority="943" operator="equal">
      <formula>"NH"</formula>
    </cfRule>
    <cfRule type="cellIs" dxfId="7" priority="944" operator="equal">
      <formula>"H"</formula>
    </cfRule>
  </conditionalFormatting>
  <conditionalFormatting sqref="E54:E67">
    <cfRule type="cellIs" dxfId="6" priority="941" operator="equal">
      <formula>"NH"</formula>
    </cfRule>
    <cfRule type="cellIs" dxfId="5" priority="942" operator="equal">
      <formula>"H"</formula>
    </cfRule>
  </conditionalFormatting>
  <pageMargins left="0.7" right="0.7" top="0.75" bottom="0.75" header="0.3" footer="0.3"/>
  <pageSetup paperSize="9"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K20"/>
  <sheetViews>
    <sheetView zoomScale="70" zoomScaleNormal="70" workbookViewId="0">
      <selection activeCell="A2" sqref="A2:J21"/>
    </sheetView>
  </sheetViews>
  <sheetFormatPr baseColWidth="10" defaultRowHeight="20.25"/>
  <cols>
    <col min="1" max="1" width="11.42578125" style="183"/>
    <col min="2" max="2" width="8.28515625" style="183" bestFit="1" customWidth="1"/>
    <col min="3" max="3" width="46.28515625" style="183" customWidth="1"/>
    <col min="4" max="4" width="22.140625" style="131" customWidth="1"/>
    <col min="5" max="5" width="20.7109375" style="131" customWidth="1"/>
    <col min="6" max="6" width="23.5703125" style="131" customWidth="1"/>
    <col min="7" max="7" width="25.5703125" style="183" customWidth="1"/>
    <col min="8" max="8" width="21.42578125" style="183" customWidth="1"/>
    <col min="9" max="9" width="17.28515625" style="183" customWidth="1"/>
    <col min="10" max="10" width="73.5703125" style="183" customWidth="1"/>
    <col min="11" max="32" width="20.7109375" style="183" customWidth="1"/>
    <col min="33" max="16384" width="11.42578125" style="183"/>
  </cols>
  <sheetData>
    <row r="3" spans="2:11" ht="21" thickBot="1"/>
    <row r="4" spans="2:11" ht="82.5" thickTop="1" thickBot="1">
      <c r="B4" s="199" t="s">
        <v>24</v>
      </c>
      <c r="C4" s="200" t="s">
        <v>3</v>
      </c>
      <c r="D4" s="199" t="s">
        <v>80</v>
      </c>
      <c r="E4" s="199" t="s">
        <v>81</v>
      </c>
      <c r="F4" s="199" t="s">
        <v>82</v>
      </c>
      <c r="G4" s="199" t="s">
        <v>110</v>
      </c>
      <c r="H4" s="199" t="s">
        <v>93</v>
      </c>
      <c r="I4" s="201" t="s">
        <v>86</v>
      </c>
      <c r="J4" s="199" t="s">
        <v>127</v>
      </c>
      <c r="K4" s="184"/>
    </row>
    <row r="5" spans="2:11" ht="61.5" thickTop="1">
      <c r="B5" s="198">
        <v>1</v>
      </c>
      <c r="C5" s="186" t="str">
        <f t="shared" ref="C5:C19" si="0">VLOOKUP(B5,LISTA_OFERENTES,2,FALSE)</f>
        <v>FUMIGAX S.A.S.</v>
      </c>
      <c r="D5" s="187" t="str">
        <f t="shared" ref="D5:D19" ca="1" si="1">VLOOKUP(B5,EXPERIENCIA,4,FALSE)</f>
        <v>NH</v>
      </c>
      <c r="E5" s="187" t="str">
        <f t="shared" ref="E5:E19" si="2">VLOOKUP(B5,C_FINANCIERA,3,FALSE)</f>
        <v>H</v>
      </c>
      <c r="F5" s="187" t="str">
        <f t="shared" ref="F5:F19" si="3">VLOOKUP(B5,R_COMERCIALES,3,FALSE)</f>
        <v>NH</v>
      </c>
      <c r="G5" s="188" t="str">
        <f>VLOOKUP(B5,PRESUPUESTO,4,FALSE)</f>
        <v>NH</v>
      </c>
      <c r="H5" s="784" t="s">
        <v>108</v>
      </c>
      <c r="I5" s="189" t="str">
        <f ca="1">IFERROR(IF(AND(D5="H",E5="H",F5="H",G5="H",H5="H"),"H","NH")," ")</f>
        <v>NH</v>
      </c>
      <c r="J5" s="785" t="s">
        <v>286</v>
      </c>
    </row>
    <row r="6" spans="2:11" ht="60.75">
      <c r="B6" s="190">
        <v>2</v>
      </c>
      <c r="C6" s="191" t="str">
        <f t="shared" si="0"/>
        <v>Truly Nolen Soluciones S.A.</v>
      </c>
      <c r="D6" s="192" t="str">
        <f t="shared" ca="1" si="1"/>
        <v>H</v>
      </c>
      <c r="E6" s="192" t="str">
        <f t="shared" si="2"/>
        <v>H</v>
      </c>
      <c r="F6" s="192" t="str">
        <f t="shared" si="3"/>
        <v>H</v>
      </c>
      <c r="G6" s="188" t="str">
        <f ca="1">VLOOKUP(B6,PRESUPUESTO,4,FALSE)</f>
        <v>H</v>
      </c>
      <c r="H6" s="786" t="s">
        <v>116</v>
      </c>
      <c r="I6" s="193" t="str">
        <f t="shared" ref="I6:I19" ca="1" si="4">IFERROR(IF(AND(D6="H",E6="H",F6="H",G6="H",H6="H"),"H","NH")," ")</f>
        <v>H</v>
      </c>
      <c r="J6" s="787" t="s">
        <v>284</v>
      </c>
    </row>
    <row r="7" spans="2:11" ht="40.5">
      <c r="B7" s="190">
        <v>3</v>
      </c>
      <c r="C7" s="191" t="str">
        <f t="shared" si="0"/>
        <v>Alfa Control S.A.S.</v>
      </c>
      <c r="D7" s="192" t="str">
        <f t="shared" ca="1" si="1"/>
        <v>NH</v>
      </c>
      <c r="E7" s="192" t="str">
        <f t="shared" si="2"/>
        <v>NH</v>
      </c>
      <c r="F7" s="192" t="str">
        <f t="shared" si="3"/>
        <v>H</v>
      </c>
      <c r="G7" s="188" t="str">
        <f ca="1">VLOOKUP(B7,PRESUPUESTO,4,FALSE)</f>
        <v>H</v>
      </c>
      <c r="H7" s="786" t="s">
        <v>108</v>
      </c>
      <c r="I7" s="193" t="str">
        <f t="shared" ca="1" si="4"/>
        <v>NH</v>
      </c>
      <c r="J7" s="788" t="s">
        <v>287</v>
      </c>
    </row>
    <row r="8" spans="2:11">
      <c r="B8" s="190">
        <v>4</v>
      </c>
      <c r="C8" s="191"/>
      <c r="D8" s="192"/>
      <c r="E8" s="192"/>
      <c r="F8" s="192"/>
      <c r="G8" s="188"/>
      <c r="H8" s="786"/>
      <c r="I8" s="193"/>
      <c r="J8" s="787"/>
    </row>
    <row r="9" spans="2:11" ht="21" thickBot="1">
      <c r="B9" s="194">
        <v>5</v>
      </c>
      <c r="C9" s="195"/>
      <c r="D9" s="196"/>
      <c r="E9" s="196"/>
      <c r="F9" s="196"/>
      <c r="G9" s="188"/>
      <c r="H9" s="789"/>
      <c r="I9" s="197"/>
      <c r="J9" s="790"/>
    </row>
    <row r="10" spans="2:11" hidden="1">
      <c r="B10" s="185">
        <v>6</v>
      </c>
      <c r="C10" s="186">
        <f t="shared" si="0"/>
        <v>0</v>
      </c>
      <c r="D10" s="187" t="str">
        <f t="shared" ca="1" si="1"/>
        <v>NH</v>
      </c>
      <c r="E10" s="187" t="str">
        <f t="shared" si="2"/>
        <v>NH</v>
      </c>
      <c r="F10" s="187" t="str">
        <f t="shared" si="3"/>
        <v xml:space="preserve"> </v>
      </c>
      <c r="G10" s="188" t="e">
        <f t="shared" ref="G10:G19" si="5">VLOOKUP(B10,PRESUPUESTO,3,FALSE)</f>
        <v>#N/A</v>
      </c>
      <c r="H10" s="791" t="s">
        <v>116</v>
      </c>
      <c r="I10" s="189" t="str">
        <f t="shared" ca="1" si="4"/>
        <v xml:space="preserve"> </v>
      </c>
    </row>
    <row r="11" spans="2:11" hidden="1">
      <c r="B11" s="53">
        <v>7</v>
      </c>
      <c r="C11" s="101">
        <f t="shared" si="0"/>
        <v>0</v>
      </c>
      <c r="D11" s="102" t="str">
        <f t="shared" ca="1" si="1"/>
        <v>NH</v>
      </c>
      <c r="E11" s="102" t="str">
        <f t="shared" si="2"/>
        <v>NH</v>
      </c>
      <c r="F11" s="102" t="str">
        <f t="shared" si="3"/>
        <v xml:space="preserve"> </v>
      </c>
      <c r="G11" s="103" t="e">
        <f t="shared" si="5"/>
        <v>#N/A</v>
      </c>
      <c r="H11" s="52" t="s">
        <v>108</v>
      </c>
      <c r="I11" s="130" t="str">
        <f t="shared" ca="1" si="4"/>
        <v xml:space="preserve"> </v>
      </c>
    </row>
    <row r="12" spans="2:11" hidden="1">
      <c r="B12" s="53">
        <v>8</v>
      </c>
      <c r="C12" s="101">
        <f t="shared" si="0"/>
        <v>0</v>
      </c>
      <c r="D12" s="102" t="str">
        <f t="shared" ca="1" si="1"/>
        <v>NH</v>
      </c>
      <c r="E12" s="102" t="str">
        <f t="shared" si="2"/>
        <v>NH</v>
      </c>
      <c r="F12" s="102" t="str">
        <f t="shared" si="3"/>
        <v xml:space="preserve"> </v>
      </c>
      <c r="G12" s="103" t="e">
        <f t="shared" si="5"/>
        <v>#N/A</v>
      </c>
      <c r="H12" s="52" t="s">
        <v>108</v>
      </c>
      <c r="I12" s="130" t="str">
        <f t="shared" ca="1" si="4"/>
        <v xml:space="preserve"> </v>
      </c>
    </row>
    <row r="13" spans="2:11" hidden="1">
      <c r="B13" s="53">
        <v>9</v>
      </c>
      <c r="C13" s="101">
        <f t="shared" si="0"/>
        <v>0</v>
      </c>
      <c r="D13" s="102" t="str">
        <f t="shared" ca="1" si="1"/>
        <v>NH</v>
      </c>
      <c r="E13" s="102" t="str">
        <f t="shared" si="2"/>
        <v>NH</v>
      </c>
      <c r="F13" s="102" t="str">
        <f t="shared" si="3"/>
        <v xml:space="preserve"> </v>
      </c>
      <c r="G13" s="103" t="e">
        <f t="shared" si="5"/>
        <v>#N/A</v>
      </c>
      <c r="H13" s="52" t="s">
        <v>108</v>
      </c>
      <c r="I13" s="130" t="str">
        <f t="shared" ca="1" si="4"/>
        <v xml:space="preserve"> </v>
      </c>
    </row>
    <row r="14" spans="2:11" hidden="1">
      <c r="B14" s="53">
        <v>10</v>
      </c>
      <c r="C14" s="101">
        <f t="shared" si="0"/>
        <v>0</v>
      </c>
      <c r="D14" s="102" t="str">
        <f t="shared" ca="1" si="1"/>
        <v>NH</v>
      </c>
      <c r="E14" s="102" t="str">
        <f t="shared" si="2"/>
        <v>NH</v>
      </c>
      <c r="F14" s="102" t="str">
        <f t="shared" si="3"/>
        <v xml:space="preserve"> </v>
      </c>
      <c r="G14" s="103" t="e">
        <f t="shared" si="5"/>
        <v>#N/A</v>
      </c>
      <c r="H14" s="52" t="s">
        <v>108</v>
      </c>
      <c r="I14" s="130" t="str">
        <f t="shared" ca="1" si="4"/>
        <v xml:space="preserve"> </v>
      </c>
    </row>
    <row r="15" spans="2:11" hidden="1">
      <c r="B15" s="53">
        <v>11</v>
      </c>
      <c r="C15" s="101">
        <f t="shared" si="0"/>
        <v>0</v>
      </c>
      <c r="D15" s="102" t="str">
        <f t="shared" ca="1" si="1"/>
        <v>NH</v>
      </c>
      <c r="E15" s="102" t="str">
        <f t="shared" si="2"/>
        <v>NH</v>
      </c>
      <c r="F15" s="102" t="str">
        <f t="shared" si="3"/>
        <v xml:space="preserve"> </v>
      </c>
      <c r="G15" s="103" t="e">
        <f t="shared" si="5"/>
        <v>#N/A</v>
      </c>
      <c r="H15" s="52" t="s">
        <v>108</v>
      </c>
      <c r="I15" s="130" t="str">
        <f t="shared" ca="1" si="4"/>
        <v xml:space="preserve"> </v>
      </c>
    </row>
    <row r="16" spans="2:11" hidden="1">
      <c r="B16" s="53">
        <v>12</v>
      </c>
      <c r="C16" s="101">
        <f t="shared" si="0"/>
        <v>0</v>
      </c>
      <c r="D16" s="102" t="str">
        <f t="shared" ca="1" si="1"/>
        <v>NH</v>
      </c>
      <c r="E16" s="102" t="str">
        <f t="shared" si="2"/>
        <v>NH</v>
      </c>
      <c r="F16" s="102" t="str">
        <f t="shared" si="3"/>
        <v xml:space="preserve"> </v>
      </c>
      <c r="G16" s="103" t="e">
        <f t="shared" si="5"/>
        <v>#N/A</v>
      </c>
      <c r="H16" s="52" t="s">
        <v>108</v>
      </c>
      <c r="I16" s="130" t="str">
        <f t="shared" ca="1" si="4"/>
        <v xml:space="preserve"> </v>
      </c>
    </row>
    <row r="17" spans="2:9" hidden="1">
      <c r="B17" s="53">
        <v>13</v>
      </c>
      <c r="C17" s="101">
        <f t="shared" si="0"/>
        <v>0</v>
      </c>
      <c r="D17" s="102" t="str">
        <f t="shared" ca="1" si="1"/>
        <v>NH</v>
      </c>
      <c r="E17" s="102" t="str">
        <f t="shared" si="2"/>
        <v>NH</v>
      </c>
      <c r="F17" s="102" t="str">
        <f t="shared" si="3"/>
        <v xml:space="preserve"> </v>
      </c>
      <c r="G17" s="103" t="e">
        <f t="shared" si="5"/>
        <v>#N/A</v>
      </c>
      <c r="H17" s="52" t="s">
        <v>108</v>
      </c>
      <c r="I17" s="130" t="str">
        <f t="shared" ca="1" si="4"/>
        <v xml:space="preserve"> </v>
      </c>
    </row>
    <row r="18" spans="2:9" hidden="1">
      <c r="B18" s="53">
        <v>14</v>
      </c>
      <c r="C18" s="101">
        <f t="shared" si="0"/>
        <v>0</v>
      </c>
      <c r="D18" s="102" t="str">
        <f t="shared" ca="1" si="1"/>
        <v>NH</v>
      </c>
      <c r="E18" s="102" t="str">
        <f t="shared" si="2"/>
        <v>NH</v>
      </c>
      <c r="F18" s="102" t="str">
        <f t="shared" si="3"/>
        <v xml:space="preserve"> </v>
      </c>
      <c r="G18" s="103" t="e">
        <f t="shared" si="5"/>
        <v>#N/A</v>
      </c>
      <c r="H18" s="52" t="s">
        <v>108</v>
      </c>
      <c r="I18" s="130" t="str">
        <f t="shared" ca="1" si="4"/>
        <v xml:space="preserve"> </v>
      </c>
    </row>
    <row r="19" spans="2:9" hidden="1">
      <c r="B19" s="53">
        <v>15</v>
      </c>
      <c r="C19" s="101">
        <f t="shared" si="0"/>
        <v>0</v>
      </c>
      <c r="D19" s="102" t="str">
        <f t="shared" ca="1" si="1"/>
        <v>NH</v>
      </c>
      <c r="E19" s="102" t="str">
        <f t="shared" si="2"/>
        <v>NH</v>
      </c>
      <c r="F19" s="102" t="str">
        <f t="shared" si="3"/>
        <v xml:space="preserve"> </v>
      </c>
      <c r="G19" s="103" t="e">
        <f t="shared" si="5"/>
        <v>#N/A</v>
      </c>
      <c r="H19" s="52" t="s">
        <v>108</v>
      </c>
      <c r="I19" s="130" t="str">
        <f t="shared" ca="1" si="4"/>
        <v xml:space="preserve"> </v>
      </c>
    </row>
    <row r="20" spans="2:9" ht="21" thickTop="1"/>
  </sheetData>
  <sheetProtection algorithmName="SHA-512" hashValue="n4Q+SuvYoc2Op2pEixbJgVe/Mz5kTbrDNSyzZQmOnzs+oRScn2LMF0wt6gny/6abjkb8n0bz1rpEJpuxP/yB6A==" saltValue="Gv+rGt0GP+TfXpoACbbyAA==" spinCount="100000" sheet="1" selectLockedCells="1" selectUnlockedCells="1"/>
  <conditionalFormatting sqref="I5:I19">
    <cfRule type="cellIs" dxfId="4" priority="17" operator="equal">
      <formula>"NH"</formula>
    </cfRule>
    <cfRule type="cellIs" dxfId="3" priority="18" operator="equal">
      <formula>"H"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26</vt:i4>
      </vt:variant>
    </vt:vector>
  </HeadingPairs>
  <TitlesOfParts>
    <vt:vector size="36" baseType="lpstr">
      <vt:lpstr>1_ENTREGA</vt:lpstr>
      <vt:lpstr>2_APERTURA DE SOBRES</vt:lpstr>
      <vt:lpstr>5,1. REQUISITOS JURÍDICOS</vt:lpstr>
      <vt:lpstr>5.2.1 EXPERIENCIA GRAL</vt:lpstr>
      <vt:lpstr>5.3 CAP FINANCIERA</vt:lpstr>
      <vt:lpstr>PRESUPUESTO</vt:lpstr>
      <vt:lpstr>5.4 REQUISITOS COMERCIALES</vt:lpstr>
      <vt:lpstr>VALORES UNITARIOS</vt:lpstr>
      <vt:lpstr>RESUMEN</vt:lpstr>
      <vt:lpstr>10. EVALUACIÓN</vt:lpstr>
      <vt:lpstr>'1_ENTREGA'!Área_de_impresión</vt:lpstr>
      <vt:lpstr>'2_APERTURA DE SOBRES'!Área_de_impresión</vt:lpstr>
      <vt:lpstr>AU</vt:lpstr>
      <vt:lpstr>BANDERA</vt:lpstr>
      <vt:lpstr>C_FINANCIERA</vt:lpstr>
      <vt:lpstr>'VALORES UNITARIOS'!COSTO_D</vt:lpstr>
      <vt:lpstr>COSTO_D</vt:lpstr>
      <vt:lpstr>'VALORES UNITARIOS'!EST_EXP</vt:lpstr>
      <vt:lpstr>EST_EXP</vt:lpstr>
      <vt:lpstr>ESTATUS</vt:lpstr>
      <vt:lpstr>EXPERIENCIA</vt:lpstr>
      <vt:lpstr>LISTA_OFERENTES</vt:lpstr>
      <vt:lpstr>OFERENTE_1</vt:lpstr>
      <vt:lpstr>OFERENTE_2</vt:lpstr>
      <vt:lpstr>OFERENTE_3</vt:lpstr>
      <vt:lpstr>OFERENTE_4</vt:lpstr>
      <vt:lpstr>OFERENTE_5</vt:lpstr>
      <vt:lpstr>OFERTA_0</vt:lpstr>
      <vt:lpstr>ORDEN</vt:lpstr>
      <vt:lpstr>PRESUPUESTO</vt:lpstr>
      <vt:lpstr>R_COMERCIALES</vt:lpstr>
      <vt:lpstr>UNITARIO_1</vt:lpstr>
      <vt:lpstr>UNITARIO_2</vt:lpstr>
      <vt:lpstr>UNITARIO_3</vt:lpstr>
      <vt:lpstr>UNITARIO_4</vt:lpstr>
      <vt:lpstr>UNITARIO_5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Angela.Lopera</cp:lastModifiedBy>
  <cp:lastPrinted>2019-07-31T18:34:58Z</cp:lastPrinted>
  <dcterms:created xsi:type="dcterms:W3CDTF">2013-08-04T21:27:49Z</dcterms:created>
  <dcterms:modified xsi:type="dcterms:W3CDTF">2020-02-13T20:50:21Z</dcterms:modified>
</cp:coreProperties>
</file>